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showObjects="none"/>
  <mc:AlternateContent xmlns:mc="http://schemas.openxmlformats.org/markup-compatibility/2006">
    <mc:Choice Requires="x15">
      <x15ac:absPath xmlns:x15ac="http://schemas.microsoft.com/office/spreadsheetml/2010/11/ac" url="https://d.docs.live.net/e3dc3b20873cc3cf/account/"/>
    </mc:Choice>
  </mc:AlternateContent>
  <xr:revisionPtr revIDLastSave="4" documentId="13_ncr:1_{EB9604EF-1908-4C63-A174-80DE8518938F}" xr6:coauthVersionLast="47" xr6:coauthVersionMax="47" xr10:uidLastSave="{73F64891-298B-458D-A62A-BAB4BEEE5B58}"/>
  <bookViews>
    <workbookView xWindow="-120" yWindow="-120" windowWidth="29040" windowHeight="15840" tabRatio="589" xr2:uid="{00000000-000D-0000-FFFF-FFFF00000000}"/>
  </bookViews>
  <sheets>
    <sheet name="سند" sheetId="15" r:id="rId1"/>
    <sheet name="حساب" sheetId="9" r:id="rId2"/>
    <sheet name="طرف حساب" sheetId="16" r:id="rId3"/>
    <sheet name="بانک" sheetId="17" r:id="rId4"/>
    <sheet name="تناسب" sheetId="21" r:id="rId5"/>
    <sheet name="روزشمار" sheetId="18" r:id="rId6"/>
    <sheet name="ماه شمار" sheetId="1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3" i="15" l="1"/>
  <c r="E298" i="15"/>
  <c r="E279" i="15"/>
  <c r="E276" i="15"/>
  <c r="E238" i="15"/>
  <c r="B62" i="19"/>
  <c r="B63" i="19"/>
  <c r="B64" i="19"/>
  <c r="B65" i="19"/>
  <c r="B66" i="19"/>
  <c r="B67" i="19"/>
  <c r="B68" i="19"/>
  <c r="B69" i="19"/>
  <c r="B70" i="19"/>
  <c r="B71" i="19"/>
  <c r="B72" i="19"/>
  <c r="B73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B1827" i="18"/>
  <c r="B1828" i="18"/>
  <c r="B1829" i="18"/>
  <c r="B1830" i="18"/>
  <c r="B1831" i="18"/>
  <c r="B1832" i="18"/>
  <c r="B1833" i="18"/>
  <c r="B1834" i="18"/>
  <c r="B1835" i="18"/>
  <c r="B1836" i="18"/>
  <c r="B1837" i="18"/>
  <c r="B1838" i="18"/>
  <c r="B1839" i="18"/>
  <c r="B1840" i="18"/>
  <c r="B1841" i="18"/>
  <c r="B1842" i="18"/>
  <c r="B1843" i="18"/>
  <c r="B1844" i="18"/>
  <c r="B1845" i="18"/>
  <c r="B1846" i="18"/>
  <c r="B1847" i="18"/>
  <c r="B1848" i="18"/>
  <c r="B1849" i="18"/>
  <c r="B1850" i="18"/>
  <c r="B1851" i="18"/>
  <c r="B1852" i="18"/>
  <c r="B1853" i="18"/>
  <c r="B1854" i="18"/>
  <c r="B1855" i="18"/>
  <c r="B1856" i="18"/>
  <c r="B1857" i="18"/>
  <c r="B1858" i="18"/>
  <c r="B1859" i="18"/>
  <c r="B1860" i="18"/>
  <c r="B1861" i="18"/>
  <c r="B1862" i="18"/>
  <c r="B1863" i="18"/>
  <c r="B1864" i="18"/>
  <c r="B1865" i="18"/>
  <c r="B1866" i="18"/>
  <c r="B1867" i="18"/>
  <c r="B1868" i="18"/>
  <c r="B1869" i="18"/>
  <c r="B1870" i="18"/>
  <c r="B1871" i="18"/>
  <c r="B1872" i="18"/>
  <c r="B1873" i="18"/>
  <c r="B1874" i="18"/>
  <c r="B1875" i="18"/>
  <c r="B1876" i="18"/>
  <c r="B1877" i="18"/>
  <c r="B1878" i="18"/>
  <c r="B1879" i="18"/>
  <c r="B1880" i="18"/>
  <c r="B1881" i="18"/>
  <c r="B1882" i="18"/>
  <c r="B1883" i="18"/>
  <c r="B1884" i="18"/>
  <c r="B1885" i="18"/>
  <c r="B1886" i="18"/>
  <c r="B1887" i="18"/>
  <c r="B1888" i="18"/>
  <c r="B1889" i="18"/>
  <c r="B1890" i="18"/>
  <c r="B1891" i="18"/>
  <c r="B1892" i="18"/>
  <c r="B1893" i="18"/>
  <c r="B1894" i="18"/>
  <c r="B1895" i="18"/>
  <c r="B1896" i="18"/>
  <c r="B1897" i="18"/>
  <c r="B1898" i="18"/>
  <c r="B1899" i="18"/>
  <c r="B1900" i="18"/>
  <c r="B1901" i="18"/>
  <c r="B1902" i="18"/>
  <c r="B1903" i="18"/>
  <c r="B1904" i="18"/>
  <c r="B1905" i="18"/>
  <c r="B1906" i="18"/>
  <c r="B1907" i="18"/>
  <c r="B1908" i="18"/>
  <c r="B1909" i="18"/>
  <c r="B1910" i="18"/>
  <c r="B1911" i="18"/>
  <c r="B1912" i="18"/>
  <c r="B1913" i="18"/>
  <c r="B1914" i="18"/>
  <c r="B1915" i="18"/>
  <c r="B1916" i="18"/>
  <c r="B1917" i="18"/>
  <c r="B1918" i="18"/>
  <c r="B1919" i="18"/>
  <c r="B1920" i="18"/>
  <c r="B1921" i="18"/>
  <c r="B1922" i="18"/>
  <c r="B1923" i="18"/>
  <c r="B1924" i="18"/>
  <c r="B1925" i="18"/>
  <c r="B1926" i="18"/>
  <c r="B1927" i="18"/>
  <c r="B1928" i="18"/>
  <c r="B1929" i="18"/>
  <c r="B1930" i="18"/>
  <c r="B1931" i="18"/>
  <c r="B1932" i="18"/>
  <c r="B1933" i="18"/>
  <c r="B1934" i="18"/>
  <c r="B1935" i="18"/>
  <c r="B1936" i="18"/>
  <c r="B1937" i="18"/>
  <c r="B1938" i="18"/>
  <c r="B1939" i="18"/>
  <c r="B1940" i="18"/>
  <c r="B1941" i="18"/>
  <c r="B1942" i="18"/>
  <c r="B1943" i="18"/>
  <c r="B1944" i="18"/>
  <c r="B1945" i="18"/>
  <c r="B1946" i="18"/>
  <c r="B1947" i="18"/>
  <c r="B1948" i="18"/>
  <c r="B1949" i="18"/>
  <c r="B1950" i="18"/>
  <c r="B1951" i="18"/>
  <c r="B1952" i="18"/>
  <c r="B1953" i="18"/>
  <c r="B1954" i="18"/>
  <c r="B1955" i="18"/>
  <c r="B1956" i="18"/>
  <c r="B1957" i="18"/>
  <c r="B1958" i="18"/>
  <c r="B1959" i="18"/>
  <c r="B1960" i="18"/>
  <c r="B1961" i="18"/>
  <c r="B1962" i="18"/>
  <c r="B1963" i="18"/>
  <c r="B1964" i="18"/>
  <c r="B1965" i="18"/>
  <c r="B1966" i="18"/>
  <c r="B1967" i="18"/>
  <c r="B1968" i="18"/>
  <c r="B1969" i="18"/>
  <c r="B1970" i="18"/>
  <c r="B1971" i="18"/>
  <c r="B1972" i="18"/>
  <c r="B1973" i="18"/>
  <c r="B1974" i="18"/>
  <c r="B1975" i="18"/>
  <c r="B1976" i="18"/>
  <c r="B1977" i="18"/>
  <c r="B1978" i="18"/>
  <c r="B1979" i="18"/>
  <c r="B1980" i="18"/>
  <c r="B1981" i="18"/>
  <c r="B1982" i="18"/>
  <c r="B1983" i="18"/>
  <c r="B1984" i="18"/>
  <c r="B1985" i="18"/>
  <c r="B1986" i="18"/>
  <c r="B1987" i="18"/>
  <c r="B1988" i="18"/>
  <c r="B1989" i="18"/>
  <c r="B1990" i="18"/>
  <c r="B1991" i="18"/>
  <c r="B1992" i="18"/>
  <c r="B1993" i="18"/>
  <c r="B1994" i="18"/>
  <c r="B1995" i="18"/>
  <c r="B1996" i="18"/>
  <c r="B1997" i="18"/>
  <c r="B1998" i="18"/>
  <c r="B1999" i="18"/>
  <c r="B2000" i="18"/>
  <c r="B2001" i="18"/>
  <c r="B2002" i="18"/>
  <c r="B2003" i="18"/>
  <c r="B2004" i="18"/>
  <c r="B2005" i="18"/>
  <c r="B2006" i="18"/>
  <c r="B2007" i="18"/>
  <c r="B2008" i="18"/>
  <c r="B2009" i="18"/>
  <c r="B2010" i="18"/>
  <c r="B2011" i="18"/>
  <c r="B2012" i="18"/>
  <c r="B2013" i="18"/>
  <c r="B2014" i="18"/>
  <c r="B2015" i="18"/>
  <c r="B2016" i="18"/>
  <c r="B2017" i="18"/>
  <c r="B2018" i="18"/>
  <c r="B2019" i="18"/>
  <c r="B2020" i="18"/>
  <c r="B2021" i="18"/>
  <c r="B2022" i="18"/>
  <c r="B2023" i="18"/>
  <c r="B2024" i="18"/>
  <c r="B2025" i="18"/>
  <c r="B2026" i="18"/>
  <c r="B2027" i="18"/>
  <c r="B2028" i="18"/>
  <c r="B2029" i="18"/>
  <c r="B2030" i="18"/>
  <c r="B2031" i="18"/>
  <c r="B2032" i="18"/>
  <c r="B2033" i="18"/>
  <c r="B2034" i="18"/>
  <c r="B2035" i="18"/>
  <c r="B2036" i="18"/>
  <c r="B2037" i="18"/>
  <c r="B2038" i="18"/>
  <c r="B2039" i="18"/>
  <c r="B2040" i="18"/>
  <c r="B2041" i="18"/>
  <c r="B2042" i="18"/>
  <c r="B2043" i="18"/>
  <c r="B2044" i="18"/>
  <c r="B2045" i="18"/>
  <c r="B2046" i="18"/>
  <c r="B2047" i="18"/>
  <c r="B2048" i="18"/>
  <c r="B2049" i="18"/>
  <c r="B2050" i="18"/>
  <c r="B2051" i="18"/>
  <c r="B2052" i="18"/>
  <c r="B2053" i="18"/>
  <c r="B2054" i="18"/>
  <c r="B2055" i="18"/>
  <c r="B2056" i="18"/>
  <c r="B2057" i="18"/>
  <c r="B2058" i="18"/>
  <c r="B2059" i="18"/>
  <c r="B2060" i="18"/>
  <c r="B2061" i="18"/>
  <c r="B2062" i="18"/>
  <c r="B2063" i="18"/>
  <c r="B2064" i="18"/>
  <c r="B2065" i="18"/>
  <c r="B2066" i="18"/>
  <c r="B2067" i="18"/>
  <c r="B2068" i="18"/>
  <c r="B2069" i="18"/>
  <c r="B2070" i="18"/>
  <c r="B2071" i="18"/>
  <c r="B2072" i="18"/>
  <c r="B2073" i="18"/>
  <c r="B2074" i="18"/>
  <c r="B2075" i="18"/>
  <c r="B2076" i="18"/>
  <c r="B2077" i="18"/>
  <c r="B2078" i="18"/>
  <c r="B2079" i="18"/>
  <c r="B2080" i="18"/>
  <c r="B2081" i="18"/>
  <c r="B2082" i="18"/>
  <c r="B2083" i="18"/>
  <c r="B2084" i="18"/>
  <c r="B2085" i="18"/>
  <c r="B2086" i="18"/>
  <c r="B2087" i="18"/>
  <c r="B2088" i="18"/>
  <c r="B2089" i="18"/>
  <c r="B2090" i="18"/>
  <c r="B2091" i="18"/>
  <c r="B2092" i="18"/>
  <c r="B2093" i="18"/>
  <c r="B2094" i="18"/>
  <c r="B2095" i="18"/>
  <c r="B2096" i="18"/>
  <c r="B2097" i="18"/>
  <c r="B2098" i="18"/>
  <c r="B2099" i="18"/>
  <c r="B2100" i="18"/>
  <c r="B2101" i="18"/>
  <c r="B2102" i="18"/>
  <c r="B2103" i="18"/>
  <c r="B2104" i="18"/>
  <c r="B2105" i="18"/>
  <c r="B2106" i="18"/>
  <c r="B2107" i="18"/>
  <c r="B2108" i="18"/>
  <c r="B2109" i="18"/>
  <c r="B2110" i="18"/>
  <c r="B2111" i="18"/>
  <c r="B2112" i="18"/>
  <c r="B2113" i="18"/>
  <c r="B2114" i="18"/>
  <c r="B2115" i="18"/>
  <c r="B2116" i="18"/>
  <c r="B2117" i="18"/>
  <c r="B2118" i="18"/>
  <c r="B2119" i="18"/>
  <c r="B2120" i="18"/>
  <c r="B2121" i="18"/>
  <c r="B2122" i="18"/>
  <c r="B2123" i="18"/>
  <c r="B2124" i="18"/>
  <c r="B2125" i="18"/>
  <c r="B2126" i="18"/>
  <c r="B2127" i="18"/>
  <c r="B2128" i="18"/>
  <c r="B2129" i="18"/>
  <c r="B2130" i="18"/>
  <c r="B2131" i="18"/>
  <c r="B2132" i="18"/>
  <c r="B2133" i="18"/>
  <c r="B2134" i="18"/>
  <c r="B2135" i="18"/>
  <c r="B2136" i="18"/>
  <c r="B2137" i="18"/>
  <c r="B2138" i="18"/>
  <c r="B2139" i="18"/>
  <c r="B2140" i="18"/>
  <c r="B2141" i="18"/>
  <c r="B2142" i="18"/>
  <c r="B2143" i="18"/>
  <c r="B2144" i="18"/>
  <c r="B2145" i="18"/>
  <c r="B2146" i="18"/>
  <c r="B2147" i="18"/>
  <c r="B2148" i="18"/>
  <c r="B2149" i="18"/>
  <c r="B2150" i="18"/>
  <c r="B2151" i="18"/>
  <c r="B2152" i="18"/>
  <c r="B2153" i="18"/>
  <c r="B2154" i="18"/>
  <c r="B2155" i="18"/>
  <c r="B2156" i="18"/>
  <c r="B2157" i="18"/>
  <c r="B2158" i="18"/>
  <c r="B2159" i="18"/>
  <c r="B2160" i="18"/>
  <c r="B2161" i="18"/>
  <c r="B2162" i="18"/>
  <c r="B2163" i="18"/>
  <c r="B2164" i="18"/>
  <c r="B2165" i="18"/>
  <c r="B2166" i="18"/>
  <c r="B2167" i="18"/>
  <c r="B2168" i="18"/>
  <c r="B2169" i="18"/>
  <c r="B2170" i="18"/>
  <c r="B2171" i="18"/>
  <c r="B2172" i="18"/>
  <c r="B2173" i="18"/>
  <c r="B2174" i="18"/>
  <c r="B2175" i="18"/>
  <c r="B2176" i="18"/>
  <c r="B2177" i="18"/>
  <c r="B2178" i="18"/>
  <c r="B2179" i="18"/>
  <c r="B2180" i="18"/>
  <c r="B2181" i="18"/>
  <c r="B2182" i="18"/>
  <c r="B2183" i="18"/>
  <c r="B2184" i="18"/>
  <c r="B2185" i="18"/>
  <c r="B2186" i="18"/>
  <c r="B2187" i="18"/>
  <c r="B2188" i="18"/>
  <c r="B2189" i="18"/>
  <c r="B2190" i="18"/>
  <c r="B2191" i="18"/>
  <c r="C1827" i="18"/>
  <c r="C1828" i="18"/>
  <c r="C1829" i="18"/>
  <c r="C1830" i="18"/>
  <c r="C1831" i="18"/>
  <c r="C1832" i="18"/>
  <c r="C1833" i="18"/>
  <c r="C1834" i="18"/>
  <c r="C1835" i="18"/>
  <c r="C1836" i="18"/>
  <c r="C1837" i="18"/>
  <c r="C1838" i="18"/>
  <c r="C1839" i="18"/>
  <c r="C1840" i="18"/>
  <c r="C1841" i="18"/>
  <c r="C1842" i="18"/>
  <c r="C1843" i="18"/>
  <c r="C1844" i="18"/>
  <c r="C1845" i="18"/>
  <c r="C1846" i="18"/>
  <c r="C1847" i="18"/>
  <c r="C1848" i="18"/>
  <c r="C1849" i="18"/>
  <c r="C1850" i="18"/>
  <c r="C1851" i="18"/>
  <c r="C1852" i="18"/>
  <c r="C1853" i="18"/>
  <c r="C1854" i="18"/>
  <c r="C1855" i="18"/>
  <c r="C1856" i="18"/>
  <c r="C1857" i="18"/>
  <c r="C1858" i="18"/>
  <c r="C1859" i="18"/>
  <c r="C1860" i="18"/>
  <c r="C1861" i="18"/>
  <c r="C1862" i="18"/>
  <c r="C1863" i="18"/>
  <c r="C1864" i="18"/>
  <c r="C1865" i="18"/>
  <c r="C1866" i="18"/>
  <c r="C1867" i="18"/>
  <c r="C1868" i="18"/>
  <c r="C1869" i="18"/>
  <c r="C1870" i="18"/>
  <c r="C1871" i="18"/>
  <c r="C1872" i="18"/>
  <c r="C1873" i="18"/>
  <c r="C1874" i="18"/>
  <c r="C1875" i="18"/>
  <c r="C1876" i="18"/>
  <c r="C1877" i="18"/>
  <c r="C1878" i="18"/>
  <c r="C1879" i="18"/>
  <c r="C1880" i="18"/>
  <c r="C1881" i="18"/>
  <c r="C1882" i="18"/>
  <c r="C1883" i="18"/>
  <c r="C1884" i="18"/>
  <c r="C1885" i="18"/>
  <c r="C1886" i="18"/>
  <c r="C1887" i="18"/>
  <c r="C1888" i="18"/>
  <c r="C1889" i="18"/>
  <c r="C1890" i="18"/>
  <c r="C1891" i="18"/>
  <c r="C1892" i="18"/>
  <c r="C1893" i="18"/>
  <c r="C1894" i="18"/>
  <c r="C1895" i="18"/>
  <c r="C1896" i="18"/>
  <c r="C1897" i="18"/>
  <c r="C1898" i="18"/>
  <c r="C1899" i="18"/>
  <c r="C1900" i="18"/>
  <c r="C1901" i="18"/>
  <c r="C1902" i="18"/>
  <c r="C1903" i="18"/>
  <c r="C1904" i="18"/>
  <c r="C1905" i="18"/>
  <c r="C1906" i="18"/>
  <c r="C1907" i="18"/>
  <c r="C1908" i="18"/>
  <c r="C1909" i="18"/>
  <c r="C1910" i="18"/>
  <c r="C1911" i="18"/>
  <c r="C1912" i="18"/>
  <c r="C1913" i="18"/>
  <c r="C1914" i="18"/>
  <c r="C1915" i="18"/>
  <c r="C1916" i="18"/>
  <c r="C1917" i="18"/>
  <c r="C1918" i="18"/>
  <c r="C1919" i="18"/>
  <c r="C1920" i="18"/>
  <c r="C1921" i="18"/>
  <c r="C1922" i="18"/>
  <c r="C1923" i="18"/>
  <c r="C1924" i="18"/>
  <c r="C1925" i="18"/>
  <c r="C1926" i="18"/>
  <c r="C1927" i="18"/>
  <c r="C1928" i="18"/>
  <c r="C1929" i="18"/>
  <c r="C1930" i="18"/>
  <c r="C1931" i="18"/>
  <c r="C1932" i="18"/>
  <c r="C1933" i="18"/>
  <c r="C1934" i="18"/>
  <c r="C1935" i="18"/>
  <c r="C1936" i="18"/>
  <c r="C1937" i="18"/>
  <c r="C1938" i="18"/>
  <c r="C1939" i="18"/>
  <c r="C1940" i="18"/>
  <c r="C1941" i="18"/>
  <c r="C1942" i="18"/>
  <c r="C1943" i="18"/>
  <c r="C1944" i="18"/>
  <c r="C1945" i="18"/>
  <c r="C1946" i="18"/>
  <c r="C1947" i="18"/>
  <c r="C1948" i="18"/>
  <c r="C1949" i="18"/>
  <c r="C1950" i="18"/>
  <c r="C1951" i="18"/>
  <c r="C1952" i="18"/>
  <c r="C1953" i="18"/>
  <c r="C1954" i="18"/>
  <c r="C1955" i="18"/>
  <c r="C1956" i="18"/>
  <c r="C1957" i="18"/>
  <c r="C1958" i="18"/>
  <c r="C1959" i="18"/>
  <c r="C1960" i="18"/>
  <c r="C1961" i="18"/>
  <c r="C1962" i="18"/>
  <c r="C1963" i="18"/>
  <c r="C1964" i="18"/>
  <c r="C1965" i="18"/>
  <c r="C1966" i="18"/>
  <c r="C1967" i="18"/>
  <c r="C1968" i="18"/>
  <c r="C1969" i="18"/>
  <c r="C1970" i="18"/>
  <c r="C1971" i="18"/>
  <c r="C1972" i="18"/>
  <c r="C1973" i="18"/>
  <c r="C1974" i="18"/>
  <c r="C1975" i="18"/>
  <c r="C1976" i="18"/>
  <c r="C1977" i="18"/>
  <c r="C1978" i="18"/>
  <c r="C1979" i="18"/>
  <c r="C1980" i="18"/>
  <c r="C1981" i="18"/>
  <c r="C1982" i="18"/>
  <c r="C1983" i="18"/>
  <c r="C1984" i="18"/>
  <c r="C1985" i="18"/>
  <c r="C1986" i="18"/>
  <c r="C1987" i="18"/>
  <c r="C1988" i="18"/>
  <c r="C1989" i="18"/>
  <c r="C1990" i="18"/>
  <c r="C1991" i="18"/>
  <c r="C1992" i="18"/>
  <c r="C1993" i="18"/>
  <c r="C1994" i="18"/>
  <c r="C1995" i="18"/>
  <c r="C1996" i="18"/>
  <c r="C1997" i="18"/>
  <c r="C1998" i="18"/>
  <c r="C1999" i="18"/>
  <c r="C2000" i="18"/>
  <c r="C2001" i="18"/>
  <c r="C2002" i="18"/>
  <c r="C2003" i="18"/>
  <c r="C2004" i="18"/>
  <c r="C2005" i="18"/>
  <c r="C2006" i="18"/>
  <c r="C2007" i="18"/>
  <c r="C2008" i="18"/>
  <c r="C2009" i="18"/>
  <c r="C2010" i="18"/>
  <c r="C2011" i="18"/>
  <c r="C2012" i="18"/>
  <c r="C2013" i="18"/>
  <c r="C2014" i="18"/>
  <c r="C2015" i="18"/>
  <c r="C2016" i="18"/>
  <c r="C2017" i="18"/>
  <c r="C2018" i="18"/>
  <c r="C2019" i="18"/>
  <c r="C2020" i="18"/>
  <c r="C2021" i="18"/>
  <c r="C2022" i="18"/>
  <c r="C2023" i="18"/>
  <c r="C2024" i="18"/>
  <c r="C2025" i="18"/>
  <c r="C2026" i="18"/>
  <c r="C2027" i="18"/>
  <c r="C2028" i="18"/>
  <c r="C2029" i="18"/>
  <c r="C2030" i="18"/>
  <c r="C2031" i="18"/>
  <c r="C2032" i="18"/>
  <c r="C2033" i="18"/>
  <c r="C2034" i="18"/>
  <c r="C2035" i="18"/>
  <c r="C2036" i="18"/>
  <c r="C2037" i="18"/>
  <c r="C2038" i="18"/>
  <c r="C2039" i="18"/>
  <c r="C2040" i="18"/>
  <c r="C2041" i="18"/>
  <c r="C2042" i="18"/>
  <c r="C2043" i="18"/>
  <c r="C2044" i="18"/>
  <c r="C2045" i="18"/>
  <c r="C2046" i="18"/>
  <c r="C2047" i="18"/>
  <c r="C2048" i="18"/>
  <c r="C2049" i="18"/>
  <c r="C2050" i="18"/>
  <c r="C2051" i="18"/>
  <c r="C2052" i="18"/>
  <c r="C2053" i="18"/>
  <c r="C2054" i="18"/>
  <c r="C2055" i="18"/>
  <c r="C2056" i="18"/>
  <c r="C2057" i="18"/>
  <c r="C2058" i="18"/>
  <c r="C2059" i="18"/>
  <c r="C2060" i="18"/>
  <c r="C2061" i="18"/>
  <c r="C2062" i="18"/>
  <c r="C2063" i="18"/>
  <c r="C2064" i="18"/>
  <c r="C2065" i="18"/>
  <c r="C2066" i="18"/>
  <c r="C2067" i="18"/>
  <c r="C2068" i="18"/>
  <c r="C2069" i="18"/>
  <c r="C2070" i="18"/>
  <c r="C2071" i="18"/>
  <c r="C2072" i="18"/>
  <c r="C2073" i="18"/>
  <c r="C2074" i="18"/>
  <c r="C2075" i="18"/>
  <c r="C2076" i="18"/>
  <c r="C2077" i="18"/>
  <c r="C2078" i="18"/>
  <c r="C2079" i="18"/>
  <c r="C2080" i="18"/>
  <c r="C2081" i="18"/>
  <c r="C2082" i="18"/>
  <c r="C2083" i="18"/>
  <c r="C2084" i="18"/>
  <c r="C2085" i="18"/>
  <c r="C2086" i="18"/>
  <c r="C2087" i="18"/>
  <c r="C2088" i="18"/>
  <c r="C2089" i="18"/>
  <c r="C2090" i="18"/>
  <c r="C2091" i="18"/>
  <c r="C2092" i="18"/>
  <c r="C2093" i="18"/>
  <c r="C2094" i="18"/>
  <c r="C2095" i="18"/>
  <c r="C2096" i="18"/>
  <c r="C2097" i="18"/>
  <c r="C2098" i="18"/>
  <c r="C2099" i="18"/>
  <c r="C2100" i="18"/>
  <c r="C2101" i="18"/>
  <c r="C2102" i="18"/>
  <c r="C2103" i="18"/>
  <c r="C2104" i="18"/>
  <c r="C2105" i="18"/>
  <c r="C2106" i="18"/>
  <c r="C2107" i="18"/>
  <c r="C2108" i="18"/>
  <c r="C2109" i="18"/>
  <c r="C2110" i="18"/>
  <c r="C2111" i="18"/>
  <c r="C2112" i="18"/>
  <c r="C2113" i="18"/>
  <c r="C2114" i="18"/>
  <c r="C2115" i="18"/>
  <c r="C2116" i="18"/>
  <c r="C2117" i="18"/>
  <c r="C2118" i="18"/>
  <c r="C2119" i="18"/>
  <c r="C2120" i="18"/>
  <c r="C2121" i="18"/>
  <c r="C2122" i="18"/>
  <c r="C2123" i="18"/>
  <c r="C2124" i="18"/>
  <c r="C2125" i="18"/>
  <c r="C2126" i="18"/>
  <c r="C2127" i="18"/>
  <c r="C2128" i="18"/>
  <c r="C2129" i="18"/>
  <c r="C2130" i="18"/>
  <c r="C2131" i="18"/>
  <c r="C2132" i="18"/>
  <c r="C2133" i="18"/>
  <c r="C2134" i="18"/>
  <c r="C2135" i="18"/>
  <c r="C2136" i="18"/>
  <c r="C2137" i="18"/>
  <c r="C2138" i="18"/>
  <c r="C2139" i="18"/>
  <c r="C2140" i="18"/>
  <c r="C2141" i="18"/>
  <c r="C2142" i="18"/>
  <c r="C2143" i="18"/>
  <c r="C2144" i="18"/>
  <c r="C2145" i="18"/>
  <c r="C2146" i="18"/>
  <c r="C2147" i="18"/>
  <c r="C2148" i="18"/>
  <c r="C2149" i="18"/>
  <c r="C2150" i="18"/>
  <c r="C2151" i="18"/>
  <c r="C2152" i="18"/>
  <c r="C2153" i="18"/>
  <c r="C2154" i="18"/>
  <c r="C2155" i="18"/>
  <c r="C2156" i="18"/>
  <c r="C2157" i="18"/>
  <c r="C2158" i="18"/>
  <c r="C2159" i="18"/>
  <c r="C2160" i="18"/>
  <c r="C2161" i="18"/>
  <c r="C2162" i="18"/>
  <c r="C2163" i="18"/>
  <c r="C2164" i="18"/>
  <c r="C2165" i="18"/>
  <c r="C2166" i="18"/>
  <c r="C2167" i="18"/>
  <c r="C2168" i="18"/>
  <c r="C2169" i="18"/>
  <c r="C2170" i="18"/>
  <c r="C2171" i="18"/>
  <c r="C2172" i="18"/>
  <c r="C2173" i="18"/>
  <c r="C2174" i="18"/>
  <c r="C2175" i="18"/>
  <c r="C2176" i="18"/>
  <c r="C2177" i="18"/>
  <c r="C2178" i="18"/>
  <c r="C2179" i="18"/>
  <c r="C2180" i="18"/>
  <c r="C2181" i="18"/>
  <c r="C2182" i="18"/>
  <c r="C2183" i="18"/>
  <c r="C2184" i="18"/>
  <c r="C2185" i="18"/>
  <c r="C2186" i="18"/>
  <c r="C2187" i="18"/>
  <c r="C2188" i="18"/>
  <c r="C2189" i="18"/>
  <c r="C2190" i="18"/>
  <c r="C2191" i="18"/>
  <c r="D1827" i="18"/>
  <c r="D1828" i="18"/>
  <c r="D1829" i="18"/>
  <c r="D1830" i="18"/>
  <c r="D1831" i="18"/>
  <c r="D1832" i="18"/>
  <c r="D1833" i="18"/>
  <c r="D1834" i="18"/>
  <c r="D1835" i="18"/>
  <c r="D1836" i="18"/>
  <c r="D1837" i="18"/>
  <c r="D1838" i="18"/>
  <c r="D1839" i="18"/>
  <c r="D1840" i="18"/>
  <c r="D1841" i="18"/>
  <c r="D1842" i="18"/>
  <c r="D1843" i="18"/>
  <c r="D1844" i="18"/>
  <c r="D1845" i="18"/>
  <c r="D1846" i="18"/>
  <c r="D1847" i="18"/>
  <c r="D1848" i="18"/>
  <c r="D1849" i="18"/>
  <c r="D1850" i="18"/>
  <c r="D1851" i="18"/>
  <c r="D1852" i="18"/>
  <c r="D1853" i="18"/>
  <c r="D1854" i="18"/>
  <c r="D1855" i="18"/>
  <c r="D1856" i="18"/>
  <c r="D1857" i="18"/>
  <c r="D1858" i="18"/>
  <c r="D1859" i="18"/>
  <c r="D1860" i="18"/>
  <c r="D1861" i="18"/>
  <c r="D1862" i="18"/>
  <c r="D1863" i="18"/>
  <c r="D1864" i="18"/>
  <c r="D1865" i="18"/>
  <c r="D1866" i="18"/>
  <c r="D1867" i="18"/>
  <c r="D1868" i="18"/>
  <c r="D1869" i="18"/>
  <c r="D1870" i="18"/>
  <c r="D1871" i="18"/>
  <c r="D1872" i="18"/>
  <c r="D1873" i="18"/>
  <c r="D1874" i="18"/>
  <c r="D1875" i="18"/>
  <c r="D1876" i="18"/>
  <c r="D1877" i="18"/>
  <c r="D1878" i="18"/>
  <c r="D1879" i="18"/>
  <c r="D1880" i="18"/>
  <c r="D1881" i="18"/>
  <c r="D1882" i="18"/>
  <c r="D1883" i="18"/>
  <c r="D1884" i="18"/>
  <c r="D1885" i="18"/>
  <c r="D1886" i="18"/>
  <c r="D1887" i="18"/>
  <c r="D1888" i="18"/>
  <c r="D1889" i="18"/>
  <c r="D1890" i="18"/>
  <c r="D1891" i="18"/>
  <c r="D1892" i="18"/>
  <c r="D1893" i="18"/>
  <c r="D1894" i="18"/>
  <c r="D1895" i="18"/>
  <c r="D1896" i="18"/>
  <c r="D1897" i="18"/>
  <c r="D1898" i="18"/>
  <c r="D1899" i="18"/>
  <c r="D1900" i="18"/>
  <c r="D1901" i="18"/>
  <c r="D1902" i="18"/>
  <c r="D1903" i="18"/>
  <c r="D1904" i="18"/>
  <c r="D1905" i="18"/>
  <c r="D1906" i="18"/>
  <c r="D1907" i="18"/>
  <c r="D1908" i="18"/>
  <c r="D1909" i="18"/>
  <c r="D1910" i="18"/>
  <c r="D1911" i="18"/>
  <c r="D1912" i="18"/>
  <c r="D1913" i="18"/>
  <c r="D1914" i="18"/>
  <c r="D1915" i="18"/>
  <c r="D1916" i="18"/>
  <c r="D1917" i="18"/>
  <c r="D1918" i="18"/>
  <c r="D1919" i="18"/>
  <c r="D1920" i="18"/>
  <c r="D1921" i="18"/>
  <c r="D1922" i="18"/>
  <c r="D1923" i="18"/>
  <c r="D1924" i="18"/>
  <c r="D1925" i="18"/>
  <c r="D1926" i="18"/>
  <c r="D1927" i="18"/>
  <c r="D1928" i="18"/>
  <c r="D1929" i="18"/>
  <c r="D1930" i="18"/>
  <c r="D1931" i="18"/>
  <c r="D1932" i="18"/>
  <c r="D1933" i="18"/>
  <c r="D1934" i="18"/>
  <c r="D1935" i="18"/>
  <c r="D1936" i="18"/>
  <c r="D1937" i="18"/>
  <c r="D1938" i="18"/>
  <c r="D1939" i="18"/>
  <c r="D1940" i="18"/>
  <c r="D1941" i="18"/>
  <c r="D1942" i="18"/>
  <c r="D1943" i="18"/>
  <c r="D1944" i="18"/>
  <c r="D1945" i="18"/>
  <c r="D1946" i="18"/>
  <c r="D1947" i="18"/>
  <c r="D1948" i="18"/>
  <c r="D1949" i="18"/>
  <c r="D1950" i="18"/>
  <c r="D1951" i="18"/>
  <c r="D1952" i="18"/>
  <c r="D1953" i="18"/>
  <c r="D1954" i="18"/>
  <c r="D1955" i="18"/>
  <c r="D1956" i="18"/>
  <c r="D1957" i="18"/>
  <c r="D1958" i="18"/>
  <c r="D1959" i="18"/>
  <c r="D1960" i="18"/>
  <c r="D1961" i="18"/>
  <c r="D1962" i="18"/>
  <c r="D1963" i="18"/>
  <c r="D1964" i="18"/>
  <c r="D1965" i="18"/>
  <c r="D1966" i="18"/>
  <c r="D1967" i="18"/>
  <c r="D1968" i="18"/>
  <c r="D1969" i="18"/>
  <c r="D1970" i="18"/>
  <c r="D1971" i="18"/>
  <c r="D1972" i="18"/>
  <c r="D1973" i="18"/>
  <c r="D1974" i="18"/>
  <c r="D1975" i="18"/>
  <c r="D1976" i="18"/>
  <c r="D1977" i="18"/>
  <c r="D1978" i="18"/>
  <c r="D1979" i="18"/>
  <c r="D1980" i="18"/>
  <c r="D1981" i="18"/>
  <c r="D1982" i="18"/>
  <c r="D1983" i="18"/>
  <c r="D1984" i="18"/>
  <c r="D1985" i="18"/>
  <c r="D1986" i="18"/>
  <c r="D1987" i="18"/>
  <c r="D1988" i="18"/>
  <c r="D1989" i="18"/>
  <c r="D1990" i="18"/>
  <c r="D1991" i="18"/>
  <c r="D1992" i="18"/>
  <c r="D1993" i="18"/>
  <c r="D1994" i="18"/>
  <c r="D1995" i="18"/>
  <c r="D1996" i="18"/>
  <c r="D1997" i="18"/>
  <c r="D1998" i="18"/>
  <c r="D1999" i="18"/>
  <c r="D2000" i="18"/>
  <c r="D2001" i="18"/>
  <c r="D2002" i="18"/>
  <c r="D2003" i="18"/>
  <c r="D2004" i="18"/>
  <c r="D2005" i="18"/>
  <c r="D2006" i="18"/>
  <c r="D2007" i="18"/>
  <c r="D2008" i="18"/>
  <c r="D2009" i="18"/>
  <c r="D2010" i="18"/>
  <c r="D2011" i="18"/>
  <c r="D2012" i="18"/>
  <c r="D2013" i="18"/>
  <c r="D2014" i="18"/>
  <c r="D2015" i="18"/>
  <c r="D2016" i="18"/>
  <c r="D2017" i="18"/>
  <c r="D2018" i="18"/>
  <c r="D2019" i="18"/>
  <c r="D2020" i="18"/>
  <c r="D2021" i="18"/>
  <c r="D2022" i="18"/>
  <c r="D2023" i="18"/>
  <c r="D2024" i="18"/>
  <c r="D2025" i="18"/>
  <c r="D2026" i="18"/>
  <c r="D2027" i="18"/>
  <c r="D2028" i="18"/>
  <c r="D2029" i="18"/>
  <c r="D2030" i="18"/>
  <c r="D2031" i="18"/>
  <c r="D2032" i="18"/>
  <c r="D2033" i="18"/>
  <c r="D2034" i="18"/>
  <c r="D2035" i="18"/>
  <c r="D2036" i="18"/>
  <c r="D2037" i="18"/>
  <c r="D2038" i="18"/>
  <c r="D2039" i="18"/>
  <c r="D2040" i="18"/>
  <c r="D2041" i="18"/>
  <c r="D2042" i="18"/>
  <c r="D2043" i="18"/>
  <c r="D2044" i="18"/>
  <c r="D2045" i="18"/>
  <c r="D2046" i="18"/>
  <c r="D2047" i="18"/>
  <c r="D2048" i="18"/>
  <c r="D2049" i="18"/>
  <c r="D2050" i="18"/>
  <c r="D2051" i="18"/>
  <c r="D2052" i="18"/>
  <c r="D2053" i="18"/>
  <c r="D2054" i="18"/>
  <c r="D2055" i="18"/>
  <c r="D2056" i="18"/>
  <c r="D2057" i="18"/>
  <c r="D2058" i="18"/>
  <c r="D2059" i="18"/>
  <c r="D2060" i="18"/>
  <c r="D2061" i="18"/>
  <c r="D2062" i="18"/>
  <c r="D2063" i="18"/>
  <c r="D2064" i="18"/>
  <c r="D2065" i="18"/>
  <c r="D2066" i="18"/>
  <c r="D2067" i="18"/>
  <c r="D2068" i="18"/>
  <c r="D2069" i="18"/>
  <c r="D2070" i="18"/>
  <c r="D2071" i="18"/>
  <c r="D2072" i="18"/>
  <c r="D2073" i="18"/>
  <c r="D2074" i="18"/>
  <c r="D2075" i="18"/>
  <c r="D2076" i="18"/>
  <c r="D2077" i="18"/>
  <c r="D2078" i="18"/>
  <c r="D2079" i="18"/>
  <c r="D2080" i="18"/>
  <c r="D2081" i="18"/>
  <c r="D2082" i="18"/>
  <c r="D2083" i="18"/>
  <c r="D2084" i="18"/>
  <c r="D2085" i="18"/>
  <c r="D2086" i="18"/>
  <c r="D2087" i="18"/>
  <c r="D2088" i="18"/>
  <c r="D2089" i="18"/>
  <c r="D2090" i="18"/>
  <c r="D2091" i="18"/>
  <c r="D2092" i="18"/>
  <c r="D2093" i="18"/>
  <c r="D2094" i="18"/>
  <c r="D2095" i="18"/>
  <c r="D2096" i="18"/>
  <c r="D2097" i="18"/>
  <c r="D2098" i="18"/>
  <c r="D2099" i="18"/>
  <c r="D2100" i="18"/>
  <c r="D2101" i="18"/>
  <c r="D2102" i="18"/>
  <c r="D2103" i="18"/>
  <c r="D2104" i="18"/>
  <c r="D2105" i="18"/>
  <c r="D2106" i="18"/>
  <c r="D2107" i="18"/>
  <c r="D2108" i="18"/>
  <c r="D2109" i="18"/>
  <c r="D2110" i="18"/>
  <c r="D2111" i="18"/>
  <c r="D2112" i="18"/>
  <c r="D2113" i="18"/>
  <c r="D2114" i="18"/>
  <c r="D2115" i="18"/>
  <c r="D2116" i="18"/>
  <c r="D2117" i="18"/>
  <c r="D2118" i="18"/>
  <c r="D2119" i="18"/>
  <c r="D2120" i="18"/>
  <c r="D2121" i="18"/>
  <c r="D2122" i="18"/>
  <c r="D2123" i="18"/>
  <c r="D2124" i="18"/>
  <c r="D2125" i="18"/>
  <c r="D2126" i="18"/>
  <c r="D2127" i="18"/>
  <c r="D2128" i="18"/>
  <c r="D2129" i="18"/>
  <c r="D2130" i="18"/>
  <c r="D2131" i="18"/>
  <c r="D2132" i="18"/>
  <c r="D2133" i="18"/>
  <c r="D2134" i="18"/>
  <c r="D2135" i="18"/>
  <c r="D2136" i="18"/>
  <c r="D2137" i="18"/>
  <c r="D2138" i="18"/>
  <c r="D2139" i="18"/>
  <c r="D2140" i="18"/>
  <c r="D2141" i="18"/>
  <c r="D2142" i="18"/>
  <c r="D2143" i="18"/>
  <c r="D2144" i="18"/>
  <c r="D2145" i="18"/>
  <c r="D2146" i="18"/>
  <c r="D2147" i="18"/>
  <c r="D2148" i="18"/>
  <c r="D2149" i="18"/>
  <c r="D2150" i="18"/>
  <c r="D2151" i="18"/>
  <c r="D2152" i="18"/>
  <c r="D2153" i="18"/>
  <c r="D2154" i="18"/>
  <c r="D2155" i="18"/>
  <c r="D2156" i="18"/>
  <c r="D2157" i="18"/>
  <c r="D2158" i="18"/>
  <c r="D2159" i="18"/>
  <c r="D2160" i="18"/>
  <c r="D2161" i="18"/>
  <c r="D2162" i="18"/>
  <c r="D2163" i="18"/>
  <c r="D2164" i="18"/>
  <c r="D2165" i="18"/>
  <c r="D2166" i="18"/>
  <c r="D2167" i="18"/>
  <c r="D2168" i="18"/>
  <c r="D2169" i="18"/>
  <c r="D2170" i="18"/>
  <c r="D2171" i="18"/>
  <c r="D2172" i="18"/>
  <c r="D2173" i="18"/>
  <c r="D2174" i="18"/>
  <c r="D2175" i="18"/>
  <c r="D2176" i="18"/>
  <c r="D2177" i="18"/>
  <c r="D2178" i="18"/>
  <c r="D2179" i="18"/>
  <c r="D2180" i="18"/>
  <c r="D2181" i="18"/>
  <c r="D2182" i="18"/>
  <c r="D2183" i="18"/>
  <c r="D2184" i="18"/>
  <c r="D2185" i="18"/>
  <c r="D2186" i="18"/>
  <c r="D2187" i="18"/>
  <c r="D2188" i="18"/>
  <c r="D2189" i="18"/>
  <c r="D2190" i="18"/>
  <c r="D2191" i="18"/>
  <c r="E1827" i="18"/>
  <c r="E1828" i="18"/>
  <c r="E1829" i="18"/>
  <c r="E1830" i="18"/>
  <c r="E1831" i="18"/>
  <c r="E1832" i="18"/>
  <c r="E1833" i="18"/>
  <c r="E1834" i="18"/>
  <c r="E1835" i="18"/>
  <c r="E1836" i="18"/>
  <c r="E1837" i="18"/>
  <c r="E1838" i="18"/>
  <c r="E1839" i="18"/>
  <c r="E1840" i="18"/>
  <c r="E1841" i="18"/>
  <c r="E1842" i="18"/>
  <c r="E1843" i="18"/>
  <c r="E1844" i="18"/>
  <c r="E1845" i="18"/>
  <c r="E1846" i="18"/>
  <c r="E1847" i="18"/>
  <c r="E1848" i="18"/>
  <c r="E1849" i="18"/>
  <c r="E1850" i="18"/>
  <c r="E1851" i="18"/>
  <c r="E1852" i="18"/>
  <c r="E1853" i="18"/>
  <c r="E1854" i="18"/>
  <c r="E1855" i="18"/>
  <c r="E1856" i="18"/>
  <c r="E1857" i="18"/>
  <c r="E1858" i="18"/>
  <c r="E1859" i="18"/>
  <c r="E1860" i="18"/>
  <c r="E1861" i="18"/>
  <c r="E1862" i="18"/>
  <c r="E1863" i="18"/>
  <c r="E1864" i="18"/>
  <c r="E1865" i="18"/>
  <c r="E1866" i="18"/>
  <c r="E1867" i="18"/>
  <c r="E1868" i="18"/>
  <c r="E1869" i="18"/>
  <c r="E1870" i="18"/>
  <c r="E1871" i="18"/>
  <c r="E1872" i="18"/>
  <c r="E1873" i="18"/>
  <c r="E1874" i="18"/>
  <c r="E1875" i="18"/>
  <c r="E1876" i="18"/>
  <c r="E1877" i="18"/>
  <c r="E1878" i="18"/>
  <c r="E1879" i="18"/>
  <c r="E1880" i="18"/>
  <c r="E1881" i="18"/>
  <c r="E1882" i="18"/>
  <c r="E1883" i="18"/>
  <c r="E1884" i="18"/>
  <c r="E1885" i="18"/>
  <c r="E1886" i="18"/>
  <c r="E1887" i="18"/>
  <c r="E1888" i="18"/>
  <c r="E1889" i="18"/>
  <c r="E1890" i="18"/>
  <c r="E1891" i="18"/>
  <c r="E1892" i="18"/>
  <c r="E1893" i="18"/>
  <c r="E1894" i="18"/>
  <c r="E1895" i="18"/>
  <c r="E1896" i="18"/>
  <c r="E1897" i="18"/>
  <c r="E1898" i="18"/>
  <c r="E1899" i="18"/>
  <c r="E1900" i="18"/>
  <c r="E1901" i="18"/>
  <c r="E1902" i="18"/>
  <c r="E1903" i="18"/>
  <c r="E1904" i="18"/>
  <c r="E1905" i="18"/>
  <c r="E1906" i="18"/>
  <c r="E1907" i="18"/>
  <c r="E1908" i="18"/>
  <c r="E1909" i="18"/>
  <c r="E1910" i="18"/>
  <c r="E1911" i="18"/>
  <c r="E1912" i="18"/>
  <c r="E1913" i="18"/>
  <c r="E1914" i="18"/>
  <c r="E1915" i="18"/>
  <c r="E1916" i="18"/>
  <c r="E1917" i="18"/>
  <c r="E1918" i="18"/>
  <c r="E1919" i="18"/>
  <c r="E1920" i="18"/>
  <c r="E1921" i="18"/>
  <c r="E1922" i="18"/>
  <c r="E1923" i="18"/>
  <c r="E1924" i="18"/>
  <c r="E1925" i="18"/>
  <c r="E1926" i="18"/>
  <c r="E1927" i="18"/>
  <c r="E1928" i="18"/>
  <c r="E1929" i="18"/>
  <c r="E1930" i="18"/>
  <c r="E1931" i="18"/>
  <c r="E1932" i="18"/>
  <c r="E1933" i="18"/>
  <c r="E1934" i="18"/>
  <c r="E1935" i="18"/>
  <c r="E1936" i="18"/>
  <c r="E1937" i="18"/>
  <c r="E1938" i="18"/>
  <c r="E1939" i="18"/>
  <c r="E1940" i="18"/>
  <c r="E1941" i="18"/>
  <c r="E1942" i="18"/>
  <c r="E1943" i="18"/>
  <c r="E1944" i="18"/>
  <c r="E1945" i="18"/>
  <c r="E1946" i="18"/>
  <c r="E1947" i="18"/>
  <c r="E1948" i="18"/>
  <c r="E1949" i="18"/>
  <c r="E1950" i="18"/>
  <c r="E1951" i="18"/>
  <c r="E1952" i="18"/>
  <c r="E1953" i="18"/>
  <c r="E1954" i="18"/>
  <c r="E1955" i="18"/>
  <c r="E1956" i="18"/>
  <c r="E1957" i="18"/>
  <c r="E1958" i="18"/>
  <c r="E1959" i="18"/>
  <c r="E1960" i="18"/>
  <c r="E1961" i="18"/>
  <c r="E1962" i="18"/>
  <c r="E1963" i="18"/>
  <c r="E1964" i="18"/>
  <c r="E1965" i="18"/>
  <c r="E1966" i="18"/>
  <c r="E1967" i="18"/>
  <c r="E1968" i="18"/>
  <c r="E1969" i="18"/>
  <c r="E1970" i="18"/>
  <c r="E1971" i="18"/>
  <c r="E1972" i="18"/>
  <c r="E1973" i="18"/>
  <c r="E1974" i="18"/>
  <c r="E1975" i="18"/>
  <c r="E1976" i="18"/>
  <c r="E1977" i="18"/>
  <c r="E1978" i="18"/>
  <c r="E1979" i="18"/>
  <c r="E1980" i="18"/>
  <c r="E1981" i="18"/>
  <c r="E1982" i="18"/>
  <c r="E1983" i="18"/>
  <c r="E1984" i="18"/>
  <c r="E1985" i="18"/>
  <c r="E1986" i="18"/>
  <c r="E1987" i="18"/>
  <c r="E1988" i="18"/>
  <c r="E1989" i="18"/>
  <c r="E1990" i="18"/>
  <c r="E1991" i="18"/>
  <c r="E1992" i="18"/>
  <c r="E1993" i="18"/>
  <c r="E1994" i="18"/>
  <c r="E1995" i="18"/>
  <c r="E1996" i="18"/>
  <c r="E1997" i="18"/>
  <c r="E1998" i="18"/>
  <c r="E1999" i="18"/>
  <c r="E2000" i="18"/>
  <c r="E2001" i="18"/>
  <c r="E2002" i="18"/>
  <c r="E2003" i="18"/>
  <c r="E2004" i="18"/>
  <c r="E2005" i="18"/>
  <c r="E2006" i="18"/>
  <c r="E2007" i="18"/>
  <c r="E2008" i="18"/>
  <c r="E2009" i="18"/>
  <c r="E2010" i="18"/>
  <c r="E2011" i="18"/>
  <c r="E2012" i="18"/>
  <c r="E2013" i="18"/>
  <c r="E2014" i="18"/>
  <c r="E2015" i="18"/>
  <c r="E2016" i="18"/>
  <c r="E2017" i="18"/>
  <c r="E2018" i="18"/>
  <c r="E2019" i="18"/>
  <c r="E2020" i="18"/>
  <c r="E2021" i="18"/>
  <c r="E2022" i="18"/>
  <c r="E2023" i="18"/>
  <c r="E2024" i="18"/>
  <c r="E2025" i="18"/>
  <c r="E2026" i="18"/>
  <c r="E2027" i="18"/>
  <c r="E2028" i="18"/>
  <c r="E2029" i="18"/>
  <c r="E2030" i="18"/>
  <c r="E2031" i="18"/>
  <c r="E2032" i="18"/>
  <c r="E2033" i="18"/>
  <c r="E2034" i="18"/>
  <c r="E2035" i="18"/>
  <c r="E2036" i="18"/>
  <c r="E2037" i="18"/>
  <c r="E2038" i="18"/>
  <c r="E2039" i="18"/>
  <c r="E2040" i="18"/>
  <c r="E2041" i="18"/>
  <c r="E2042" i="18"/>
  <c r="E2043" i="18"/>
  <c r="E2044" i="18"/>
  <c r="E2045" i="18"/>
  <c r="E2046" i="18"/>
  <c r="E2047" i="18"/>
  <c r="E2048" i="18"/>
  <c r="E2049" i="18"/>
  <c r="E2050" i="18"/>
  <c r="E2051" i="18"/>
  <c r="E2052" i="18"/>
  <c r="E2053" i="18"/>
  <c r="E2054" i="18"/>
  <c r="E2055" i="18"/>
  <c r="E2056" i="18"/>
  <c r="E2057" i="18"/>
  <c r="E2058" i="18"/>
  <c r="E2059" i="18"/>
  <c r="E2060" i="18"/>
  <c r="E2061" i="18"/>
  <c r="E2062" i="18"/>
  <c r="E2063" i="18"/>
  <c r="E2064" i="18"/>
  <c r="E2065" i="18"/>
  <c r="E2066" i="18"/>
  <c r="E2067" i="18"/>
  <c r="E2068" i="18"/>
  <c r="E2069" i="18"/>
  <c r="E2070" i="18"/>
  <c r="E2071" i="18"/>
  <c r="E2072" i="18"/>
  <c r="E2073" i="18"/>
  <c r="E2074" i="18"/>
  <c r="E2075" i="18"/>
  <c r="E2076" i="18"/>
  <c r="E2077" i="18"/>
  <c r="E2078" i="18"/>
  <c r="E2079" i="18"/>
  <c r="E2080" i="18"/>
  <c r="E2081" i="18"/>
  <c r="E2082" i="18"/>
  <c r="E2083" i="18"/>
  <c r="E2084" i="18"/>
  <c r="E2085" i="18"/>
  <c r="E2086" i="18"/>
  <c r="E2087" i="18"/>
  <c r="E2088" i="18"/>
  <c r="E2089" i="18"/>
  <c r="E2090" i="18"/>
  <c r="E2091" i="18"/>
  <c r="E2092" i="18"/>
  <c r="E2093" i="18"/>
  <c r="E2094" i="18"/>
  <c r="E2095" i="18"/>
  <c r="E2096" i="18"/>
  <c r="E2097" i="18"/>
  <c r="E2098" i="18"/>
  <c r="E2099" i="18"/>
  <c r="E2100" i="18"/>
  <c r="E2101" i="18"/>
  <c r="E2102" i="18"/>
  <c r="E2103" i="18"/>
  <c r="E2104" i="18"/>
  <c r="E2105" i="18"/>
  <c r="E2106" i="18"/>
  <c r="E2107" i="18"/>
  <c r="E2108" i="18"/>
  <c r="E2109" i="18"/>
  <c r="E2110" i="18"/>
  <c r="E2111" i="18"/>
  <c r="E2112" i="18"/>
  <c r="E2113" i="18"/>
  <c r="E2114" i="18"/>
  <c r="E2115" i="18"/>
  <c r="E2116" i="18"/>
  <c r="E2117" i="18"/>
  <c r="E2118" i="18"/>
  <c r="E2119" i="18"/>
  <c r="E2120" i="18"/>
  <c r="E2121" i="18"/>
  <c r="E2122" i="18"/>
  <c r="E2123" i="18"/>
  <c r="E2124" i="18"/>
  <c r="E2125" i="18"/>
  <c r="E2126" i="18"/>
  <c r="E2127" i="18"/>
  <c r="E2128" i="18"/>
  <c r="E2129" i="18"/>
  <c r="E2130" i="18"/>
  <c r="E2131" i="18"/>
  <c r="E2132" i="18"/>
  <c r="E2133" i="18"/>
  <c r="E2134" i="18"/>
  <c r="E2135" i="18"/>
  <c r="E2136" i="18"/>
  <c r="E2137" i="18"/>
  <c r="E2138" i="18"/>
  <c r="E2139" i="18"/>
  <c r="E2140" i="18"/>
  <c r="E2141" i="18"/>
  <c r="E2142" i="18"/>
  <c r="E2143" i="18"/>
  <c r="E2144" i="18"/>
  <c r="E2145" i="18"/>
  <c r="E2146" i="18"/>
  <c r="E2147" i="18"/>
  <c r="E2148" i="18"/>
  <c r="E2149" i="18"/>
  <c r="E2150" i="18"/>
  <c r="E2151" i="18"/>
  <c r="E2152" i="18"/>
  <c r="E2153" i="18"/>
  <c r="E2154" i="18"/>
  <c r="E2155" i="18"/>
  <c r="E2156" i="18"/>
  <c r="E2157" i="18"/>
  <c r="E2158" i="18"/>
  <c r="E2159" i="18"/>
  <c r="E2160" i="18"/>
  <c r="E2161" i="18"/>
  <c r="E2162" i="18"/>
  <c r="E2163" i="18"/>
  <c r="H2163" i="18" s="1"/>
  <c r="E2164" i="18"/>
  <c r="E2165" i="18"/>
  <c r="E2166" i="18"/>
  <c r="E2167" i="18"/>
  <c r="E2168" i="18"/>
  <c r="E2169" i="18"/>
  <c r="E2170" i="18"/>
  <c r="E2171" i="18"/>
  <c r="E2172" i="18"/>
  <c r="E2173" i="18"/>
  <c r="E2174" i="18"/>
  <c r="E2175" i="18"/>
  <c r="E2176" i="18"/>
  <c r="E2177" i="18"/>
  <c r="E2178" i="18"/>
  <c r="E2179" i="18"/>
  <c r="E2180" i="18"/>
  <c r="E2181" i="18"/>
  <c r="E2182" i="18"/>
  <c r="E2183" i="18"/>
  <c r="E2184" i="18"/>
  <c r="E2185" i="18"/>
  <c r="E2186" i="18"/>
  <c r="E2187" i="18"/>
  <c r="E2188" i="18"/>
  <c r="E2189" i="18"/>
  <c r="E2190" i="18"/>
  <c r="E2191" i="18"/>
  <c r="G1827" i="18"/>
  <c r="G1828" i="18"/>
  <c r="G1829" i="18"/>
  <c r="G1830" i="18"/>
  <c r="G1831" i="18"/>
  <c r="G1832" i="18"/>
  <c r="G1833" i="18"/>
  <c r="G1834" i="18"/>
  <c r="G1835" i="18"/>
  <c r="G1836" i="18"/>
  <c r="G1837" i="18"/>
  <c r="G1838" i="18"/>
  <c r="G1839" i="18"/>
  <c r="G1840" i="18"/>
  <c r="G1841" i="18"/>
  <c r="G1842" i="18"/>
  <c r="G1843" i="18"/>
  <c r="G1844" i="18"/>
  <c r="G1845" i="18"/>
  <c r="G1846" i="18"/>
  <c r="G1847" i="18"/>
  <c r="G1848" i="18"/>
  <c r="G1849" i="18"/>
  <c r="G1850" i="18"/>
  <c r="G1851" i="18"/>
  <c r="G1852" i="18"/>
  <c r="G1853" i="18"/>
  <c r="G1854" i="18"/>
  <c r="G1855" i="18"/>
  <c r="G1856" i="18"/>
  <c r="G1857" i="18"/>
  <c r="G1858" i="18"/>
  <c r="G1859" i="18"/>
  <c r="G1860" i="18"/>
  <c r="G1861" i="18"/>
  <c r="G1862" i="18"/>
  <c r="G1863" i="18"/>
  <c r="G1864" i="18"/>
  <c r="G1865" i="18"/>
  <c r="G1866" i="18"/>
  <c r="G1867" i="18"/>
  <c r="G1868" i="18"/>
  <c r="G1869" i="18"/>
  <c r="G1870" i="18"/>
  <c r="G1871" i="18"/>
  <c r="G1872" i="18"/>
  <c r="G1873" i="18"/>
  <c r="G1874" i="18"/>
  <c r="G1875" i="18"/>
  <c r="G1876" i="18"/>
  <c r="G1877" i="18"/>
  <c r="G1878" i="18"/>
  <c r="G1879" i="18"/>
  <c r="G1880" i="18"/>
  <c r="G1881" i="18"/>
  <c r="G1882" i="18"/>
  <c r="G1883" i="18"/>
  <c r="G1884" i="18"/>
  <c r="G1885" i="18"/>
  <c r="G1886" i="18"/>
  <c r="G1887" i="18"/>
  <c r="G1888" i="18"/>
  <c r="G1889" i="18"/>
  <c r="G1890" i="18"/>
  <c r="G1891" i="18"/>
  <c r="G1892" i="18"/>
  <c r="G1893" i="18"/>
  <c r="G1894" i="18"/>
  <c r="G1895" i="18"/>
  <c r="G1896" i="18"/>
  <c r="G1897" i="18"/>
  <c r="G1898" i="18"/>
  <c r="G1899" i="18"/>
  <c r="G1900" i="18"/>
  <c r="G1901" i="18"/>
  <c r="G1902" i="18"/>
  <c r="G1903" i="18"/>
  <c r="G1904" i="18"/>
  <c r="G1905" i="18"/>
  <c r="G1906" i="18"/>
  <c r="G1907" i="18"/>
  <c r="G1908" i="18"/>
  <c r="G1909" i="18"/>
  <c r="G1910" i="18"/>
  <c r="G1911" i="18"/>
  <c r="G1912" i="18"/>
  <c r="G1913" i="18"/>
  <c r="G1914" i="18"/>
  <c r="G1915" i="18"/>
  <c r="G1916" i="18"/>
  <c r="G1917" i="18"/>
  <c r="G1918" i="18"/>
  <c r="G1919" i="18"/>
  <c r="G1920" i="18"/>
  <c r="G1921" i="18"/>
  <c r="G1922" i="18"/>
  <c r="G1923" i="18"/>
  <c r="G1924" i="18"/>
  <c r="G1925" i="18"/>
  <c r="G1926" i="18"/>
  <c r="G1927" i="18"/>
  <c r="G1928" i="18"/>
  <c r="G1929" i="18"/>
  <c r="G1930" i="18"/>
  <c r="G1931" i="18"/>
  <c r="G1932" i="18"/>
  <c r="G1933" i="18"/>
  <c r="G1934" i="18"/>
  <c r="G1935" i="18"/>
  <c r="G1936" i="18"/>
  <c r="G1937" i="18"/>
  <c r="G1938" i="18"/>
  <c r="G1939" i="18"/>
  <c r="G1940" i="18"/>
  <c r="G1941" i="18"/>
  <c r="G1942" i="18"/>
  <c r="G1943" i="18"/>
  <c r="G1944" i="18"/>
  <c r="G1945" i="18"/>
  <c r="G1946" i="18"/>
  <c r="G1947" i="18"/>
  <c r="G1948" i="18"/>
  <c r="G1949" i="18"/>
  <c r="G1950" i="18"/>
  <c r="G1951" i="18"/>
  <c r="G1952" i="18"/>
  <c r="G1953" i="18"/>
  <c r="G1954" i="18"/>
  <c r="G1955" i="18"/>
  <c r="G1956" i="18"/>
  <c r="G1957" i="18"/>
  <c r="G1958" i="18"/>
  <c r="G1959" i="18"/>
  <c r="G1960" i="18"/>
  <c r="G1961" i="18"/>
  <c r="G1962" i="18"/>
  <c r="G1963" i="18"/>
  <c r="G1964" i="18"/>
  <c r="G1965" i="18"/>
  <c r="G1966" i="18"/>
  <c r="G1967" i="18"/>
  <c r="G1968" i="18"/>
  <c r="G1969" i="18"/>
  <c r="G1970" i="18"/>
  <c r="G1971" i="18"/>
  <c r="G1972" i="18"/>
  <c r="G1973" i="18"/>
  <c r="G1974" i="18"/>
  <c r="G1975" i="18"/>
  <c r="G1976" i="18"/>
  <c r="G1977" i="18"/>
  <c r="G1978" i="18"/>
  <c r="G1979" i="18"/>
  <c r="G1980" i="18"/>
  <c r="G1981" i="18"/>
  <c r="G1982" i="18"/>
  <c r="G1983" i="18"/>
  <c r="G1984" i="18"/>
  <c r="G1985" i="18"/>
  <c r="G1986" i="18"/>
  <c r="G1987" i="18"/>
  <c r="G1988" i="18"/>
  <c r="G1989" i="18"/>
  <c r="G1990" i="18"/>
  <c r="G1991" i="18"/>
  <c r="G1992" i="18"/>
  <c r="G1993" i="18"/>
  <c r="G1994" i="18"/>
  <c r="G1995" i="18"/>
  <c r="G1996" i="18"/>
  <c r="G1997" i="18"/>
  <c r="G1998" i="18"/>
  <c r="G1999" i="18"/>
  <c r="G2000" i="18"/>
  <c r="G2001" i="18"/>
  <c r="G2002" i="18"/>
  <c r="G2003" i="18"/>
  <c r="G2004" i="18"/>
  <c r="G2005" i="18"/>
  <c r="G2006" i="18"/>
  <c r="G2007" i="18"/>
  <c r="G2008" i="18"/>
  <c r="G2009" i="18"/>
  <c r="G2010" i="18"/>
  <c r="G2011" i="18"/>
  <c r="G2012" i="18"/>
  <c r="G2013" i="18"/>
  <c r="G2014" i="18"/>
  <c r="G2015" i="18"/>
  <c r="G2016" i="18"/>
  <c r="G2017" i="18"/>
  <c r="G2018" i="18"/>
  <c r="G2019" i="18"/>
  <c r="G2020" i="18"/>
  <c r="G2021" i="18"/>
  <c r="G2022" i="18"/>
  <c r="G2023" i="18"/>
  <c r="G2024" i="18"/>
  <c r="G2025" i="18"/>
  <c r="G2026" i="18"/>
  <c r="G2027" i="18"/>
  <c r="G2028" i="18"/>
  <c r="G2029" i="18"/>
  <c r="G2030" i="18"/>
  <c r="G2031" i="18"/>
  <c r="G2032" i="18"/>
  <c r="G2033" i="18"/>
  <c r="G2034" i="18"/>
  <c r="G2035" i="18"/>
  <c r="G2036" i="18"/>
  <c r="G2037" i="18"/>
  <c r="G2038" i="18"/>
  <c r="G2039" i="18"/>
  <c r="G2040" i="18"/>
  <c r="G2041" i="18"/>
  <c r="G2042" i="18"/>
  <c r="G2043" i="18"/>
  <c r="G2044" i="18"/>
  <c r="G2045" i="18"/>
  <c r="G2046" i="18"/>
  <c r="G2047" i="18"/>
  <c r="G2048" i="18"/>
  <c r="G2049" i="18"/>
  <c r="G2050" i="18"/>
  <c r="G2051" i="18"/>
  <c r="G2052" i="18"/>
  <c r="G2053" i="18"/>
  <c r="G2054" i="18"/>
  <c r="G2055" i="18"/>
  <c r="G2056" i="18"/>
  <c r="G2057" i="18"/>
  <c r="G2058" i="18"/>
  <c r="G2059" i="18"/>
  <c r="G2060" i="18"/>
  <c r="G2061" i="18"/>
  <c r="G2062" i="18"/>
  <c r="G2063" i="18"/>
  <c r="G2064" i="18"/>
  <c r="G2065" i="18"/>
  <c r="G2066" i="18"/>
  <c r="G2067" i="18"/>
  <c r="G2068" i="18"/>
  <c r="G2069" i="18"/>
  <c r="G2070" i="18"/>
  <c r="G2071" i="18"/>
  <c r="G2072" i="18"/>
  <c r="G2073" i="18"/>
  <c r="G2074" i="18"/>
  <c r="G2075" i="18"/>
  <c r="G2076" i="18"/>
  <c r="G2077" i="18"/>
  <c r="G2078" i="18"/>
  <c r="G2079" i="18"/>
  <c r="G2080" i="18"/>
  <c r="G2081" i="18"/>
  <c r="G2082" i="18"/>
  <c r="G2083" i="18"/>
  <c r="G2084" i="18"/>
  <c r="G2085" i="18"/>
  <c r="G2086" i="18"/>
  <c r="G2087" i="18"/>
  <c r="G2088" i="18"/>
  <c r="G2089" i="18"/>
  <c r="G2090" i="18"/>
  <c r="G2091" i="18"/>
  <c r="G2092" i="18"/>
  <c r="G2093" i="18"/>
  <c r="G2094" i="18"/>
  <c r="G2095" i="18"/>
  <c r="G2096" i="18"/>
  <c r="G2097" i="18"/>
  <c r="G2098" i="18"/>
  <c r="G2099" i="18"/>
  <c r="G2100" i="18"/>
  <c r="G2101" i="18"/>
  <c r="G2102" i="18"/>
  <c r="G2103" i="18"/>
  <c r="G2104" i="18"/>
  <c r="G2105" i="18"/>
  <c r="G2106" i="18"/>
  <c r="G2107" i="18"/>
  <c r="G2108" i="18"/>
  <c r="G2109" i="18"/>
  <c r="G2110" i="18"/>
  <c r="G2111" i="18"/>
  <c r="G2112" i="18"/>
  <c r="G2113" i="18"/>
  <c r="G2114" i="18"/>
  <c r="G2115" i="18"/>
  <c r="G2116" i="18"/>
  <c r="G2117" i="18"/>
  <c r="G2118" i="18"/>
  <c r="G2119" i="18"/>
  <c r="G2120" i="18"/>
  <c r="G2121" i="18"/>
  <c r="G2122" i="18"/>
  <c r="G2123" i="18"/>
  <c r="G2124" i="18"/>
  <c r="G2125" i="18"/>
  <c r="G2126" i="18"/>
  <c r="G2127" i="18"/>
  <c r="G2128" i="18"/>
  <c r="G2129" i="18"/>
  <c r="G2130" i="18"/>
  <c r="G2131" i="18"/>
  <c r="G2132" i="18"/>
  <c r="G2133" i="18"/>
  <c r="G2134" i="18"/>
  <c r="G2135" i="18"/>
  <c r="G2136" i="18"/>
  <c r="G2137" i="18"/>
  <c r="G2138" i="18"/>
  <c r="G2139" i="18"/>
  <c r="G2140" i="18"/>
  <c r="G2141" i="18"/>
  <c r="G2142" i="18"/>
  <c r="G2143" i="18"/>
  <c r="G2144" i="18"/>
  <c r="G2145" i="18"/>
  <c r="G2146" i="18"/>
  <c r="G2147" i="18"/>
  <c r="G2148" i="18"/>
  <c r="G2149" i="18"/>
  <c r="G2150" i="18"/>
  <c r="G2151" i="18"/>
  <c r="G2152" i="18"/>
  <c r="G2153" i="18"/>
  <c r="G2154" i="18"/>
  <c r="G2155" i="18"/>
  <c r="G2156" i="18"/>
  <c r="G2157" i="18"/>
  <c r="G2158" i="18"/>
  <c r="G2159" i="18"/>
  <c r="G2160" i="18"/>
  <c r="G2161" i="18"/>
  <c r="G2162" i="18"/>
  <c r="G2163" i="18"/>
  <c r="G2164" i="18"/>
  <c r="G2165" i="18"/>
  <c r="G2166" i="18"/>
  <c r="G2167" i="18"/>
  <c r="G2168" i="18"/>
  <c r="G2169" i="18"/>
  <c r="G2170" i="18"/>
  <c r="G2171" i="18"/>
  <c r="G2172" i="18"/>
  <c r="G2173" i="18"/>
  <c r="G2174" i="18"/>
  <c r="G2175" i="18"/>
  <c r="G2176" i="18"/>
  <c r="G2177" i="18"/>
  <c r="G2178" i="18"/>
  <c r="G2179" i="18"/>
  <c r="G2180" i="18"/>
  <c r="G2181" i="18"/>
  <c r="G2182" i="18"/>
  <c r="G2183" i="18"/>
  <c r="G2184" i="18"/>
  <c r="G2185" i="18"/>
  <c r="G2186" i="18"/>
  <c r="G2187" i="18"/>
  <c r="G2188" i="18"/>
  <c r="G2189" i="18"/>
  <c r="G2190" i="18"/>
  <c r="G2191" i="18"/>
  <c r="H1858" i="18"/>
  <c r="H1889" i="18"/>
  <c r="H1890" i="18" s="1"/>
  <c r="H1891" i="18" s="1"/>
  <c r="H1892" i="18" s="1"/>
  <c r="H1893" i="18" s="1"/>
  <c r="H1894" i="18" s="1"/>
  <c r="H1951" i="18"/>
  <c r="H1952" i="18" s="1"/>
  <c r="H1953" i="18" s="1"/>
  <c r="H1954" i="18" s="1"/>
  <c r="H1982" i="18"/>
  <c r="H2043" i="18"/>
  <c r="H2044" i="18" s="1"/>
  <c r="H2045" i="18" s="1"/>
  <c r="H2046" i="18" s="1"/>
  <c r="H2047" i="18" s="1"/>
  <c r="H2048" i="18" s="1"/>
  <c r="H2049" i="18" s="1"/>
  <c r="H2050" i="18" s="1"/>
  <c r="H2103" i="18"/>
  <c r="H2133" i="18"/>
  <c r="H2134" i="18" s="1"/>
  <c r="I1827" i="18"/>
  <c r="I1828" i="18"/>
  <c r="I1830" i="18"/>
  <c r="I1831" i="18"/>
  <c r="I1832" i="18"/>
  <c r="I1833" i="18"/>
  <c r="I1834" i="18"/>
  <c r="I1835" i="18"/>
  <c r="I1836" i="18"/>
  <c r="I1837" i="18"/>
  <c r="I1838" i="18"/>
  <c r="I1839" i="18"/>
  <c r="I1840" i="18"/>
  <c r="I1841" i="18"/>
  <c r="I1842" i="18"/>
  <c r="I1843" i="18"/>
  <c r="I1844" i="18"/>
  <c r="I1845" i="18"/>
  <c r="I1846" i="18"/>
  <c r="I1847" i="18"/>
  <c r="I1848" i="18"/>
  <c r="I1849" i="18"/>
  <c r="I1850" i="18"/>
  <c r="I1851" i="18"/>
  <c r="I1852" i="18"/>
  <c r="I1853" i="18"/>
  <c r="I1854" i="18"/>
  <c r="I1855" i="18"/>
  <c r="I1856" i="18"/>
  <c r="I1857" i="18"/>
  <c r="I1858" i="18"/>
  <c r="I1859" i="18"/>
  <c r="I1861" i="18"/>
  <c r="I1862" i="18"/>
  <c r="I1863" i="18"/>
  <c r="I1864" i="18"/>
  <c r="I1865" i="18"/>
  <c r="I1866" i="18"/>
  <c r="I1867" i="18"/>
  <c r="I1868" i="18"/>
  <c r="I1869" i="18"/>
  <c r="I1870" i="18"/>
  <c r="I1871" i="18"/>
  <c r="I1872" i="18"/>
  <c r="I1873" i="18"/>
  <c r="I1874" i="18"/>
  <c r="I1875" i="18"/>
  <c r="I1876" i="18"/>
  <c r="I1877" i="18"/>
  <c r="I1878" i="18"/>
  <c r="I1879" i="18"/>
  <c r="I1880" i="18"/>
  <c r="I1881" i="18"/>
  <c r="I1882" i="18"/>
  <c r="I1883" i="18"/>
  <c r="I1884" i="18"/>
  <c r="I1885" i="18"/>
  <c r="I1886" i="18"/>
  <c r="I1887" i="18"/>
  <c r="I1888" i="18"/>
  <c r="I1889" i="18"/>
  <c r="I1890" i="18"/>
  <c r="I1892" i="18"/>
  <c r="I1893" i="18"/>
  <c r="I1894" i="18"/>
  <c r="I1895" i="18"/>
  <c r="I1896" i="18"/>
  <c r="I1897" i="18"/>
  <c r="I1898" i="18"/>
  <c r="I1899" i="18"/>
  <c r="I1900" i="18"/>
  <c r="I1901" i="18"/>
  <c r="I1902" i="18"/>
  <c r="I1903" i="18"/>
  <c r="I1904" i="18"/>
  <c r="I1905" i="18"/>
  <c r="I1906" i="18"/>
  <c r="I1907" i="18"/>
  <c r="I1908" i="18"/>
  <c r="I1909" i="18"/>
  <c r="I1910" i="18"/>
  <c r="I1911" i="18"/>
  <c r="I1912" i="18"/>
  <c r="I1913" i="18"/>
  <c r="I1914" i="18"/>
  <c r="I1915" i="18"/>
  <c r="I1916" i="18"/>
  <c r="I1917" i="18"/>
  <c r="I1918" i="18"/>
  <c r="I1919" i="18"/>
  <c r="I1920" i="18"/>
  <c r="I1921" i="18"/>
  <c r="I1923" i="18"/>
  <c r="I1924" i="18"/>
  <c r="I1925" i="18"/>
  <c r="I1926" i="18"/>
  <c r="I1927" i="18"/>
  <c r="I1928" i="18"/>
  <c r="I1929" i="18"/>
  <c r="I1930" i="18"/>
  <c r="I1931" i="18"/>
  <c r="I1932" i="18"/>
  <c r="I1933" i="18"/>
  <c r="I1934" i="18"/>
  <c r="I1935" i="18"/>
  <c r="I1936" i="18"/>
  <c r="I1937" i="18"/>
  <c r="I1938" i="18"/>
  <c r="I1939" i="18"/>
  <c r="I1940" i="18"/>
  <c r="I1941" i="18"/>
  <c r="I1942" i="18"/>
  <c r="I1943" i="18"/>
  <c r="I1944" i="18"/>
  <c r="I1945" i="18"/>
  <c r="I1946" i="18"/>
  <c r="I1947" i="18"/>
  <c r="I1948" i="18"/>
  <c r="I1949" i="18"/>
  <c r="I1950" i="18"/>
  <c r="I1951" i="18"/>
  <c r="I1952" i="18"/>
  <c r="I1954" i="18"/>
  <c r="I1955" i="18"/>
  <c r="I1956" i="18"/>
  <c r="I1957" i="18"/>
  <c r="I1958" i="18"/>
  <c r="I1959" i="18"/>
  <c r="I1960" i="18"/>
  <c r="I1961" i="18"/>
  <c r="I1962" i="18"/>
  <c r="I1963" i="18"/>
  <c r="I1964" i="18"/>
  <c r="I1965" i="18"/>
  <c r="I1966" i="18"/>
  <c r="I1967" i="18"/>
  <c r="I1968" i="18"/>
  <c r="I1969" i="18"/>
  <c r="I1970" i="18"/>
  <c r="I1971" i="18"/>
  <c r="I1972" i="18"/>
  <c r="I1973" i="18"/>
  <c r="I1974" i="18"/>
  <c r="I1975" i="18"/>
  <c r="I1976" i="18"/>
  <c r="I1977" i="18"/>
  <c r="I1978" i="18"/>
  <c r="I1979" i="18"/>
  <c r="I1980" i="18"/>
  <c r="I1981" i="18"/>
  <c r="I1982" i="18"/>
  <c r="I1983" i="18"/>
  <c r="I1985" i="18"/>
  <c r="I1986" i="18"/>
  <c r="I1987" i="18"/>
  <c r="I1988" i="18"/>
  <c r="I1989" i="18"/>
  <c r="I1990" i="18"/>
  <c r="I1991" i="18"/>
  <c r="I1992" i="18"/>
  <c r="I1993" i="18"/>
  <c r="I1994" i="18"/>
  <c r="I1995" i="18"/>
  <c r="I1996" i="18"/>
  <c r="I1997" i="18"/>
  <c r="I1998" i="18"/>
  <c r="I1999" i="18"/>
  <c r="I2000" i="18"/>
  <c r="I2001" i="18"/>
  <c r="I2002" i="18"/>
  <c r="I2003" i="18"/>
  <c r="I2004" i="18"/>
  <c r="I2005" i="18"/>
  <c r="I2006" i="18"/>
  <c r="I2007" i="18"/>
  <c r="I2008" i="18"/>
  <c r="I2009" i="18"/>
  <c r="I2010" i="18"/>
  <c r="I2011" i="18"/>
  <c r="I2012" i="18"/>
  <c r="I2013" i="18"/>
  <c r="I2014" i="18"/>
  <c r="I2016" i="18"/>
  <c r="I2017" i="18"/>
  <c r="I2018" i="18"/>
  <c r="I2019" i="18"/>
  <c r="I2020" i="18"/>
  <c r="I2021" i="18"/>
  <c r="I2022" i="18"/>
  <c r="I2023" i="18"/>
  <c r="I2024" i="18"/>
  <c r="I2025" i="18"/>
  <c r="I2026" i="18"/>
  <c r="I2027" i="18"/>
  <c r="I2028" i="18"/>
  <c r="I2029" i="18"/>
  <c r="I2030" i="18"/>
  <c r="I2031" i="18"/>
  <c r="I2032" i="18"/>
  <c r="I2033" i="18"/>
  <c r="I2034" i="18"/>
  <c r="I2035" i="18"/>
  <c r="I2036" i="18"/>
  <c r="I2037" i="18"/>
  <c r="I2038" i="18"/>
  <c r="I2039" i="18"/>
  <c r="I2040" i="18"/>
  <c r="I2041" i="18"/>
  <c r="I2042" i="18"/>
  <c r="I2043" i="18"/>
  <c r="I2044" i="18"/>
  <c r="I2046" i="18"/>
  <c r="I2047" i="18"/>
  <c r="I2048" i="18"/>
  <c r="I2049" i="18"/>
  <c r="I2050" i="18"/>
  <c r="I2051" i="18"/>
  <c r="I2052" i="18"/>
  <c r="I2053" i="18"/>
  <c r="I2054" i="18"/>
  <c r="I2055" i="18"/>
  <c r="I2056" i="18"/>
  <c r="I2057" i="18"/>
  <c r="I2058" i="18"/>
  <c r="I2059" i="18"/>
  <c r="I2060" i="18"/>
  <c r="I2061" i="18"/>
  <c r="I2062" i="18"/>
  <c r="I2063" i="18"/>
  <c r="I2064" i="18"/>
  <c r="I2065" i="18"/>
  <c r="I2066" i="18"/>
  <c r="I2067" i="18"/>
  <c r="I2068" i="18"/>
  <c r="I2069" i="18"/>
  <c r="I2070" i="18"/>
  <c r="I2071" i="18"/>
  <c r="I2072" i="18"/>
  <c r="I2073" i="18"/>
  <c r="I2074" i="18"/>
  <c r="I2076" i="18"/>
  <c r="I2077" i="18"/>
  <c r="I2078" i="18"/>
  <c r="I2079" i="18"/>
  <c r="I2080" i="18"/>
  <c r="I2081" i="18"/>
  <c r="I2082" i="18"/>
  <c r="I2083" i="18"/>
  <c r="I2084" i="18"/>
  <c r="I2085" i="18"/>
  <c r="I2086" i="18"/>
  <c r="I2087" i="18"/>
  <c r="I2088" i="18"/>
  <c r="I2089" i="18"/>
  <c r="I2090" i="18"/>
  <c r="I2091" i="18"/>
  <c r="I2092" i="18"/>
  <c r="I2093" i="18"/>
  <c r="I2094" i="18"/>
  <c r="I2095" i="18"/>
  <c r="I2096" i="18"/>
  <c r="I2097" i="18"/>
  <c r="I2098" i="18"/>
  <c r="I2099" i="18"/>
  <c r="I2100" i="18"/>
  <c r="I2101" i="18"/>
  <c r="I2102" i="18"/>
  <c r="I2103" i="18"/>
  <c r="I2104" i="18"/>
  <c r="I2106" i="18"/>
  <c r="I2107" i="18"/>
  <c r="I2108" i="18"/>
  <c r="I2109" i="18"/>
  <c r="I2110" i="18"/>
  <c r="I2111" i="18"/>
  <c r="I2112" i="18"/>
  <c r="I2113" i="18"/>
  <c r="I2114" i="18"/>
  <c r="I2115" i="18"/>
  <c r="I2116" i="18"/>
  <c r="I2117" i="18"/>
  <c r="I2118" i="18"/>
  <c r="I2119" i="18"/>
  <c r="I2120" i="18"/>
  <c r="I2121" i="18"/>
  <c r="I2122" i="18"/>
  <c r="I2123" i="18"/>
  <c r="I2124" i="18"/>
  <c r="I2125" i="18"/>
  <c r="I2126" i="18"/>
  <c r="I2127" i="18"/>
  <c r="I2128" i="18"/>
  <c r="I2129" i="18"/>
  <c r="I2130" i="18"/>
  <c r="I2131" i="18"/>
  <c r="I2132" i="18"/>
  <c r="I2133" i="18"/>
  <c r="I2134" i="18"/>
  <c r="I2136" i="18"/>
  <c r="I2137" i="18"/>
  <c r="I2138" i="18"/>
  <c r="I2139" i="18"/>
  <c r="I2140" i="18"/>
  <c r="I2141" i="18"/>
  <c r="I2142" i="18"/>
  <c r="I2143" i="18"/>
  <c r="I2144" i="18"/>
  <c r="I2145" i="18"/>
  <c r="I2146" i="18"/>
  <c r="I2147" i="18"/>
  <c r="I2148" i="18"/>
  <c r="I2149" i="18"/>
  <c r="I2150" i="18"/>
  <c r="I2151" i="18"/>
  <c r="I2152" i="18"/>
  <c r="I2153" i="18"/>
  <c r="I2154" i="18"/>
  <c r="I2155" i="18"/>
  <c r="I2156" i="18"/>
  <c r="I2157" i="18"/>
  <c r="I2158" i="18"/>
  <c r="I2159" i="18"/>
  <c r="I2160" i="18"/>
  <c r="I2161" i="18"/>
  <c r="I2162" i="18"/>
  <c r="I2163" i="18"/>
  <c r="I2164" i="18"/>
  <c r="I2167" i="18"/>
  <c r="I2168" i="18"/>
  <c r="I2169" i="18"/>
  <c r="I2170" i="18"/>
  <c r="I2171" i="18"/>
  <c r="I2172" i="18"/>
  <c r="I2173" i="18"/>
  <c r="I2174" i="18"/>
  <c r="I2175" i="18"/>
  <c r="I2176" i="18"/>
  <c r="I2177" i="18"/>
  <c r="I2178" i="18"/>
  <c r="I2179" i="18"/>
  <c r="I2180" i="18"/>
  <c r="I2181" i="18"/>
  <c r="I2182" i="18"/>
  <c r="I2183" i="18"/>
  <c r="I2184" i="18"/>
  <c r="I2185" i="18"/>
  <c r="I2186" i="18"/>
  <c r="I2187" i="18"/>
  <c r="I2188" i="18"/>
  <c r="I2189" i="18"/>
  <c r="I2190" i="18"/>
  <c r="I2191" i="18"/>
  <c r="J1827" i="18"/>
  <c r="J1828" i="18"/>
  <c r="J1830" i="18"/>
  <c r="J1831" i="18"/>
  <c r="J1832" i="18"/>
  <c r="J1833" i="18"/>
  <c r="J1834" i="18"/>
  <c r="J1835" i="18"/>
  <c r="J1836" i="18"/>
  <c r="J1837" i="18"/>
  <c r="J1838" i="18"/>
  <c r="J1839" i="18"/>
  <c r="J1840" i="18"/>
  <c r="J1841" i="18"/>
  <c r="J1842" i="18"/>
  <c r="J1843" i="18"/>
  <c r="J1844" i="18"/>
  <c r="J1845" i="18"/>
  <c r="J1846" i="18"/>
  <c r="J1847" i="18"/>
  <c r="J1848" i="18"/>
  <c r="J1849" i="18"/>
  <c r="J1850" i="18"/>
  <c r="J1851" i="18"/>
  <c r="J1852" i="18"/>
  <c r="J1853" i="18"/>
  <c r="J1854" i="18"/>
  <c r="J1855" i="18"/>
  <c r="J1856" i="18"/>
  <c r="J1857" i="18"/>
  <c r="J1858" i="18"/>
  <c r="J1859" i="18"/>
  <c r="J1861" i="18"/>
  <c r="J1862" i="18"/>
  <c r="J1863" i="18"/>
  <c r="J1864" i="18"/>
  <c r="J1865" i="18"/>
  <c r="J1866" i="18"/>
  <c r="J1867" i="18"/>
  <c r="J1868" i="18"/>
  <c r="J1869" i="18"/>
  <c r="J1870" i="18"/>
  <c r="J1871" i="18"/>
  <c r="J1872" i="18"/>
  <c r="J1873" i="18"/>
  <c r="J1874" i="18"/>
  <c r="J1875" i="18"/>
  <c r="J1876" i="18"/>
  <c r="J1877" i="18"/>
  <c r="J1878" i="18"/>
  <c r="J1879" i="18"/>
  <c r="J1880" i="18"/>
  <c r="J1881" i="18"/>
  <c r="J1882" i="18"/>
  <c r="J1883" i="18"/>
  <c r="J1884" i="18"/>
  <c r="J1885" i="18"/>
  <c r="J1886" i="18"/>
  <c r="J1887" i="18"/>
  <c r="J1888" i="18"/>
  <c r="J1889" i="18"/>
  <c r="J1890" i="18"/>
  <c r="J1892" i="18"/>
  <c r="J1893" i="18"/>
  <c r="J1894" i="18"/>
  <c r="J1895" i="18"/>
  <c r="J1896" i="18"/>
  <c r="J1897" i="18"/>
  <c r="J1898" i="18"/>
  <c r="J1899" i="18"/>
  <c r="J1900" i="18"/>
  <c r="J1901" i="18"/>
  <c r="J1902" i="18"/>
  <c r="J1903" i="18"/>
  <c r="J1904" i="18"/>
  <c r="J1905" i="18"/>
  <c r="J1906" i="18"/>
  <c r="J1907" i="18"/>
  <c r="J1908" i="18"/>
  <c r="J1909" i="18"/>
  <c r="J1910" i="18"/>
  <c r="J1911" i="18"/>
  <c r="J1912" i="18"/>
  <c r="J1913" i="18"/>
  <c r="J1914" i="18"/>
  <c r="J1915" i="18"/>
  <c r="J1916" i="18"/>
  <c r="J1917" i="18"/>
  <c r="J1918" i="18"/>
  <c r="J1919" i="18"/>
  <c r="J1920" i="18"/>
  <c r="J1921" i="18"/>
  <c r="J1923" i="18"/>
  <c r="J1924" i="18"/>
  <c r="J1925" i="18"/>
  <c r="J1926" i="18"/>
  <c r="J1927" i="18"/>
  <c r="J1928" i="18"/>
  <c r="J1929" i="18"/>
  <c r="J1930" i="18"/>
  <c r="J1931" i="18"/>
  <c r="J1932" i="18"/>
  <c r="J1933" i="18"/>
  <c r="J1934" i="18"/>
  <c r="J1935" i="18"/>
  <c r="J1936" i="18"/>
  <c r="J1937" i="18"/>
  <c r="J1938" i="18"/>
  <c r="J1939" i="18"/>
  <c r="J1940" i="18"/>
  <c r="J1941" i="18"/>
  <c r="J1942" i="18"/>
  <c r="J1943" i="18"/>
  <c r="J1944" i="18"/>
  <c r="J1945" i="18"/>
  <c r="J1946" i="18"/>
  <c r="J1947" i="18"/>
  <c r="J1948" i="18"/>
  <c r="J1949" i="18"/>
  <c r="J1950" i="18"/>
  <c r="J1951" i="18"/>
  <c r="J1952" i="18"/>
  <c r="J1954" i="18"/>
  <c r="J1955" i="18"/>
  <c r="J1956" i="18"/>
  <c r="J1957" i="18"/>
  <c r="J1958" i="18"/>
  <c r="J1959" i="18"/>
  <c r="J1960" i="18"/>
  <c r="J1961" i="18"/>
  <c r="J1962" i="18"/>
  <c r="J1963" i="18"/>
  <c r="J1964" i="18"/>
  <c r="J1965" i="18"/>
  <c r="J1966" i="18"/>
  <c r="J1967" i="18"/>
  <c r="J1968" i="18"/>
  <c r="J1969" i="18"/>
  <c r="J1970" i="18"/>
  <c r="J1971" i="18"/>
  <c r="J1972" i="18"/>
  <c r="J1973" i="18"/>
  <c r="J1974" i="18"/>
  <c r="J1975" i="18"/>
  <c r="J1976" i="18"/>
  <c r="J1977" i="18"/>
  <c r="J1978" i="18"/>
  <c r="J1979" i="18"/>
  <c r="J1980" i="18"/>
  <c r="J1981" i="18"/>
  <c r="J1982" i="18"/>
  <c r="J1983" i="18"/>
  <c r="J1985" i="18"/>
  <c r="J1986" i="18"/>
  <c r="J1987" i="18"/>
  <c r="J1988" i="18"/>
  <c r="J1989" i="18"/>
  <c r="J1990" i="18"/>
  <c r="J1991" i="18"/>
  <c r="J1992" i="18"/>
  <c r="J1993" i="18"/>
  <c r="J1994" i="18"/>
  <c r="J1995" i="18"/>
  <c r="J1996" i="18"/>
  <c r="J1997" i="18"/>
  <c r="J1998" i="18"/>
  <c r="J1999" i="18"/>
  <c r="J2000" i="18"/>
  <c r="J2001" i="18"/>
  <c r="J2002" i="18"/>
  <c r="J2003" i="18"/>
  <c r="J2004" i="18"/>
  <c r="J2005" i="18"/>
  <c r="J2006" i="18"/>
  <c r="J2007" i="18"/>
  <c r="J2008" i="18"/>
  <c r="J2009" i="18"/>
  <c r="J2010" i="18"/>
  <c r="J2011" i="18"/>
  <c r="J2012" i="18"/>
  <c r="J2013" i="18"/>
  <c r="J2014" i="18"/>
  <c r="J2016" i="18"/>
  <c r="J2017" i="18"/>
  <c r="J2018" i="18"/>
  <c r="J2019" i="18"/>
  <c r="J2020" i="18"/>
  <c r="J2021" i="18"/>
  <c r="J2022" i="18"/>
  <c r="J2023" i="18"/>
  <c r="J2024" i="18"/>
  <c r="J2025" i="18"/>
  <c r="J2026" i="18"/>
  <c r="J2027" i="18"/>
  <c r="J2028" i="18"/>
  <c r="J2029" i="18"/>
  <c r="J2030" i="18"/>
  <c r="J2031" i="18"/>
  <c r="J2032" i="18"/>
  <c r="J2033" i="18"/>
  <c r="J2034" i="18"/>
  <c r="J2035" i="18"/>
  <c r="J2036" i="18"/>
  <c r="J2037" i="18"/>
  <c r="J2038" i="18"/>
  <c r="J2039" i="18"/>
  <c r="J2040" i="18"/>
  <c r="J2041" i="18"/>
  <c r="J2042" i="18"/>
  <c r="J2043" i="18"/>
  <c r="J2044" i="18"/>
  <c r="J2046" i="18"/>
  <c r="J2047" i="18"/>
  <c r="J2048" i="18"/>
  <c r="J2049" i="18"/>
  <c r="J2050" i="18"/>
  <c r="J2051" i="18"/>
  <c r="J2052" i="18"/>
  <c r="J2053" i="18"/>
  <c r="J2054" i="18"/>
  <c r="J2055" i="18"/>
  <c r="J2056" i="18"/>
  <c r="J2057" i="18"/>
  <c r="J2058" i="18"/>
  <c r="J2059" i="18"/>
  <c r="J2060" i="18"/>
  <c r="J2061" i="18"/>
  <c r="J2062" i="18"/>
  <c r="J2063" i="18"/>
  <c r="J2064" i="18"/>
  <c r="J2065" i="18"/>
  <c r="J2066" i="18"/>
  <c r="J2067" i="18"/>
  <c r="J2068" i="18"/>
  <c r="J2069" i="18"/>
  <c r="J2070" i="18"/>
  <c r="J2071" i="18"/>
  <c r="J2072" i="18"/>
  <c r="J2073" i="18"/>
  <c r="J2074" i="18"/>
  <c r="J2076" i="18"/>
  <c r="J2077" i="18"/>
  <c r="J2078" i="18"/>
  <c r="J2079" i="18"/>
  <c r="J2080" i="18"/>
  <c r="J2081" i="18"/>
  <c r="J2082" i="18"/>
  <c r="J2083" i="18"/>
  <c r="J2084" i="18"/>
  <c r="J2085" i="18"/>
  <c r="J2086" i="18"/>
  <c r="J2087" i="18"/>
  <c r="J2088" i="18"/>
  <c r="J2089" i="18"/>
  <c r="J2090" i="18"/>
  <c r="J2091" i="18"/>
  <c r="J2092" i="18"/>
  <c r="J2093" i="18"/>
  <c r="J2094" i="18"/>
  <c r="J2095" i="18"/>
  <c r="J2096" i="18"/>
  <c r="J2097" i="18"/>
  <c r="J2098" i="18"/>
  <c r="J2099" i="18"/>
  <c r="J2100" i="18"/>
  <c r="J2101" i="18"/>
  <c r="J2102" i="18"/>
  <c r="J2103" i="18"/>
  <c r="J2104" i="18"/>
  <c r="J2106" i="18"/>
  <c r="J2107" i="18"/>
  <c r="J2108" i="18"/>
  <c r="J2109" i="18"/>
  <c r="J2110" i="18"/>
  <c r="J2111" i="18"/>
  <c r="J2112" i="18"/>
  <c r="J2113" i="18"/>
  <c r="J2114" i="18"/>
  <c r="J2115" i="18"/>
  <c r="J2116" i="18"/>
  <c r="J2117" i="18"/>
  <c r="J2118" i="18"/>
  <c r="J2119" i="18"/>
  <c r="J2120" i="18"/>
  <c r="J2121" i="18"/>
  <c r="J2122" i="18"/>
  <c r="J2123" i="18"/>
  <c r="J2124" i="18"/>
  <c r="J2125" i="18"/>
  <c r="J2126" i="18"/>
  <c r="J2127" i="18"/>
  <c r="J2128" i="18"/>
  <c r="J2129" i="18"/>
  <c r="J2130" i="18"/>
  <c r="J2131" i="18"/>
  <c r="J2132" i="18"/>
  <c r="J2133" i="18"/>
  <c r="J2134" i="18"/>
  <c r="J2136" i="18"/>
  <c r="J2137" i="18"/>
  <c r="J2138" i="18"/>
  <c r="J2139" i="18"/>
  <c r="J2140" i="18"/>
  <c r="J2141" i="18"/>
  <c r="J2142" i="18"/>
  <c r="J2143" i="18"/>
  <c r="J2144" i="18"/>
  <c r="J2145" i="18"/>
  <c r="J2146" i="18"/>
  <c r="J2147" i="18"/>
  <c r="J2148" i="18"/>
  <c r="J2149" i="18"/>
  <c r="J2150" i="18"/>
  <c r="J2151" i="18"/>
  <c r="J2152" i="18"/>
  <c r="J2153" i="18"/>
  <c r="J2154" i="18"/>
  <c r="J2155" i="18"/>
  <c r="J2156" i="18"/>
  <c r="J2157" i="18"/>
  <c r="J2158" i="18"/>
  <c r="J2159" i="18"/>
  <c r="J2160" i="18"/>
  <c r="J2161" i="18"/>
  <c r="J2162" i="18"/>
  <c r="J2163" i="18"/>
  <c r="J2164" i="18"/>
  <c r="J2167" i="18"/>
  <c r="J2168" i="18"/>
  <c r="J2169" i="18"/>
  <c r="J2170" i="18"/>
  <c r="J2171" i="18"/>
  <c r="J2172" i="18"/>
  <c r="J2173" i="18"/>
  <c r="J2174" i="18"/>
  <c r="J2175" i="18"/>
  <c r="J2176" i="18"/>
  <c r="J2177" i="18"/>
  <c r="J2178" i="18"/>
  <c r="J2179" i="18"/>
  <c r="J2180" i="18"/>
  <c r="J2181" i="18"/>
  <c r="J2182" i="18"/>
  <c r="J2183" i="18"/>
  <c r="J2184" i="18"/>
  <c r="J2185" i="18"/>
  <c r="J2186" i="18"/>
  <c r="J2187" i="18"/>
  <c r="J2188" i="18"/>
  <c r="J2189" i="18"/>
  <c r="J2190" i="18"/>
  <c r="J2191" i="18"/>
  <c r="K1827" i="18"/>
  <c r="K1828" i="18"/>
  <c r="K1830" i="18"/>
  <c r="K1831" i="18"/>
  <c r="K1832" i="18"/>
  <c r="K1833" i="18"/>
  <c r="K1834" i="18"/>
  <c r="K1835" i="18"/>
  <c r="K1836" i="18"/>
  <c r="K1837" i="18"/>
  <c r="K1838" i="18"/>
  <c r="K1839" i="18"/>
  <c r="K1840" i="18"/>
  <c r="K1841" i="18"/>
  <c r="K1842" i="18"/>
  <c r="K1843" i="18"/>
  <c r="K1844" i="18"/>
  <c r="K1845" i="18"/>
  <c r="K1846" i="18"/>
  <c r="K1847" i="18"/>
  <c r="K1848" i="18"/>
  <c r="K1849" i="18"/>
  <c r="K1850" i="18"/>
  <c r="K1851" i="18"/>
  <c r="K1852" i="18"/>
  <c r="K1853" i="18"/>
  <c r="K1854" i="18"/>
  <c r="K1855" i="18"/>
  <c r="K1856" i="18"/>
  <c r="K1857" i="18"/>
  <c r="K1858" i="18"/>
  <c r="K1859" i="18"/>
  <c r="K1861" i="18"/>
  <c r="K1862" i="18"/>
  <c r="K1863" i="18"/>
  <c r="K1864" i="18"/>
  <c r="K1865" i="18"/>
  <c r="K1866" i="18"/>
  <c r="K1867" i="18"/>
  <c r="K1868" i="18"/>
  <c r="K1869" i="18"/>
  <c r="K1870" i="18"/>
  <c r="K1871" i="18"/>
  <c r="K1872" i="18"/>
  <c r="K1873" i="18"/>
  <c r="K1874" i="18"/>
  <c r="K1875" i="18"/>
  <c r="K1876" i="18"/>
  <c r="K1877" i="18"/>
  <c r="K1878" i="18"/>
  <c r="K1879" i="18"/>
  <c r="K1880" i="18"/>
  <c r="K1881" i="18"/>
  <c r="K1882" i="18"/>
  <c r="K1883" i="18"/>
  <c r="K1884" i="18"/>
  <c r="K1885" i="18"/>
  <c r="K1886" i="18"/>
  <c r="K1887" i="18"/>
  <c r="K1888" i="18"/>
  <c r="K1889" i="18"/>
  <c r="K1890" i="18"/>
  <c r="K1892" i="18"/>
  <c r="K1893" i="18"/>
  <c r="K1894" i="18"/>
  <c r="K1895" i="18"/>
  <c r="K1896" i="18"/>
  <c r="K1897" i="18"/>
  <c r="K1898" i="18"/>
  <c r="K1899" i="18"/>
  <c r="K1900" i="18"/>
  <c r="K1901" i="18"/>
  <c r="K1902" i="18"/>
  <c r="K1903" i="18"/>
  <c r="K1904" i="18"/>
  <c r="K1905" i="18"/>
  <c r="K1906" i="18"/>
  <c r="K1907" i="18"/>
  <c r="K1908" i="18"/>
  <c r="K1909" i="18"/>
  <c r="K1910" i="18"/>
  <c r="K1911" i="18"/>
  <c r="K1912" i="18"/>
  <c r="K1913" i="18"/>
  <c r="K1914" i="18"/>
  <c r="K1915" i="18"/>
  <c r="K1916" i="18"/>
  <c r="K1917" i="18"/>
  <c r="K1918" i="18"/>
  <c r="K1919" i="18"/>
  <c r="K1920" i="18"/>
  <c r="K1921" i="18"/>
  <c r="K1923" i="18"/>
  <c r="K1924" i="18"/>
  <c r="K1925" i="18"/>
  <c r="K1926" i="18"/>
  <c r="K1927" i="18"/>
  <c r="K1928" i="18"/>
  <c r="K1929" i="18"/>
  <c r="K1930" i="18"/>
  <c r="K1931" i="18"/>
  <c r="K1932" i="18"/>
  <c r="K1933" i="18"/>
  <c r="K1934" i="18"/>
  <c r="K1935" i="18"/>
  <c r="K1936" i="18"/>
  <c r="K1937" i="18"/>
  <c r="K1938" i="18"/>
  <c r="K1939" i="18"/>
  <c r="K1940" i="18"/>
  <c r="K1941" i="18"/>
  <c r="K1942" i="18"/>
  <c r="K1943" i="18"/>
  <c r="K1944" i="18"/>
  <c r="K1945" i="18"/>
  <c r="K1946" i="18"/>
  <c r="K1947" i="18"/>
  <c r="K1948" i="18"/>
  <c r="K1949" i="18"/>
  <c r="K1950" i="18"/>
  <c r="K1951" i="18"/>
  <c r="K1952" i="18"/>
  <c r="K1954" i="18"/>
  <c r="K1955" i="18"/>
  <c r="K1956" i="18"/>
  <c r="K1957" i="18"/>
  <c r="K1958" i="18"/>
  <c r="K1959" i="18"/>
  <c r="K1960" i="18"/>
  <c r="K1961" i="18"/>
  <c r="K1962" i="18"/>
  <c r="K1963" i="18"/>
  <c r="K1964" i="18"/>
  <c r="K1965" i="18"/>
  <c r="K1966" i="18"/>
  <c r="K1967" i="18"/>
  <c r="K1968" i="18"/>
  <c r="K1969" i="18"/>
  <c r="K1970" i="18"/>
  <c r="K1971" i="18"/>
  <c r="K1972" i="18"/>
  <c r="K1973" i="18"/>
  <c r="K1974" i="18"/>
  <c r="K1975" i="18"/>
  <c r="K1976" i="18"/>
  <c r="K1977" i="18"/>
  <c r="K1978" i="18"/>
  <c r="K1979" i="18"/>
  <c r="K1980" i="18"/>
  <c r="K1981" i="18"/>
  <c r="K1982" i="18"/>
  <c r="K1983" i="18"/>
  <c r="K1985" i="18"/>
  <c r="K1986" i="18"/>
  <c r="K1987" i="18"/>
  <c r="K1988" i="18"/>
  <c r="K1989" i="18"/>
  <c r="K1990" i="18"/>
  <c r="K1991" i="18"/>
  <c r="K1992" i="18"/>
  <c r="K1993" i="18"/>
  <c r="K1994" i="18"/>
  <c r="K1995" i="18"/>
  <c r="K1996" i="18"/>
  <c r="K1997" i="18"/>
  <c r="K1998" i="18"/>
  <c r="K1999" i="18"/>
  <c r="K2000" i="18"/>
  <c r="K2001" i="18"/>
  <c r="K2002" i="18"/>
  <c r="K2003" i="18"/>
  <c r="K2004" i="18"/>
  <c r="K2005" i="18"/>
  <c r="K2006" i="18"/>
  <c r="K2007" i="18"/>
  <c r="K2008" i="18"/>
  <c r="K2009" i="18"/>
  <c r="K2010" i="18"/>
  <c r="K2011" i="18"/>
  <c r="K2012" i="18"/>
  <c r="K2013" i="18"/>
  <c r="K2014" i="18"/>
  <c r="K2016" i="18"/>
  <c r="K2017" i="18"/>
  <c r="K2018" i="18"/>
  <c r="K2019" i="18"/>
  <c r="K2020" i="18"/>
  <c r="K2021" i="18"/>
  <c r="K2022" i="18"/>
  <c r="K2023" i="18"/>
  <c r="K2024" i="18"/>
  <c r="K2025" i="18"/>
  <c r="K2026" i="18"/>
  <c r="K2027" i="18"/>
  <c r="K2028" i="18"/>
  <c r="K2029" i="18"/>
  <c r="K2030" i="18"/>
  <c r="K2031" i="18"/>
  <c r="K2032" i="18"/>
  <c r="K2033" i="18"/>
  <c r="K2034" i="18"/>
  <c r="K2035" i="18"/>
  <c r="K2036" i="18"/>
  <c r="K2037" i="18"/>
  <c r="K2038" i="18"/>
  <c r="K2039" i="18"/>
  <c r="K2040" i="18"/>
  <c r="K2041" i="18"/>
  <c r="K2042" i="18"/>
  <c r="K2043" i="18"/>
  <c r="K2044" i="18"/>
  <c r="K2046" i="18"/>
  <c r="K2047" i="18"/>
  <c r="K2048" i="18"/>
  <c r="K2049" i="18"/>
  <c r="K2050" i="18"/>
  <c r="K2051" i="18"/>
  <c r="K2052" i="18"/>
  <c r="K2053" i="18"/>
  <c r="K2054" i="18"/>
  <c r="K2055" i="18"/>
  <c r="K2056" i="18"/>
  <c r="K2057" i="18"/>
  <c r="K2058" i="18"/>
  <c r="K2059" i="18"/>
  <c r="K2060" i="18"/>
  <c r="K2061" i="18"/>
  <c r="K2062" i="18"/>
  <c r="K2063" i="18"/>
  <c r="K2064" i="18"/>
  <c r="K2065" i="18"/>
  <c r="K2066" i="18"/>
  <c r="K2067" i="18"/>
  <c r="K2068" i="18"/>
  <c r="K2069" i="18"/>
  <c r="K2070" i="18"/>
  <c r="K2071" i="18"/>
  <c r="K2072" i="18"/>
  <c r="K2073" i="18"/>
  <c r="K2074" i="18"/>
  <c r="K2076" i="18"/>
  <c r="K2077" i="18"/>
  <c r="K2078" i="18"/>
  <c r="K2079" i="18"/>
  <c r="K2080" i="18"/>
  <c r="K2081" i="18"/>
  <c r="K2082" i="18"/>
  <c r="K2083" i="18"/>
  <c r="K2084" i="18"/>
  <c r="K2085" i="18"/>
  <c r="K2086" i="18"/>
  <c r="K2087" i="18"/>
  <c r="K2088" i="18"/>
  <c r="K2089" i="18"/>
  <c r="K2090" i="18"/>
  <c r="K2091" i="18"/>
  <c r="K2092" i="18"/>
  <c r="K2093" i="18"/>
  <c r="K2094" i="18"/>
  <c r="K2095" i="18"/>
  <c r="K2096" i="18"/>
  <c r="K2097" i="18"/>
  <c r="K2098" i="18"/>
  <c r="K2099" i="18"/>
  <c r="K2100" i="18"/>
  <c r="K2101" i="18"/>
  <c r="K2102" i="18"/>
  <c r="K2103" i="18"/>
  <c r="K2104" i="18"/>
  <c r="K2106" i="18"/>
  <c r="K2107" i="18"/>
  <c r="K2108" i="18"/>
  <c r="K2109" i="18"/>
  <c r="K2110" i="18"/>
  <c r="K2111" i="18"/>
  <c r="K2112" i="18"/>
  <c r="K2113" i="18"/>
  <c r="K2114" i="18"/>
  <c r="K2115" i="18"/>
  <c r="K2116" i="18"/>
  <c r="K2117" i="18"/>
  <c r="K2118" i="18"/>
  <c r="K2119" i="18"/>
  <c r="K2120" i="18"/>
  <c r="K2121" i="18"/>
  <c r="K2122" i="18"/>
  <c r="K2123" i="18"/>
  <c r="K2124" i="18"/>
  <c r="K2125" i="18"/>
  <c r="K2126" i="18"/>
  <c r="K2127" i="18"/>
  <c r="K2128" i="18"/>
  <c r="K2129" i="18"/>
  <c r="K2130" i="18"/>
  <c r="K2131" i="18"/>
  <c r="K2132" i="18"/>
  <c r="K2133" i="18"/>
  <c r="K2134" i="18"/>
  <c r="K2136" i="18"/>
  <c r="K2137" i="18"/>
  <c r="K2138" i="18"/>
  <c r="K2139" i="18"/>
  <c r="K2140" i="18"/>
  <c r="K2141" i="18"/>
  <c r="K2142" i="18"/>
  <c r="K2143" i="18"/>
  <c r="K2144" i="18"/>
  <c r="K2145" i="18"/>
  <c r="K2146" i="18"/>
  <c r="K2147" i="18"/>
  <c r="K2148" i="18"/>
  <c r="K2149" i="18"/>
  <c r="K2150" i="18"/>
  <c r="K2151" i="18"/>
  <c r="K2152" i="18"/>
  <c r="K2153" i="18"/>
  <c r="K2154" i="18"/>
  <c r="K2155" i="18"/>
  <c r="K2156" i="18"/>
  <c r="K2157" i="18"/>
  <c r="K2158" i="18"/>
  <c r="K2159" i="18"/>
  <c r="K2160" i="18"/>
  <c r="K2161" i="18"/>
  <c r="K2162" i="18"/>
  <c r="K2163" i="18"/>
  <c r="K2164" i="18"/>
  <c r="K2167" i="18"/>
  <c r="K2168" i="18"/>
  <c r="K2169" i="18"/>
  <c r="K2170" i="18"/>
  <c r="K2171" i="18"/>
  <c r="K2172" i="18"/>
  <c r="K2173" i="18"/>
  <c r="K2174" i="18"/>
  <c r="K2175" i="18"/>
  <c r="K2176" i="18"/>
  <c r="K2177" i="18"/>
  <c r="K2178" i="18"/>
  <c r="K2179" i="18"/>
  <c r="K2180" i="18"/>
  <c r="K2181" i="18"/>
  <c r="K2182" i="18"/>
  <c r="K2183" i="18"/>
  <c r="K2184" i="18"/>
  <c r="K2185" i="18"/>
  <c r="K2186" i="18"/>
  <c r="K2187" i="18"/>
  <c r="K2188" i="18"/>
  <c r="K2189" i="18"/>
  <c r="K2190" i="18"/>
  <c r="K2191" i="18"/>
  <c r="L1827" i="18"/>
  <c r="L1828" i="18"/>
  <c r="L1830" i="18"/>
  <c r="L1831" i="18"/>
  <c r="L1832" i="18"/>
  <c r="L1833" i="18"/>
  <c r="L1834" i="18"/>
  <c r="L1835" i="18"/>
  <c r="L1836" i="18"/>
  <c r="L1837" i="18"/>
  <c r="L1838" i="18"/>
  <c r="L1839" i="18"/>
  <c r="L1840" i="18"/>
  <c r="L1841" i="18"/>
  <c r="L1842" i="18"/>
  <c r="L1843" i="18"/>
  <c r="L1844" i="18"/>
  <c r="L1845" i="18"/>
  <c r="L1846" i="18"/>
  <c r="L1847" i="18"/>
  <c r="L1848" i="18"/>
  <c r="L1849" i="18"/>
  <c r="L1850" i="18"/>
  <c r="L1851" i="18"/>
  <c r="L1852" i="18"/>
  <c r="L1853" i="18"/>
  <c r="L1854" i="18"/>
  <c r="L1855" i="18"/>
  <c r="L1856" i="18"/>
  <c r="L1857" i="18"/>
  <c r="L1858" i="18"/>
  <c r="L1859" i="18"/>
  <c r="L1861" i="18"/>
  <c r="L1862" i="18"/>
  <c r="L1863" i="18"/>
  <c r="L1864" i="18"/>
  <c r="L1865" i="18"/>
  <c r="L1866" i="18"/>
  <c r="L1867" i="18"/>
  <c r="L1868" i="18"/>
  <c r="L1869" i="18"/>
  <c r="L1870" i="18"/>
  <c r="L1871" i="18"/>
  <c r="L1872" i="18"/>
  <c r="L1873" i="18"/>
  <c r="L1874" i="18"/>
  <c r="L1875" i="18"/>
  <c r="L1876" i="18"/>
  <c r="L1877" i="18"/>
  <c r="L1878" i="18"/>
  <c r="L1879" i="18"/>
  <c r="L1880" i="18"/>
  <c r="L1881" i="18"/>
  <c r="L1882" i="18"/>
  <c r="L1883" i="18"/>
  <c r="L1884" i="18"/>
  <c r="L1885" i="18"/>
  <c r="L1886" i="18"/>
  <c r="L1887" i="18"/>
  <c r="L1888" i="18"/>
  <c r="L1889" i="18"/>
  <c r="L1890" i="18"/>
  <c r="L1892" i="18"/>
  <c r="L1893" i="18"/>
  <c r="L1894" i="18"/>
  <c r="L1895" i="18"/>
  <c r="L1896" i="18"/>
  <c r="L1897" i="18"/>
  <c r="L1898" i="18"/>
  <c r="L1899" i="18"/>
  <c r="L1900" i="18"/>
  <c r="L1901" i="18"/>
  <c r="L1902" i="18"/>
  <c r="L1903" i="18"/>
  <c r="L1904" i="18"/>
  <c r="L1905" i="18"/>
  <c r="L1906" i="18"/>
  <c r="L1907" i="18"/>
  <c r="L1908" i="18"/>
  <c r="L1909" i="18"/>
  <c r="L1910" i="18"/>
  <c r="L1911" i="18"/>
  <c r="L1912" i="18"/>
  <c r="L1913" i="18"/>
  <c r="L1914" i="18"/>
  <c r="L1915" i="18"/>
  <c r="L1916" i="18"/>
  <c r="L1917" i="18"/>
  <c r="L1918" i="18"/>
  <c r="L1919" i="18"/>
  <c r="L1920" i="18"/>
  <c r="L1921" i="18"/>
  <c r="L1923" i="18"/>
  <c r="L1924" i="18"/>
  <c r="L1925" i="18"/>
  <c r="L1926" i="18"/>
  <c r="L1927" i="18"/>
  <c r="L1928" i="18"/>
  <c r="L1929" i="18"/>
  <c r="L1930" i="18"/>
  <c r="L1931" i="18"/>
  <c r="L1932" i="18"/>
  <c r="L1933" i="18"/>
  <c r="L1934" i="18"/>
  <c r="L1935" i="18"/>
  <c r="L1936" i="18"/>
  <c r="L1937" i="18"/>
  <c r="L1938" i="18"/>
  <c r="L1939" i="18"/>
  <c r="L1940" i="18"/>
  <c r="L1941" i="18"/>
  <c r="L1942" i="18"/>
  <c r="L1943" i="18"/>
  <c r="L1944" i="18"/>
  <c r="L1945" i="18"/>
  <c r="L1946" i="18"/>
  <c r="L1947" i="18"/>
  <c r="L1948" i="18"/>
  <c r="L1949" i="18"/>
  <c r="L1950" i="18"/>
  <c r="L1951" i="18"/>
  <c r="L1952" i="18"/>
  <c r="L1954" i="18"/>
  <c r="L1955" i="18"/>
  <c r="L1956" i="18"/>
  <c r="L1957" i="18"/>
  <c r="L1958" i="18"/>
  <c r="L1959" i="18"/>
  <c r="L1960" i="18"/>
  <c r="L1961" i="18"/>
  <c r="L1962" i="18"/>
  <c r="L1963" i="18"/>
  <c r="L1964" i="18"/>
  <c r="L1965" i="18"/>
  <c r="L1966" i="18"/>
  <c r="L1967" i="18"/>
  <c r="L1968" i="18"/>
  <c r="L1969" i="18"/>
  <c r="L1970" i="18"/>
  <c r="L1971" i="18"/>
  <c r="L1972" i="18"/>
  <c r="L1973" i="18"/>
  <c r="L1974" i="18"/>
  <c r="L1975" i="18"/>
  <c r="L1976" i="18"/>
  <c r="L1977" i="18"/>
  <c r="L1978" i="18"/>
  <c r="L1979" i="18"/>
  <c r="L1980" i="18"/>
  <c r="L1981" i="18"/>
  <c r="L1982" i="18"/>
  <c r="L1983" i="18"/>
  <c r="L1985" i="18"/>
  <c r="L1986" i="18"/>
  <c r="L1987" i="18"/>
  <c r="L1988" i="18"/>
  <c r="L1989" i="18"/>
  <c r="L1990" i="18"/>
  <c r="L1991" i="18"/>
  <c r="L1992" i="18"/>
  <c r="L1993" i="18"/>
  <c r="L1994" i="18"/>
  <c r="L1995" i="18"/>
  <c r="L1996" i="18"/>
  <c r="L1997" i="18"/>
  <c r="L1998" i="18"/>
  <c r="L1999" i="18"/>
  <c r="L2000" i="18"/>
  <c r="L2001" i="18"/>
  <c r="L2002" i="18"/>
  <c r="L2003" i="18"/>
  <c r="L2004" i="18"/>
  <c r="L2005" i="18"/>
  <c r="L2006" i="18"/>
  <c r="L2007" i="18"/>
  <c r="L2008" i="18"/>
  <c r="L2009" i="18"/>
  <c r="L2010" i="18"/>
  <c r="L2011" i="18"/>
  <c r="L2012" i="18"/>
  <c r="L2013" i="18"/>
  <c r="L2014" i="18"/>
  <c r="L2016" i="18"/>
  <c r="L2017" i="18"/>
  <c r="L2018" i="18"/>
  <c r="L2019" i="18"/>
  <c r="L2020" i="18"/>
  <c r="L2021" i="18"/>
  <c r="L2022" i="18"/>
  <c r="L2023" i="18"/>
  <c r="L2024" i="18"/>
  <c r="L2025" i="18"/>
  <c r="L2026" i="18"/>
  <c r="L2027" i="18"/>
  <c r="L2028" i="18"/>
  <c r="L2029" i="18"/>
  <c r="L2030" i="18"/>
  <c r="L2031" i="18"/>
  <c r="L2032" i="18"/>
  <c r="L2033" i="18"/>
  <c r="L2034" i="18"/>
  <c r="L2035" i="18"/>
  <c r="L2036" i="18"/>
  <c r="L2037" i="18"/>
  <c r="L2038" i="18"/>
  <c r="L2039" i="18"/>
  <c r="L2040" i="18"/>
  <c r="L2041" i="18"/>
  <c r="L2042" i="18"/>
  <c r="L2043" i="18"/>
  <c r="L2044" i="18"/>
  <c r="L2046" i="18"/>
  <c r="L2047" i="18"/>
  <c r="L2048" i="18"/>
  <c r="L2049" i="18"/>
  <c r="L2050" i="18"/>
  <c r="L2051" i="18"/>
  <c r="L2052" i="18"/>
  <c r="L2053" i="18"/>
  <c r="L2054" i="18"/>
  <c r="L2055" i="18"/>
  <c r="L2056" i="18"/>
  <c r="L2057" i="18"/>
  <c r="L2058" i="18"/>
  <c r="L2059" i="18"/>
  <c r="L2060" i="18"/>
  <c r="L2061" i="18"/>
  <c r="L2062" i="18"/>
  <c r="L2063" i="18"/>
  <c r="L2064" i="18"/>
  <c r="L2065" i="18"/>
  <c r="L2066" i="18"/>
  <c r="L2067" i="18"/>
  <c r="L2068" i="18"/>
  <c r="L2069" i="18"/>
  <c r="L2070" i="18"/>
  <c r="L2071" i="18"/>
  <c r="L2072" i="18"/>
  <c r="L2073" i="18"/>
  <c r="L2074" i="18"/>
  <c r="L2076" i="18"/>
  <c r="L2077" i="18"/>
  <c r="L2078" i="18"/>
  <c r="L2079" i="18"/>
  <c r="L2080" i="18"/>
  <c r="L2081" i="18"/>
  <c r="L2082" i="18"/>
  <c r="L2083" i="18"/>
  <c r="L2084" i="18"/>
  <c r="L2085" i="18"/>
  <c r="L2086" i="18"/>
  <c r="L2087" i="18"/>
  <c r="L2088" i="18"/>
  <c r="L2089" i="18"/>
  <c r="L2090" i="18"/>
  <c r="L2091" i="18"/>
  <c r="L2092" i="18"/>
  <c r="L2093" i="18"/>
  <c r="L2094" i="18"/>
  <c r="L2095" i="18"/>
  <c r="L2096" i="18"/>
  <c r="L2097" i="18"/>
  <c r="L2098" i="18"/>
  <c r="L2099" i="18"/>
  <c r="L2100" i="18"/>
  <c r="L2101" i="18"/>
  <c r="L2102" i="18"/>
  <c r="L2103" i="18"/>
  <c r="L2104" i="18"/>
  <c r="L2106" i="18"/>
  <c r="L2107" i="18"/>
  <c r="L2108" i="18"/>
  <c r="L2109" i="18"/>
  <c r="L2110" i="18"/>
  <c r="L2111" i="18"/>
  <c r="L2112" i="18"/>
  <c r="L2113" i="18"/>
  <c r="L2114" i="18"/>
  <c r="L2115" i="18"/>
  <c r="L2116" i="18"/>
  <c r="L2117" i="18"/>
  <c r="L2118" i="18"/>
  <c r="L2119" i="18"/>
  <c r="L2120" i="18"/>
  <c r="L2121" i="18"/>
  <c r="L2122" i="18"/>
  <c r="L2123" i="18"/>
  <c r="L2124" i="18"/>
  <c r="L2125" i="18"/>
  <c r="L2126" i="18"/>
  <c r="L2127" i="18"/>
  <c r="L2128" i="18"/>
  <c r="L2129" i="18"/>
  <c r="L2130" i="18"/>
  <c r="L2131" i="18"/>
  <c r="L2132" i="18"/>
  <c r="L2133" i="18"/>
  <c r="L2134" i="18"/>
  <c r="L2136" i="18"/>
  <c r="L2137" i="18"/>
  <c r="L2138" i="18"/>
  <c r="L2139" i="18"/>
  <c r="L2140" i="18"/>
  <c r="L2141" i="18"/>
  <c r="L2142" i="18"/>
  <c r="L2143" i="18"/>
  <c r="L2144" i="18"/>
  <c r="L2145" i="18"/>
  <c r="L2146" i="18"/>
  <c r="L2147" i="18"/>
  <c r="L2148" i="18"/>
  <c r="L2149" i="18"/>
  <c r="L2150" i="18"/>
  <c r="L2151" i="18"/>
  <c r="L2152" i="18"/>
  <c r="L2153" i="18"/>
  <c r="L2154" i="18"/>
  <c r="L2155" i="18"/>
  <c r="L2156" i="18"/>
  <c r="L2157" i="18"/>
  <c r="L2158" i="18"/>
  <c r="L2159" i="18"/>
  <c r="L2160" i="18"/>
  <c r="L2161" i="18"/>
  <c r="L2162" i="18"/>
  <c r="L2163" i="18"/>
  <c r="L2164" i="18"/>
  <c r="L2167" i="18"/>
  <c r="L2168" i="18"/>
  <c r="L2169" i="18"/>
  <c r="L2170" i="18"/>
  <c r="L2171" i="18"/>
  <c r="L2172" i="18"/>
  <c r="L2173" i="18"/>
  <c r="L2174" i="18"/>
  <c r="L2175" i="18"/>
  <c r="L2176" i="18"/>
  <c r="L2177" i="18"/>
  <c r="L2178" i="18"/>
  <c r="L2179" i="18"/>
  <c r="L2180" i="18"/>
  <c r="L2181" i="18"/>
  <c r="L2182" i="18"/>
  <c r="L2183" i="18"/>
  <c r="L2184" i="18"/>
  <c r="L2185" i="18"/>
  <c r="L2186" i="18"/>
  <c r="L2187" i="18"/>
  <c r="L2188" i="18"/>
  <c r="L2189" i="18"/>
  <c r="L2190" i="18"/>
  <c r="L2191" i="18"/>
  <c r="M1827" i="18"/>
  <c r="M1828" i="18"/>
  <c r="M1830" i="18"/>
  <c r="M1831" i="18"/>
  <c r="M1832" i="18"/>
  <c r="M1833" i="18"/>
  <c r="M1834" i="18"/>
  <c r="M1835" i="18"/>
  <c r="M1836" i="18"/>
  <c r="M1837" i="18"/>
  <c r="M1838" i="18"/>
  <c r="M1839" i="18"/>
  <c r="M1840" i="18"/>
  <c r="M1841" i="18"/>
  <c r="M1842" i="18"/>
  <c r="M1843" i="18"/>
  <c r="M1844" i="18"/>
  <c r="M1845" i="18"/>
  <c r="M1846" i="18"/>
  <c r="M1847" i="18"/>
  <c r="M1848" i="18"/>
  <c r="M1849" i="18"/>
  <c r="M1850" i="18"/>
  <c r="M1851" i="18"/>
  <c r="M1852" i="18"/>
  <c r="M1853" i="18"/>
  <c r="M1854" i="18"/>
  <c r="M1855" i="18"/>
  <c r="M1856" i="18"/>
  <c r="M1857" i="18"/>
  <c r="M1858" i="18"/>
  <c r="M1859" i="18"/>
  <c r="M1861" i="18"/>
  <c r="M1862" i="18"/>
  <c r="M1863" i="18"/>
  <c r="M1864" i="18"/>
  <c r="M1865" i="18"/>
  <c r="M1866" i="18"/>
  <c r="M1867" i="18"/>
  <c r="M1868" i="18"/>
  <c r="M1869" i="18"/>
  <c r="M1870" i="18"/>
  <c r="M1871" i="18"/>
  <c r="M1872" i="18"/>
  <c r="M1873" i="18"/>
  <c r="M1874" i="18"/>
  <c r="M1875" i="18"/>
  <c r="M1876" i="18"/>
  <c r="M1877" i="18"/>
  <c r="M1878" i="18"/>
  <c r="M1879" i="18"/>
  <c r="M1880" i="18"/>
  <c r="M1881" i="18"/>
  <c r="M1882" i="18"/>
  <c r="M1883" i="18"/>
  <c r="M1884" i="18"/>
  <c r="M1885" i="18"/>
  <c r="M1886" i="18"/>
  <c r="M1887" i="18"/>
  <c r="M1888" i="18"/>
  <c r="M1889" i="18"/>
  <c r="M1890" i="18"/>
  <c r="M1892" i="18"/>
  <c r="M1893" i="18"/>
  <c r="M1894" i="18"/>
  <c r="M1895" i="18"/>
  <c r="M1896" i="18"/>
  <c r="M1897" i="18"/>
  <c r="M1898" i="18"/>
  <c r="M1899" i="18"/>
  <c r="M1900" i="18"/>
  <c r="M1901" i="18"/>
  <c r="M1902" i="18"/>
  <c r="M1903" i="18"/>
  <c r="M1904" i="18"/>
  <c r="M1905" i="18"/>
  <c r="M1906" i="18"/>
  <c r="M1907" i="18"/>
  <c r="M1908" i="18"/>
  <c r="M1909" i="18"/>
  <c r="M1910" i="18"/>
  <c r="M1911" i="18"/>
  <c r="M1912" i="18"/>
  <c r="M1913" i="18"/>
  <c r="M1914" i="18"/>
  <c r="M1915" i="18"/>
  <c r="M1916" i="18"/>
  <c r="M1917" i="18"/>
  <c r="M1918" i="18"/>
  <c r="M1919" i="18"/>
  <c r="M1920" i="18"/>
  <c r="M1921" i="18"/>
  <c r="M1923" i="18"/>
  <c r="M1924" i="18"/>
  <c r="M1925" i="18"/>
  <c r="M1926" i="18"/>
  <c r="M1927" i="18"/>
  <c r="M1928" i="18"/>
  <c r="M1929" i="18"/>
  <c r="M1930" i="18"/>
  <c r="M1931" i="18"/>
  <c r="M1932" i="18"/>
  <c r="M1933" i="18"/>
  <c r="M1934" i="18"/>
  <c r="M1935" i="18"/>
  <c r="M1936" i="18"/>
  <c r="M1937" i="18"/>
  <c r="M1938" i="18"/>
  <c r="M1939" i="18"/>
  <c r="M1940" i="18"/>
  <c r="M1941" i="18"/>
  <c r="M1942" i="18"/>
  <c r="M1943" i="18"/>
  <c r="M1944" i="18"/>
  <c r="M1945" i="18"/>
  <c r="M1946" i="18"/>
  <c r="M1947" i="18"/>
  <c r="M1948" i="18"/>
  <c r="M1949" i="18"/>
  <c r="M1950" i="18"/>
  <c r="M1951" i="18"/>
  <c r="M1952" i="18"/>
  <c r="M1954" i="18"/>
  <c r="M1955" i="18"/>
  <c r="M1956" i="18"/>
  <c r="M1957" i="18"/>
  <c r="M1958" i="18"/>
  <c r="M1959" i="18"/>
  <c r="M1960" i="18"/>
  <c r="M1961" i="18"/>
  <c r="M1962" i="18"/>
  <c r="M1963" i="18"/>
  <c r="M1964" i="18"/>
  <c r="M1965" i="18"/>
  <c r="M1966" i="18"/>
  <c r="M1967" i="18"/>
  <c r="M1968" i="18"/>
  <c r="M1969" i="18"/>
  <c r="M1970" i="18"/>
  <c r="M1971" i="18"/>
  <c r="M1972" i="18"/>
  <c r="M1973" i="18"/>
  <c r="M1974" i="18"/>
  <c r="M1975" i="18"/>
  <c r="M1976" i="18"/>
  <c r="M1977" i="18"/>
  <c r="M1978" i="18"/>
  <c r="M1979" i="18"/>
  <c r="M1980" i="18"/>
  <c r="M1981" i="18"/>
  <c r="M1982" i="18"/>
  <c r="M1983" i="18"/>
  <c r="M1985" i="18"/>
  <c r="M1986" i="18"/>
  <c r="M1987" i="18"/>
  <c r="M1988" i="18"/>
  <c r="M1989" i="18"/>
  <c r="M1990" i="18"/>
  <c r="M1991" i="18"/>
  <c r="M1992" i="18"/>
  <c r="M1993" i="18"/>
  <c r="M1994" i="18"/>
  <c r="M1995" i="18"/>
  <c r="M1996" i="18"/>
  <c r="M1997" i="18"/>
  <c r="M1998" i="18"/>
  <c r="M1999" i="18"/>
  <c r="M2000" i="18"/>
  <c r="M2001" i="18"/>
  <c r="M2002" i="18"/>
  <c r="M2003" i="18"/>
  <c r="M2004" i="18"/>
  <c r="M2005" i="18"/>
  <c r="M2006" i="18"/>
  <c r="M2007" i="18"/>
  <c r="M2008" i="18"/>
  <c r="M2009" i="18"/>
  <c r="M2010" i="18"/>
  <c r="M2011" i="18"/>
  <c r="M2012" i="18"/>
  <c r="M2013" i="18"/>
  <c r="M2014" i="18"/>
  <c r="M2016" i="18"/>
  <c r="M2017" i="18"/>
  <c r="M2018" i="18"/>
  <c r="M2019" i="18"/>
  <c r="M2020" i="18"/>
  <c r="M2021" i="18"/>
  <c r="M2022" i="18"/>
  <c r="M2023" i="18"/>
  <c r="M2024" i="18"/>
  <c r="M2025" i="18"/>
  <c r="M2026" i="18"/>
  <c r="M2027" i="18"/>
  <c r="M2028" i="18"/>
  <c r="M2029" i="18"/>
  <c r="M2030" i="18"/>
  <c r="M2031" i="18"/>
  <c r="M2032" i="18"/>
  <c r="M2033" i="18"/>
  <c r="M2034" i="18"/>
  <c r="M2035" i="18"/>
  <c r="M2036" i="18"/>
  <c r="M2037" i="18"/>
  <c r="M2038" i="18"/>
  <c r="M2039" i="18"/>
  <c r="M2040" i="18"/>
  <c r="M2041" i="18"/>
  <c r="M2042" i="18"/>
  <c r="M2043" i="18"/>
  <c r="M2044" i="18"/>
  <c r="M2046" i="18"/>
  <c r="M2047" i="18"/>
  <c r="M2048" i="18"/>
  <c r="M2049" i="18"/>
  <c r="M2050" i="18"/>
  <c r="M2051" i="18"/>
  <c r="M2052" i="18"/>
  <c r="M2053" i="18"/>
  <c r="M2054" i="18"/>
  <c r="M2055" i="18"/>
  <c r="M2056" i="18"/>
  <c r="M2057" i="18"/>
  <c r="M2058" i="18"/>
  <c r="M2059" i="18"/>
  <c r="M2060" i="18"/>
  <c r="M2061" i="18"/>
  <c r="M2062" i="18"/>
  <c r="M2063" i="18"/>
  <c r="M2064" i="18"/>
  <c r="M2065" i="18"/>
  <c r="M2066" i="18"/>
  <c r="M2067" i="18"/>
  <c r="M2068" i="18"/>
  <c r="M2069" i="18"/>
  <c r="M2070" i="18"/>
  <c r="M2071" i="18"/>
  <c r="M2072" i="18"/>
  <c r="M2073" i="18"/>
  <c r="M2074" i="18"/>
  <c r="M2076" i="18"/>
  <c r="M2077" i="18"/>
  <c r="M2078" i="18"/>
  <c r="M2079" i="18"/>
  <c r="M2080" i="18"/>
  <c r="M2081" i="18"/>
  <c r="M2082" i="18"/>
  <c r="M2083" i="18"/>
  <c r="M2084" i="18"/>
  <c r="M2085" i="18"/>
  <c r="M2086" i="18"/>
  <c r="M2087" i="18"/>
  <c r="M2088" i="18"/>
  <c r="M2089" i="18"/>
  <c r="M2090" i="18"/>
  <c r="M2091" i="18"/>
  <c r="M2092" i="18"/>
  <c r="M2093" i="18"/>
  <c r="M2094" i="18"/>
  <c r="M2095" i="18"/>
  <c r="M2096" i="18"/>
  <c r="M2097" i="18"/>
  <c r="M2098" i="18"/>
  <c r="M2099" i="18"/>
  <c r="M2100" i="18"/>
  <c r="M2101" i="18"/>
  <c r="M2102" i="18"/>
  <c r="M2103" i="18"/>
  <c r="M2104" i="18"/>
  <c r="M2106" i="18"/>
  <c r="M2107" i="18"/>
  <c r="M2108" i="18"/>
  <c r="M2109" i="18"/>
  <c r="M2110" i="18"/>
  <c r="M2111" i="18"/>
  <c r="M2112" i="18"/>
  <c r="M2113" i="18"/>
  <c r="M2114" i="18"/>
  <c r="M2115" i="18"/>
  <c r="M2116" i="18"/>
  <c r="M2117" i="18"/>
  <c r="M2118" i="18"/>
  <c r="M2119" i="18"/>
  <c r="M2120" i="18"/>
  <c r="M2121" i="18"/>
  <c r="M2122" i="18"/>
  <c r="M2123" i="18"/>
  <c r="M2124" i="18"/>
  <c r="M2125" i="18"/>
  <c r="M2126" i="18"/>
  <c r="M2127" i="18"/>
  <c r="M2128" i="18"/>
  <c r="M2129" i="18"/>
  <c r="M2130" i="18"/>
  <c r="M2131" i="18"/>
  <c r="M2132" i="18"/>
  <c r="M2133" i="18"/>
  <c r="M2134" i="18"/>
  <c r="M2136" i="18"/>
  <c r="M2137" i="18"/>
  <c r="M2138" i="18"/>
  <c r="M2139" i="18"/>
  <c r="M2140" i="18"/>
  <c r="M2141" i="18"/>
  <c r="M2142" i="18"/>
  <c r="M2143" i="18"/>
  <c r="M2144" i="18"/>
  <c r="M2145" i="18"/>
  <c r="M2146" i="18"/>
  <c r="M2147" i="18"/>
  <c r="M2148" i="18"/>
  <c r="M2149" i="18"/>
  <c r="M2150" i="18"/>
  <c r="M2151" i="18"/>
  <c r="M2152" i="18"/>
  <c r="M2153" i="18"/>
  <c r="M2154" i="18"/>
  <c r="M2155" i="18"/>
  <c r="M2156" i="18"/>
  <c r="M2157" i="18"/>
  <c r="M2158" i="18"/>
  <c r="M2159" i="18"/>
  <c r="M2160" i="18"/>
  <c r="M2161" i="18"/>
  <c r="M2162" i="18"/>
  <c r="M2163" i="18"/>
  <c r="M2164" i="18"/>
  <c r="M2167" i="18"/>
  <c r="M2168" i="18"/>
  <c r="M2169" i="18"/>
  <c r="M2170" i="18"/>
  <c r="M2171" i="18"/>
  <c r="M2172" i="18"/>
  <c r="M2173" i="18"/>
  <c r="M2174" i="18"/>
  <c r="M2175" i="18"/>
  <c r="M2176" i="18"/>
  <c r="M2177" i="18"/>
  <c r="M2178" i="18"/>
  <c r="M2179" i="18"/>
  <c r="M2180" i="18"/>
  <c r="M2181" i="18"/>
  <c r="M2182" i="18"/>
  <c r="M2183" i="18"/>
  <c r="M2184" i="18"/>
  <c r="M2185" i="18"/>
  <c r="M2186" i="18"/>
  <c r="M2187" i="18"/>
  <c r="M2188" i="18"/>
  <c r="M2189" i="18"/>
  <c r="M2190" i="18"/>
  <c r="M2191" i="18"/>
  <c r="N1827" i="18"/>
  <c r="N1828" i="18"/>
  <c r="N1830" i="18"/>
  <c r="N1831" i="18"/>
  <c r="N1832" i="18"/>
  <c r="N1833" i="18"/>
  <c r="N1834" i="18"/>
  <c r="N1835" i="18"/>
  <c r="N1836" i="18"/>
  <c r="N1837" i="18"/>
  <c r="N1838" i="18"/>
  <c r="N1839" i="18"/>
  <c r="N1840" i="18"/>
  <c r="N1841" i="18"/>
  <c r="N1842" i="18"/>
  <c r="N1843" i="18"/>
  <c r="N1844" i="18"/>
  <c r="N1845" i="18"/>
  <c r="N1846" i="18"/>
  <c r="N1847" i="18"/>
  <c r="N1848" i="18"/>
  <c r="N1849" i="18"/>
  <c r="N1850" i="18"/>
  <c r="N1851" i="18"/>
  <c r="N1852" i="18"/>
  <c r="N1853" i="18"/>
  <c r="N1854" i="18"/>
  <c r="N1855" i="18"/>
  <c r="N1856" i="18"/>
  <c r="N1857" i="18"/>
  <c r="N1858" i="18"/>
  <c r="N1859" i="18"/>
  <c r="N1861" i="18"/>
  <c r="N1862" i="18"/>
  <c r="N1863" i="18"/>
  <c r="N1864" i="18"/>
  <c r="N1865" i="18"/>
  <c r="N1866" i="18"/>
  <c r="N1867" i="18"/>
  <c r="N1868" i="18"/>
  <c r="N1869" i="18"/>
  <c r="N1870" i="18"/>
  <c r="N1871" i="18"/>
  <c r="N1872" i="18"/>
  <c r="N1873" i="18"/>
  <c r="N1874" i="18"/>
  <c r="N1875" i="18"/>
  <c r="N1876" i="18"/>
  <c r="N1877" i="18"/>
  <c r="N1878" i="18"/>
  <c r="N1879" i="18"/>
  <c r="N1880" i="18"/>
  <c r="N1881" i="18"/>
  <c r="N1882" i="18"/>
  <c r="N1883" i="18"/>
  <c r="N1884" i="18"/>
  <c r="N1885" i="18"/>
  <c r="N1886" i="18"/>
  <c r="N1887" i="18"/>
  <c r="N1888" i="18"/>
  <c r="N1889" i="18"/>
  <c r="N1890" i="18"/>
  <c r="N1892" i="18"/>
  <c r="N1893" i="18"/>
  <c r="N1894" i="18"/>
  <c r="N1895" i="18"/>
  <c r="N1896" i="18"/>
  <c r="N1897" i="18"/>
  <c r="N1898" i="18"/>
  <c r="N1899" i="18"/>
  <c r="N1900" i="18"/>
  <c r="N1901" i="18"/>
  <c r="N1902" i="18"/>
  <c r="N1903" i="18"/>
  <c r="N1904" i="18"/>
  <c r="N1905" i="18"/>
  <c r="N1906" i="18"/>
  <c r="N1907" i="18"/>
  <c r="N1908" i="18"/>
  <c r="N1909" i="18"/>
  <c r="N1910" i="18"/>
  <c r="N1911" i="18"/>
  <c r="N1912" i="18"/>
  <c r="N1913" i="18"/>
  <c r="N1914" i="18"/>
  <c r="N1915" i="18"/>
  <c r="N1916" i="18"/>
  <c r="N1917" i="18"/>
  <c r="N1918" i="18"/>
  <c r="N1919" i="18"/>
  <c r="N1920" i="18"/>
  <c r="N1921" i="18"/>
  <c r="N1923" i="18"/>
  <c r="N1924" i="18"/>
  <c r="N1925" i="18"/>
  <c r="N1926" i="18"/>
  <c r="N1927" i="18"/>
  <c r="N1928" i="18"/>
  <c r="N1929" i="18"/>
  <c r="N1930" i="18"/>
  <c r="N1931" i="18"/>
  <c r="N1932" i="18"/>
  <c r="N1933" i="18"/>
  <c r="N1934" i="18"/>
  <c r="N1935" i="18"/>
  <c r="N1936" i="18"/>
  <c r="N1937" i="18"/>
  <c r="N1938" i="18"/>
  <c r="N1939" i="18"/>
  <c r="N1940" i="18"/>
  <c r="N1941" i="18"/>
  <c r="N1942" i="18"/>
  <c r="N1943" i="18"/>
  <c r="N1944" i="18"/>
  <c r="N1945" i="18"/>
  <c r="N1946" i="18"/>
  <c r="N1947" i="18"/>
  <c r="N1948" i="18"/>
  <c r="N1949" i="18"/>
  <c r="N1950" i="18"/>
  <c r="N1951" i="18"/>
  <c r="N1952" i="18"/>
  <c r="N1954" i="18"/>
  <c r="N1955" i="18"/>
  <c r="N1956" i="18"/>
  <c r="N1957" i="18"/>
  <c r="N1958" i="18"/>
  <c r="N1959" i="18"/>
  <c r="N1960" i="18"/>
  <c r="N1961" i="18"/>
  <c r="N1962" i="18"/>
  <c r="N1963" i="18"/>
  <c r="N1964" i="18"/>
  <c r="N1965" i="18"/>
  <c r="N1966" i="18"/>
  <c r="N1967" i="18"/>
  <c r="N1968" i="18"/>
  <c r="N1969" i="18"/>
  <c r="N1970" i="18"/>
  <c r="N1971" i="18"/>
  <c r="N1972" i="18"/>
  <c r="N1973" i="18"/>
  <c r="N1974" i="18"/>
  <c r="N1975" i="18"/>
  <c r="N1976" i="18"/>
  <c r="N1977" i="18"/>
  <c r="N1978" i="18"/>
  <c r="N1979" i="18"/>
  <c r="N1980" i="18"/>
  <c r="N1981" i="18"/>
  <c r="N1982" i="18"/>
  <c r="N1983" i="18"/>
  <c r="N1985" i="18"/>
  <c r="N1986" i="18"/>
  <c r="N1987" i="18"/>
  <c r="N1988" i="18"/>
  <c r="N1989" i="18"/>
  <c r="N1990" i="18"/>
  <c r="N1991" i="18"/>
  <c r="N1992" i="18"/>
  <c r="N1993" i="18"/>
  <c r="N1994" i="18"/>
  <c r="N1995" i="18"/>
  <c r="N1996" i="18"/>
  <c r="N1997" i="18"/>
  <c r="N1998" i="18"/>
  <c r="N1999" i="18"/>
  <c r="N2000" i="18"/>
  <c r="N2001" i="18"/>
  <c r="N2002" i="18"/>
  <c r="N2003" i="18"/>
  <c r="N2004" i="18"/>
  <c r="N2005" i="18"/>
  <c r="N2006" i="18"/>
  <c r="N2007" i="18"/>
  <c r="N2008" i="18"/>
  <c r="N2009" i="18"/>
  <c r="N2010" i="18"/>
  <c r="N2011" i="18"/>
  <c r="N2012" i="18"/>
  <c r="N2013" i="18"/>
  <c r="N2014" i="18"/>
  <c r="N2016" i="18"/>
  <c r="N2017" i="18"/>
  <c r="N2018" i="18"/>
  <c r="N2019" i="18"/>
  <c r="N2020" i="18"/>
  <c r="N2021" i="18"/>
  <c r="N2022" i="18"/>
  <c r="N2023" i="18"/>
  <c r="N2024" i="18"/>
  <c r="N2025" i="18"/>
  <c r="N2026" i="18"/>
  <c r="N2027" i="18"/>
  <c r="N2028" i="18"/>
  <c r="N2029" i="18"/>
  <c r="N2030" i="18"/>
  <c r="N2031" i="18"/>
  <c r="N2032" i="18"/>
  <c r="N2033" i="18"/>
  <c r="N2034" i="18"/>
  <c r="N2035" i="18"/>
  <c r="N2036" i="18"/>
  <c r="N2037" i="18"/>
  <c r="N2038" i="18"/>
  <c r="N2039" i="18"/>
  <c r="N2040" i="18"/>
  <c r="N2041" i="18"/>
  <c r="N2042" i="18"/>
  <c r="N2043" i="18"/>
  <c r="N2044" i="18"/>
  <c r="N2046" i="18"/>
  <c r="N2047" i="18"/>
  <c r="N2048" i="18"/>
  <c r="N2049" i="18"/>
  <c r="N2050" i="18"/>
  <c r="N2051" i="18"/>
  <c r="N2052" i="18"/>
  <c r="N2053" i="18"/>
  <c r="N2054" i="18"/>
  <c r="N2055" i="18"/>
  <c r="N2056" i="18"/>
  <c r="N2057" i="18"/>
  <c r="N2058" i="18"/>
  <c r="N2059" i="18"/>
  <c r="N2060" i="18"/>
  <c r="N2061" i="18"/>
  <c r="N2062" i="18"/>
  <c r="N2063" i="18"/>
  <c r="N2064" i="18"/>
  <c r="N2065" i="18"/>
  <c r="N2066" i="18"/>
  <c r="N2067" i="18"/>
  <c r="N2068" i="18"/>
  <c r="N2069" i="18"/>
  <c r="N2070" i="18"/>
  <c r="N2071" i="18"/>
  <c r="N2072" i="18"/>
  <c r="N2073" i="18"/>
  <c r="N2074" i="18"/>
  <c r="N2076" i="18"/>
  <c r="N2077" i="18"/>
  <c r="N2078" i="18"/>
  <c r="N2079" i="18"/>
  <c r="N2080" i="18"/>
  <c r="N2081" i="18"/>
  <c r="N2082" i="18"/>
  <c r="N2083" i="18"/>
  <c r="N2084" i="18"/>
  <c r="N2085" i="18"/>
  <c r="N2086" i="18"/>
  <c r="N2087" i="18"/>
  <c r="N2088" i="18"/>
  <c r="N2089" i="18"/>
  <c r="N2090" i="18"/>
  <c r="N2091" i="18"/>
  <c r="N2092" i="18"/>
  <c r="N2093" i="18"/>
  <c r="N2094" i="18"/>
  <c r="N2095" i="18"/>
  <c r="N2096" i="18"/>
  <c r="N2097" i="18"/>
  <c r="N2098" i="18"/>
  <c r="N2099" i="18"/>
  <c r="N2100" i="18"/>
  <c r="N2101" i="18"/>
  <c r="N2102" i="18"/>
  <c r="N2103" i="18"/>
  <c r="N2104" i="18"/>
  <c r="N2106" i="18"/>
  <c r="N2107" i="18"/>
  <c r="N2108" i="18"/>
  <c r="N2109" i="18"/>
  <c r="N2110" i="18"/>
  <c r="N2111" i="18"/>
  <c r="N2112" i="18"/>
  <c r="N2113" i="18"/>
  <c r="N2114" i="18"/>
  <c r="N2115" i="18"/>
  <c r="N2116" i="18"/>
  <c r="N2117" i="18"/>
  <c r="N2118" i="18"/>
  <c r="N2119" i="18"/>
  <c r="N2120" i="18"/>
  <c r="N2121" i="18"/>
  <c r="N2122" i="18"/>
  <c r="N2123" i="18"/>
  <c r="N2124" i="18"/>
  <c r="N2125" i="18"/>
  <c r="N2126" i="18"/>
  <c r="N2127" i="18"/>
  <c r="N2128" i="18"/>
  <c r="N2129" i="18"/>
  <c r="N2130" i="18"/>
  <c r="N2131" i="18"/>
  <c r="N2132" i="18"/>
  <c r="N2133" i="18"/>
  <c r="N2134" i="18"/>
  <c r="N2136" i="18"/>
  <c r="N2137" i="18"/>
  <c r="N2138" i="18"/>
  <c r="N2139" i="18"/>
  <c r="N2140" i="18"/>
  <c r="N2141" i="18"/>
  <c r="N2142" i="18"/>
  <c r="N2143" i="18"/>
  <c r="N2144" i="18"/>
  <c r="N2145" i="18"/>
  <c r="N2146" i="18"/>
  <c r="N2147" i="18"/>
  <c r="N2148" i="18"/>
  <c r="N2149" i="18"/>
  <c r="N2150" i="18"/>
  <c r="N2151" i="18"/>
  <c r="N2152" i="18"/>
  <c r="N2153" i="18"/>
  <c r="N2154" i="18"/>
  <c r="N2155" i="18"/>
  <c r="N2156" i="18"/>
  <c r="N2157" i="18"/>
  <c r="N2158" i="18"/>
  <c r="N2159" i="18"/>
  <c r="N2160" i="18"/>
  <c r="N2161" i="18"/>
  <c r="N2162" i="18"/>
  <c r="N2163" i="18"/>
  <c r="N2164" i="18"/>
  <c r="N2167" i="18"/>
  <c r="N2168" i="18"/>
  <c r="N2169" i="18"/>
  <c r="N2170" i="18"/>
  <c r="N2171" i="18"/>
  <c r="N2172" i="18"/>
  <c r="N2173" i="18"/>
  <c r="N2174" i="18"/>
  <c r="N2175" i="18"/>
  <c r="N2176" i="18"/>
  <c r="N2177" i="18"/>
  <c r="N2178" i="18"/>
  <c r="N2179" i="18"/>
  <c r="N2180" i="18"/>
  <c r="N2181" i="18"/>
  <c r="N2182" i="18"/>
  <c r="N2183" i="18"/>
  <c r="N2184" i="18"/>
  <c r="N2185" i="18"/>
  <c r="N2186" i="18"/>
  <c r="N2187" i="18"/>
  <c r="N2188" i="18"/>
  <c r="N2189" i="18"/>
  <c r="N2190" i="18"/>
  <c r="N2191" i="18"/>
  <c r="O1827" i="18"/>
  <c r="O1828" i="18"/>
  <c r="O1830" i="18"/>
  <c r="O1831" i="18"/>
  <c r="O1832" i="18"/>
  <c r="O1833" i="18"/>
  <c r="O1834" i="18"/>
  <c r="O1835" i="18"/>
  <c r="O1836" i="18"/>
  <c r="O1837" i="18"/>
  <c r="O1838" i="18"/>
  <c r="O1839" i="18"/>
  <c r="O1840" i="18"/>
  <c r="O1841" i="18"/>
  <c r="O1842" i="18"/>
  <c r="O1843" i="18"/>
  <c r="O1844" i="18"/>
  <c r="O1845" i="18"/>
  <c r="O1846" i="18"/>
  <c r="O1847" i="18"/>
  <c r="O1848" i="18"/>
  <c r="O1849" i="18"/>
  <c r="O1850" i="18"/>
  <c r="O1851" i="18"/>
  <c r="O1852" i="18"/>
  <c r="O1853" i="18"/>
  <c r="O1854" i="18"/>
  <c r="O1855" i="18"/>
  <c r="O1856" i="18"/>
  <c r="O1857" i="18"/>
  <c r="O1858" i="18"/>
  <c r="O1859" i="18"/>
  <c r="O1861" i="18"/>
  <c r="O1862" i="18"/>
  <c r="O1863" i="18"/>
  <c r="O1864" i="18"/>
  <c r="O1865" i="18"/>
  <c r="O1866" i="18"/>
  <c r="O1867" i="18"/>
  <c r="O1868" i="18"/>
  <c r="O1869" i="18"/>
  <c r="O1870" i="18"/>
  <c r="O1871" i="18"/>
  <c r="O1872" i="18"/>
  <c r="O1873" i="18"/>
  <c r="O1874" i="18"/>
  <c r="O1875" i="18"/>
  <c r="O1876" i="18"/>
  <c r="O1877" i="18"/>
  <c r="O1878" i="18"/>
  <c r="O1879" i="18"/>
  <c r="O1880" i="18"/>
  <c r="O1881" i="18"/>
  <c r="O1882" i="18"/>
  <c r="O1883" i="18"/>
  <c r="O1884" i="18"/>
  <c r="O1885" i="18"/>
  <c r="O1886" i="18"/>
  <c r="O1887" i="18"/>
  <c r="O1888" i="18"/>
  <c r="O1889" i="18"/>
  <c r="O1890" i="18"/>
  <c r="O1892" i="18"/>
  <c r="O1893" i="18"/>
  <c r="O1894" i="18"/>
  <c r="O1895" i="18"/>
  <c r="O1896" i="18"/>
  <c r="O1897" i="18"/>
  <c r="O1898" i="18"/>
  <c r="O1899" i="18"/>
  <c r="O1900" i="18"/>
  <c r="O1901" i="18"/>
  <c r="O1902" i="18"/>
  <c r="O1903" i="18"/>
  <c r="O1904" i="18"/>
  <c r="O1905" i="18"/>
  <c r="O1906" i="18"/>
  <c r="O1907" i="18"/>
  <c r="O1908" i="18"/>
  <c r="O1909" i="18"/>
  <c r="O1910" i="18"/>
  <c r="O1911" i="18"/>
  <c r="O1912" i="18"/>
  <c r="O1913" i="18"/>
  <c r="O1914" i="18"/>
  <c r="O1915" i="18"/>
  <c r="O1916" i="18"/>
  <c r="O1917" i="18"/>
  <c r="O1918" i="18"/>
  <c r="O1919" i="18"/>
  <c r="O1920" i="18"/>
  <c r="O1921" i="18"/>
  <c r="O1923" i="18"/>
  <c r="O1924" i="18"/>
  <c r="O1925" i="18"/>
  <c r="O1926" i="18"/>
  <c r="O1927" i="18"/>
  <c r="O1928" i="18"/>
  <c r="O1929" i="18"/>
  <c r="O1930" i="18"/>
  <c r="O1931" i="18"/>
  <c r="O1932" i="18"/>
  <c r="O1933" i="18"/>
  <c r="O1934" i="18"/>
  <c r="O1935" i="18"/>
  <c r="O1936" i="18"/>
  <c r="O1937" i="18"/>
  <c r="O1938" i="18"/>
  <c r="O1939" i="18"/>
  <c r="O1940" i="18"/>
  <c r="O1941" i="18"/>
  <c r="O1942" i="18"/>
  <c r="O1943" i="18"/>
  <c r="O1944" i="18"/>
  <c r="O1945" i="18"/>
  <c r="O1946" i="18"/>
  <c r="O1947" i="18"/>
  <c r="O1948" i="18"/>
  <c r="O1949" i="18"/>
  <c r="O1950" i="18"/>
  <c r="O1951" i="18"/>
  <c r="O1952" i="18"/>
  <c r="O1954" i="18"/>
  <c r="O1955" i="18"/>
  <c r="O1956" i="18"/>
  <c r="O1957" i="18"/>
  <c r="O1958" i="18"/>
  <c r="O1959" i="18"/>
  <c r="O1960" i="18"/>
  <c r="O1961" i="18"/>
  <c r="O1962" i="18"/>
  <c r="O1963" i="18"/>
  <c r="O1964" i="18"/>
  <c r="O1965" i="18"/>
  <c r="O1966" i="18"/>
  <c r="O1967" i="18"/>
  <c r="O1968" i="18"/>
  <c r="O1969" i="18"/>
  <c r="O1970" i="18"/>
  <c r="O1971" i="18"/>
  <c r="O1972" i="18"/>
  <c r="O1973" i="18"/>
  <c r="O1974" i="18"/>
  <c r="O1975" i="18"/>
  <c r="O1976" i="18"/>
  <c r="O1977" i="18"/>
  <c r="O1978" i="18"/>
  <c r="O1979" i="18"/>
  <c r="O1980" i="18"/>
  <c r="O1981" i="18"/>
  <c r="O1982" i="18"/>
  <c r="O1983" i="18"/>
  <c r="O1985" i="18"/>
  <c r="O1986" i="18"/>
  <c r="O1987" i="18"/>
  <c r="O1988" i="18"/>
  <c r="O1989" i="18"/>
  <c r="O1990" i="18"/>
  <c r="O1991" i="18"/>
  <c r="O1992" i="18"/>
  <c r="O1993" i="18"/>
  <c r="O1994" i="18"/>
  <c r="O1995" i="18"/>
  <c r="O1996" i="18"/>
  <c r="O1997" i="18"/>
  <c r="O1998" i="18"/>
  <c r="O1999" i="18"/>
  <c r="O2000" i="18"/>
  <c r="O2001" i="18"/>
  <c r="O2002" i="18"/>
  <c r="O2003" i="18"/>
  <c r="O2004" i="18"/>
  <c r="O2005" i="18"/>
  <c r="O2006" i="18"/>
  <c r="O2007" i="18"/>
  <c r="O2008" i="18"/>
  <c r="O2009" i="18"/>
  <c r="O2010" i="18"/>
  <c r="O2011" i="18"/>
  <c r="O2012" i="18"/>
  <c r="O2013" i="18"/>
  <c r="O2014" i="18"/>
  <c r="O2016" i="18"/>
  <c r="O2017" i="18"/>
  <c r="O2018" i="18"/>
  <c r="O2019" i="18"/>
  <c r="O2020" i="18"/>
  <c r="O2021" i="18"/>
  <c r="O2022" i="18"/>
  <c r="O2023" i="18"/>
  <c r="O2024" i="18"/>
  <c r="O2025" i="18"/>
  <c r="O2026" i="18"/>
  <c r="O2027" i="18"/>
  <c r="O2028" i="18"/>
  <c r="O2029" i="18"/>
  <c r="O2030" i="18"/>
  <c r="O2031" i="18"/>
  <c r="O2032" i="18"/>
  <c r="O2033" i="18"/>
  <c r="O2034" i="18"/>
  <c r="O2035" i="18"/>
  <c r="O2036" i="18"/>
  <c r="O2037" i="18"/>
  <c r="O2038" i="18"/>
  <c r="O2039" i="18"/>
  <c r="O2040" i="18"/>
  <c r="O2041" i="18"/>
  <c r="O2042" i="18"/>
  <c r="O2043" i="18"/>
  <c r="O2044" i="18"/>
  <c r="O2046" i="18"/>
  <c r="O2047" i="18"/>
  <c r="O2048" i="18"/>
  <c r="O2049" i="18"/>
  <c r="O2050" i="18"/>
  <c r="O2051" i="18"/>
  <c r="O2052" i="18"/>
  <c r="O2053" i="18"/>
  <c r="O2054" i="18"/>
  <c r="O2055" i="18"/>
  <c r="O2056" i="18"/>
  <c r="O2057" i="18"/>
  <c r="O2058" i="18"/>
  <c r="O2059" i="18"/>
  <c r="O2060" i="18"/>
  <c r="O2061" i="18"/>
  <c r="O2062" i="18"/>
  <c r="O2063" i="18"/>
  <c r="O2064" i="18"/>
  <c r="O2065" i="18"/>
  <c r="O2066" i="18"/>
  <c r="O2067" i="18"/>
  <c r="O2068" i="18"/>
  <c r="O2069" i="18"/>
  <c r="O2070" i="18"/>
  <c r="O2071" i="18"/>
  <c r="O2072" i="18"/>
  <c r="O2073" i="18"/>
  <c r="O2074" i="18"/>
  <c r="O2076" i="18"/>
  <c r="O2077" i="18"/>
  <c r="O2078" i="18"/>
  <c r="O2079" i="18"/>
  <c r="O2080" i="18"/>
  <c r="O2081" i="18"/>
  <c r="O2082" i="18"/>
  <c r="O2083" i="18"/>
  <c r="O2084" i="18"/>
  <c r="O2085" i="18"/>
  <c r="O2086" i="18"/>
  <c r="O2087" i="18"/>
  <c r="O2088" i="18"/>
  <c r="O2089" i="18"/>
  <c r="O2090" i="18"/>
  <c r="O2091" i="18"/>
  <c r="O2092" i="18"/>
  <c r="O2093" i="18"/>
  <c r="O2094" i="18"/>
  <c r="O2095" i="18"/>
  <c r="O2096" i="18"/>
  <c r="O2097" i="18"/>
  <c r="O2098" i="18"/>
  <c r="O2099" i="18"/>
  <c r="O2100" i="18"/>
  <c r="O2101" i="18"/>
  <c r="O2102" i="18"/>
  <c r="O2103" i="18"/>
  <c r="O2104" i="18"/>
  <c r="O2106" i="18"/>
  <c r="O2107" i="18"/>
  <c r="O2108" i="18"/>
  <c r="O2109" i="18"/>
  <c r="O2110" i="18"/>
  <c r="O2111" i="18"/>
  <c r="O2112" i="18"/>
  <c r="O2113" i="18"/>
  <c r="O2114" i="18"/>
  <c r="O2115" i="18"/>
  <c r="O2116" i="18"/>
  <c r="O2117" i="18"/>
  <c r="O2118" i="18"/>
  <c r="O2119" i="18"/>
  <c r="O2120" i="18"/>
  <c r="O2121" i="18"/>
  <c r="O2122" i="18"/>
  <c r="O2123" i="18"/>
  <c r="O2124" i="18"/>
  <c r="O2125" i="18"/>
  <c r="O2126" i="18"/>
  <c r="O2127" i="18"/>
  <c r="O2128" i="18"/>
  <c r="O2129" i="18"/>
  <c r="O2130" i="18"/>
  <c r="O2131" i="18"/>
  <c r="O2132" i="18"/>
  <c r="O2133" i="18"/>
  <c r="O2134" i="18"/>
  <c r="O2136" i="18"/>
  <c r="O2137" i="18"/>
  <c r="O2138" i="18"/>
  <c r="O2139" i="18"/>
  <c r="O2140" i="18"/>
  <c r="O2141" i="18"/>
  <c r="O2142" i="18"/>
  <c r="O2143" i="18"/>
  <c r="O2144" i="18"/>
  <c r="O2145" i="18"/>
  <c r="O2146" i="18"/>
  <c r="O2147" i="18"/>
  <c r="O2148" i="18"/>
  <c r="O2149" i="18"/>
  <c r="O2150" i="18"/>
  <c r="O2151" i="18"/>
  <c r="O2152" i="18"/>
  <c r="O2153" i="18"/>
  <c r="O2154" i="18"/>
  <c r="O2155" i="18"/>
  <c r="O2156" i="18"/>
  <c r="O2157" i="18"/>
  <c r="O2158" i="18"/>
  <c r="O2159" i="18"/>
  <c r="O2160" i="18"/>
  <c r="O2161" i="18"/>
  <c r="O2162" i="18"/>
  <c r="O2163" i="18"/>
  <c r="O2164" i="18"/>
  <c r="O2167" i="18"/>
  <c r="O2168" i="18"/>
  <c r="O2169" i="18"/>
  <c r="O2170" i="18"/>
  <c r="O2171" i="18"/>
  <c r="O2172" i="18"/>
  <c r="O2173" i="18"/>
  <c r="O2174" i="18"/>
  <c r="O2175" i="18"/>
  <c r="O2176" i="18"/>
  <c r="O2177" i="18"/>
  <c r="O2178" i="18"/>
  <c r="O2179" i="18"/>
  <c r="O2180" i="18"/>
  <c r="O2181" i="18"/>
  <c r="O2182" i="18"/>
  <c r="O2183" i="18"/>
  <c r="O2184" i="18"/>
  <c r="O2185" i="18"/>
  <c r="O2186" i="18"/>
  <c r="O2187" i="18"/>
  <c r="O2188" i="18"/>
  <c r="O2189" i="18"/>
  <c r="O2190" i="18"/>
  <c r="O2191" i="18"/>
  <c r="P1827" i="18"/>
  <c r="P1828" i="18"/>
  <c r="P1829" i="18"/>
  <c r="P1830" i="18"/>
  <c r="P1831" i="18"/>
  <c r="P1832" i="18"/>
  <c r="P1833" i="18"/>
  <c r="P1834" i="18"/>
  <c r="P1835" i="18"/>
  <c r="P1836" i="18"/>
  <c r="P1837" i="18"/>
  <c r="P1838" i="18"/>
  <c r="P1839" i="18"/>
  <c r="P1840" i="18"/>
  <c r="P1841" i="18"/>
  <c r="P1842" i="18"/>
  <c r="P1843" i="18"/>
  <c r="P1844" i="18"/>
  <c r="P1845" i="18"/>
  <c r="P1846" i="18"/>
  <c r="P1847" i="18"/>
  <c r="P1848" i="18"/>
  <c r="P1849" i="18"/>
  <c r="P1850" i="18"/>
  <c r="P1851" i="18"/>
  <c r="P1852" i="18"/>
  <c r="P1853" i="18"/>
  <c r="P1854" i="18"/>
  <c r="P1855" i="18"/>
  <c r="P1856" i="18"/>
  <c r="P1857" i="18"/>
  <c r="P1858" i="18"/>
  <c r="P1859" i="18"/>
  <c r="P1860" i="18"/>
  <c r="P1861" i="18"/>
  <c r="P1862" i="18"/>
  <c r="P1863" i="18"/>
  <c r="P1864" i="18"/>
  <c r="P1865" i="18"/>
  <c r="P1866" i="18"/>
  <c r="P1867" i="18"/>
  <c r="P1868" i="18"/>
  <c r="P1869" i="18"/>
  <c r="P1870" i="18"/>
  <c r="P1871" i="18"/>
  <c r="P1872" i="18"/>
  <c r="P1873" i="18"/>
  <c r="P1874" i="18"/>
  <c r="P1875" i="18"/>
  <c r="P1876" i="18"/>
  <c r="P1877" i="18"/>
  <c r="P1878" i="18"/>
  <c r="P1879" i="18"/>
  <c r="P1880" i="18"/>
  <c r="P1881" i="18"/>
  <c r="P1882" i="18"/>
  <c r="P1883" i="18"/>
  <c r="P1884" i="18"/>
  <c r="P1885" i="18"/>
  <c r="P1886" i="18"/>
  <c r="P1887" i="18"/>
  <c r="P1888" i="18"/>
  <c r="P1889" i="18"/>
  <c r="P1890" i="18"/>
  <c r="P1891" i="18"/>
  <c r="P1892" i="18"/>
  <c r="P1893" i="18"/>
  <c r="P1894" i="18"/>
  <c r="P1895" i="18"/>
  <c r="P1896" i="18"/>
  <c r="P1897" i="18"/>
  <c r="P1898" i="18"/>
  <c r="P1899" i="18"/>
  <c r="P1900" i="18"/>
  <c r="P1901" i="18"/>
  <c r="P1902" i="18"/>
  <c r="P1903" i="18"/>
  <c r="P1904" i="18"/>
  <c r="P1905" i="18"/>
  <c r="P1906" i="18"/>
  <c r="P1907" i="18"/>
  <c r="P1908" i="18"/>
  <c r="P1909" i="18"/>
  <c r="P1910" i="18"/>
  <c r="P1911" i="18"/>
  <c r="P1912" i="18"/>
  <c r="P1913" i="18"/>
  <c r="P1914" i="18"/>
  <c r="P1915" i="18"/>
  <c r="P1916" i="18"/>
  <c r="P1917" i="18"/>
  <c r="P1918" i="18"/>
  <c r="P1919" i="18"/>
  <c r="P1920" i="18"/>
  <c r="P1921" i="18"/>
  <c r="P1922" i="18"/>
  <c r="P1923" i="18"/>
  <c r="P1924" i="18"/>
  <c r="P1925" i="18"/>
  <c r="P1926" i="18"/>
  <c r="P1927" i="18"/>
  <c r="P1928" i="18"/>
  <c r="P1929" i="18"/>
  <c r="P1930" i="18"/>
  <c r="P1931" i="18"/>
  <c r="P1932" i="18"/>
  <c r="P1933" i="18"/>
  <c r="P1934" i="18"/>
  <c r="P1935" i="18"/>
  <c r="P1936" i="18"/>
  <c r="P1937" i="18"/>
  <c r="P1938" i="18"/>
  <c r="P1939" i="18"/>
  <c r="P1940" i="18"/>
  <c r="P1941" i="18"/>
  <c r="P1942" i="18"/>
  <c r="P1943" i="18"/>
  <c r="P1944" i="18"/>
  <c r="P1945" i="18"/>
  <c r="P1946" i="18"/>
  <c r="P1947" i="18"/>
  <c r="P1948" i="18"/>
  <c r="P1949" i="18"/>
  <c r="P1950" i="18"/>
  <c r="P1951" i="18"/>
  <c r="P1952" i="18"/>
  <c r="P1953" i="18"/>
  <c r="P1954" i="18"/>
  <c r="P1955" i="18"/>
  <c r="P1956" i="18"/>
  <c r="P1957" i="18"/>
  <c r="P1958" i="18"/>
  <c r="P1959" i="18"/>
  <c r="P1960" i="18"/>
  <c r="P1961" i="18"/>
  <c r="P1962" i="18"/>
  <c r="P1963" i="18"/>
  <c r="P1964" i="18"/>
  <c r="P1965" i="18"/>
  <c r="P1966" i="18"/>
  <c r="P1967" i="18"/>
  <c r="P1968" i="18"/>
  <c r="P1969" i="18"/>
  <c r="P1970" i="18"/>
  <c r="P1971" i="18"/>
  <c r="P1972" i="18"/>
  <c r="P1973" i="18"/>
  <c r="P1974" i="18"/>
  <c r="P1975" i="18"/>
  <c r="P1976" i="18"/>
  <c r="P1977" i="18"/>
  <c r="P1978" i="18"/>
  <c r="P1979" i="18"/>
  <c r="P1980" i="18"/>
  <c r="P1981" i="18"/>
  <c r="P1982" i="18"/>
  <c r="P1983" i="18"/>
  <c r="P1984" i="18"/>
  <c r="P1985" i="18"/>
  <c r="P1986" i="18"/>
  <c r="P1987" i="18"/>
  <c r="P1988" i="18"/>
  <c r="P1989" i="18"/>
  <c r="P1990" i="18"/>
  <c r="P1991" i="18"/>
  <c r="P1992" i="18"/>
  <c r="P1993" i="18"/>
  <c r="P1994" i="18"/>
  <c r="P1995" i="18"/>
  <c r="P1996" i="18"/>
  <c r="P1997" i="18"/>
  <c r="P1998" i="18"/>
  <c r="P1999" i="18"/>
  <c r="P2000" i="18"/>
  <c r="P2001" i="18"/>
  <c r="P2002" i="18"/>
  <c r="P2003" i="18"/>
  <c r="P2004" i="18"/>
  <c r="P2005" i="18"/>
  <c r="P2006" i="18"/>
  <c r="P2007" i="18"/>
  <c r="P2008" i="18"/>
  <c r="P2009" i="18"/>
  <c r="P2010" i="18"/>
  <c r="P2011" i="18"/>
  <c r="P2012" i="18"/>
  <c r="P2013" i="18"/>
  <c r="P2014" i="18"/>
  <c r="P2015" i="18"/>
  <c r="P2016" i="18"/>
  <c r="P2017" i="18"/>
  <c r="P2018" i="18"/>
  <c r="P2019" i="18"/>
  <c r="P2020" i="18"/>
  <c r="P2021" i="18"/>
  <c r="P2022" i="18"/>
  <c r="P2023" i="18"/>
  <c r="P2024" i="18"/>
  <c r="P2025" i="18"/>
  <c r="P2026" i="18"/>
  <c r="P2027" i="18"/>
  <c r="P2028" i="18"/>
  <c r="P2029" i="18"/>
  <c r="P2030" i="18"/>
  <c r="P2031" i="18"/>
  <c r="P2032" i="18"/>
  <c r="P2033" i="18"/>
  <c r="P2034" i="18"/>
  <c r="P2035" i="18"/>
  <c r="P2036" i="18"/>
  <c r="P2037" i="18"/>
  <c r="P2038" i="18"/>
  <c r="P2039" i="18"/>
  <c r="P2040" i="18"/>
  <c r="P2041" i="18"/>
  <c r="P2042" i="18"/>
  <c r="P2043" i="18"/>
  <c r="P2044" i="18"/>
  <c r="P2045" i="18"/>
  <c r="P2046" i="18"/>
  <c r="P2047" i="18"/>
  <c r="P2048" i="18"/>
  <c r="P2049" i="18"/>
  <c r="P2050" i="18"/>
  <c r="P2051" i="18"/>
  <c r="P2052" i="18"/>
  <c r="P2053" i="18"/>
  <c r="P2054" i="18"/>
  <c r="P2055" i="18"/>
  <c r="P2056" i="18"/>
  <c r="P2057" i="18"/>
  <c r="P2058" i="18"/>
  <c r="P2059" i="18"/>
  <c r="P2060" i="18"/>
  <c r="P2061" i="18"/>
  <c r="P2062" i="18"/>
  <c r="P2063" i="18"/>
  <c r="P2064" i="18"/>
  <c r="P2065" i="18"/>
  <c r="P2066" i="18"/>
  <c r="P2067" i="18"/>
  <c r="P2068" i="18"/>
  <c r="P2069" i="18"/>
  <c r="P2070" i="18"/>
  <c r="P2071" i="18"/>
  <c r="P2072" i="18"/>
  <c r="P2073" i="18"/>
  <c r="P2074" i="18"/>
  <c r="P2075" i="18"/>
  <c r="P2076" i="18"/>
  <c r="P2077" i="18"/>
  <c r="P2078" i="18"/>
  <c r="P2079" i="18"/>
  <c r="P2080" i="18"/>
  <c r="P2081" i="18"/>
  <c r="P2082" i="18"/>
  <c r="P2083" i="18"/>
  <c r="P2084" i="18"/>
  <c r="P2085" i="18"/>
  <c r="P2086" i="18"/>
  <c r="P2087" i="18"/>
  <c r="P2088" i="18"/>
  <c r="P2089" i="18"/>
  <c r="P2090" i="18"/>
  <c r="P2091" i="18"/>
  <c r="P2092" i="18"/>
  <c r="P2093" i="18"/>
  <c r="P2094" i="18"/>
  <c r="P2095" i="18"/>
  <c r="P2096" i="18"/>
  <c r="P2097" i="18"/>
  <c r="P2098" i="18"/>
  <c r="P2099" i="18"/>
  <c r="P2100" i="18"/>
  <c r="P2101" i="18"/>
  <c r="P2102" i="18"/>
  <c r="P2103" i="18"/>
  <c r="P2104" i="18"/>
  <c r="P2105" i="18"/>
  <c r="P2106" i="18"/>
  <c r="P2107" i="18"/>
  <c r="P2108" i="18"/>
  <c r="P2109" i="18"/>
  <c r="P2110" i="18"/>
  <c r="P2111" i="18"/>
  <c r="P2112" i="18"/>
  <c r="P2113" i="18"/>
  <c r="P2114" i="18"/>
  <c r="P2115" i="18"/>
  <c r="P2116" i="18"/>
  <c r="P2117" i="18"/>
  <c r="P2118" i="18"/>
  <c r="P2119" i="18"/>
  <c r="P2120" i="18"/>
  <c r="P2121" i="18"/>
  <c r="P2122" i="18"/>
  <c r="P2123" i="18"/>
  <c r="P2124" i="18"/>
  <c r="P2125" i="18"/>
  <c r="P2126" i="18"/>
  <c r="P2127" i="18"/>
  <c r="P2128" i="18"/>
  <c r="P2129" i="18"/>
  <c r="P2130" i="18"/>
  <c r="P2131" i="18"/>
  <c r="P2132" i="18"/>
  <c r="P2133" i="18"/>
  <c r="P2134" i="18"/>
  <c r="P2135" i="18"/>
  <c r="P2136" i="18"/>
  <c r="P2137" i="18"/>
  <c r="P2138" i="18"/>
  <c r="P2139" i="18"/>
  <c r="P2140" i="18"/>
  <c r="P2141" i="18"/>
  <c r="P2142" i="18"/>
  <c r="P2143" i="18"/>
  <c r="P2144" i="18"/>
  <c r="P2145" i="18"/>
  <c r="P2146" i="18"/>
  <c r="P2147" i="18"/>
  <c r="P2148" i="18"/>
  <c r="P2149" i="18"/>
  <c r="P2150" i="18"/>
  <c r="P2151" i="18"/>
  <c r="P2152" i="18"/>
  <c r="P2153" i="18"/>
  <c r="P2154" i="18"/>
  <c r="P2155" i="18"/>
  <c r="P2156" i="18"/>
  <c r="P2157" i="18"/>
  <c r="P2158" i="18"/>
  <c r="P2159" i="18"/>
  <c r="P2160" i="18"/>
  <c r="P2161" i="18"/>
  <c r="P2162" i="18"/>
  <c r="P2163" i="18"/>
  <c r="P2164" i="18"/>
  <c r="P2165" i="18"/>
  <c r="P2166" i="18"/>
  <c r="P2167" i="18"/>
  <c r="P2168" i="18"/>
  <c r="P2169" i="18"/>
  <c r="P2170" i="18"/>
  <c r="P2171" i="18"/>
  <c r="P2172" i="18"/>
  <c r="P2173" i="18"/>
  <c r="P2174" i="18"/>
  <c r="P2175" i="18"/>
  <c r="P2176" i="18"/>
  <c r="P2177" i="18"/>
  <c r="P2178" i="18"/>
  <c r="P2179" i="18"/>
  <c r="P2180" i="18"/>
  <c r="P2181" i="18"/>
  <c r="P2182" i="18"/>
  <c r="P2183" i="18"/>
  <c r="P2184" i="18"/>
  <c r="P2185" i="18"/>
  <c r="P2186" i="18"/>
  <c r="P2187" i="18"/>
  <c r="P2188" i="18"/>
  <c r="P2189" i="18"/>
  <c r="P2190" i="18"/>
  <c r="P2191" i="18"/>
  <c r="Q1827" i="18"/>
  <c r="Q1828" i="18"/>
  <c r="Q1830" i="18"/>
  <c r="Q1831" i="18"/>
  <c r="Q1832" i="18"/>
  <c r="Q1833" i="18"/>
  <c r="Q1834" i="18"/>
  <c r="Q1835" i="18"/>
  <c r="Q1836" i="18"/>
  <c r="Q1837" i="18"/>
  <c r="Q1838" i="18"/>
  <c r="Q1839" i="18"/>
  <c r="Q1840" i="18"/>
  <c r="Q1841" i="18"/>
  <c r="Q1842" i="18"/>
  <c r="Q1843" i="18"/>
  <c r="Q1844" i="18"/>
  <c r="Q1845" i="18"/>
  <c r="Q1846" i="18"/>
  <c r="Q1847" i="18"/>
  <c r="Q1848" i="18"/>
  <c r="Q1849" i="18"/>
  <c r="Q1850" i="18"/>
  <c r="Q1851" i="18"/>
  <c r="Q1852" i="18"/>
  <c r="Q1853" i="18"/>
  <c r="Q1854" i="18"/>
  <c r="Q1855" i="18"/>
  <c r="Q1856" i="18"/>
  <c r="Q1857" i="18"/>
  <c r="Q1858" i="18"/>
  <c r="Q1859" i="18"/>
  <c r="Q1861" i="18"/>
  <c r="Q1862" i="18"/>
  <c r="Q1863" i="18"/>
  <c r="Q1864" i="18"/>
  <c r="Q1865" i="18"/>
  <c r="Q1866" i="18"/>
  <c r="Q1867" i="18"/>
  <c r="Q1868" i="18"/>
  <c r="Q1869" i="18"/>
  <c r="Q1870" i="18"/>
  <c r="Q1871" i="18"/>
  <c r="Q1872" i="18"/>
  <c r="Q1873" i="18"/>
  <c r="Q1874" i="18"/>
  <c r="Q1875" i="18"/>
  <c r="Q1876" i="18"/>
  <c r="Q1877" i="18"/>
  <c r="Q1878" i="18"/>
  <c r="Q1879" i="18"/>
  <c r="Q1880" i="18"/>
  <c r="Q1881" i="18"/>
  <c r="Q1882" i="18"/>
  <c r="Q1883" i="18"/>
  <c r="Q1884" i="18"/>
  <c r="Q1885" i="18"/>
  <c r="Q1886" i="18"/>
  <c r="Q1887" i="18"/>
  <c r="Q1888" i="18"/>
  <c r="Q1889" i="18"/>
  <c r="Q1890" i="18"/>
  <c r="Q1892" i="18"/>
  <c r="Q1893" i="18"/>
  <c r="Q1894" i="18"/>
  <c r="Q1895" i="18"/>
  <c r="Q1896" i="18"/>
  <c r="Q1897" i="18"/>
  <c r="Q1898" i="18"/>
  <c r="Q1899" i="18"/>
  <c r="Q1900" i="18"/>
  <c r="Q1901" i="18"/>
  <c r="Q1902" i="18"/>
  <c r="Q1903" i="18"/>
  <c r="Q1904" i="18"/>
  <c r="Q1905" i="18"/>
  <c r="Q1906" i="18"/>
  <c r="Q1907" i="18"/>
  <c r="Q1908" i="18"/>
  <c r="Q1909" i="18"/>
  <c r="Q1910" i="18"/>
  <c r="Q1911" i="18"/>
  <c r="Q1912" i="18"/>
  <c r="Q1913" i="18"/>
  <c r="Q1914" i="18"/>
  <c r="Q1915" i="18"/>
  <c r="Q1916" i="18"/>
  <c r="Q1917" i="18"/>
  <c r="Q1918" i="18"/>
  <c r="Q1919" i="18"/>
  <c r="Q1920" i="18"/>
  <c r="Q1921" i="18"/>
  <c r="Q1923" i="18"/>
  <c r="Q1924" i="18"/>
  <c r="Q1925" i="18"/>
  <c r="Q1926" i="18"/>
  <c r="Q1927" i="18"/>
  <c r="Q1928" i="18"/>
  <c r="Q1929" i="18"/>
  <c r="Q1930" i="18"/>
  <c r="Q1931" i="18"/>
  <c r="Q1932" i="18"/>
  <c r="Q1933" i="18"/>
  <c r="Q1934" i="18"/>
  <c r="Q1935" i="18"/>
  <c r="Q1936" i="18"/>
  <c r="Q1937" i="18"/>
  <c r="Q1938" i="18"/>
  <c r="Q1939" i="18"/>
  <c r="Q1940" i="18"/>
  <c r="Q1941" i="18"/>
  <c r="Q1942" i="18"/>
  <c r="Q1943" i="18"/>
  <c r="Q1944" i="18"/>
  <c r="Q1945" i="18"/>
  <c r="Q1946" i="18"/>
  <c r="Q1947" i="18"/>
  <c r="Q1948" i="18"/>
  <c r="Q1949" i="18"/>
  <c r="Q1950" i="18"/>
  <c r="Q1951" i="18"/>
  <c r="Q1952" i="18"/>
  <c r="Q1954" i="18"/>
  <c r="Q1955" i="18"/>
  <c r="Q1956" i="18"/>
  <c r="Q1957" i="18"/>
  <c r="Q1958" i="18"/>
  <c r="Q1959" i="18"/>
  <c r="Q1960" i="18"/>
  <c r="Q1961" i="18"/>
  <c r="Q1962" i="18"/>
  <c r="Q1963" i="18"/>
  <c r="Q1964" i="18"/>
  <c r="Q1965" i="18"/>
  <c r="Q1966" i="18"/>
  <c r="Q1967" i="18"/>
  <c r="Q1968" i="18"/>
  <c r="Q1969" i="18"/>
  <c r="Q1970" i="18"/>
  <c r="Q1971" i="18"/>
  <c r="Q1972" i="18"/>
  <c r="Q1973" i="18"/>
  <c r="Q1974" i="18"/>
  <c r="Q1975" i="18"/>
  <c r="Q1976" i="18"/>
  <c r="Q1977" i="18"/>
  <c r="Q1978" i="18"/>
  <c r="Q1979" i="18"/>
  <c r="Q1980" i="18"/>
  <c r="Q1981" i="18"/>
  <c r="Q1982" i="18"/>
  <c r="Q1983" i="18"/>
  <c r="Q1985" i="18"/>
  <c r="Q1986" i="18"/>
  <c r="Q1987" i="18"/>
  <c r="Q1988" i="18"/>
  <c r="Q1989" i="18"/>
  <c r="Q1990" i="18"/>
  <c r="Q1991" i="18"/>
  <c r="Q1992" i="18"/>
  <c r="Q1993" i="18"/>
  <c r="Q1994" i="18"/>
  <c r="Q1995" i="18"/>
  <c r="Q1996" i="18"/>
  <c r="Q1997" i="18"/>
  <c r="Q1998" i="18"/>
  <c r="Q1999" i="18"/>
  <c r="Q2000" i="18"/>
  <c r="Q2001" i="18"/>
  <c r="Q2002" i="18"/>
  <c r="Q2003" i="18"/>
  <c r="Q2004" i="18"/>
  <c r="Q2005" i="18"/>
  <c r="Q2006" i="18"/>
  <c r="Q2007" i="18"/>
  <c r="Q2008" i="18"/>
  <c r="Q2009" i="18"/>
  <c r="Q2010" i="18"/>
  <c r="Q2011" i="18"/>
  <c r="Q2012" i="18"/>
  <c r="Q2013" i="18"/>
  <c r="Q2014" i="18"/>
  <c r="Q2016" i="18"/>
  <c r="Q2017" i="18"/>
  <c r="Q2018" i="18"/>
  <c r="Q2019" i="18"/>
  <c r="Q2020" i="18"/>
  <c r="Q2021" i="18"/>
  <c r="Q2022" i="18"/>
  <c r="Q2023" i="18"/>
  <c r="Q2024" i="18"/>
  <c r="Q2025" i="18"/>
  <c r="Q2026" i="18"/>
  <c r="Q2027" i="18"/>
  <c r="Q2028" i="18"/>
  <c r="Q2029" i="18"/>
  <c r="Q2030" i="18"/>
  <c r="Q2031" i="18"/>
  <c r="Q2032" i="18"/>
  <c r="Q2033" i="18"/>
  <c r="Q2034" i="18"/>
  <c r="Q2035" i="18"/>
  <c r="Q2036" i="18"/>
  <c r="Q2037" i="18"/>
  <c r="Q2038" i="18"/>
  <c r="Q2039" i="18"/>
  <c r="Q2040" i="18"/>
  <c r="Q2041" i="18"/>
  <c r="Q2042" i="18"/>
  <c r="Q2043" i="18"/>
  <c r="Q2044" i="18"/>
  <c r="Q2046" i="18"/>
  <c r="Q2047" i="18"/>
  <c r="Q2048" i="18"/>
  <c r="Q2049" i="18"/>
  <c r="Q2050" i="18"/>
  <c r="Q2051" i="18"/>
  <c r="Q2052" i="18"/>
  <c r="Q2053" i="18"/>
  <c r="Q2054" i="18"/>
  <c r="Q2055" i="18"/>
  <c r="Q2056" i="18"/>
  <c r="Q2057" i="18"/>
  <c r="Q2058" i="18"/>
  <c r="Q2059" i="18"/>
  <c r="Q2060" i="18"/>
  <c r="Q2061" i="18"/>
  <c r="Q2062" i="18"/>
  <c r="Q2063" i="18"/>
  <c r="Q2064" i="18"/>
  <c r="Q2065" i="18"/>
  <c r="Q2066" i="18"/>
  <c r="Q2067" i="18"/>
  <c r="Q2068" i="18"/>
  <c r="Q2069" i="18"/>
  <c r="Q2070" i="18"/>
  <c r="Q2071" i="18"/>
  <c r="Q2072" i="18"/>
  <c r="Q2073" i="18"/>
  <c r="Q2074" i="18"/>
  <c r="Q2076" i="18"/>
  <c r="Q2077" i="18"/>
  <c r="Q2078" i="18"/>
  <c r="Q2079" i="18"/>
  <c r="Q2080" i="18"/>
  <c r="Q2081" i="18"/>
  <c r="Q2082" i="18"/>
  <c r="Q2083" i="18"/>
  <c r="Q2084" i="18"/>
  <c r="Q2085" i="18"/>
  <c r="Q2086" i="18"/>
  <c r="Q2087" i="18"/>
  <c r="Q2088" i="18"/>
  <c r="Q2089" i="18"/>
  <c r="Q2090" i="18"/>
  <c r="Q2091" i="18"/>
  <c r="Q2092" i="18"/>
  <c r="Q2093" i="18"/>
  <c r="Q2094" i="18"/>
  <c r="Q2095" i="18"/>
  <c r="Q2096" i="18"/>
  <c r="Q2097" i="18"/>
  <c r="Q2098" i="18"/>
  <c r="Q2099" i="18"/>
  <c r="Q2100" i="18"/>
  <c r="Q2101" i="18"/>
  <c r="Q2102" i="18"/>
  <c r="Q2103" i="18"/>
  <c r="Q2104" i="18"/>
  <c r="Q2106" i="18"/>
  <c r="Q2107" i="18"/>
  <c r="Q2108" i="18"/>
  <c r="Q2109" i="18"/>
  <c r="Q2110" i="18"/>
  <c r="Q2111" i="18"/>
  <c r="Q2112" i="18"/>
  <c r="Q2113" i="18"/>
  <c r="Q2114" i="18"/>
  <c r="Q2115" i="18"/>
  <c r="Q2116" i="18"/>
  <c r="Q2117" i="18"/>
  <c r="Q2118" i="18"/>
  <c r="Q2119" i="18"/>
  <c r="Q2120" i="18"/>
  <c r="Q2121" i="18"/>
  <c r="Q2122" i="18"/>
  <c r="Q2123" i="18"/>
  <c r="Q2124" i="18"/>
  <c r="Q2125" i="18"/>
  <c r="Q2126" i="18"/>
  <c r="Q2127" i="18"/>
  <c r="Q2128" i="18"/>
  <c r="Q2129" i="18"/>
  <c r="Q2130" i="18"/>
  <c r="Q2131" i="18"/>
  <c r="Q2132" i="18"/>
  <c r="Q2133" i="18"/>
  <c r="Q2134" i="18"/>
  <c r="Q2136" i="18"/>
  <c r="Q2137" i="18"/>
  <c r="Q2138" i="18"/>
  <c r="Q2139" i="18"/>
  <c r="Q2140" i="18"/>
  <c r="Q2141" i="18"/>
  <c r="Q2142" i="18"/>
  <c r="Q2143" i="18"/>
  <c r="Q2144" i="18"/>
  <c r="Q2145" i="18"/>
  <c r="Q2146" i="18"/>
  <c r="Q2147" i="18"/>
  <c r="Q2148" i="18"/>
  <c r="Q2149" i="18"/>
  <c r="Q2150" i="18"/>
  <c r="Q2151" i="18"/>
  <c r="Q2152" i="18"/>
  <c r="Q2153" i="18"/>
  <c r="Q2154" i="18"/>
  <c r="Q2155" i="18"/>
  <c r="Q2156" i="18"/>
  <c r="Q2157" i="18"/>
  <c r="Q2158" i="18"/>
  <c r="Q2159" i="18"/>
  <c r="Q2160" i="18"/>
  <c r="Q2161" i="18"/>
  <c r="Q2162" i="18"/>
  <c r="Q2163" i="18"/>
  <c r="Q2164" i="18"/>
  <c r="Q2167" i="18"/>
  <c r="Q2168" i="18"/>
  <c r="Q2169" i="18"/>
  <c r="Q2170" i="18"/>
  <c r="Q2171" i="18"/>
  <c r="Q2172" i="18"/>
  <c r="Q2173" i="18"/>
  <c r="Q2174" i="18"/>
  <c r="Q2175" i="18"/>
  <c r="Q2176" i="18"/>
  <c r="Q2177" i="18"/>
  <c r="Q2178" i="18"/>
  <c r="Q2179" i="18"/>
  <c r="Q2180" i="18"/>
  <c r="Q2181" i="18"/>
  <c r="Q2182" i="18"/>
  <c r="Q2183" i="18"/>
  <c r="Q2184" i="18"/>
  <c r="Q2185" i="18"/>
  <c r="Q2186" i="18"/>
  <c r="Q2187" i="18"/>
  <c r="Q2188" i="18"/>
  <c r="Q2189" i="18"/>
  <c r="Q2190" i="18"/>
  <c r="Q2191" i="18"/>
  <c r="C75" i="9"/>
  <c r="D75" i="9"/>
  <c r="J30" i="16"/>
  <c r="G29" i="16"/>
  <c r="E770" i="15"/>
  <c r="E765" i="15"/>
  <c r="E760" i="15"/>
  <c r="E755" i="15"/>
  <c r="E750" i="15"/>
  <c r="E745" i="15"/>
  <c r="E740" i="15"/>
  <c r="E735" i="15"/>
  <c r="E730" i="15"/>
  <c r="E725" i="15"/>
  <c r="E720" i="15"/>
  <c r="E715" i="15"/>
  <c r="E709" i="15"/>
  <c r="E703" i="15"/>
  <c r="E697" i="15"/>
  <c r="E691" i="15"/>
  <c r="E685" i="15"/>
  <c r="E679" i="15"/>
  <c r="E673" i="15"/>
  <c r="E667" i="15"/>
  <c r="E503" i="15"/>
  <c r="E492" i="15"/>
  <c r="E483" i="15"/>
  <c r="E472" i="15"/>
  <c r="E460" i="15"/>
  <c r="E448" i="15"/>
  <c r="E435" i="15"/>
  <c r="E423" i="15"/>
  <c r="E411" i="15"/>
  <c r="E399" i="15"/>
  <c r="E386" i="15"/>
  <c r="E371" i="15"/>
  <c r="E357" i="15"/>
  <c r="E340" i="15"/>
  <c r="E312" i="15"/>
  <c r="B50" i="19"/>
  <c r="B51" i="19"/>
  <c r="B52" i="19"/>
  <c r="B53" i="19"/>
  <c r="B54" i="19"/>
  <c r="B55" i="19"/>
  <c r="B56" i="19"/>
  <c r="B57" i="19"/>
  <c r="B58" i="19"/>
  <c r="B59" i="19"/>
  <c r="B60" i="19"/>
  <c r="B61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B1097" i="18"/>
  <c r="C1097" i="18"/>
  <c r="P1097" i="18" s="1"/>
  <c r="D1097" i="18"/>
  <c r="E1097" i="18"/>
  <c r="G1097" i="18"/>
  <c r="I1097" i="18"/>
  <c r="J1097" i="18"/>
  <c r="K1097" i="18"/>
  <c r="L1097" i="18"/>
  <c r="M1097" i="18"/>
  <c r="N1097" i="18"/>
  <c r="O1097" i="18"/>
  <c r="Q1097" i="18"/>
  <c r="B1463" i="18"/>
  <c r="B1464" i="18"/>
  <c r="B1465" i="18"/>
  <c r="B1466" i="18"/>
  <c r="B1467" i="18"/>
  <c r="B1468" i="18"/>
  <c r="B1469" i="18"/>
  <c r="B1470" i="18"/>
  <c r="B1471" i="18"/>
  <c r="B1472" i="18"/>
  <c r="B1473" i="18"/>
  <c r="B1474" i="18"/>
  <c r="B1475" i="18"/>
  <c r="B1476" i="18"/>
  <c r="B1477" i="18"/>
  <c r="B1478" i="18"/>
  <c r="B1479" i="18"/>
  <c r="B1480" i="18"/>
  <c r="B1481" i="18"/>
  <c r="B1482" i="18"/>
  <c r="B1483" i="18"/>
  <c r="B1484" i="18"/>
  <c r="B1485" i="18"/>
  <c r="B1486" i="18"/>
  <c r="B1487" i="18"/>
  <c r="B1488" i="18"/>
  <c r="B1489" i="18"/>
  <c r="B1490" i="18"/>
  <c r="B1491" i="18"/>
  <c r="B1492" i="18"/>
  <c r="B1493" i="18"/>
  <c r="B1494" i="18"/>
  <c r="B1495" i="18"/>
  <c r="B1496" i="18"/>
  <c r="B1497" i="18"/>
  <c r="B1498" i="18"/>
  <c r="B1499" i="18"/>
  <c r="B1500" i="18"/>
  <c r="B1501" i="18"/>
  <c r="B1502" i="18"/>
  <c r="B1503" i="18"/>
  <c r="B1504" i="18"/>
  <c r="B1505" i="18"/>
  <c r="B1506" i="18"/>
  <c r="B1507" i="18"/>
  <c r="B1508" i="18"/>
  <c r="B1509" i="18"/>
  <c r="B1510" i="18"/>
  <c r="B1511" i="18"/>
  <c r="B1512" i="18"/>
  <c r="B1513" i="18"/>
  <c r="B1514" i="18"/>
  <c r="B1515" i="18"/>
  <c r="B1516" i="18"/>
  <c r="B1517" i="18"/>
  <c r="B1518" i="18"/>
  <c r="B1519" i="18"/>
  <c r="B1520" i="18"/>
  <c r="B1521" i="18"/>
  <c r="B1522" i="18"/>
  <c r="B1523" i="18"/>
  <c r="B1524" i="18"/>
  <c r="B1525" i="18"/>
  <c r="B1526" i="18"/>
  <c r="B1527" i="18"/>
  <c r="B1528" i="18"/>
  <c r="B1529" i="18"/>
  <c r="B1530" i="18"/>
  <c r="B1531" i="18"/>
  <c r="B1532" i="18"/>
  <c r="B1533" i="18"/>
  <c r="B1534" i="18"/>
  <c r="B1535" i="18"/>
  <c r="B1536" i="18"/>
  <c r="B1537" i="18"/>
  <c r="B1538" i="18"/>
  <c r="B1539" i="18"/>
  <c r="B1540" i="18"/>
  <c r="B1541" i="18"/>
  <c r="B1542" i="18"/>
  <c r="B1543" i="18"/>
  <c r="B1544" i="18"/>
  <c r="B1545" i="18"/>
  <c r="B1546" i="18"/>
  <c r="B1547" i="18"/>
  <c r="B1548" i="18"/>
  <c r="B1549" i="18"/>
  <c r="B1550" i="18"/>
  <c r="B1551" i="18"/>
  <c r="B1552" i="18"/>
  <c r="B1553" i="18"/>
  <c r="B1554" i="18"/>
  <c r="B1555" i="18"/>
  <c r="B1556" i="18"/>
  <c r="B1557" i="18"/>
  <c r="B1558" i="18"/>
  <c r="B1559" i="18"/>
  <c r="B1560" i="18"/>
  <c r="B1561" i="18"/>
  <c r="B1562" i="18"/>
  <c r="B1563" i="18"/>
  <c r="B1564" i="18"/>
  <c r="B1565" i="18"/>
  <c r="B1566" i="18"/>
  <c r="B1567" i="18"/>
  <c r="B1568" i="18"/>
  <c r="B1569" i="18"/>
  <c r="B1570" i="18"/>
  <c r="B1571" i="18"/>
  <c r="B1572" i="18"/>
  <c r="B1573" i="18"/>
  <c r="B1574" i="18"/>
  <c r="B1575" i="18"/>
  <c r="B1576" i="18"/>
  <c r="B1577" i="18"/>
  <c r="B1578" i="18"/>
  <c r="B1579" i="18"/>
  <c r="B1580" i="18"/>
  <c r="B1581" i="18"/>
  <c r="B1582" i="18"/>
  <c r="B1583" i="18"/>
  <c r="B1584" i="18"/>
  <c r="B1585" i="18"/>
  <c r="B1586" i="18"/>
  <c r="B1587" i="18"/>
  <c r="B1588" i="18"/>
  <c r="B1589" i="18"/>
  <c r="B1590" i="18"/>
  <c r="B1591" i="18"/>
  <c r="B1592" i="18"/>
  <c r="B1593" i="18"/>
  <c r="B1594" i="18"/>
  <c r="B1595" i="18"/>
  <c r="B1596" i="18"/>
  <c r="B1597" i="18"/>
  <c r="B1598" i="18"/>
  <c r="B1599" i="18"/>
  <c r="B1600" i="18"/>
  <c r="B1601" i="18"/>
  <c r="B1602" i="18"/>
  <c r="B1603" i="18"/>
  <c r="B1604" i="18"/>
  <c r="B1605" i="18"/>
  <c r="B1606" i="18"/>
  <c r="B1607" i="18"/>
  <c r="B1608" i="18"/>
  <c r="B1609" i="18"/>
  <c r="B1610" i="18"/>
  <c r="B1611" i="18"/>
  <c r="B1612" i="18"/>
  <c r="B1613" i="18"/>
  <c r="B1614" i="18"/>
  <c r="B1615" i="18"/>
  <c r="B1616" i="18"/>
  <c r="B1617" i="18"/>
  <c r="B1618" i="18"/>
  <c r="B1619" i="18"/>
  <c r="B1620" i="18"/>
  <c r="B1621" i="18"/>
  <c r="B1622" i="18"/>
  <c r="B1623" i="18"/>
  <c r="B1624" i="18"/>
  <c r="B1625" i="18"/>
  <c r="B1626" i="18"/>
  <c r="B1627" i="18"/>
  <c r="B1628" i="18"/>
  <c r="B1629" i="18"/>
  <c r="B1630" i="18"/>
  <c r="B1631" i="18"/>
  <c r="B1632" i="18"/>
  <c r="B1633" i="18"/>
  <c r="B1634" i="18"/>
  <c r="B1635" i="18"/>
  <c r="B1636" i="18"/>
  <c r="B1637" i="18"/>
  <c r="B1638" i="18"/>
  <c r="B1639" i="18"/>
  <c r="B1640" i="18"/>
  <c r="B1641" i="18"/>
  <c r="B1642" i="18"/>
  <c r="B1643" i="18"/>
  <c r="B1644" i="18"/>
  <c r="B1645" i="18"/>
  <c r="B1646" i="18"/>
  <c r="B1647" i="18"/>
  <c r="B1648" i="18"/>
  <c r="B1649" i="18"/>
  <c r="B1650" i="18"/>
  <c r="B1651" i="18"/>
  <c r="B1652" i="18"/>
  <c r="B1653" i="18"/>
  <c r="B1654" i="18"/>
  <c r="B1655" i="18"/>
  <c r="B1656" i="18"/>
  <c r="B1657" i="18"/>
  <c r="B1658" i="18"/>
  <c r="B1659" i="18"/>
  <c r="B1660" i="18"/>
  <c r="B1661" i="18"/>
  <c r="B1662" i="18"/>
  <c r="B1663" i="18"/>
  <c r="B1664" i="18"/>
  <c r="B1665" i="18"/>
  <c r="B1666" i="18"/>
  <c r="B1667" i="18"/>
  <c r="B1668" i="18"/>
  <c r="B1669" i="18"/>
  <c r="B1670" i="18"/>
  <c r="B1671" i="18"/>
  <c r="B1672" i="18"/>
  <c r="B1673" i="18"/>
  <c r="B1674" i="18"/>
  <c r="B1675" i="18"/>
  <c r="B1676" i="18"/>
  <c r="B1677" i="18"/>
  <c r="B1678" i="18"/>
  <c r="B1679" i="18"/>
  <c r="B1680" i="18"/>
  <c r="B1681" i="18"/>
  <c r="B1682" i="18"/>
  <c r="B1683" i="18"/>
  <c r="B1684" i="18"/>
  <c r="B1685" i="18"/>
  <c r="B1686" i="18"/>
  <c r="B1687" i="18"/>
  <c r="B1688" i="18"/>
  <c r="B1689" i="18"/>
  <c r="B1690" i="18"/>
  <c r="B1691" i="18"/>
  <c r="B1692" i="18"/>
  <c r="B1693" i="18"/>
  <c r="B1694" i="18"/>
  <c r="B1695" i="18"/>
  <c r="B1696" i="18"/>
  <c r="B1697" i="18"/>
  <c r="B1698" i="18"/>
  <c r="B1699" i="18"/>
  <c r="B1700" i="18"/>
  <c r="B1701" i="18"/>
  <c r="B1702" i="18"/>
  <c r="B1703" i="18"/>
  <c r="B1704" i="18"/>
  <c r="B1705" i="18"/>
  <c r="B1706" i="18"/>
  <c r="B1707" i="18"/>
  <c r="B1708" i="18"/>
  <c r="B1709" i="18"/>
  <c r="B1710" i="18"/>
  <c r="B1711" i="18"/>
  <c r="B1712" i="18"/>
  <c r="B1713" i="18"/>
  <c r="B1714" i="18"/>
  <c r="B1715" i="18"/>
  <c r="B1716" i="18"/>
  <c r="B1717" i="18"/>
  <c r="B1718" i="18"/>
  <c r="B1719" i="18"/>
  <c r="B1720" i="18"/>
  <c r="B1721" i="18"/>
  <c r="B1722" i="18"/>
  <c r="B1723" i="18"/>
  <c r="B1724" i="18"/>
  <c r="B1725" i="18"/>
  <c r="B1726" i="18"/>
  <c r="B1727" i="18"/>
  <c r="B1728" i="18"/>
  <c r="B1729" i="18"/>
  <c r="B1730" i="18"/>
  <c r="B1731" i="18"/>
  <c r="B1732" i="18"/>
  <c r="B1733" i="18"/>
  <c r="B1734" i="18"/>
  <c r="B1735" i="18"/>
  <c r="B1736" i="18"/>
  <c r="B1737" i="18"/>
  <c r="B1738" i="18"/>
  <c r="B1739" i="18"/>
  <c r="B1740" i="18"/>
  <c r="B1741" i="18"/>
  <c r="B1742" i="18"/>
  <c r="B1743" i="18"/>
  <c r="B1744" i="18"/>
  <c r="B1745" i="18"/>
  <c r="B1746" i="18"/>
  <c r="B1747" i="18"/>
  <c r="B1748" i="18"/>
  <c r="B1749" i="18"/>
  <c r="B1750" i="18"/>
  <c r="B1751" i="18"/>
  <c r="B1752" i="18"/>
  <c r="B1753" i="18"/>
  <c r="B1754" i="18"/>
  <c r="B1755" i="18"/>
  <c r="B1756" i="18"/>
  <c r="B1757" i="18"/>
  <c r="B1758" i="18"/>
  <c r="B1759" i="18"/>
  <c r="B1760" i="18"/>
  <c r="B1761" i="18"/>
  <c r="B1762" i="18"/>
  <c r="B1763" i="18"/>
  <c r="B1764" i="18"/>
  <c r="B1765" i="18"/>
  <c r="B1766" i="18"/>
  <c r="B1767" i="18"/>
  <c r="B1768" i="18"/>
  <c r="B1769" i="18"/>
  <c r="B1770" i="18"/>
  <c r="B1771" i="18"/>
  <c r="B1772" i="18"/>
  <c r="B1773" i="18"/>
  <c r="B1774" i="18"/>
  <c r="B1775" i="18"/>
  <c r="B1776" i="18"/>
  <c r="B1777" i="18"/>
  <c r="B1778" i="18"/>
  <c r="B1779" i="18"/>
  <c r="B1780" i="18"/>
  <c r="B1781" i="18"/>
  <c r="B1782" i="18"/>
  <c r="B1783" i="18"/>
  <c r="B1784" i="18"/>
  <c r="B1785" i="18"/>
  <c r="B1786" i="18"/>
  <c r="B1787" i="18"/>
  <c r="B1788" i="18"/>
  <c r="B1789" i="18"/>
  <c r="B1790" i="18"/>
  <c r="B1791" i="18"/>
  <c r="B1792" i="18"/>
  <c r="B1793" i="18"/>
  <c r="B1794" i="18"/>
  <c r="B1795" i="18"/>
  <c r="B1796" i="18"/>
  <c r="B1797" i="18"/>
  <c r="B1798" i="18"/>
  <c r="B1799" i="18"/>
  <c r="B1800" i="18"/>
  <c r="B1801" i="18"/>
  <c r="B1802" i="18"/>
  <c r="B1803" i="18"/>
  <c r="B1804" i="18"/>
  <c r="B1805" i="18"/>
  <c r="B1806" i="18"/>
  <c r="B1807" i="18"/>
  <c r="B1808" i="18"/>
  <c r="B1809" i="18"/>
  <c r="B1810" i="18"/>
  <c r="B1811" i="18"/>
  <c r="B1812" i="18"/>
  <c r="B1813" i="18"/>
  <c r="B1814" i="18"/>
  <c r="B1815" i="18"/>
  <c r="B1816" i="18"/>
  <c r="B1817" i="18"/>
  <c r="B1818" i="18"/>
  <c r="B1819" i="18"/>
  <c r="B1820" i="18"/>
  <c r="B1821" i="18"/>
  <c r="B1822" i="18"/>
  <c r="B1823" i="18"/>
  <c r="B1824" i="18"/>
  <c r="B1825" i="18"/>
  <c r="B1826" i="18"/>
  <c r="C1463" i="18"/>
  <c r="C1464" i="18"/>
  <c r="C1465" i="18"/>
  <c r="C1466" i="18"/>
  <c r="C1467" i="18"/>
  <c r="C1468" i="18"/>
  <c r="C1469" i="18"/>
  <c r="C1470" i="18"/>
  <c r="C1471" i="18"/>
  <c r="C1472" i="18"/>
  <c r="C1473" i="18"/>
  <c r="C1474" i="18"/>
  <c r="C1475" i="18"/>
  <c r="C1476" i="18"/>
  <c r="C1477" i="18"/>
  <c r="C1478" i="18"/>
  <c r="C1479" i="18"/>
  <c r="C1480" i="18"/>
  <c r="C1481" i="18"/>
  <c r="C1482" i="18"/>
  <c r="C1483" i="18"/>
  <c r="C1484" i="18"/>
  <c r="C1485" i="18"/>
  <c r="C1486" i="18"/>
  <c r="C1487" i="18"/>
  <c r="C1488" i="18"/>
  <c r="C1489" i="18"/>
  <c r="C1490" i="18"/>
  <c r="C1491" i="18"/>
  <c r="C1492" i="18"/>
  <c r="C1493" i="18"/>
  <c r="C1494" i="18"/>
  <c r="C1495" i="18"/>
  <c r="C1496" i="18"/>
  <c r="C1497" i="18"/>
  <c r="C1498" i="18"/>
  <c r="C1499" i="18"/>
  <c r="C1500" i="18"/>
  <c r="C1501" i="18"/>
  <c r="C1502" i="18"/>
  <c r="C1503" i="18"/>
  <c r="C1504" i="18"/>
  <c r="C1505" i="18"/>
  <c r="C1506" i="18"/>
  <c r="C1507" i="18"/>
  <c r="C1508" i="18"/>
  <c r="C1509" i="18"/>
  <c r="C1510" i="18"/>
  <c r="C1511" i="18"/>
  <c r="C1512" i="18"/>
  <c r="C1513" i="18"/>
  <c r="C1514" i="18"/>
  <c r="C1515" i="18"/>
  <c r="C1516" i="18"/>
  <c r="C1517" i="18"/>
  <c r="C1518" i="18"/>
  <c r="C1519" i="18"/>
  <c r="C1520" i="18"/>
  <c r="C1521" i="18"/>
  <c r="C1522" i="18"/>
  <c r="C1523" i="18"/>
  <c r="C1524" i="18"/>
  <c r="C1525" i="18"/>
  <c r="C1526" i="18"/>
  <c r="C1527" i="18"/>
  <c r="C1528" i="18"/>
  <c r="C1529" i="18"/>
  <c r="C1530" i="18"/>
  <c r="C1531" i="18"/>
  <c r="C1532" i="18"/>
  <c r="C1533" i="18"/>
  <c r="C1534" i="18"/>
  <c r="C1535" i="18"/>
  <c r="C1536" i="18"/>
  <c r="C1537" i="18"/>
  <c r="C1538" i="18"/>
  <c r="C1539" i="18"/>
  <c r="C1540" i="18"/>
  <c r="C1541" i="18"/>
  <c r="C1542" i="18"/>
  <c r="C1543" i="18"/>
  <c r="C1544" i="18"/>
  <c r="C1545" i="18"/>
  <c r="C1546" i="18"/>
  <c r="C1547" i="18"/>
  <c r="C1548" i="18"/>
  <c r="C1549" i="18"/>
  <c r="C1550" i="18"/>
  <c r="C1551" i="18"/>
  <c r="C1552" i="18"/>
  <c r="C1553" i="18"/>
  <c r="C1554" i="18"/>
  <c r="C1555" i="18"/>
  <c r="C1556" i="18"/>
  <c r="C1557" i="18"/>
  <c r="C1558" i="18"/>
  <c r="C1559" i="18"/>
  <c r="C1560" i="18"/>
  <c r="C1561" i="18"/>
  <c r="C1562" i="18"/>
  <c r="C1563" i="18"/>
  <c r="C1564" i="18"/>
  <c r="C1565" i="18"/>
  <c r="C1566" i="18"/>
  <c r="C1567" i="18"/>
  <c r="C1568" i="18"/>
  <c r="C1569" i="18"/>
  <c r="C1570" i="18"/>
  <c r="C1571" i="18"/>
  <c r="C1572" i="18"/>
  <c r="C1573" i="18"/>
  <c r="C1574" i="18"/>
  <c r="C1575" i="18"/>
  <c r="C1576" i="18"/>
  <c r="C1577" i="18"/>
  <c r="C1578" i="18"/>
  <c r="C1579" i="18"/>
  <c r="C1580" i="18"/>
  <c r="C1581" i="18"/>
  <c r="C1582" i="18"/>
  <c r="C1583" i="18"/>
  <c r="C1584" i="18"/>
  <c r="C1585" i="18"/>
  <c r="C1586" i="18"/>
  <c r="C1587" i="18"/>
  <c r="C1588" i="18"/>
  <c r="C1589" i="18"/>
  <c r="C1590" i="18"/>
  <c r="C1591" i="18"/>
  <c r="C1592" i="18"/>
  <c r="C1593" i="18"/>
  <c r="C1594" i="18"/>
  <c r="C1595" i="18"/>
  <c r="C1596" i="18"/>
  <c r="C1597" i="18"/>
  <c r="C1598" i="18"/>
  <c r="C1599" i="18"/>
  <c r="C1600" i="18"/>
  <c r="C1601" i="18"/>
  <c r="C1602" i="18"/>
  <c r="C1603" i="18"/>
  <c r="C1604" i="18"/>
  <c r="C1605" i="18"/>
  <c r="C1606" i="18"/>
  <c r="C1607" i="18"/>
  <c r="C1608" i="18"/>
  <c r="C1609" i="18"/>
  <c r="C1610" i="18"/>
  <c r="C1611" i="18"/>
  <c r="C1612" i="18"/>
  <c r="C1613" i="18"/>
  <c r="C1614" i="18"/>
  <c r="C1615" i="18"/>
  <c r="C1616" i="18"/>
  <c r="C1617" i="18"/>
  <c r="C1618" i="18"/>
  <c r="C1619" i="18"/>
  <c r="C1620" i="18"/>
  <c r="C1621" i="18"/>
  <c r="C1622" i="18"/>
  <c r="C1623" i="18"/>
  <c r="C1624" i="18"/>
  <c r="C1625" i="18"/>
  <c r="C1626" i="18"/>
  <c r="C1627" i="18"/>
  <c r="C1628" i="18"/>
  <c r="C1629" i="18"/>
  <c r="C1630" i="18"/>
  <c r="C1631" i="18"/>
  <c r="C1632" i="18"/>
  <c r="C1633" i="18"/>
  <c r="C1634" i="18"/>
  <c r="C1635" i="18"/>
  <c r="C1636" i="18"/>
  <c r="C1637" i="18"/>
  <c r="C1638" i="18"/>
  <c r="C1639" i="18"/>
  <c r="C1640" i="18"/>
  <c r="C1641" i="18"/>
  <c r="C1642" i="18"/>
  <c r="C1643" i="18"/>
  <c r="C1644" i="18"/>
  <c r="C1645" i="18"/>
  <c r="C1646" i="18"/>
  <c r="C1647" i="18"/>
  <c r="C1648" i="18"/>
  <c r="C1649" i="18"/>
  <c r="C1650" i="18"/>
  <c r="C1651" i="18"/>
  <c r="C1652" i="18"/>
  <c r="C1653" i="18"/>
  <c r="C1654" i="18"/>
  <c r="C1655" i="18"/>
  <c r="C1656" i="18"/>
  <c r="C1657" i="18"/>
  <c r="C1658" i="18"/>
  <c r="C1659" i="18"/>
  <c r="C1660" i="18"/>
  <c r="C1661" i="18"/>
  <c r="C1662" i="18"/>
  <c r="C1663" i="18"/>
  <c r="C1664" i="18"/>
  <c r="C1665" i="18"/>
  <c r="C1666" i="18"/>
  <c r="C1667" i="18"/>
  <c r="C1668" i="18"/>
  <c r="C1669" i="18"/>
  <c r="C1670" i="18"/>
  <c r="C1671" i="18"/>
  <c r="C1672" i="18"/>
  <c r="C1673" i="18"/>
  <c r="C1674" i="18"/>
  <c r="C1675" i="18"/>
  <c r="C1676" i="18"/>
  <c r="C1677" i="18"/>
  <c r="C1678" i="18"/>
  <c r="C1679" i="18"/>
  <c r="C1680" i="18"/>
  <c r="C1681" i="18"/>
  <c r="C1682" i="18"/>
  <c r="C1683" i="18"/>
  <c r="C1684" i="18"/>
  <c r="C1685" i="18"/>
  <c r="C1686" i="18"/>
  <c r="C1687" i="18"/>
  <c r="C1688" i="18"/>
  <c r="C1689" i="18"/>
  <c r="C1690" i="18"/>
  <c r="C1691" i="18"/>
  <c r="C1692" i="18"/>
  <c r="C1693" i="18"/>
  <c r="C1694" i="18"/>
  <c r="C1695" i="18"/>
  <c r="C1696" i="18"/>
  <c r="C1697" i="18"/>
  <c r="C1698" i="18"/>
  <c r="C1699" i="18"/>
  <c r="C1700" i="18"/>
  <c r="C1701" i="18"/>
  <c r="C1702" i="18"/>
  <c r="C1703" i="18"/>
  <c r="C1704" i="18"/>
  <c r="C1705" i="18"/>
  <c r="C1706" i="18"/>
  <c r="C1707" i="18"/>
  <c r="C1708" i="18"/>
  <c r="C1709" i="18"/>
  <c r="C1710" i="18"/>
  <c r="C1711" i="18"/>
  <c r="C1712" i="18"/>
  <c r="C1713" i="18"/>
  <c r="C1714" i="18"/>
  <c r="C1715" i="18"/>
  <c r="C1716" i="18"/>
  <c r="C1717" i="18"/>
  <c r="C1718" i="18"/>
  <c r="C1719" i="18"/>
  <c r="C1720" i="18"/>
  <c r="C1721" i="18"/>
  <c r="C1722" i="18"/>
  <c r="C1723" i="18"/>
  <c r="C1724" i="18"/>
  <c r="C1725" i="18"/>
  <c r="C1726" i="18"/>
  <c r="C1727" i="18"/>
  <c r="C1728" i="18"/>
  <c r="C1729" i="18"/>
  <c r="C1730" i="18"/>
  <c r="C1731" i="18"/>
  <c r="C1732" i="18"/>
  <c r="C1733" i="18"/>
  <c r="C1734" i="18"/>
  <c r="C1735" i="18"/>
  <c r="C1736" i="18"/>
  <c r="C1737" i="18"/>
  <c r="C1738" i="18"/>
  <c r="C1739" i="18"/>
  <c r="C1740" i="18"/>
  <c r="C1741" i="18"/>
  <c r="C1742" i="18"/>
  <c r="C1743" i="18"/>
  <c r="C1744" i="18"/>
  <c r="C1745" i="18"/>
  <c r="C1746" i="18"/>
  <c r="C1747" i="18"/>
  <c r="C1748" i="18"/>
  <c r="C1749" i="18"/>
  <c r="C1750" i="18"/>
  <c r="C1751" i="18"/>
  <c r="C1752" i="18"/>
  <c r="C1753" i="18"/>
  <c r="C1754" i="18"/>
  <c r="C1755" i="18"/>
  <c r="C1756" i="18"/>
  <c r="C1757" i="18"/>
  <c r="C1758" i="18"/>
  <c r="C1759" i="18"/>
  <c r="C1760" i="18"/>
  <c r="C1761" i="18"/>
  <c r="C1762" i="18"/>
  <c r="C1763" i="18"/>
  <c r="C1764" i="18"/>
  <c r="C1765" i="18"/>
  <c r="C1766" i="18"/>
  <c r="C1767" i="18"/>
  <c r="C1768" i="18"/>
  <c r="C1769" i="18"/>
  <c r="C1770" i="18"/>
  <c r="C1771" i="18"/>
  <c r="C1772" i="18"/>
  <c r="C1773" i="18"/>
  <c r="C1774" i="18"/>
  <c r="C1775" i="18"/>
  <c r="C1776" i="18"/>
  <c r="C1777" i="18"/>
  <c r="C1778" i="18"/>
  <c r="C1779" i="18"/>
  <c r="C1780" i="18"/>
  <c r="C1781" i="18"/>
  <c r="C1782" i="18"/>
  <c r="C1783" i="18"/>
  <c r="C1784" i="18"/>
  <c r="C1785" i="18"/>
  <c r="C1786" i="18"/>
  <c r="C1787" i="18"/>
  <c r="C1788" i="18"/>
  <c r="C1789" i="18"/>
  <c r="C1790" i="18"/>
  <c r="C1791" i="18"/>
  <c r="C1792" i="18"/>
  <c r="C1793" i="18"/>
  <c r="C1794" i="18"/>
  <c r="C1795" i="18"/>
  <c r="C1796" i="18"/>
  <c r="C1797" i="18"/>
  <c r="C1798" i="18"/>
  <c r="C1799" i="18"/>
  <c r="C1800" i="18"/>
  <c r="C1801" i="18"/>
  <c r="C1802" i="18"/>
  <c r="C1803" i="18"/>
  <c r="C1804" i="18"/>
  <c r="C1805" i="18"/>
  <c r="C1806" i="18"/>
  <c r="C1807" i="18"/>
  <c r="C1808" i="18"/>
  <c r="C1809" i="18"/>
  <c r="C1810" i="18"/>
  <c r="C1811" i="18"/>
  <c r="C1812" i="18"/>
  <c r="C1813" i="18"/>
  <c r="C1814" i="18"/>
  <c r="C1815" i="18"/>
  <c r="C1816" i="18"/>
  <c r="C1817" i="18"/>
  <c r="C1818" i="18"/>
  <c r="C1819" i="18"/>
  <c r="C1820" i="18"/>
  <c r="C1821" i="18"/>
  <c r="C1822" i="18"/>
  <c r="C1823" i="18"/>
  <c r="C1824" i="18"/>
  <c r="C1825" i="18"/>
  <c r="C1826" i="18"/>
  <c r="D1463" i="18"/>
  <c r="D1464" i="18"/>
  <c r="D1465" i="18"/>
  <c r="D1466" i="18"/>
  <c r="D1467" i="18"/>
  <c r="D1468" i="18"/>
  <c r="D1469" i="18"/>
  <c r="D1470" i="18"/>
  <c r="D1471" i="18"/>
  <c r="D1472" i="18"/>
  <c r="D1473" i="18"/>
  <c r="D1474" i="18"/>
  <c r="D1475" i="18"/>
  <c r="D1476" i="18"/>
  <c r="D1477" i="18"/>
  <c r="D1478" i="18"/>
  <c r="D1479" i="18"/>
  <c r="D1480" i="18"/>
  <c r="D1481" i="18"/>
  <c r="D1482" i="18"/>
  <c r="D1483" i="18"/>
  <c r="D1484" i="18"/>
  <c r="D1485" i="18"/>
  <c r="D1486" i="18"/>
  <c r="D1487" i="18"/>
  <c r="D1488" i="18"/>
  <c r="D1489" i="18"/>
  <c r="D1490" i="18"/>
  <c r="D1491" i="18"/>
  <c r="D1492" i="18"/>
  <c r="D1493" i="18"/>
  <c r="D1494" i="18"/>
  <c r="D1495" i="18"/>
  <c r="D1496" i="18"/>
  <c r="D1497" i="18"/>
  <c r="D1498" i="18"/>
  <c r="D1499" i="18"/>
  <c r="D1500" i="18"/>
  <c r="D1501" i="18"/>
  <c r="D1502" i="18"/>
  <c r="D1503" i="18"/>
  <c r="D1504" i="18"/>
  <c r="D1505" i="18"/>
  <c r="D1506" i="18"/>
  <c r="D1507" i="18"/>
  <c r="D1508" i="18"/>
  <c r="D1509" i="18"/>
  <c r="D1510" i="18"/>
  <c r="D1511" i="18"/>
  <c r="D1512" i="18"/>
  <c r="D1513" i="18"/>
  <c r="D1514" i="18"/>
  <c r="D1515" i="18"/>
  <c r="D1516" i="18"/>
  <c r="D1517" i="18"/>
  <c r="D1518" i="18"/>
  <c r="D1519" i="18"/>
  <c r="D1520" i="18"/>
  <c r="D1521" i="18"/>
  <c r="D1522" i="18"/>
  <c r="D1523" i="18"/>
  <c r="D1524" i="18"/>
  <c r="D1525" i="18"/>
  <c r="D1526" i="18"/>
  <c r="D1527" i="18"/>
  <c r="D1528" i="18"/>
  <c r="D1529" i="18"/>
  <c r="D1530" i="18"/>
  <c r="D1531" i="18"/>
  <c r="D1532" i="18"/>
  <c r="D1533" i="18"/>
  <c r="D1534" i="18"/>
  <c r="D1535" i="18"/>
  <c r="D1536" i="18"/>
  <c r="D1537" i="18"/>
  <c r="D1538" i="18"/>
  <c r="D1539" i="18"/>
  <c r="D1540" i="18"/>
  <c r="D1541" i="18"/>
  <c r="D1542" i="18"/>
  <c r="D1543" i="18"/>
  <c r="D1544" i="18"/>
  <c r="D1545" i="18"/>
  <c r="D1546" i="18"/>
  <c r="D1547" i="18"/>
  <c r="D1548" i="18"/>
  <c r="D1549" i="18"/>
  <c r="D1550" i="18"/>
  <c r="D1551" i="18"/>
  <c r="D1552" i="18"/>
  <c r="D1553" i="18"/>
  <c r="D1554" i="18"/>
  <c r="D1555" i="18"/>
  <c r="D1556" i="18"/>
  <c r="D1557" i="18"/>
  <c r="D1558" i="18"/>
  <c r="D1559" i="18"/>
  <c r="D1560" i="18"/>
  <c r="D1561" i="18"/>
  <c r="D1562" i="18"/>
  <c r="D1563" i="18"/>
  <c r="D1564" i="18"/>
  <c r="D1565" i="18"/>
  <c r="D1566" i="18"/>
  <c r="D1567" i="18"/>
  <c r="D1568" i="18"/>
  <c r="D1569" i="18"/>
  <c r="D1570" i="18"/>
  <c r="D1571" i="18"/>
  <c r="D1572" i="18"/>
  <c r="D1573" i="18"/>
  <c r="D1574" i="18"/>
  <c r="D1575" i="18"/>
  <c r="D1576" i="18"/>
  <c r="D1577" i="18"/>
  <c r="D1578" i="18"/>
  <c r="D1579" i="18"/>
  <c r="D1580" i="18"/>
  <c r="D1581" i="18"/>
  <c r="D1582" i="18"/>
  <c r="D1583" i="18"/>
  <c r="D1584" i="18"/>
  <c r="D1585" i="18"/>
  <c r="D1586" i="18"/>
  <c r="D1587" i="18"/>
  <c r="D1588" i="18"/>
  <c r="D1589" i="18"/>
  <c r="D1590" i="18"/>
  <c r="D1591" i="18"/>
  <c r="D1592" i="18"/>
  <c r="D1593" i="18"/>
  <c r="D1594" i="18"/>
  <c r="D1595" i="18"/>
  <c r="D1596" i="18"/>
  <c r="D1597" i="18"/>
  <c r="D1598" i="18"/>
  <c r="D1599" i="18"/>
  <c r="D1600" i="18"/>
  <c r="D1601" i="18"/>
  <c r="D1602" i="18"/>
  <c r="D1603" i="18"/>
  <c r="D1604" i="18"/>
  <c r="D1605" i="18"/>
  <c r="D1606" i="18"/>
  <c r="D1607" i="18"/>
  <c r="D1608" i="18"/>
  <c r="D1609" i="18"/>
  <c r="D1610" i="18"/>
  <c r="D1611" i="18"/>
  <c r="D1612" i="18"/>
  <c r="D1613" i="18"/>
  <c r="D1614" i="18"/>
  <c r="D1615" i="18"/>
  <c r="D1616" i="18"/>
  <c r="D1617" i="18"/>
  <c r="D1618" i="18"/>
  <c r="D1619" i="18"/>
  <c r="D1620" i="18"/>
  <c r="D1621" i="18"/>
  <c r="D1622" i="18"/>
  <c r="D1623" i="18"/>
  <c r="D1624" i="18"/>
  <c r="D1625" i="18"/>
  <c r="D1626" i="18"/>
  <c r="D1627" i="18"/>
  <c r="D1628" i="18"/>
  <c r="D1629" i="18"/>
  <c r="D1630" i="18"/>
  <c r="D1631" i="18"/>
  <c r="D1632" i="18"/>
  <c r="D1633" i="18"/>
  <c r="D1634" i="18"/>
  <c r="D1635" i="18"/>
  <c r="D1636" i="18"/>
  <c r="D1637" i="18"/>
  <c r="D1638" i="18"/>
  <c r="D1639" i="18"/>
  <c r="D1640" i="18"/>
  <c r="D1641" i="18"/>
  <c r="D1642" i="18"/>
  <c r="D1643" i="18"/>
  <c r="D1644" i="18"/>
  <c r="D1645" i="18"/>
  <c r="D1646" i="18"/>
  <c r="D1647" i="18"/>
  <c r="D1648" i="18"/>
  <c r="D1649" i="18"/>
  <c r="D1650" i="18"/>
  <c r="D1651" i="18"/>
  <c r="D1652" i="18"/>
  <c r="D1653" i="18"/>
  <c r="D1654" i="18"/>
  <c r="D1655" i="18"/>
  <c r="D1656" i="18"/>
  <c r="D1657" i="18"/>
  <c r="D1658" i="18"/>
  <c r="D1659" i="18"/>
  <c r="D1660" i="18"/>
  <c r="D1661" i="18"/>
  <c r="D1662" i="18"/>
  <c r="D1663" i="18"/>
  <c r="D1664" i="18"/>
  <c r="D1665" i="18"/>
  <c r="D1666" i="18"/>
  <c r="D1667" i="18"/>
  <c r="D1668" i="18"/>
  <c r="D1669" i="18"/>
  <c r="D1670" i="18"/>
  <c r="D1671" i="18"/>
  <c r="D1672" i="18"/>
  <c r="D1673" i="18"/>
  <c r="D1674" i="18"/>
  <c r="D1675" i="18"/>
  <c r="D1676" i="18"/>
  <c r="D1677" i="18"/>
  <c r="D1678" i="18"/>
  <c r="D1679" i="18"/>
  <c r="D1680" i="18"/>
  <c r="D1681" i="18"/>
  <c r="D1682" i="18"/>
  <c r="D1683" i="18"/>
  <c r="D1684" i="18"/>
  <c r="D1685" i="18"/>
  <c r="D1686" i="18"/>
  <c r="D1687" i="18"/>
  <c r="D1688" i="18"/>
  <c r="D1689" i="18"/>
  <c r="D1690" i="18"/>
  <c r="D1691" i="18"/>
  <c r="D1692" i="18"/>
  <c r="D1693" i="18"/>
  <c r="D1694" i="18"/>
  <c r="D1695" i="18"/>
  <c r="D1696" i="18"/>
  <c r="D1697" i="18"/>
  <c r="D1698" i="18"/>
  <c r="D1699" i="18"/>
  <c r="D1700" i="18"/>
  <c r="D1701" i="18"/>
  <c r="D1702" i="18"/>
  <c r="D1703" i="18"/>
  <c r="D1704" i="18"/>
  <c r="D1705" i="18"/>
  <c r="D1706" i="18"/>
  <c r="D1707" i="18"/>
  <c r="D1708" i="18"/>
  <c r="D1709" i="18"/>
  <c r="D1710" i="18"/>
  <c r="D1711" i="18"/>
  <c r="D1712" i="18"/>
  <c r="D1713" i="18"/>
  <c r="D1714" i="18"/>
  <c r="D1715" i="18"/>
  <c r="D1716" i="18"/>
  <c r="D1717" i="18"/>
  <c r="D1718" i="18"/>
  <c r="D1719" i="18"/>
  <c r="D1720" i="18"/>
  <c r="D1721" i="18"/>
  <c r="D1722" i="18"/>
  <c r="D1723" i="18"/>
  <c r="D1724" i="18"/>
  <c r="D1725" i="18"/>
  <c r="D1726" i="18"/>
  <c r="D1727" i="18"/>
  <c r="D1728" i="18"/>
  <c r="D1729" i="18"/>
  <c r="D1730" i="18"/>
  <c r="D1731" i="18"/>
  <c r="D1732" i="18"/>
  <c r="D1733" i="18"/>
  <c r="D1734" i="18"/>
  <c r="D1735" i="18"/>
  <c r="D1736" i="18"/>
  <c r="D1737" i="18"/>
  <c r="D1738" i="18"/>
  <c r="D1739" i="18"/>
  <c r="D1740" i="18"/>
  <c r="D1741" i="18"/>
  <c r="D1742" i="18"/>
  <c r="D1743" i="18"/>
  <c r="D1744" i="18"/>
  <c r="D1745" i="18"/>
  <c r="D1746" i="18"/>
  <c r="D1747" i="18"/>
  <c r="D1748" i="18"/>
  <c r="D1749" i="18"/>
  <c r="D1750" i="18"/>
  <c r="D1751" i="18"/>
  <c r="D1752" i="18"/>
  <c r="D1753" i="18"/>
  <c r="D1754" i="18"/>
  <c r="D1755" i="18"/>
  <c r="D1756" i="18"/>
  <c r="D1757" i="18"/>
  <c r="D1758" i="18"/>
  <c r="D1759" i="18"/>
  <c r="D1760" i="18"/>
  <c r="D1761" i="18"/>
  <c r="D1762" i="18"/>
  <c r="D1763" i="18"/>
  <c r="D1764" i="18"/>
  <c r="D1765" i="18"/>
  <c r="D1766" i="18"/>
  <c r="D1767" i="18"/>
  <c r="D1768" i="18"/>
  <c r="D1769" i="18"/>
  <c r="D1770" i="18"/>
  <c r="D1771" i="18"/>
  <c r="D1772" i="18"/>
  <c r="D1773" i="18"/>
  <c r="D1774" i="18"/>
  <c r="D1775" i="18"/>
  <c r="D1776" i="18"/>
  <c r="D1777" i="18"/>
  <c r="D1778" i="18"/>
  <c r="D1779" i="18"/>
  <c r="D1780" i="18"/>
  <c r="D1781" i="18"/>
  <c r="D1782" i="18"/>
  <c r="D1783" i="18"/>
  <c r="D1784" i="18"/>
  <c r="D1785" i="18"/>
  <c r="D1786" i="18"/>
  <c r="D1787" i="18"/>
  <c r="D1788" i="18"/>
  <c r="D1789" i="18"/>
  <c r="D1790" i="18"/>
  <c r="D1791" i="18"/>
  <c r="D1792" i="18"/>
  <c r="D1793" i="18"/>
  <c r="D1794" i="18"/>
  <c r="D1795" i="18"/>
  <c r="D1796" i="18"/>
  <c r="D1797" i="18"/>
  <c r="D1798" i="18"/>
  <c r="D1799" i="18"/>
  <c r="D1800" i="18"/>
  <c r="D1801" i="18"/>
  <c r="D1802" i="18"/>
  <c r="D1803" i="18"/>
  <c r="D1804" i="18"/>
  <c r="D1805" i="18"/>
  <c r="D1806" i="18"/>
  <c r="D1807" i="18"/>
  <c r="D1808" i="18"/>
  <c r="D1809" i="18"/>
  <c r="D1810" i="18"/>
  <c r="D1811" i="18"/>
  <c r="D1812" i="18"/>
  <c r="D1813" i="18"/>
  <c r="D1814" i="18"/>
  <c r="D1815" i="18"/>
  <c r="D1816" i="18"/>
  <c r="D1817" i="18"/>
  <c r="D1818" i="18"/>
  <c r="D1819" i="18"/>
  <c r="D1820" i="18"/>
  <c r="D1821" i="18"/>
  <c r="D1822" i="18"/>
  <c r="D1823" i="18"/>
  <c r="D1824" i="18"/>
  <c r="D1825" i="18"/>
  <c r="D1826" i="18"/>
  <c r="E1463" i="18"/>
  <c r="E1464" i="18"/>
  <c r="E1465" i="18"/>
  <c r="E1466" i="18"/>
  <c r="E1467" i="18"/>
  <c r="E1468" i="18"/>
  <c r="E1469" i="18"/>
  <c r="E1470" i="18"/>
  <c r="E1471" i="18"/>
  <c r="E1472" i="18"/>
  <c r="E1473" i="18"/>
  <c r="E1474" i="18"/>
  <c r="E1475" i="18"/>
  <c r="E1476" i="18"/>
  <c r="E1477" i="18"/>
  <c r="E1478" i="18"/>
  <c r="E1479" i="18"/>
  <c r="E1480" i="18"/>
  <c r="E1481" i="18"/>
  <c r="E1482" i="18"/>
  <c r="E1483" i="18"/>
  <c r="E1484" i="18"/>
  <c r="E1485" i="18"/>
  <c r="E1486" i="18"/>
  <c r="E1487" i="18"/>
  <c r="E1488" i="18"/>
  <c r="E1489" i="18"/>
  <c r="E1490" i="18"/>
  <c r="E1491" i="18"/>
  <c r="E1492" i="18"/>
  <c r="E1493" i="18"/>
  <c r="E1494" i="18"/>
  <c r="E1495" i="18"/>
  <c r="E1496" i="18"/>
  <c r="E1497" i="18"/>
  <c r="E1498" i="18"/>
  <c r="E1499" i="18"/>
  <c r="E1500" i="18"/>
  <c r="E1501" i="18"/>
  <c r="E1502" i="18"/>
  <c r="E1503" i="18"/>
  <c r="E1504" i="18"/>
  <c r="E1505" i="18"/>
  <c r="E1506" i="18"/>
  <c r="E1507" i="18"/>
  <c r="E1508" i="18"/>
  <c r="E1509" i="18"/>
  <c r="E1510" i="18"/>
  <c r="E1511" i="18"/>
  <c r="E1512" i="18"/>
  <c r="E1513" i="18"/>
  <c r="E1514" i="18"/>
  <c r="E1515" i="18"/>
  <c r="E1516" i="18"/>
  <c r="E1517" i="18"/>
  <c r="E1518" i="18"/>
  <c r="E1519" i="18"/>
  <c r="E1520" i="18"/>
  <c r="E1521" i="18"/>
  <c r="E1522" i="18"/>
  <c r="E1523" i="18"/>
  <c r="E1524" i="18"/>
  <c r="E1525" i="18"/>
  <c r="E1526" i="18"/>
  <c r="E1527" i="18"/>
  <c r="E1528" i="18"/>
  <c r="E1529" i="18"/>
  <c r="E1530" i="18"/>
  <c r="E1531" i="18"/>
  <c r="E1532" i="18"/>
  <c r="E1533" i="18"/>
  <c r="E1534" i="18"/>
  <c r="E1535" i="18"/>
  <c r="E1536" i="18"/>
  <c r="E1537" i="18"/>
  <c r="E1538" i="18"/>
  <c r="E1539" i="18"/>
  <c r="E1540" i="18"/>
  <c r="E1541" i="18"/>
  <c r="E1542" i="18"/>
  <c r="E1543" i="18"/>
  <c r="E1544" i="18"/>
  <c r="E1545" i="18"/>
  <c r="E1546" i="18"/>
  <c r="E1547" i="18"/>
  <c r="E1548" i="18"/>
  <c r="E1549" i="18"/>
  <c r="E1550" i="18"/>
  <c r="E1551" i="18"/>
  <c r="E1552" i="18"/>
  <c r="E1553" i="18"/>
  <c r="E1554" i="18"/>
  <c r="E1555" i="18"/>
  <c r="E1556" i="18"/>
  <c r="E1557" i="18"/>
  <c r="E1558" i="18"/>
  <c r="E1559" i="18"/>
  <c r="E1560" i="18"/>
  <c r="E1561" i="18"/>
  <c r="E1562" i="18"/>
  <c r="E1563" i="18"/>
  <c r="E1564" i="18"/>
  <c r="E1565" i="18"/>
  <c r="E1566" i="18"/>
  <c r="E1567" i="18"/>
  <c r="E1568" i="18"/>
  <c r="E1569" i="18"/>
  <c r="E1570" i="18"/>
  <c r="E1571" i="18"/>
  <c r="E1572" i="18"/>
  <c r="E1573" i="18"/>
  <c r="E1574" i="18"/>
  <c r="E1575" i="18"/>
  <c r="E1576" i="18"/>
  <c r="E1577" i="18"/>
  <c r="E1578" i="18"/>
  <c r="E1579" i="18"/>
  <c r="E1580" i="18"/>
  <c r="E1581" i="18"/>
  <c r="E1582" i="18"/>
  <c r="E1583" i="18"/>
  <c r="E1584" i="18"/>
  <c r="E1585" i="18"/>
  <c r="E1586" i="18"/>
  <c r="E1587" i="18"/>
  <c r="E1588" i="18"/>
  <c r="E1589" i="18"/>
  <c r="E1590" i="18"/>
  <c r="E1591" i="18"/>
  <c r="E1592" i="18"/>
  <c r="E1593" i="18"/>
  <c r="E1594" i="18"/>
  <c r="E1595" i="18"/>
  <c r="E1596" i="18"/>
  <c r="E1597" i="18"/>
  <c r="E1598" i="18"/>
  <c r="E1599" i="18"/>
  <c r="E1600" i="18"/>
  <c r="E1601" i="18"/>
  <c r="E1602" i="18"/>
  <c r="E1603" i="18"/>
  <c r="E1604" i="18"/>
  <c r="E1605" i="18"/>
  <c r="E1606" i="18"/>
  <c r="E1607" i="18"/>
  <c r="E1608" i="18"/>
  <c r="E1609" i="18"/>
  <c r="E1610" i="18"/>
  <c r="E1611" i="18"/>
  <c r="E1612" i="18"/>
  <c r="E1613" i="18"/>
  <c r="E1614" i="18"/>
  <c r="E1615" i="18"/>
  <c r="E1616" i="18"/>
  <c r="E1617" i="18"/>
  <c r="E1618" i="18"/>
  <c r="E1619" i="18"/>
  <c r="E1620" i="18"/>
  <c r="E1621" i="18"/>
  <c r="E1622" i="18"/>
  <c r="E1623" i="18"/>
  <c r="E1624" i="18"/>
  <c r="E1625" i="18"/>
  <c r="E1626" i="18"/>
  <c r="E1627" i="18"/>
  <c r="E1628" i="18"/>
  <c r="E1629" i="18"/>
  <c r="E1630" i="18"/>
  <c r="E1631" i="18"/>
  <c r="E1632" i="18"/>
  <c r="E1633" i="18"/>
  <c r="E1634" i="18"/>
  <c r="E1635" i="18"/>
  <c r="E1636" i="18"/>
  <c r="E1637" i="18"/>
  <c r="E1638" i="18"/>
  <c r="E1639" i="18"/>
  <c r="E1640" i="18"/>
  <c r="E1641" i="18"/>
  <c r="E1642" i="18"/>
  <c r="E1643" i="18"/>
  <c r="E1644" i="18"/>
  <c r="E1645" i="18"/>
  <c r="E1646" i="18"/>
  <c r="E1647" i="18"/>
  <c r="E1648" i="18"/>
  <c r="E1649" i="18"/>
  <c r="E1650" i="18"/>
  <c r="E1651" i="18"/>
  <c r="E1652" i="18"/>
  <c r="E1653" i="18"/>
  <c r="E1654" i="18"/>
  <c r="E1655" i="18"/>
  <c r="E1656" i="18"/>
  <c r="E1657" i="18"/>
  <c r="E1658" i="18"/>
  <c r="E1659" i="18"/>
  <c r="E1660" i="18"/>
  <c r="E1661" i="18"/>
  <c r="E1662" i="18"/>
  <c r="E1663" i="18"/>
  <c r="E1664" i="18"/>
  <c r="E1665" i="18"/>
  <c r="E1666" i="18"/>
  <c r="E1667" i="18"/>
  <c r="E1668" i="18"/>
  <c r="E1669" i="18"/>
  <c r="E1670" i="18"/>
  <c r="E1671" i="18"/>
  <c r="E1672" i="18"/>
  <c r="E1673" i="18"/>
  <c r="E1674" i="18"/>
  <c r="E1675" i="18"/>
  <c r="E1676" i="18"/>
  <c r="E1677" i="18"/>
  <c r="E1678" i="18"/>
  <c r="E1679" i="18"/>
  <c r="E1680" i="18"/>
  <c r="E1681" i="18"/>
  <c r="E1682" i="18"/>
  <c r="E1683" i="18"/>
  <c r="E1684" i="18"/>
  <c r="E1685" i="18"/>
  <c r="E1686" i="18"/>
  <c r="E1687" i="18"/>
  <c r="E1688" i="18"/>
  <c r="E1689" i="18"/>
  <c r="E1690" i="18"/>
  <c r="E1691" i="18"/>
  <c r="E1692" i="18"/>
  <c r="E1693" i="18"/>
  <c r="E1694" i="18"/>
  <c r="E1695" i="18"/>
  <c r="E1696" i="18"/>
  <c r="E1697" i="18"/>
  <c r="E1698" i="18"/>
  <c r="E1699" i="18"/>
  <c r="E1700" i="18"/>
  <c r="E1701" i="18"/>
  <c r="E1702" i="18"/>
  <c r="E1703" i="18"/>
  <c r="E1704" i="18"/>
  <c r="E1705" i="18"/>
  <c r="E1706" i="18"/>
  <c r="E1707" i="18"/>
  <c r="E1708" i="18"/>
  <c r="E1709" i="18"/>
  <c r="E1710" i="18"/>
  <c r="E1711" i="18"/>
  <c r="E1712" i="18"/>
  <c r="E1713" i="18"/>
  <c r="E1714" i="18"/>
  <c r="E1715" i="18"/>
  <c r="E1716" i="18"/>
  <c r="E1717" i="18"/>
  <c r="E1718" i="18"/>
  <c r="E1719" i="18"/>
  <c r="E1720" i="18"/>
  <c r="E1721" i="18"/>
  <c r="E1722" i="18"/>
  <c r="E1723" i="18"/>
  <c r="E1724" i="18"/>
  <c r="E1725" i="18"/>
  <c r="E1726" i="18"/>
  <c r="E1727" i="18"/>
  <c r="E1728" i="18"/>
  <c r="E1729" i="18"/>
  <c r="E1730" i="18"/>
  <c r="E1731" i="18"/>
  <c r="E1732" i="18"/>
  <c r="E1733" i="18"/>
  <c r="E1734" i="18"/>
  <c r="E1735" i="18"/>
  <c r="E1736" i="18"/>
  <c r="E1737" i="18"/>
  <c r="E1738" i="18"/>
  <c r="E1739" i="18"/>
  <c r="E1740" i="18"/>
  <c r="E1741" i="18"/>
  <c r="E1742" i="18"/>
  <c r="E1743" i="18"/>
  <c r="E1744" i="18"/>
  <c r="E1745" i="18"/>
  <c r="E1746" i="18"/>
  <c r="E1747" i="18"/>
  <c r="E1748" i="18"/>
  <c r="E1749" i="18"/>
  <c r="E1750" i="18"/>
  <c r="E1751" i="18"/>
  <c r="E1752" i="18"/>
  <c r="E1753" i="18"/>
  <c r="E1754" i="18"/>
  <c r="E1755" i="18"/>
  <c r="E1756" i="18"/>
  <c r="E1757" i="18"/>
  <c r="E1758" i="18"/>
  <c r="E1759" i="18"/>
  <c r="E1760" i="18"/>
  <c r="E1761" i="18"/>
  <c r="E1762" i="18"/>
  <c r="E1763" i="18"/>
  <c r="E1764" i="18"/>
  <c r="E1765" i="18"/>
  <c r="E1766" i="18"/>
  <c r="E1767" i="18"/>
  <c r="E1768" i="18"/>
  <c r="E1769" i="18"/>
  <c r="E1770" i="18"/>
  <c r="E1771" i="18"/>
  <c r="E1772" i="18"/>
  <c r="E1773" i="18"/>
  <c r="E1774" i="18"/>
  <c r="E1775" i="18"/>
  <c r="E1776" i="18"/>
  <c r="E1777" i="18"/>
  <c r="E1778" i="18"/>
  <c r="E1779" i="18"/>
  <c r="E1780" i="18"/>
  <c r="E1781" i="18"/>
  <c r="E1782" i="18"/>
  <c r="E1783" i="18"/>
  <c r="E1784" i="18"/>
  <c r="E1785" i="18"/>
  <c r="E1786" i="18"/>
  <c r="E1787" i="18"/>
  <c r="E1788" i="18"/>
  <c r="E1789" i="18"/>
  <c r="E1790" i="18"/>
  <c r="E1791" i="18"/>
  <c r="E1792" i="18"/>
  <c r="E1793" i="18"/>
  <c r="E1794" i="18"/>
  <c r="E1795" i="18"/>
  <c r="E1796" i="18"/>
  <c r="E1797" i="18"/>
  <c r="E1798" i="18"/>
  <c r="E1799" i="18"/>
  <c r="E1800" i="18"/>
  <c r="E1801" i="18"/>
  <c r="E1802" i="18"/>
  <c r="E1803" i="18"/>
  <c r="E1804" i="18"/>
  <c r="E1805" i="18"/>
  <c r="E1806" i="18"/>
  <c r="E1807" i="18"/>
  <c r="E1808" i="18"/>
  <c r="E1809" i="18"/>
  <c r="E1810" i="18"/>
  <c r="E1811" i="18"/>
  <c r="E1812" i="18"/>
  <c r="E1813" i="18"/>
  <c r="E1814" i="18"/>
  <c r="E1815" i="18"/>
  <c r="E1816" i="18"/>
  <c r="E1817" i="18"/>
  <c r="E1818" i="18"/>
  <c r="E1819" i="18"/>
  <c r="E1820" i="18"/>
  <c r="E1821" i="18"/>
  <c r="E1822" i="18"/>
  <c r="E1823" i="18"/>
  <c r="E1824" i="18"/>
  <c r="E1825" i="18"/>
  <c r="E1826" i="18"/>
  <c r="H1827" i="18" s="1"/>
  <c r="H1828" i="18" s="1"/>
  <c r="H1829" i="18" s="1"/>
  <c r="H1830" i="18" s="1"/>
  <c r="H1831" i="18" s="1"/>
  <c r="H1832" i="18" s="1"/>
  <c r="H1833" i="18" s="1"/>
  <c r="H1834" i="18" s="1"/>
  <c r="G1463" i="18"/>
  <c r="G1464" i="18"/>
  <c r="G1465" i="18"/>
  <c r="G1466" i="18"/>
  <c r="G1467" i="18"/>
  <c r="G1468" i="18"/>
  <c r="G1469" i="18"/>
  <c r="G1470" i="18"/>
  <c r="G1471" i="18"/>
  <c r="G1472" i="18"/>
  <c r="G1473" i="18"/>
  <c r="G1474" i="18"/>
  <c r="G1475" i="18"/>
  <c r="G1476" i="18"/>
  <c r="G1477" i="18"/>
  <c r="G1478" i="18"/>
  <c r="G1479" i="18"/>
  <c r="G1480" i="18"/>
  <c r="G1481" i="18"/>
  <c r="G1482" i="18"/>
  <c r="G1483" i="18"/>
  <c r="G1484" i="18"/>
  <c r="G1485" i="18"/>
  <c r="G1486" i="18"/>
  <c r="G1487" i="18"/>
  <c r="G1488" i="18"/>
  <c r="G1489" i="18"/>
  <c r="G1490" i="18"/>
  <c r="G1491" i="18"/>
  <c r="G1492" i="18"/>
  <c r="G1493" i="18"/>
  <c r="G1494" i="18"/>
  <c r="G1495" i="18"/>
  <c r="G1496" i="18"/>
  <c r="G1497" i="18"/>
  <c r="G1498" i="18"/>
  <c r="G1499" i="18"/>
  <c r="G1500" i="18"/>
  <c r="G1501" i="18"/>
  <c r="G1502" i="18"/>
  <c r="G1503" i="18"/>
  <c r="G1504" i="18"/>
  <c r="G1505" i="18"/>
  <c r="G1506" i="18"/>
  <c r="G1507" i="18"/>
  <c r="G1508" i="18"/>
  <c r="G1509" i="18"/>
  <c r="G1510" i="18"/>
  <c r="G1511" i="18"/>
  <c r="G1512" i="18"/>
  <c r="G1513" i="18"/>
  <c r="G1514" i="18"/>
  <c r="G1515" i="18"/>
  <c r="G1516" i="18"/>
  <c r="G1517" i="18"/>
  <c r="G1518" i="18"/>
  <c r="G1519" i="18"/>
  <c r="G1520" i="18"/>
  <c r="G1521" i="18"/>
  <c r="G1522" i="18"/>
  <c r="G1523" i="18"/>
  <c r="G1524" i="18"/>
  <c r="G1525" i="18"/>
  <c r="G1526" i="18"/>
  <c r="G1527" i="18"/>
  <c r="G1528" i="18"/>
  <c r="G1529" i="18"/>
  <c r="G1530" i="18"/>
  <c r="G1531" i="18"/>
  <c r="G1532" i="18"/>
  <c r="G1533" i="18"/>
  <c r="G1534" i="18"/>
  <c r="G1535" i="18"/>
  <c r="G1536" i="18"/>
  <c r="G1537" i="18"/>
  <c r="G1538" i="18"/>
  <c r="G1539" i="18"/>
  <c r="G1540" i="18"/>
  <c r="G1541" i="18"/>
  <c r="G1542" i="18"/>
  <c r="G1543" i="18"/>
  <c r="G1544" i="18"/>
  <c r="G1545" i="18"/>
  <c r="G1546" i="18"/>
  <c r="G1547" i="18"/>
  <c r="G1548" i="18"/>
  <c r="G1549" i="18"/>
  <c r="G1550" i="18"/>
  <c r="G1551" i="18"/>
  <c r="G1552" i="18"/>
  <c r="G1553" i="18"/>
  <c r="G1554" i="18"/>
  <c r="G1555" i="18"/>
  <c r="G1556" i="18"/>
  <c r="G1557" i="18"/>
  <c r="G1558" i="18"/>
  <c r="G1559" i="18"/>
  <c r="G1560" i="18"/>
  <c r="G1561" i="18"/>
  <c r="G1562" i="18"/>
  <c r="G1563" i="18"/>
  <c r="G1564" i="18"/>
  <c r="G1565" i="18"/>
  <c r="G1566" i="18"/>
  <c r="G1567" i="18"/>
  <c r="G1568" i="18"/>
  <c r="G1569" i="18"/>
  <c r="G1570" i="18"/>
  <c r="G1571" i="18"/>
  <c r="G1572" i="18"/>
  <c r="G1573" i="18"/>
  <c r="G1574" i="18"/>
  <c r="G1575" i="18"/>
  <c r="G1576" i="18"/>
  <c r="G1577" i="18"/>
  <c r="G1578" i="18"/>
  <c r="G1579" i="18"/>
  <c r="G1580" i="18"/>
  <c r="G1581" i="18"/>
  <c r="G1582" i="18"/>
  <c r="G1583" i="18"/>
  <c r="G1584" i="18"/>
  <c r="G1585" i="18"/>
  <c r="G1586" i="18"/>
  <c r="G1587" i="18"/>
  <c r="G1588" i="18"/>
  <c r="G1589" i="18"/>
  <c r="G1590" i="18"/>
  <c r="G1591" i="18"/>
  <c r="G1592" i="18"/>
  <c r="G1593" i="18"/>
  <c r="G1594" i="18"/>
  <c r="G1595" i="18"/>
  <c r="G1596" i="18"/>
  <c r="G1597" i="18"/>
  <c r="G1598" i="18"/>
  <c r="G1599" i="18"/>
  <c r="G1600" i="18"/>
  <c r="G1601" i="18"/>
  <c r="G1602" i="18"/>
  <c r="G1603" i="18"/>
  <c r="G1604" i="18"/>
  <c r="G1605" i="18"/>
  <c r="G1606" i="18"/>
  <c r="G1607" i="18"/>
  <c r="G1608" i="18"/>
  <c r="G1609" i="18"/>
  <c r="G1610" i="18"/>
  <c r="G1611" i="18"/>
  <c r="G1612" i="18"/>
  <c r="G1613" i="18"/>
  <c r="G1614" i="18"/>
  <c r="G1615" i="18"/>
  <c r="G1616" i="18"/>
  <c r="G1617" i="18"/>
  <c r="G1618" i="18"/>
  <c r="G1619" i="18"/>
  <c r="G1620" i="18"/>
  <c r="G1621" i="18"/>
  <c r="G1622" i="18"/>
  <c r="G1623" i="18"/>
  <c r="G1624" i="18"/>
  <c r="G1625" i="18"/>
  <c r="G1626" i="18"/>
  <c r="G1627" i="18"/>
  <c r="G1628" i="18"/>
  <c r="G1629" i="18"/>
  <c r="G1630" i="18"/>
  <c r="G1631" i="18"/>
  <c r="G1632" i="18"/>
  <c r="G1633" i="18"/>
  <c r="G1634" i="18"/>
  <c r="G1635" i="18"/>
  <c r="G1636" i="18"/>
  <c r="G1637" i="18"/>
  <c r="G1638" i="18"/>
  <c r="G1639" i="18"/>
  <c r="G1640" i="18"/>
  <c r="G1641" i="18"/>
  <c r="G1642" i="18"/>
  <c r="G1643" i="18"/>
  <c r="G1644" i="18"/>
  <c r="G1645" i="18"/>
  <c r="G1646" i="18"/>
  <c r="G1647" i="18"/>
  <c r="G1648" i="18"/>
  <c r="G1649" i="18"/>
  <c r="G1650" i="18"/>
  <c r="G1651" i="18"/>
  <c r="G1652" i="18"/>
  <c r="G1653" i="18"/>
  <c r="G1654" i="18"/>
  <c r="G1655" i="18"/>
  <c r="G1656" i="18"/>
  <c r="G1657" i="18"/>
  <c r="G1658" i="18"/>
  <c r="G1659" i="18"/>
  <c r="G1660" i="18"/>
  <c r="G1661" i="18"/>
  <c r="G1662" i="18"/>
  <c r="G1663" i="18"/>
  <c r="G1664" i="18"/>
  <c r="G1665" i="18"/>
  <c r="G1666" i="18"/>
  <c r="G1667" i="18"/>
  <c r="G1668" i="18"/>
  <c r="G1669" i="18"/>
  <c r="G1670" i="18"/>
  <c r="G1671" i="18"/>
  <c r="G1672" i="18"/>
  <c r="G1673" i="18"/>
  <c r="G1674" i="18"/>
  <c r="G1675" i="18"/>
  <c r="G1676" i="18"/>
  <c r="G1677" i="18"/>
  <c r="G1678" i="18"/>
  <c r="G1679" i="18"/>
  <c r="G1680" i="18"/>
  <c r="G1681" i="18"/>
  <c r="G1682" i="18"/>
  <c r="G1683" i="18"/>
  <c r="G1684" i="18"/>
  <c r="G1685" i="18"/>
  <c r="G1686" i="18"/>
  <c r="G1687" i="18"/>
  <c r="G1688" i="18"/>
  <c r="G1689" i="18"/>
  <c r="G1690" i="18"/>
  <c r="G1691" i="18"/>
  <c r="G1692" i="18"/>
  <c r="G1693" i="18"/>
  <c r="G1694" i="18"/>
  <c r="G1695" i="18"/>
  <c r="G1696" i="18"/>
  <c r="G1697" i="18"/>
  <c r="G1698" i="18"/>
  <c r="G1699" i="18"/>
  <c r="G1700" i="18"/>
  <c r="G1701" i="18"/>
  <c r="G1702" i="18"/>
  <c r="G1703" i="18"/>
  <c r="G1704" i="18"/>
  <c r="G1705" i="18"/>
  <c r="G1706" i="18"/>
  <c r="G1707" i="18"/>
  <c r="G1708" i="18"/>
  <c r="G1709" i="18"/>
  <c r="G1710" i="18"/>
  <c r="G1711" i="18"/>
  <c r="G1712" i="18"/>
  <c r="G1713" i="18"/>
  <c r="G1714" i="18"/>
  <c r="G1715" i="18"/>
  <c r="G1716" i="18"/>
  <c r="G1717" i="18"/>
  <c r="G1718" i="18"/>
  <c r="G1719" i="18"/>
  <c r="G1720" i="18"/>
  <c r="G1721" i="18"/>
  <c r="G1722" i="18"/>
  <c r="G1723" i="18"/>
  <c r="G1724" i="18"/>
  <c r="G1725" i="18"/>
  <c r="G1726" i="18"/>
  <c r="G1727" i="18"/>
  <c r="G1728" i="18"/>
  <c r="G1729" i="18"/>
  <c r="G1730" i="18"/>
  <c r="G1731" i="18"/>
  <c r="G1732" i="18"/>
  <c r="G1733" i="18"/>
  <c r="G1734" i="18"/>
  <c r="G1735" i="18"/>
  <c r="G1736" i="18"/>
  <c r="G1737" i="18"/>
  <c r="G1738" i="18"/>
  <c r="G1739" i="18"/>
  <c r="G1740" i="18"/>
  <c r="G1741" i="18"/>
  <c r="G1742" i="18"/>
  <c r="G1743" i="18"/>
  <c r="G1744" i="18"/>
  <c r="G1745" i="18"/>
  <c r="G1746" i="18"/>
  <c r="G1747" i="18"/>
  <c r="G1748" i="18"/>
  <c r="G1749" i="18"/>
  <c r="G1750" i="18"/>
  <c r="G1751" i="18"/>
  <c r="G1752" i="18"/>
  <c r="G1753" i="18"/>
  <c r="G1754" i="18"/>
  <c r="G1755" i="18"/>
  <c r="G1756" i="18"/>
  <c r="G1757" i="18"/>
  <c r="G1758" i="18"/>
  <c r="G1759" i="18"/>
  <c r="G1760" i="18"/>
  <c r="G1761" i="18"/>
  <c r="G1762" i="18"/>
  <c r="G1763" i="18"/>
  <c r="G1764" i="18"/>
  <c r="G1765" i="18"/>
  <c r="G1766" i="18"/>
  <c r="G1767" i="18"/>
  <c r="G1768" i="18"/>
  <c r="G1769" i="18"/>
  <c r="G1770" i="18"/>
  <c r="G1771" i="18"/>
  <c r="G1772" i="18"/>
  <c r="G1773" i="18"/>
  <c r="G1774" i="18"/>
  <c r="G1775" i="18"/>
  <c r="G1776" i="18"/>
  <c r="G1777" i="18"/>
  <c r="G1778" i="18"/>
  <c r="G1779" i="18"/>
  <c r="G1780" i="18"/>
  <c r="G1781" i="18"/>
  <c r="G1782" i="18"/>
  <c r="G1783" i="18"/>
  <c r="G1784" i="18"/>
  <c r="G1785" i="18"/>
  <c r="G1786" i="18"/>
  <c r="G1787" i="18"/>
  <c r="G1788" i="18"/>
  <c r="G1789" i="18"/>
  <c r="G1790" i="18"/>
  <c r="G1791" i="18"/>
  <c r="G1792" i="18"/>
  <c r="G1793" i="18"/>
  <c r="G1794" i="18"/>
  <c r="G1795" i="18"/>
  <c r="G1796" i="18"/>
  <c r="G1797" i="18"/>
  <c r="G1798" i="18"/>
  <c r="G1799" i="18"/>
  <c r="G1800" i="18"/>
  <c r="G1801" i="18"/>
  <c r="G1802" i="18"/>
  <c r="G1803" i="18"/>
  <c r="G1804" i="18"/>
  <c r="G1805" i="18"/>
  <c r="G1806" i="18"/>
  <c r="G1807" i="18"/>
  <c r="G1808" i="18"/>
  <c r="G1809" i="18"/>
  <c r="G1810" i="18"/>
  <c r="G1811" i="18"/>
  <c r="G1812" i="18"/>
  <c r="G1813" i="18"/>
  <c r="G1814" i="18"/>
  <c r="G1815" i="18"/>
  <c r="G1816" i="18"/>
  <c r="G1817" i="18"/>
  <c r="G1818" i="18"/>
  <c r="G1819" i="18"/>
  <c r="G1820" i="18"/>
  <c r="G1821" i="18"/>
  <c r="G1822" i="18"/>
  <c r="G1823" i="18"/>
  <c r="G1824" i="18"/>
  <c r="G1825" i="18"/>
  <c r="G1826" i="18"/>
  <c r="I1463" i="18"/>
  <c r="I1465" i="18"/>
  <c r="I1466" i="18"/>
  <c r="I1467" i="18"/>
  <c r="I1468" i="18"/>
  <c r="I1469" i="18"/>
  <c r="I1470" i="18"/>
  <c r="I1471" i="18"/>
  <c r="I1472" i="18"/>
  <c r="I1473" i="18"/>
  <c r="I1474" i="18"/>
  <c r="I1475" i="18"/>
  <c r="I1476" i="18"/>
  <c r="I1477" i="18"/>
  <c r="I1478" i="18"/>
  <c r="I1479" i="18"/>
  <c r="I1480" i="18"/>
  <c r="I1481" i="18"/>
  <c r="I1482" i="18"/>
  <c r="I1483" i="18"/>
  <c r="I1484" i="18"/>
  <c r="I1485" i="18"/>
  <c r="I1486" i="18"/>
  <c r="I1487" i="18"/>
  <c r="I1488" i="18"/>
  <c r="I1489" i="18"/>
  <c r="I1490" i="18"/>
  <c r="I1491" i="18"/>
  <c r="I1492" i="18"/>
  <c r="I1493" i="18"/>
  <c r="I1494" i="18"/>
  <c r="I1496" i="18"/>
  <c r="I1497" i="18"/>
  <c r="I1498" i="18"/>
  <c r="I1499" i="18"/>
  <c r="I1500" i="18"/>
  <c r="I1501" i="18"/>
  <c r="I1502" i="18"/>
  <c r="I1503" i="18"/>
  <c r="I1504" i="18"/>
  <c r="I1505" i="18"/>
  <c r="I1506" i="18"/>
  <c r="I1507" i="18"/>
  <c r="I1508" i="18"/>
  <c r="I1509" i="18"/>
  <c r="I1510" i="18"/>
  <c r="I1511" i="18"/>
  <c r="I1512" i="18"/>
  <c r="I1513" i="18"/>
  <c r="I1514" i="18"/>
  <c r="I1515" i="18"/>
  <c r="I1516" i="18"/>
  <c r="I1517" i="18"/>
  <c r="I1518" i="18"/>
  <c r="I1519" i="18"/>
  <c r="I1520" i="18"/>
  <c r="I1521" i="18"/>
  <c r="I1522" i="18"/>
  <c r="I1523" i="18"/>
  <c r="I1524" i="18"/>
  <c r="I1525" i="18"/>
  <c r="I1527" i="18"/>
  <c r="I1528" i="18"/>
  <c r="I1529" i="18"/>
  <c r="I1530" i="18"/>
  <c r="I1531" i="18"/>
  <c r="I1532" i="18"/>
  <c r="I1533" i="18"/>
  <c r="I1534" i="18"/>
  <c r="I1535" i="18"/>
  <c r="I1536" i="18"/>
  <c r="I1537" i="18"/>
  <c r="I1538" i="18"/>
  <c r="I1539" i="18"/>
  <c r="I1540" i="18"/>
  <c r="I1541" i="18"/>
  <c r="I1542" i="18"/>
  <c r="I1543" i="18"/>
  <c r="I1544" i="18"/>
  <c r="I1545" i="18"/>
  <c r="I1546" i="18"/>
  <c r="I1547" i="18"/>
  <c r="I1548" i="18"/>
  <c r="I1549" i="18"/>
  <c r="I1550" i="18"/>
  <c r="I1551" i="18"/>
  <c r="I1552" i="18"/>
  <c r="I1553" i="18"/>
  <c r="I1554" i="18"/>
  <c r="I1555" i="18"/>
  <c r="I1556" i="18"/>
  <c r="I1558" i="18"/>
  <c r="I1559" i="18"/>
  <c r="I1560" i="18"/>
  <c r="I1561" i="18"/>
  <c r="I1562" i="18"/>
  <c r="I1563" i="18"/>
  <c r="I1564" i="18"/>
  <c r="I1565" i="18"/>
  <c r="I1566" i="18"/>
  <c r="I1567" i="18"/>
  <c r="I1568" i="18"/>
  <c r="I1569" i="18"/>
  <c r="I1570" i="18"/>
  <c r="I1571" i="18"/>
  <c r="I1572" i="18"/>
  <c r="I1573" i="18"/>
  <c r="I1574" i="18"/>
  <c r="I1575" i="18"/>
  <c r="I1576" i="18"/>
  <c r="I1577" i="18"/>
  <c r="I1578" i="18"/>
  <c r="I1579" i="18"/>
  <c r="I1580" i="18"/>
  <c r="I1581" i="18"/>
  <c r="I1582" i="18"/>
  <c r="I1583" i="18"/>
  <c r="I1584" i="18"/>
  <c r="I1585" i="18"/>
  <c r="I1586" i="18"/>
  <c r="I1587" i="18"/>
  <c r="I1589" i="18"/>
  <c r="I1590" i="18"/>
  <c r="I1591" i="18"/>
  <c r="I1592" i="18"/>
  <c r="I1593" i="18"/>
  <c r="I1594" i="18"/>
  <c r="I1595" i="18"/>
  <c r="I1596" i="18"/>
  <c r="I1597" i="18"/>
  <c r="I1598" i="18"/>
  <c r="I1599" i="18"/>
  <c r="I1600" i="18"/>
  <c r="I1601" i="18"/>
  <c r="I1602" i="18"/>
  <c r="I1603" i="18"/>
  <c r="I1604" i="18"/>
  <c r="I1605" i="18"/>
  <c r="I1606" i="18"/>
  <c r="I1607" i="18"/>
  <c r="I1608" i="18"/>
  <c r="I1609" i="18"/>
  <c r="I1610" i="18"/>
  <c r="I1611" i="18"/>
  <c r="I1612" i="18"/>
  <c r="I1613" i="18"/>
  <c r="I1614" i="18"/>
  <c r="I1615" i="18"/>
  <c r="I1616" i="18"/>
  <c r="I1617" i="18"/>
  <c r="I1618" i="18"/>
  <c r="I1620" i="18"/>
  <c r="I1621" i="18"/>
  <c r="I1622" i="18"/>
  <c r="I1623" i="18"/>
  <c r="I1624" i="18"/>
  <c r="I1625" i="18"/>
  <c r="I1626" i="18"/>
  <c r="I1627" i="18"/>
  <c r="I1628" i="18"/>
  <c r="I1629" i="18"/>
  <c r="I1630" i="18"/>
  <c r="I1631" i="18"/>
  <c r="I1632" i="18"/>
  <c r="I1633" i="18"/>
  <c r="I1634" i="18"/>
  <c r="I1635" i="18"/>
  <c r="I1636" i="18"/>
  <c r="I1637" i="18"/>
  <c r="I1638" i="18"/>
  <c r="I1639" i="18"/>
  <c r="I1640" i="18"/>
  <c r="I1641" i="18"/>
  <c r="I1642" i="18"/>
  <c r="I1643" i="18"/>
  <c r="I1644" i="18"/>
  <c r="I1645" i="18"/>
  <c r="I1646" i="18"/>
  <c r="I1647" i="18"/>
  <c r="I1648" i="18"/>
  <c r="I1649" i="18"/>
  <c r="I1651" i="18"/>
  <c r="I1652" i="18"/>
  <c r="I1653" i="18"/>
  <c r="I1654" i="18"/>
  <c r="I1655" i="18"/>
  <c r="I1656" i="18"/>
  <c r="I1657" i="18"/>
  <c r="I1658" i="18"/>
  <c r="I1659" i="18"/>
  <c r="I1660" i="18"/>
  <c r="I1661" i="18"/>
  <c r="I1662" i="18"/>
  <c r="I1663" i="18"/>
  <c r="I1664" i="18"/>
  <c r="I1665" i="18"/>
  <c r="I1666" i="18"/>
  <c r="I1667" i="18"/>
  <c r="I1668" i="18"/>
  <c r="I1669" i="18"/>
  <c r="I1670" i="18"/>
  <c r="I1671" i="18"/>
  <c r="I1672" i="18"/>
  <c r="I1673" i="18"/>
  <c r="I1674" i="18"/>
  <c r="I1675" i="18"/>
  <c r="I1676" i="18"/>
  <c r="I1677" i="18"/>
  <c r="I1678" i="18"/>
  <c r="I1679" i="18"/>
  <c r="I1681" i="18"/>
  <c r="I1682" i="18"/>
  <c r="I1683" i="18"/>
  <c r="I1684" i="18"/>
  <c r="I1685" i="18"/>
  <c r="I1686" i="18"/>
  <c r="I1687" i="18"/>
  <c r="I1688" i="18"/>
  <c r="I1689" i="18"/>
  <c r="I1690" i="18"/>
  <c r="I1691" i="18"/>
  <c r="I1692" i="18"/>
  <c r="I1693" i="18"/>
  <c r="I1694" i="18"/>
  <c r="I1695" i="18"/>
  <c r="I1696" i="18"/>
  <c r="I1697" i="18"/>
  <c r="I1698" i="18"/>
  <c r="I1699" i="18"/>
  <c r="I1700" i="18"/>
  <c r="I1701" i="18"/>
  <c r="I1702" i="18"/>
  <c r="I1703" i="18"/>
  <c r="I1704" i="18"/>
  <c r="I1705" i="18"/>
  <c r="I1706" i="18"/>
  <c r="I1707" i="18"/>
  <c r="I1708" i="18"/>
  <c r="I1709" i="18"/>
  <c r="I1711" i="18"/>
  <c r="I1712" i="18"/>
  <c r="I1713" i="18"/>
  <c r="I1714" i="18"/>
  <c r="I1715" i="18"/>
  <c r="I1716" i="18"/>
  <c r="I1717" i="18"/>
  <c r="I1718" i="18"/>
  <c r="I1719" i="18"/>
  <c r="I1720" i="18"/>
  <c r="I1721" i="18"/>
  <c r="I1722" i="18"/>
  <c r="I1723" i="18"/>
  <c r="I1724" i="18"/>
  <c r="I1725" i="18"/>
  <c r="I1726" i="18"/>
  <c r="I1727" i="18"/>
  <c r="I1728" i="18"/>
  <c r="I1729" i="18"/>
  <c r="I1730" i="18"/>
  <c r="I1731" i="18"/>
  <c r="I1732" i="18"/>
  <c r="I1733" i="18"/>
  <c r="I1734" i="18"/>
  <c r="I1735" i="18"/>
  <c r="I1736" i="18"/>
  <c r="I1737" i="18"/>
  <c r="I1738" i="18"/>
  <c r="I1739" i="18"/>
  <c r="I1741" i="18"/>
  <c r="I1742" i="18"/>
  <c r="I1743" i="18"/>
  <c r="I1744" i="18"/>
  <c r="I1745" i="18"/>
  <c r="I1746" i="18"/>
  <c r="I1747" i="18"/>
  <c r="I1748" i="18"/>
  <c r="I1749" i="18"/>
  <c r="I1750" i="18"/>
  <c r="I1751" i="18"/>
  <c r="I1752" i="18"/>
  <c r="I1753" i="18"/>
  <c r="I1754" i="18"/>
  <c r="I1755" i="18"/>
  <c r="I1756" i="18"/>
  <c r="I1757" i="18"/>
  <c r="I1758" i="18"/>
  <c r="I1759" i="18"/>
  <c r="I1760" i="18"/>
  <c r="I1761" i="18"/>
  <c r="I1762" i="18"/>
  <c r="I1763" i="18"/>
  <c r="I1764" i="18"/>
  <c r="I1765" i="18"/>
  <c r="I1766" i="18"/>
  <c r="I1767" i="18"/>
  <c r="I1768" i="18"/>
  <c r="I1769" i="18"/>
  <c r="I1771" i="18"/>
  <c r="I1772" i="18"/>
  <c r="I1773" i="18"/>
  <c r="I1774" i="18"/>
  <c r="I1775" i="18"/>
  <c r="I1776" i="18"/>
  <c r="I1777" i="18"/>
  <c r="I1778" i="18"/>
  <c r="I1779" i="18"/>
  <c r="I1780" i="18"/>
  <c r="I1781" i="18"/>
  <c r="I1782" i="18"/>
  <c r="I1783" i="18"/>
  <c r="I1784" i="18"/>
  <c r="I1785" i="18"/>
  <c r="I1786" i="18"/>
  <c r="I1787" i="18"/>
  <c r="I1788" i="18"/>
  <c r="I1789" i="18"/>
  <c r="I1790" i="18"/>
  <c r="I1791" i="18"/>
  <c r="I1792" i="18"/>
  <c r="I1793" i="18"/>
  <c r="I1794" i="18"/>
  <c r="I1795" i="18"/>
  <c r="I1796" i="18"/>
  <c r="I1797" i="18"/>
  <c r="I1798" i="18"/>
  <c r="I1799" i="18"/>
  <c r="I1801" i="18"/>
  <c r="I1802" i="18"/>
  <c r="I1803" i="18"/>
  <c r="I1804" i="18"/>
  <c r="I1805" i="18"/>
  <c r="I1806" i="18"/>
  <c r="I1807" i="18"/>
  <c r="I1808" i="18"/>
  <c r="I1809" i="18"/>
  <c r="I1810" i="18"/>
  <c r="I1811" i="18"/>
  <c r="I1812" i="18"/>
  <c r="I1813" i="18"/>
  <c r="I1814" i="18"/>
  <c r="I1815" i="18"/>
  <c r="I1816" i="18"/>
  <c r="I1817" i="18"/>
  <c r="I1818" i="18"/>
  <c r="I1819" i="18"/>
  <c r="I1820" i="18"/>
  <c r="I1821" i="18"/>
  <c r="I1822" i="18"/>
  <c r="I1823" i="18"/>
  <c r="I1824" i="18"/>
  <c r="I1825" i="18"/>
  <c r="I1826" i="18"/>
  <c r="J1463" i="18"/>
  <c r="J1465" i="18"/>
  <c r="J1466" i="18"/>
  <c r="J1467" i="18"/>
  <c r="J1468" i="18"/>
  <c r="J1469" i="18"/>
  <c r="J1470" i="18"/>
  <c r="J1471" i="18"/>
  <c r="J1472" i="18"/>
  <c r="J1473" i="18"/>
  <c r="J1474" i="18"/>
  <c r="J1475" i="18"/>
  <c r="J1476" i="18"/>
  <c r="J1477" i="18"/>
  <c r="J1478" i="18"/>
  <c r="J1479" i="18"/>
  <c r="J1480" i="18"/>
  <c r="J1481" i="18"/>
  <c r="J1482" i="18"/>
  <c r="J1483" i="18"/>
  <c r="J1484" i="18"/>
  <c r="J1485" i="18"/>
  <c r="J1486" i="18"/>
  <c r="J1487" i="18"/>
  <c r="J1488" i="18"/>
  <c r="J1489" i="18"/>
  <c r="J1490" i="18"/>
  <c r="J1491" i="18"/>
  <c r="J1492" i="18"/>
  <c r="J1493" i="18"/>
  <c r="J1494" i="18"/>
  <c r="J1496" i="18"/>
  <c r="J1497" i="18"/>
  <c r="J1498" i="18"/>
  <c r="J1499" i="18"/>
  <c r="J1500" i="18"/>
  <c r="J1501" i="18"/>
  <c r="J1502" i="18"/>
  <c r="J1503" i="18"/>
  <c r="J1504" i="18"/>
  <c r="J1505" i="18"/>
  <c r="J1506" i="18"/>
  <c r="J1507" i="18"/>
  <c r="J1508" i="18"/>
  <c r="J1509" i="18"/>
  <c r="J1510" i="18"/>
  <c r="J1511" i="18"/>
  <c r="J1512" i="18"/>
  <c r="J1513" i="18"/>
  <c r="J1514" i="18"/>
  <c r="J1515" i="18"/>
  <c r="J1516" i="18"/>
  <c r="J1517" i="18"/>
  <c r="J1518" i="18"/>
  <c r="J1519" i="18"/>
  <c r="J1520" i="18"/>
  <c r="J1521" i="18"/>
  <c r="J1522" i="18"/>
  <c r="J1523" i="18"/>
  <c r="J1524" i="18"/>
  <c r="J1525" i="18"/>
  <c r="J1527" i="18"/>
  <c r="J1528" i="18"/>
  <c r="J1529" i="18"/>
  <c r="J1530" i="18"/>
  <c r="J1531" i="18"/>
  <c r="J1532" i="18"/>
  <c r="J1533" i="18"/>
  <c r="J1534" i="18"/>
  <c r="J1535" i="18"/>
  <c r="J1536" i="18"/>
  <c r="J1537" i="18"/>
  <c r="J1538" i="18"/>
  <c r="J1539" i="18"/>
  <c r="J1540" i="18"/>
  <c r="J1541" i="18"/>
  <c r="J1542" i="18"/>
  <c r="J1543" i="18"/>
  <c r="J1544" i="18"/>
  <c r="J1545" i="18"/>
  <c r="J1546" i="18"/>
  <c r="J1547" i="18"/>
  <c r="J1548" i="18"/>
  <c r="J1549" i="18"/>
  <c r="J1550" i="18"/>
  <c r="J1551" i="18"/>
  <c r="J1552" i="18"/>
  <c r="J1553" i="18"/>
  <c r="J1554" i="18"/>
  <c r="J1555" i="18"/>
  <c r="J1556" i="18"/>
  <c r="J1558" i="18"/>
  <c r="J1559" i="18"/>
  <c r="J1560" i="18"/>
  <c r="J1561" i="18"/>
  <c r="J1562" i="18"/>
  <c r="J1563" i="18"/>
  <c r="J1564" i="18"/>
  <c r="J1565" i="18"/>
  <c r="J1566" i="18"/>
  <c r="J1567" i="18"/>
  <c r="J1568" i="18"/>
  <c r="J1569" i="18"/>
  <c r="J1570" i="18"/>
  <c r="J1571" i="18"/>
  <c r="J1572" i="18"/>
  <c r="J1573" i="18"/>
  <c r="J1574" i="18"/>
  <c r="J1575" i="18"/>
  <c r="J1576" i="18"/>
  <c r="J1577" i="18"/>
  <c r="J1578" i="18"/>
  <c r="J1579" i="18"/>
  <c r="J1580" i="18"/>
  <c r="J1581" i="18"/>
  <c r="J1582" i="18"/>
  <c r="J1583" i="18"/>
  <c r="J1584" i="18"/>
  <c r="J1585" i="18"/>
  <c r="J1586" i="18"/>
  <c r="J1587" i="18"/>
  <c r="J1589" i="18"/>
  <c r="J1590" i="18"/>
  <c r="J1591" i="18"/>
  <c r="J1592" i="18"/>
  <c r="J1593" i="18"/>
  <c r="J1594" i="18"/>
  <c r="J1595" i="18"/>
  <c r="J1596" i="18"/>
  <c r="J1597" i="18"/>
  <c r="J1598" i="18"/>
  <c r="J1599" i="18"/>
  <c r="J1600" i="18"/>
  <c r="J1601" i="18"/>
  <c r="J1602" i="18"/>
  <c r="J1603" i="18"/>
  <c r="J1604" i="18"/>
  <c r="J1605" i="18"/>
  <c r="J1606" i="18"/>
  <c r="J1607" i="18"/>
  <c r="J1608" i="18"/>
  <c r="J1609" i="18"/>
  <c r="J1610" i="18"/>
  <c r="J1611" i="18"/>
  <c r="J1612" i="18"/>
  <c r="J1613" i="18"/>
  <c r="J1614" i="18"/>
  <c r="J1615" i="18"/>
  <c r="J1616" i="18"/>
  <c r="J1617" i="18"/>
  <c r="J1618" i="18"/>
  <c r="J1620" i="18"/>
  <c r="J1621" i="18"/>
  <c r="J1622" i="18"/>
  <c r="J1623" i="18"/>
  <c r="J1624" i="18"/>
  <c r="J1625" i="18"/>
  <c r="J1626" i="18"/>
  <c r="J1627" i="18"/>
  <c r="J1628" i="18"/>
  <c r="J1629" i="18"/>
  <c r="J1630" i="18"/>
  <c r="J1631" i="18"/>
  <c r="J1632" i="18"/>
  <c r="J1633" i="18"/>
  <c r="J1634" i="18"/>
  <c r="J1635" i="18"/>
  <c r="J1636" i="18"/>
  <c r="J1637" i="18"/>
  <c r="J1638" i="18"/>
  <c r="J1639" i="18"/>
  <c r="J1640" i="18"/>
  <c r="J1641" i="18"/>
  <c r="J1642" i="18"/>
  <c r="J1643" i="18"/>
  <c r="J1644" i="18"/>
  <c r="J1645" i="18"/>
  <c r="J1646" i="18"/>
  <c r="J1647" i="18"/>
  <c r="J1648" i="18"/>
  <c r="J1649" i="18"/>
  <c r="J1651" i="18"/>
  <c r="J1652" i="18"/>
  <c r="J1653" i="18"/>
  <c r="J1654" i="18"/>
  <c r="J1655" i="18"/>
  <c r="J1656" i="18"/>
  <c r="J1657" i="18"/>
  <c r="J1658" i="18"/>
  <c r="J1659" i="18"/>
  <c r="J1660" i="18"/>
  <c r="J1661" i="18"/>
  <c r="J1662" i="18"/>
  <c r="J1663" i="18"/>
  <c r="J1664" i="18"/>
  <c r="J1665" i="18"/>
  <c r="J1666" i="18"/>
  <c r="J1667" i="18"/>
  <c r="J1668" i="18"/>
  <c r="J1669" i="18"/>
  <c r="J1670" i="18"/>
  <c r="J1671" i="18"/>
  <c r="J1672" i="18"/>
  <c r="J1673" i="18"/>
  <c r="J1674" i="18"/>
  <c r="J1675" i="18"/>
  <c r="J1676" i="18"/>
  <c r="J1677" i="18"/>
  <c r="J1678" i="18"/>
  <c r="J1679" i="18"/>
  <c r="J1681" i="18"/>
  <c r="J1682" i="18"/>
  <c r="J1683" i="18"/>
  <c r="J1684" i="18"/>
  <c r="J1685" i="18"/>
  <c r="J1686" i="18"/>
  <c r="J1687" i="18"/>
  <c r="J1688" i="18"/>
  <c r="J1689" i="18"/>
  <c r="J1690" i="18"/>
  <c r="J1691" i="18"/>
  <c r="J1692" i="18"/>
  <c r="J1693" i="18"/>
  <c r="J1694" i="18"/>
  <c r="J1695" i="18"/>
  <c r="J1696" i="18"/>
  <c r="J1697" i="18"/>
  <c r="J1698" i="18"/>
  <c r="J1699" i="18"/>
  <c r="J1700" i="18"/>
  <c r="J1701" i="18"/>
  <c r="J1702" i="18"/>
  <c r="J1703" i="18"/>
  <c r="J1704" i="18"/>
  <c r="J1705" i="18"/>
  <c r="J1706" i="18"/>
  <c r="J1707" i="18"/>
  <c r="J1708" i="18"/>
  <c r="J1709" i="18"/>
  <c r="J1711" i="18"/>
  <c r="J1712" i="18"/>
  <c r="J1713" i="18"/>
  <c r="J1714" i="18"/>
  <c r="J1715" i="18"/>
  <c r="J1716" i="18"/>
  <c r="J1717" i="18"/>
  <c r="J1718" i="18"/>
  <c r="J1719" i="18"/>
  <c r="J1720" i="18"/>
  <c r="J1721" i="18"/>
  <c r="J1722" i="18"/>
  <c r="J1723" i="18"/>
  <c r="J1724" i="18"/>
  <c r="J1725" i="18"/>
  <c r="J1726" i="18"/>
  <c r="J1727" i="18"/>
  <c r="J1728" i="18"/>
  <c r="J1729" i="18"/>
  <c r="J1730" i="18"/>
  <c r="J1731" i="18"/>
  <c r="J1732" i="18"/>
  <c r="J1733" i="18"/>
  <c r="J1734" i="18"/>
  <c r="J1735" i="18"/>
  <c r="J1736" i="18"/>
  <c r="J1737" i="18"/>
  <c r="J1738" i="18"/>
  <c r="J1739" i="18"/>
  <c r="J1741" i="18"/>
  <c r="J1742" i="18"/>
  <c r="J1743" i="18"/>
  <c r="J1744" i="18"/>
  <c r="J1745" i="18"/>
  <c r="J1746" i="18"/>
  <c r="J1747" i="18"/>
  <c r="J1748" i="18"/>
  <c r="J1749" i="18"/>
  <c r="J1750" i="18"/>
  <c r="J1751" i="18"/>
  <c r="J1752" i="18"/>
  <c r="J1753" i="18"/>
  <c r="J1754" i="18"/>
  <c r="J1755" i="18"/>
  <c r="J1756" i="18"/>
  <c r="J1757" i="18"/>
  <c r="J1758" i="18"/>
  <c r="J1759" i="18"/>
  <c r="J1760" i="18"/>
  <c r="J1761" i="18"/>
  <c r="J1762" i="18"/>
  <c r="J1763" i="18"/>
  <c r="J1764" i="18"/>
  <c r="J1765" i="18"/>
  <c r="J1766" i="18"/>
  <c r="J1767" i="18"/>
  <c r="J1768" i="18"/>
  <c r="J1769" i="18"/>
  <c r="J1771" i="18"/>
  <c r="J1772" i="18"/>
  <c r="J1773" i="18"/>
  <c r="J1774" i="18"/>
  <c r="J1775" i="18"/>
  <c r="J1776" i="18"/>
  <c r="J1777" i="18"/>
  <c r="J1778" i="18"/>
  <c r="J1779" i="18"/>
  <c r="J1780" i="18"/>
  <c r="J1781" i="18"/>
  <c r="J1782" i="18"/>
  <c r="J1783" i="18"/>
  <c r="J1784" i="18"/>
  <c r="J1785" i="18"/>
  <c r="J1786" i="18"/>
  <c r="J1787" i="18"/>
  <c r="J1788" i="18"/>
  <c r="J1789" i="18"/>
  <c r="J1790" i="18"/>
  <c r="J1791" i="18"/>
  <c r="J1792" i="18"/>
  <c r="J1793" i="18"/>
  <c r="J1794" i="18"/>
  <c r="J1795" i="18"/>
  <c r="J1796" i="18"/>
  <c r="J1797" i="18"/>
  <c r="J1798" i="18"/>
  <c r="J1799" i="18"/>
  <c r="J1801" i="18"/>
  <c r="J1802" i="18"/>
  <c r="J1803" i="18"/>
  <c r="J1804" i="18"/>
  <c r="J1805" i="18"/>
  <c r="J1806" i="18"/>
  <c r="J1807" i="18"/>
  <c r="J1808" i="18"/>
  <c r="J1809" i="18"/>
  <c r="J1810" i="18"/>
  <c r="J1811" i="18"/>
  <c r="J1812" i="18"/>
  <c r="J1813" i="18"/>
  <c r="J1814" i="18"/>
  <c r="J1815" i="18"/>
  <c r="J1816" i="18"/>
  <c r="J1817" i="18"/>
  <c r="J1818" i="18"/>
  <c r="J1819" i="18"/>
  <c r="J1820" i="18"/>
  <c r="J1821" i="18"/>
  <c r="J1822" i="18"/>
  <c r="J1823" i="18"/>
  <c r="J1824" i="18"/>
  <c r="J1825" i="18"/>
  <c r="J1826" i="18"/>
  <c r="K1463" i="18"/>
  <c r="K1465" i="18"/>
  <c r="K1466" i="18"/>
  <c r="K1467" i="18"/>
  <c r="K1468" i="18"/>
  <c r="K1469" i="18"/>
  <c r="K1470" i="18"/>
  <c r="K1471" i="18"/>
  <c r="K1472" i="18"/>
  <c r="K1473" i="18"/>
  <c r="K1474" i="18"/>
  <c r="K1475" i="18"/>
  <c r="K1476" i="18"/>
  <c r="K1477" i="18"/>
  <c r="K1478" i="18"/>
  <c r="K1479" i="18"/>
  <c r="K1480" i="18"/>
  <c r="K1481" i="18"/>
  <c r="K1482" i="18"/>
  <c r="K1483" i="18"/>
  <c r="K1484" i="18"/>
  <c r="K1485" i="18"/>
  <c r="K1486" i="18"/>
  <c r="K1487" i="18"/>
  <c r="K1488" i="18"/>
  <c r="K1489" i="18"/>
  <c r="K1490" i="18"/>
  <c r="K1491" i="18"/>
  <c r="K1492" i="18"/>
  <c r="K1493" i="18"/>
  <c r="K1494" i="18"/>
  <c r="K1496" i="18"/>
  <c r="K1497" i="18"/>
  <c r="K1498" i="18"/>
  <c r="K1499" i="18"/>
  <c r="K1500" i="18"/>
  <c r="K1501" i="18"/>
  <c r="K1502" i="18"/>
  <c r="K1503" i="18"/>
  <c r="K1504" i="18"/>
  <c r="K1505" i="18"/>
  <c r="K1506" i="18"/>
  <c r="K1507" i="18"/>
  <c r="K1508" i="18"/>
  <c r="K1509" i="18"/>
  <c r="K1510" i="18"/>
  <c r="K1511" i="18"/>
  <c r="K1512" i="18"/>
  <c r="K1513" i="18"/>
  <c r="K1514" i="18"/>
  <c r="K1515" i="18"/>
  <c r="K1516" i="18"/>
  <c r="K1517" i="18"/>
  <c r="K1518" i="18"/>
  <c r="K1519" i="18"/>
  <c r="K1520" i="18"/>
  <c r="K1521" i="18"/>
  <c r="K1522" i="18"/>
  <c r="K1523" i="18"/>
  <c r="K1524" i="18"/>
  <c r="K1525" i="18"/>
  <c r="K1527" i="18"/>
  <c r="K1528" i="18"/>
  <c r="K1529" i="18"/>
  <c r="K1530" i="18"/>
  <c r="K1531" i="18"/>
  <c r="K1532" i="18"/>
  <c r="K1533" i="18"/>
  <c r="K1534" i="18"/>
  <c r="K1535" i="18"/>
  <c r="K1536" i="18"/>
  <c r="K1537" i="18"/>
  <c r="K1538" i="18"/>
  <c r="K1539" i="18"/>
  <c r="K1540" i="18"/>
  <c r="K1541" i="18"/>
  <c r="K1542" i="18"/>
  <c r="K1543" i="18"/>
  <c r="K1544" i="18"/>
  <c r="K1545" i="18"/>
  <c r="K1546" i="18"/>
  <c r="K1547" i="18"/>
  <c r="K1548" i="18"/>
  <c r="K1549" i="18"/>
  <c r="K1550" i="18"/>
  <c r="K1551" i="18"/>
  <c r="K1552" i="18"/>
  <c r="K1553" i="18"/>
  <c r="K1554" i="18"/>
  <c r="K1555" i="18"/>
  <c r="K1556" i="18"/>
  <c r="K1558" i="18"/>
  <c r="K1559" i="18"/>
  <c r="K1560" i="18"/>
  <c r="K1561" i="18"/>
  <c r="K1562" i="18"/>
  <c r="K1563" i="18"/>
  <c r="K1564" i="18"/>
  <c r="K1565" i="18"/>
  <c r="K1566" i="18"/>
  <c r="K1567" i="18"/>
  <c r="K1568" i="18"/>
  <c r="K1569" i="18"/>
  <c r="K1570" i="18"/>
  <c r="K1571" i="18"/>
  <c r="K1572" i="18"/>
  <c r="K1573" i="18"/>
  <c r="K1574" i="18"/>
  <c r="K1575" i="18"/>
  <c r="K1576" i="18"/>
  <c r="K1577" i="18"/>
  <c r="K1578" i="18"/>
  <c r="K1579" i="18"/>
  <c r="K1580" i="18"/>
  <c r="K1581" i="18"/>
  <c r="K1582" i="18"/>
  <c r="K1583" i="18"/>
  <c r="K1584" i="18"/>
  <c r="K1585" i="18"/>
  <c r="K1586" i="18"/>
  <c r="K1587" i="18"/>
  <c r="K1589" i="18"/>
  <c r="K1590" i="18"/>
  <c r="K1591" i="18"/>
  <c r="K1592" i="18"/>
  <c r="K1593" i="18"/>
  <c r="K1594" i="18"/>
  <c r="K1595" i="18"/>
  <c r="K1596" i="18"/>
  <c r="K1597" i="18"/>
  <c r="K1598" i="18"/>
  <c r="K1599" i="18"/>
  <c r="K1600" i="18"/>
  <c r="K1601" i="18"/>
  <c r="K1602" i="18"/>
  <c r="K1603" i="18"/>
  <c r="K1604" i="18"/>
  <c r="K1605" i="18"/>
  <c r="K1606" i="18"/>
  <c r="K1607" i="18"/>
  <c r="K1608" i="18"/>
  <c r="K1609" i="18"/>
  <c r="K1610" i="18"/>
  <c r="K1611" i="18"/>
  <c r="K1612" i="18"/>
  <c r="K1613" i="18"/>
  <c r="K1614" i="18"/>
  <c r="K1615" i="18"/>
  <c r="K1616" i="18"/>
  <c r="K1617" i="18"/>
  <c r="K1618" i="18"/>
  <c r="K1620" i="18"/>
  <c r="K1621" i="18"/>
  <c r="K1622" i="18"/>
  <c r="K1623" i="18"/>
  <c r="K1624" i="18"/>
  <c r="K1625" i="18"/>
  <c r="K1626" i="18"/>
  <c r="K1627" i="18"/>
  <c r="K1628" i="18"/>
  <c r="K1629" i="18"/>
  <c r="K1630" i="18"/>
  <c r="K1631" i="18"/>
  <c r="K1632" i="18"/>
  <c r="K1633" i="18"/>
  <c r="K1634" i="18"/>
  <c r="K1635" i="18"/>
  <c r="K1636" i="18"/>
  <c r="K1637" i="18"/>
  <c r="K1638" i="18"/>
  <c r="K1639" i="18"/>
  <c r="K1640" i="18"/>
  <c r="K1641" i="18"/>
  <c r="K1642" i="18"/>
  <c r="K1643" i="18"/>
  <c r="K1644" i="18"/>
  <c r="K1645" i="18"/>
  <c r="K1646" i="18"/>
  <c r="K1647" i="18"/>
  <c r="K1648" i="18"/>
  <c r="K1649" i="18"/>
  <c r="K1651" i="18"/>
  <c r="K1652" i="18"/>
  <c r="K1653" i="18"/>
  <c r="K1654" i="18"/>
  <c r="K1655" i="18"/>
  <c r="K1656" i="18"/>
  <c r="K1657" i="18"/>
  <c r="K1658" i="18"/>
  <c r="K1659" i="18"/>
  <c r="K1660" i="18"/>
  <c r="K1661" i="18"/>
  <c r="K1662" i="18"/>
  <c r="K1663" i="18"/>
  <c r="K1664" i="18"/>
  <c r="K1665" i="18"/>
  <c r="K1666" i="18"/>
  <c r="K1667" i="18"/>
  <c r="K1668" i="18"/>
  <c r="K1669" i="18"/>
  <c r="K1670" i="18"/>
  <c r="K1671" i="18"/>
  <c r="K1672" i="18"/>
  <c r="K1673" i="18"/>
  <c r="K1674" i="18"/>
  <c r="K1675" i="18"/>
  <c r="K1676" i="18"/>
  <c r="K1677" i="18"/>
  <c r="K1678" i="18"/>
  <c r="K1679" i="18"/>
  <c r="K1681" i="18"/>
  <c r="K1682" i="18"/>
  <c r="K1683" i="18"/>
  <c r="K1684" i="18"/>
  <c r="K1685" i="18"/>
  <c r="K1686" i="18"/>
  <c r="K1687" i="18"/>
  <c r="K1688" i="18"/>
  <c r="K1689" i="18"/>
  <c r="K1690" i="18"/>
  <c r="K1691" i="18"/>
  <c r="K1692" i="18"/>
  <c r="K1693" i="18"/>
  <c r="K1694" i="18"/>
  <c r="K1695" i="18"/>
  <c r="K1696" i="18"/>
  <c r="K1697" i="18"/>
  <c r="K1698" i="18"/>
  <c r="K1699" i="18"/>
  <c r="K1700" i="18"/>
  <c r="K1701" i="18"/>
  <c r="K1702" i="18"/>
  <c r="K1703" i="18"/>
  <c r="K1704" i="18"/>
  <c r="K1705" i="18"/>
  <c r="K1706" i="18"/>
  <c r="K1707" i="18"/>
  <c r="K1708" i="18"/>
  <c r="K1709" i="18"/>
  <c r="K1711" i="18"/>
  <c r="K1712" i="18"/>
  <c r="K1713" i="18"/>
  <c r="K1714" i="18"/>
  <c r="K1715" i="18"/>
  <c r="K1716" i="18"/>
  <c r="K1717" i="18"/>
  <c r="K1718" i="18"/>
  <c r="K1719" i="18"/>
  <c r="K1720" i="18"/>
  <c r="K1721" i="18"/>
  <c r="K1722" i="18"/>
  <c r="K1723" i="18"/>
  <c r="K1724" i="18"/>
  <c r="K1725" i="18"/>
  <c r="K1726" i="18"/>
  <c r="K1727" i="18"/>
  <c r="K1728" i="18"/>
  <c r="K1729" i="18"/>
  <c r="K1730" i="18"/>
  <c r="K1731" i="18"/>
  <c r="K1732" i="18"/>
  <c r="K1733" i="18"/>
  <c r="K1734" i="18"/>
  <c r="K1735" i="18"/>
  <c r="K1736" i="18"/>
  <c r="K1737" i="18"/>
  <c r="K1738" i="18"/>
  <c r="K1739" i="18"/>
  <c r="K1741" i="18"/>
  <c r="K1742" i="18"/>
  <c r="K1743" i="18"/>
  <c r="K1744" i="18"/>
  <c r="K1745" i="18"/>
  <c r="K1746" i="18"/>
  <c r="K1747" i="18"/>
  <c r="K1748" i="18"/>
  <c r="K1749" i="18"/>
  <c r="K1750" i="18"/>
  <c r="K1751" i="18"/>
  <c r="K1752" i="18"/>
  <c r="K1753" i="18"/>
  <c r="K1754" i="18"/>
  <c r="K1755" i="18"/>
  <c r="K1756" i="18"/>
  <c r="K1757" i="18"/>
  <c r="K1758" i="18"/>
  <c r="K1759" i="18"/>
  <c r="K1760" i="18"/>
  <c r="K1761" i="18"/>
  <c r="K1762" i="18"/>
  <c r="K1763" i="18"/>
  <c r="K1764" i="18"/>
  <c r="K1765" i="18"/>
  <c r="K1766" i="18"/>
  <c r="K1767" i="18"/>
  <c r="K1768" i="18"/>
  <c r="K1769" i="18"/>
  <c r="K1771" i="18"/>
  <c r="K1772" i="18"/>
  <c r="K1773" i="18"/>
  <c r="K1774" i="18"/>
  <c r="K1775" i="18"/>
  <c r="K1776" i="18"/>
  <c r="K1777" i="18"/>
  <c r="K1778" i="18"/>
  <c r="K1779" i="18"/>
  <c r="K1780" i="18"/>
  <c r="K1781" i="18"/>
  <c r="K1782" i="18"/>
  <c r="K1783" i="18"/>
  <c r="K1784" i="18"/>
  <c r="K1785" i="18"/>
  <c r="K1786" i="18"/>
  <c r="K1787" i="18"/>
  <c r="K1788" i="18"/>
  <c r="K1789" i="18"/>
  <c r="K1790" i="18"/>
  <c r="K1791" i="18"/>
  <c r="K1792" i="18"/>
  <c r="K1793" i="18"/>
  <c r="K1794" i="18"/>
  <c r="K1795" i="18"/>
  <c r="K1796" i="18"/>
  <c r="K1797" i="18"/>
  <c r="K1798" i="18"/>
  <c r="K1799" i="18"/>
  <c r="K1801" i="18"/>
  <c r="K1802" i="18"/>
  <c r="K1803" i="18"/>
  <c r="K1804" i="18"/>
  <c r="K1805" i="18"/>
  <c r="K1806" i="18"/>
  <c r="K1807" i="18"/>
  <c r="K1808" i="18"/>
  <c r="K1809" i="18"/>
  <c r="K1810" i="18"/>
  <c r="K1811" i="18"/>
  <c r="K1812" i="18"/>
  <c r="K1813" i="18"/>
  <c r="K1814" i="18"/>
  <c r="K1815" i="18"/>
  <c r="K1816" i="18"/>
  <c r="K1817" i="18"/>
  <c r="K1818" i="18"/>
  <c r="K1819" i="18"/>
  <c r="K1820" i="18"/>
  <c r="K1821" i="18"/>
  <c r="K1822" i="18"/>
  <c r="K1823" i="18"/>
  <c r="K1824" i="18"/>
  <c r="K1825" i="18"/>
  <c r="K1826" i="18"/>
  <c r="L1463" i="18"/>
  <c r="L1465" i="18"/>
  <c r="L1466" i="18"/>
  <c r="L1467" i="18"/>
  <c r="L1468" i="18"/>
  <c r="L1469" i="18"/>
  <c r="L1470" i="18"/>
  <c r="L1471" i="18"/>
  <c r="L1472" i="18"/>
  <c r="L1473" i="18"/>
  <c r="L1474" i="18"/>
  <c r="L1475" i="18"/>
  <c r="L1476" i="18"/>
  <c r="L1477" i="18"/>
  <c r="L1478" i="18"/>
  <c r="L1479" i="18"/>
  <c r="L1480" i="18"/>
  <c r="L1481" i="18"/>
  <c r="L1482" i="18"/>
  <c r="L1483" i="18"/>
  <c r="L1484" i="18"/>
  <c r="L1485" i="18"/>
  <c r="L1486" i="18"/>
  <c r="L1487" i="18"/>
  <c r="L1488" i="18"/>
  <c r="L1489" i="18"/>
  <c r="L1490" i="18"/>
  <c r="L1491" i="18"/>
  <c r="L1492" i="18"/>
  <c r="L1493" i="18"/>
  <c r="L1494" i="18"/>
  <c r="L1496" i="18"/>
  <c r="L1497" i="18"/>
  <c r="L1498" i="18"/>
  <c r="L1499" i="18"/>
  <c r="L1500" i="18"/>
  <c r="L1501" i="18"/>
  <c r="L1502" i="18"/>
  <c r="L1503" i="18"/>
  <c r="L1504" i="18"/>
  <c r="L1505" i="18"/>
  <c r="L1506" i="18"/>
  <c r="L1507" i="18"/>
  <c r="L1508" i="18"/>
  <c r="L1509" i="18"/>
  <c r="L1510" i="18"/>
  <c r="L1511" i="18"/>
  <c r="L1512" i="18"/>
  <c r="L1513" i="18"/>
  <c r="L1514" i="18"/>
  <c r="L1515" i="18"/>
  <c r="L1516" i="18"/>
  <c r="L1517" i="18"/>
  <c r="L1518" i="18"/>
  <c r="L1519" i="18"/>
  <c r="L1520" i="18"/>
  <c r="L1521" i="18"/>
  <c r="L1522" i="18"/>
  <c r="L1523" i="18"/>
  <c r="L1524" i="18"/>
  <c r="L1525" i="18"/>
  <c r="L1527" i="18"/>
  <c r="L1528" i="18"/>
  <c r="L1529" i="18"/>
  <c r="L1530" i="18"/>
  <c r="L1531" i="18"/>
  <c r="L1532" i="18"/>
  <c r="L1533" i="18"/>
  <c r="L1534" i="18"/>
  <c r="L1535" i="18"/>
  <c r="L1536" i="18"/>
  <c r="L1537" i="18"/>
  <c r="L1538" i="18"/>
  <c r="L1539" i="18"/>
  <c r="L1540" i="18"/>
  <c r="L1541" i="18"/>
  <c r="L1542" i="18"/>
  <c r="L1543" i="18"/>
  <c r="L1544" i="18"/>
  <c r="L1545" i="18"/>
  <c r="L1546" i="18"/>
  <c r="L1547" i="18"/>
  <c r="L1548" i="18"/>
  <c r="L1549" i="18"/>
  <c r="L1550" i="18"/>
  <c r="L1551" i="18"/>
  <c r="L1552" i="18"/>
  <c r="L1553" i="18"/>
  <c r="L1554" i="18"/>
  <c r="L1555" i="18"/>
  <c r="L1556" i="18"/>
  <c r="L1558" i="18"/>
  <c r="L1559" i="18"/>
  <c r="L1560" i="18"/>
  <c r="L1561" i="18"/>
  <c r="L1562" i="18"/>
  <c r="L1563" i="18"/>
  <c r="L1564" i="18"/>
  <c r="L1565" i="18"/>
  <c r="L1566" i="18"/>
  <c r="L1567" i="18"/>
  <c r="L1568" i="18"/>
  <c r="L1569" i="18"/>
  <c r="L1570" i="18"/>
  <c r="L1571" i="18"/>
  <c r="L1572" i="18"/>
  <c r="L1573" i="18"/>
  <c r="L1574" i="18"/>
  <c r="L1575" i="18"/>
  <c r="L1576" i="18"/>
  <c r="L1577" i="18"/>
  <c r="L1578" i="18"/>
  <c r="L1579" i="18"/>
  <c r="L1580" i="18"/>
  <c r="L1581" i="18"/>
  <c r="L1582" i="18"/>
  <c r="L1583" i="18"/>
  <c r="L1584" i="18"/>
  <c r="L1585" i="18"/>
  <c r="L1586" i="18"/>
  <c r="L1587" i="18"/>
  <c r="L1589" i="18"/>
  <c r="L1590" i="18"/>
  <c r="L1591" i="18"/>
  <c r="L1592" i="18"/>
  <c r="L1593" i="18"/>
  <c r="L1594" i="18"/>
  <c r="L1595" i="18"/>
  <c r="L1596" i="18"/>
  <c r="L1597" i="18"/>
  <c r="L1598" i="18"/>
  <c r="L1599" i="18"/>
  <c r="L1600" i="18"/>
  <c r="L1601" i="18"/>
  <c r="L1602" i="18"/>
  <c r="L1603" i="18"/>
  <c r="L1604" i="18"/>
  <c r="L1605" i="18"/>
  <c r="L1606" i="18"/>
  <c r="L1607" i="18"/>
  <c r="L1608" i="18"/>
  <c r="L1609" i="18"/>
  <c r="L1610" i="18"/>
  <c r="L1611" i="18"/>
  <c r="L1612" i="18"/>
  <c r="L1613" i="18"/>
  <c r="L1614" i="18"/>
  <c r="L1615" i="18"/>
  <c r="L1616" i="18"/>
  <c r="L1617" i="18"/>
  <c r="L1618" i="18"/>
  <c r="L1620" i="18"/>
  <c r="L1621" i="18"/>
  <c r="L1622" i="18"/>
  <c r="L1623" i="18"/>
  <c r="L1624" i="18"/>
  <c r="L1625" i="18"/>
  <c r="L1626" i="18"/>
  <c r="L1627" i="18"/>
  <c r="L1628" i="18"/>
  <c r="L1629" i="18"/>
  <c r="L1630" i="18"/>
  <c r="L1631" i="18"/>
  <c r="L1632" i="18"/>
  <c r="L1633" i="18"/>
  <c r="L1634" i="18"/>
  <c r="L1635" i="18"/>
  <c r="L1636" i="18"/>
  <c r="L1637" i="18"/>
  <c r="L1638" i="18"/>
  <c r="L1639" i="18"/>
  <c r="L1640" i="18"/>
  <c r="L1641" i="18"/>
  <c r="L1642" i="18"/>
  <c r="L1643" i="18"/>
  <c r="L1644" i="18"/>
  <c r="L1645" i="18"/>
  <c r="L1646" i="18"/>
  <c r="L1647" i="18"/>
  <c r="L1648" i="18"/>
  <c r="L1649" i="18"/>
  <c r="L1651" i="18"/>
  <c r="L1652" i="18"/>
  <c r="L1653" i="18"/>
  <c r="L1654" i="18"/>
  <c r="L1655" i="18"/>
  <c r="L1656" i="18"/>
  <c r="L1657" i="18"/>
  <c r="L1658" i="18"/>
  <c r="L1659" i="18"/>
  <c r="L1660" i="18"/>
  <c r="L1661" i="18"/>
  <c r="L1662" i="18"/>
  <c r="L1663" i="18"/>
  <c r="L1664" i="18"/>
  <c r="L1665" i="18"/>
  <c r="L1666" i="18"/>
  <c r="L1667" i="18"/>
  <c r="L1668" i="18"/>
  <c r="L1669" i="18"/>
  <c r="L1670" i="18"/>
  <c r="L1671" i="18"/>
  <c r="L1672" i="18"/>
  <c r="L1673" i="18"/>
  <c r="L1674" i="18"/>
  <c r="L1675" i="18"/>
  <c r="L1676" i="18"/>
  <c r="L1677" i="18"/>
  <c r="L1678" i="18"/>
  <c r="L1679" i="18"/>
  <c r="L1681" i="18"/>
  <c r="L1682" i="18"/>
  <c r="L1683" i="18"/>
  <c r="L1684" i="18"/>
  <c r="L1685" i="18"/>
  <c r="L1686" i="18"/>
  <c r="L1687" i="18"/>
  <c r="L1688" i="18"/>
  <c r="L1689" i="18"/>
  <c r="L1690" i="18"/>
  <c r="L1691" i="18"/>
  <c r="L1692" i="18"/>
  <c r="L1693" i="18"/>
  <c r="L1694" i="18"/>
  <c r="L1695" i="18"/>
  <c r="L1696" i="18"/>
  <c r="L1697" i="18"/>
  <c r="L1698" i="18"/>
  <c r="L1699" i="18"/>
  <c r="L1700" i="18"/>
  <c r="L1701" i="18"/>
  <c r="L1702" i="18"/>
  <c r="L1703" i="18"/>
  <c r="L1704" i="18"/>
  <c r="L1705" i="18"/>
  <c r="L1706" i="18"/>
  <c r="L1707" i="18"/>
  <c r="L1708" i="18"/>
  <c r="L1709" i="18"/>
  <c r="L1711" i="18"/>
  <c r="L1712" i="18"/>
  <c r="L1713" i="18"/>
  <c r="L1714" i="18"/>
  <c r="L1715" i="18"/>
  <c r="L1716" i="18"/>
  <c r="L1717" i="18"/>
  <c r="L1718" i="18"/>
  <c r="L1719" i="18"/>
  <c r="L1720" i="18"/>
  <c r="L1721" i="18"/>
  <c r="L1722" i="18"/>
  <c r="L1723" i="18"/>
  <c r="L1724" i="18"/>
  <c r="L1725" i="18"/>
  <c r="L1726" i="18"/>
  <c r="L1727" i="18"/>
  <c r="L1728" i="18"/>
  <c r="L1729" i="18"/>
  <c r="L1730" i="18"/>
  <c r="L1731" i="18"/>
  <c r="L1732" i="18"/>
  <c r="L1733" i="18"/>
  <c r="L1734" i="18"/>
  <c r="L1735" i="18"/>
  <c r="L1736" i="18"/>
  <c r="L1737" i="18"/>
  <c r="L1738" i="18"/>
  <c r="L1739" i="18"/>
  <c r="L1741" i="18"/>
  <c r="L1742" i="18"/>
  <c r="L1743" i="18"/>
  <c r="L1744" i="18"/>
  <c r="L1745" i="18"/>
  <c r="L1746" i="18"/>
  <c r="L1747" i="18"/>
  <c r="L1748" i="18"/>
  <c r="L1749" i="18"/>
  <c r="L1750" i="18"/>
  <c r="L1751" i="18"/>
  <c r="L1752" i="18"/>
  <c r="L1753" i="18"/>
  <c r="L1754" i="18"/>
  <c r="L1755" i="18"/>
  <c r="L1756" i="18"/>
  <c r="L1757" i="18"/>
  <c r="L1758" i="18"/>
  <c r="L1759" i="18"/>
  <c r="L1760" i="18"/>
  <c r="L1761" i="18"/>
  <c r="L1762" i="18"/>
  <c r="L1763" i="18"/>
  <c r="L1764" i="18"/>
  <c r="L1765" i="18"/>
  <c r="L1766" i="18"/>
  <c r="L1767" i="18"/>
  <c r="L1768" i="18"/>
  <c r="L1769" i="18"/>
  <c r="L1771" i="18"/>
  <c r="L1772" i="18"/>
  <c r="L1773" i="18"/>
  <c r="L1774" i="18"/>
  <c r="L1775" i="18"/>
  <c r="L1776" i="18"/>
  <c r="L1777" i="18"/>
  <c r="L1778" i="18"/>
  <c r="L1779" i="18"/>
  <c r="L1780" i="18"/>
  <c r="L1781" i="18"/>
  <c r="L1782" i="18"/>
  <c r="L1783" i="18"/>
  <c r="L1784" i="18"/>
  <c r="L1785" i="18"/>
  <c r="L1786" i="18"/>
  <c r="L1787" i="18"/>
  <c r="L1788" i="18"/>
  <c r="L1789" i="18"/>
  <c r="L1790" i="18"/>
  <c r="L1791" i="18"/>
  <c r="L1792" i="18"/>
  <c r="L1793" i="18"/>
  <c r="L1794" i="18"/>
  <c r="L1795" i="18"/>
  <c r="L1796" i="18"/>
  <c r="L1797" i="18"/>
  <c r="L1798" i="18"/>
  <c r="L1799" i="18"/>
  <c r="L1801" i="18"/>
  <c r="L1802" i="18"/>
  <c r="L1803" i="18"/>
  <c r="L1804" i="18"/>
  <c r="L1805" i="18"/>
  <c r="L1806" i="18"/>
  <c r="L1807" i="18"/>
  <c r="L1808" i="18"/>
  <c r="L1809" i="18"/>
  <c r="L1810" i="18"/>
  <c r="L1811" i="18"/>
  <c r="L1812" i="18"/>
  <c r="L1813" i="18"/>
  <c r="L1814" i="18"/>
  <c r="L1815" i="18"/>
  <c r="L1816" i="18"/>
  <c r="L1817" i="18"/>
  <c r="L1818" i="18"/>
  <c r="L1819" i="18"/>
  <c r="L1820" i="18"/>
  <c r="L1821" i="18"/>
  <c r="L1822" i="18"/>
  <c r="L1823" i="18"/>
  <c r="L1824" i="18"/>
  <c r="L1825" i="18"/>
  <c r="L1826" i="18"/>
  <c r="M1463" i="18"/>
  <c r="M1465" i="18"/>
  <c r="M1466" i="18"/>
  <c r="M1467" i="18"/>
  <c r="M1468" i="18"/>
  <c r="M1469" i="18"/>
  <c r="M1470" i="18"/>
  <c r="M1471" i="18"/>
  <c r="M1472" i="18"/>
  <c r="M1473" i="18"/>
  <c r="M1474" i="18"/>
  <c r="M1475" i="18"/>
  <c r="M1476" i="18"/>
  <c r="M1477" i="18"/>
  <c r="M1478" i="18"/>
  <c r="M1479" i="18"/>
  <c r="M1480" i="18"/>
  <c r="M1481" i="18"/>
  <c r="M1482" i="18"/>
  <c r="M1483" i="18"/>
  <c r="M1484" i="18"/>
  <c r="M1485" i="18"/>
  <c r="M1486" i="18"/>
  <c r="M1487" i="18"/>
  <c r="M1488" i="18"/>
  <c r="M1489" i="18"/>
  <c r="M1490" i="18"/>
  <c r="M1491" i="18"/>
  <c r="M1492" i="18"/>
  <c r="M1493" i="18"/>
  <c r="M1494" i="18"/>
  <c r="M1496" i="18"/>
  <c r="M1497" i="18"/>
  <c r="M1498" i="18"/>
  <c r="M1499" i="18"/>
  <c r="M1500" i="18"/>
  <c r="M1501" i="18"/>
  <c r="M1502" i="18"/>
  <c r="M1503" i="18"/>
  <c r="M1504" i="18"/>
  <c r="M1505" i="18"/>
  <c r="M1506" i="18"/>
  <c r="M1507" i="18"/>
  <c r="M1508" i="18"/>
  <c r="M1509" i="18"/>
  <c r="M1510" i="18"/>
  <c r="M1511" i="18"/>
  <c r="M1512" i="18"/>
  <c r="M1513" i="18"/>
  <c r="M1514" i="18"/>
  <c r="M1515" i="18"/>
  <c r="M1516" i="18"/>
  <c r="M1517" i="18"/>
  <c r="M1518" i="18"/>
  <c r="M1519" i="18"/>
  <c r="M1520" i="18"/>
  <c r="M1521" i="18"/>
  <c r="M1522" i="18"/>
  <c r="M1523" i="18"/>
  <c r="M1524" i="18"/>
  <c r="M1525" i="18"/>
  <c r="M1527" i="18"/>
  <c r="M1528" i="18"/>
  <c r="M1529" i="18"/>
  <c r="M1530" i="18"/>
  <c r="M1531" i="18"/>
  <c r="M1532" i="18"/>
  <c r="M1533" i="18"/>
  <c r="M1534" i="18"/>
  <c r="M1535" i="18"/>
  <c r="M1536" i="18"/>
  <c r="M1537" i="18"/>
  <c r="M1538" i="18"/>
  <c r="M1539" i="18"/>
  <c r="M1540" i="18"/>
  <c r="M1541" i="18"/>
  <c r="M1542" i="18"/>
  <c r="M1543" i="18"/>
  <c r="M1544" i="18"/>
  <c r="M1545" i="18"/>
  <c r="M1546" i="18"/>
  <c r="M1547" i="18"/>
  <c r="M1548" i="18"/>
  <c r="M1549" i="18"/>
  <c r="M1550" i="18"/>
  <c r="M1551" i="18"/>
  <c r="M1552" i="18"/>
  <c r="M1553" i="18"/>
  <c r="M1554" i="18"/>
  <c r="M1555" i="18"/>
  <c r="M1556" i="18"/>
  <c r="M1558" i="18"/>
  <c r="M1559" i="18"/>
  <c r="M1560" i="18"/>
  <c r="M1561" i="18"/>
  <c r="M1562" i="18"/>
  <c r="M1563" i="18"/>
  <c r="M1564" i="18"/>
  <c r="M1565" i="18"/>
  <c r="M1566" i="18"/>
  <c r="M1567" i="18"/>
  <c r="M1568" i="18"/>
  <c r="M1569" i="18"/>
  <c r="M1570" i="18"/>
  <c r="M1571" i="18"/>
  <c r="M1572" i="18"/>
  <c r="M1573" i="18"/>
  <c r="M1574" i="18"/>
  <c r="M1575" i="18"/>
  <c r="M1576" i="18"/>
  <c r="M1577" i="18"/>
  <c r="M1578" i="18"/>
  <c r="M1579" i="18"/>
  <c r="M1580" i="18"/>
  <c r="M1581" i="18"/>
  <c r="M1582" i="18"/>
  <c r="M1583" i="18"/>
  <c r="M1584" i="18"/>
  <c r="M1585" i="18"/>
  <c r="M1586" i="18"/>
  <c r="M1587" i="18"/>
  <c r="M1589" i="18"/>
  <c r="M1590" i="18"/>
  <c r="M1591" i="18"/>
  <c r="M1592" i="18"/>
  <c r="M1593" i="18"/>
  <c r="M1594" i="18"/>
  <c r="M1595" i="18"/>
  <c r="M1596" i="18"/>
  <c r="M1597" i="18"/>
  <c r="M1598" i="18"/>
  <c r="M1599" i="18"/>
  <c r="M1600" i="18"/>
  <c r="M1601" i="18"/>
  <c r="M1602" i="18"/>
  <c r="M1603" i="18"/>
  <c r="M1604" i="18"/>
  <c r="M1605" i="18"/>
  <c r="M1606" i="18"/>
  <c r="M1607" i="18"/>
  <c r="M1608" i="18"/>
  <c r="M1609" i="18"/>
  <c r="M1610" i="18"/>
  <c r="M1611" i="18"/>
  <c r="M1612" i="18"/>
  <c r="M1613" i="18"/>
  <c r="M1614" i="18"/>
  <c r="M1615" i="18"/>
  <c r="M1616" i="18"/>
  <c r="M1617" i="18"/>
  <c r="M1618" i="18"/>
  <c r="M1620" i="18"/>
  <c r="M1621" i="18"/>
  <c r="M1622" i="18"/>
  <c r="M1623" i="18"/>
  <c r="M1624" i="18"/>
  <c r="M1625" i="18"/>
  <c r="M1626" i="18"/>
  <c r="M1627" i="18"/>
  <c r="M1628" i="18"/>
  <c r="M1629" i="18"/>
  <c r="M1630" i="18"/>
  <c r="M1631" i="18"/>
  <c r="M1632" i="18"/>
  <c r="M1633" i="18"/>
  <c r="M1634" i="18"/>
  <c r="M1635" i="18"/>
  <c r="M1636" i="18"/>
  <c r="M1637" i="18"/>
  <c r="M1638" i="18"/>
  <c r="M1639" i="18"/>
  <c r="M1640" i="18"/>
  <c r="M1641" i="18"/>
  <c r="M1642" i="18"/>
  <c r="M1643" i="18"/>
  <c r="M1644" i="18"/>
  <c r="M1645" i="18"/>
  <c r="M1646" i="18"/>
  <c r="M1647" i="18"/>
  <c r="M1648" i="18"/>
  <c r="M1649" i="18"/>
  <c r="M1651" i="18"/>
  <c r="M1652" i="18"/>
  <c r="M1653" i="18"/>
  <c r="M1654" i="18"/>
  <c r="M1655" i="18"/>
  <c r="M1656" i="18"/>
  <c r="M1657" i="18"/>
  <c r="M1658" i="18"/>
  <c r="M1659" i="18"/>
  <c r="M1660" i="18"/>
  <c r="M1661" i="18"/>
  <c r="M1662" i="18"/>
  <c r="M1663" i="18"/>
  <c r="M1664" i="18"/>
  <c r="M1665" i="18"/>
  <c r="M1666" i="18"/>
  <c r="M1667" i="18"/>
  <c r="M1668" i="18"/>
  <c r="M1669" i="18"/>
  <c r="M1670" i="18"/>
  <c r="M1671" i="18"/>
  <c r="M1672" i="18"/>
  <c r="M1673" i="18"/>
  <c r="M1674" i="18"/>
  <c r="M1675" i="18"/>
  <c r="M1676" i="18"/>
  <c r="M1677" i="18"/>
  <c r="M1678" i="18"/>
  <c r="M1679" i="18"/>
  <c r="M1681" i="18"/>
  <c r="M1682" i="18"/>
  <c r="M1683" i="18"/>
  <c r="M1684" i="18"/>
  <c r="M1685" i="18"/>
  <c r="M1686" i="18"/>
  <c r="M1687" i="18"/>
  <c r="M1688" i="18"/>
  <c r="M1689" i="18"/>
  <c r="M1690" i="18"/>
  <c r="M1691" i="18"/>
  <c r="M1692" i="18"/>
  <c r="M1693" i="18"/>
  <c r="M1694" i="18"/>
  <c r="M1695" i="18"/>
  <c r="M1696" i="18"/>
  <c r="M1697" i="18"/>
  <c r="M1698" i="18"/>
  <c r="M1699" i="18"/>
  <c r="M1700" i="18"/>
  <c r="M1701" i="18"/>
  <c r="M1702" i="18"/>
  <c r="M1703" i="18"/>
  <c r="M1704" i="18"/>
  <c r="M1705" i="18"/>
  <c r="M1706" i="18"/>
  <c r="M1707" i="18"/>
  <c r="M1708" i="18"/>
  <c r="M1709" i="18"/>
  <c r="M1711" i="18"/>
  <c r="M1712" i="18"/>
  <c r="M1713" i="18"/>
  <c r="M1714" i="18"/>
  <c r="M1715" i="18"/>
  <c r="M1716" i="18"/>
  <c r="M1717" i="18"/>
  <c r="M1718" i="18"/>
  <c r="M1719" i="18"/>
  <c r="M1720" i="18"/>
  <c r="M1721" i="18"/>
  <c r="M1722" i="18"/>
  <c r="M1723" i="18"/>
  <c r="M1724" i="18"/>
  <c r="M1725" i="18"/>
  <c r="M1726" i="18"/>
  <c r="M1727" i="18"/>
  <c r="M1728" i="18"/>
  <c r="M1729" i="18"/>
  <c r="M1730" i="18"/>
  <c r="M1731" i="18"/>
  <c r="M1732" i="18"/>
  <c r="M1733" i="18"/>
  <c r="M1734" i="18"/>
  <c r="M1735" i="18"/>
  <c r="M1736" i="18"/>
  <c r="M1737" i="18"/>
  <c r="M1738" i="18"/>
  <c r="M1739" i="18"/>
  <c r="M1741" i="18"/>
  <c r="M1742" i="18"/>
  <c r="M1743" i="18"/>
  <c r="M1744" i="18"/>
  <c r="M1745" i="18"/>
  <c r="M1746" i="18"/>
  <c r="M1747" i="18"/>
  <c r="M1748" i="18"/>
  <c r="M1749" i="18"/>
  <c r="M1750" i="18"/>
  <c r="M1751" i="18"/>
  <c r="M1752" i="18"/>
  <c r="M1753" i="18"/>
  <c r="M1754" i="18"/>
  <c r="M1755" i="18"/>
  <c r="M1756" i="18"/>
  <c r="M1757" i="18"/>
  <c r="M1758" i="18"/>
  <c r="M1759" i="18"/>
  <c r="M1760" i="18"/>
  <c r="M1761" i="18"/>
  <c r="M1762" i="18"/>
  <c r="M1763" i="18"/>
  <c r="M1764" i="18"/>
  <c r="M1765" i="18"/>
  <c r="M1766" i="18"/>
  <c r="M1767" i="18"/>
  <c r="M1768" i="18"/>
  <c r="M1769" i="18"/>
  <c r="M1771" i="18"/>
  <c r="M1772" i="18"/>
  <c r="M1773" i="18"/>
  <c r="M1774" i="18"/>
  <c r="M1775" i="18"/>
  <c r="M1776" i="18"/>
  <c r="M1777" i="18"/>
  <c r="M1778" i="18"/>
  <c r="M1779" i="18"/>
  <c r="M1780" i="18"/>
  <c r="M1781" i="18"/>
  <c r="M1782" i="18"/>
  <c r="M1783" i="18"/>
  <c r="M1784" i="18"/>
  <c r="M1785" i="18"/>
  <c r="M1786" i="18"/>
  <c r="M1787" i="18"/>
  <c r="M1788" i="18"/>
  <c r="M1789" i="18"/>
  <c r="M1790" i="18"/>
  <c r="M1791" i="18"/>
  <c r="M1792" i="18"/>
  <c r="M1793" i="18"/>
  <c r="M1794" i="18"/>
  <c r="M1795" i="18"/>
  <c r="M1796" i="18"/>
  <c r="M1797" i="18"/>
  <c r="M1798" i="18"/>
  <c r="M1799" i="18"/>
  <c r="M1801" i="18"/>
  <c r="M1802" i="18"/>
  <c r="M1803" i="18"/>
  <c r="M1804" i="18"/>
  <c r="M1805" i="18"/>
  <c r="M1806" i="18"/>
  <c r="M1807" i="18"/>
  <c r="M1808" i="18"/>
  <c r="M1809" i="18"/>
  <c r="M1810" i="18"/>
  <c r="M1811" i="18"/>
  <c r="M1812" i="18"/>
  <c r="M1813" i="18"/>
  <c r="M1814" i="18"/>
  <c r="M1815" i="18"/>
  <c r="M1816" i="18"/>
  <c r="M1817" i="18"/>
  <c r="M1818" i="18"/>
  <c r="M1819" i="18"/>
  <c r="M1820" i="18"/>
  <c r="M1821" i="18"/>
  <c r="M1822" i="18"/>
  <c r="M1823" i="18"/>
  <c r="M1824" i="18"/>
  <c r="M1825" i="18"/>
  <c r="M1826" i="18"/>
  <c r="N1463" i="18"/>
  <c r="N1465" i="18"/>
  <c r="N1466" i="18"/>
  <c r="N1467" i="18"/>
  <c r="N1468" i="18"/>
  <c r="N1469" i="18"/>
  <c r="N1470" i="18"/>
  <c r="N1471" i="18"/>
  <c r="N1472" i="18"/>
  <c r="N1473" i="18"/>
  <c r="N1474" i="18"/>
  <c r="N1475" i="18"/>
  <c r="N1476" i="18"/>
  <c r="N1477" i="18"/>
  <c r="N1478" i="18"/>
  <c r="N1479" i="18"/>
  <c r="N1480" i="18"/>
  <c r="N1481" i="18"/>
  <c r="N1482" i="18"/>
  <c r="N1483" i="18"/>
  <c r="N1484" i="18"/>
  <c r="N1485" i="18"/>
  <c r="N1486" i="18"/>
  <c r="N1487" i="18"/>
  <c r="N1488" i="18"/>
  <c r="N1489" i="18"/>
  <c r="N1490" i="18"/>
  <c r="N1491" i="18"/>
  <c r="N1492" i="18"/>
  <c r="N1493" i="18"/>
  <c r="N1494" i="18"/>
  <c r="N1496" i="18"/>
  <c r="N1497" i="18"/>
  <c r="N1498" i="18"/>
  <c r="N1499" i="18"/>
  <c r="N1500" i="18"/>
  <c r="N1501" i="18"/>
  <c r="N1502" i="18"/>
  <c r="N1503" i="18"/>
  <c r="N1504" i="18"/>
  <c r="N1505" i="18"/>
  <c r="N1506" i="18"/>
  <c r="N1507" i="18"/>
  <c r="N1508" i="18"/>
  <c r="N1509" i="18"/>
  <c r="N1510" i="18"/>
  <c r="N1511" i="18"/>
  <c r="N1512" i="18"/>
  <c r="N1513" i="18"/>
  <c r="N1514" i="18"/>
  <c r="N1515" i="18"/>
  <c r="N1516" i="18"/>
  <c r="N1517" i="18"/>
  <c r="N1518" i="18"/>
  <c r="N1519" i="18"/>
  <c r="N1520" i="18"/>
  <c r="N1521" i="18"/>
  <c r="N1522" i="18"/>
  <c r="N1523" i="18"/>
  <c r="N1524" i="18"/>
  <c r="N1525" i="18"/>
  <c r="N1527" i="18"/>
  <c r="N1528" i="18"/>
  <c r="N1529" i="18"/>
  <c r="N1530" i="18"/>
  <c r="N1531" i="18"/>
  <c r="N1532" i="18"/>
  <c r="N1533" i="18"/>
  <c r="N1534" i="18"/>
  <c r="N1535" i="18"/>
  <c r="N1536" i="18"/>
  <c r="N1537" i="18"/>
  <c r="N1538" i="18"/>
  <c r="N1539" i="18"/>
  <c r="N1540" i="18"/>
  <c r="N1541" i="18"/>
  <c r="N1542" i="18"/>
  <c r="N1543" i="18"/>
  <c r="N1544" i="18"/>
  <c r="N1545" i="18"/>
  <c r="N1546" i="18"/>
  <c r="N1547" i="18"/>
  <c r="N1548" i="18"/>
  <c r="N1549" i="18"/>
  <c r="N1550" i="18"/>
  <c r="N1551" i="18"/>
  <c r="N1552" i="18"/>
  <c r="N1553" i="18"/>
  <c r="N1554" i="18"/>
  <c r="N1555" i="18"/>
  <c r="N1556" i="18"/>
  <c r="N1558" i="18"/>
  <c r="N1559" i="18"/>
  <c r="N1560" i="18"/>
  <c r="N1561" i="18"/>
  <c r="N1562" i="18"/>
  <c r="N1563" i="18"/>
  <c r="N1564" i="18"/>
  <c r="N1565" i="18"/>
  <c r="N1566" i="18"/>
  <c r="N1567" i="18"/>
  <c r="N1568" i="18"/>
  <c r="N1569" i="18"/>
  <c r="N1570" i="18"/>
  <c r="N1571" i="18"/>
  <c r="N1572" i="18"/>
  <c r="N1573" i="18"/>
  <c r="N1574" i="18"/>
  <c r="N1575" i="18"/>
  <c r="N1576" i="18"/>
  <c r="N1577" i="18"/>
  <c r="N1578" i="18"/>
  <c r="N1579" i="18"/>
  <c r="N1580" i="18"/>
  <c r="N1581" i="18"/>
  <c r="N1582" i="18"/>
  <c r="N1583" i="18"/>
  <c r="N1584" i="18"/>
  <c r="N1585" i="18"/>
  <c r="N1586" i="18"/>
  <c r="N1587" i="18"/>
  <c r="N1589" i="18"/>
  <c r="N1590" i="18"/>
  <c r="N1591" i="18"/>
  <c r="N1592" i="18"/>
  <c r="N1593" i="18"/>
  <c r="N1594" i="18"/>
  <c r="N1595" i="18"/>
  <c r="N1596" i="18"/>
  <c r="N1597" i="18"/>
  <c r="N1598" i="18"/>
  <c r="N1599" i="18"/>
  <c r="N1600" i="18"/>
  <c r="N1601" i="18"/>
  <c r="N1602" i="18"/>
  <c r="N1603" i="18"/>
  <c r="N1604" i="18"/>
  <c r="N1605" i="18"/>
  <c r="N1606" i="18"/>
  <c r="N1607" i="18"/>
  <c r="N1608" i="18"/>
  <c r="N1609" i="18"/>
  <c r="N1610" i="18"/>
  <c r="N1611" i="18"/>
  <c r="N1612" i="18"/>
  <c r="N1613" i="18"/>
  <c r="N1614" i="18"/>
  <c r="N1615" i="18"/>
  <c r="N1616" i="18"/>
  <c r="N1617" i="18"/>
  <c r="N1618" i="18"/>
  <c r="N1620" i="18"/>
  <c r="N1621" i="18"/>
  <c r="N1622" i="18"/>
  <c r="N1623" i="18"/>
  <c r="N1624" i="18"/>
  <c r="N1625" i="18"/>
  <c r="N1626" i="18"/>
  <c r="N1627" i="18"/>
  <c r="N1628" i="18"/>
  <c r="N1629" i="18"/>
  <c r="N1630" i="18"/>
  <c r="N1631" i="18"/>
  <c r="N1632" i="18"/>
  <c r="N1633" i="18"/>
  <c r="N1634" i="18"/>
  <c r="N1635" i="18"/>
  <c r="N1636" i="18"/>
  <c r="N1637" i="18"/>
  <c r="N1638" i="18"/>
  <c r="N1639" i="18"/>
  <c r="N1640" i="18"/>
  <c r="N1641" i="18"/>
  <c r="N1642" i="18"/>
  <c r="N1643" i="18"/>
  <c r="N1644" i="18"/>
  <c r="N1645" i="18"/>
  <c r="N1646" i="18"/>
  <c r="N1647" i="18"/>
  <c r="N1648" i="18"/>
  <c r="N1649" i="18"/>
  <c r="N1651" i="18"/>
  <c r="N1652" i="18"/>
  <c r="N1653" i="18"/>
  <c r="N1654" i="18"/>
  <c r="N1655" i="18"/>
  <c r="N1656" i="18"/>
  <c r="N1657" i="18"/>
  <c r="N1658" i="18"/>
  <c r="N1659" i="18"/>
  <c r="N1660" i="18"/>
  <c r="N1661" i="18"/>
  <c r="N1662" i="18"/>
  <c r="N1663" i="18"/>
  <c r="N1664" i="18"/>
  <c r="N1665" i="18"/>
  <c r="N1666" i="18"/>
  <c r="N1667" i="18"/>
  <c r="N1668" i="18"/>
  <c r="N1669" i="18"/>
  <c r="N1670" i="18"/>
  <c r="N1671" i="18"/>
  <c r="N1672" i="18"/>
  <c r="N1673" i="18"/>
  <c r="N1674" i="18"/>
  <c r="N1675" i="18"/>
  <c r="N1676" i="18"/>
  <c r="N1677" i="18"/>
  <c r="N1678" i="18"/>
  <c r="N1679" i="18"/>
  <c r="N1681" i="18"/>
  <c r="N1682" i="18"/>
  <c r="N1683" i="18"/>
  <c r="N1684" i="18"/>
  <c r="N1685" i="18"/>
  <c r="N1686" i="18"/>
  <c r="N1687" i="18"/>
  <c r="N1688" i="18"/>
  <c r="N1689" i="18"/>
  <c r="N1690" i="18"/>
  <c r="N1691" i="18"/>
  <c r="N1692" i="18"/>
  <c r="N1693" i="18"/>
  <c r="N1694" i="18"/>
  <c r="N1695" i="18"/>
  <c r="N1696" i="18"/>
  <c r="N1697" i="18"/>
  <c r="N1698" i="18"/>
  <c r="N1699" i="18"/>
  <c r="N1700" i="18"/>
  <c r="N1701" i="18"/>
  <c r="N1702" i="18"/>
  <c r="N1703" i="18"/>
  <c r="N1704" i="18"/>
  <c r="N1705" i="18"/>
  <c r="N1706" i="18"/>
  <c r="N1707" i="18"/>
  <c r="N1708" i="18"/>
  <c r="N1709" i="18"/>
  <c r="N1711" i="18"/>
  <c r="N1712" i="18"/>
  <c r="N1713" i="18"/>
  <c r="N1714" i="18"/>
  <c r="N1715" i="18"/>
  <c r="N1716" i="18"/>
  <c r="N1717" i="18"/>
  <c r="N1718" i="18"/>
  <c r="N1719" i="18"/>
  <c r="N1720" i="18"/>
  <c r="N1721" i="18"/>
  <c r="N1722" i="18"/>
  <c r="N1723" i="18"/>
  <c r="N1724" i="18"/>
  <c r="N1725" i="18"/>
  <c r="N1726" i="18"/>
  <c r="N1727" i="18"/>
  <c r="N1728" i="18"/>
  <c r="N1729" i="18"/>
  <c r="N1730" i="18"/>
  <c r="N1731" i="18"/>
  <c r="N1732" i="18"/>
  <c r="N1733" i="18"/>
  <c r="N1734" i="18"/>
  <c r="N1735" i="18"/>
  <c r="N1736" i="18"/>
  <c r="N1737" i="18"/>
  <c r="N1738" i="18"/>
  <c r="N1739" i="18"/>
  <c r="N1741" i="18"/>
  <c r="N1742" i="18"/>
  <c r="N1743" i="18"/>
  <c r="N1744" i="18"/>
  <c r="N1745" i="18"/>
  <c r="N1746" i="18"/>
  <c r="N1747" i="18"/>
  <c r="N1748" i="18"/>
  <c r="N1749" i="18"/>
  <c r="N1750" i="18"/>
  <c r="N1751" i="18"/>
  <c r="N1752" i="18"/>
  <c r="N1753" i="18"/>
  <c r="N1754" i="18"/>
  <c r="N1755" i="18"/>
  <c r="N1756" i="18"/>
  <c r="N1757" i="18"/>
  <c r="N1758" i="18"/>
  <c r="N1759" i="18"/>
  <c r="N1760" i="18"/>
  <c r="N1761" i="18"/>
  <c r="N1762" i="18"/>
  <c r="N1763" i="18"/>
  <c r="N1764" i="18"/>
  <c r="N1765" i="18"/>
  <c r="N1766" i="18"/>
  <c r="N1767" i="18"/>
  <c r="N1768" i="18"/>
  <c r="N1769" i="18"/>
  <c r="N1771" i="18"/>
  <c r="N1772" i="18"/>
  <c r="N1773" i="18"/>
  <c r="N1774" i="18"/>
  <c r="N1775" i="18"/>
  <c r="N1776" i="18"/>
  <c r="N1777" i="18"/>
  <c r="N1778" i="18"/>
  <c r="N1779" i="18"/>
  <c r="N1780" i="18"/>
  <c r="N1781" i="18"/>
  <c r="N1782" i="18"/>
  <c r="N1783" i="18"/>
  <c r="N1784" i="18"/>
  <c r="N1785" i="18"/>
  <c r="N1786" i="18"/>
  <c r="N1787" i="18"/>
  <c r="N1788" i="18"/>
  <c r="N1789" i="18"/>
  <c r="N1790" i="18"/>
  <c r="N1791" i="18"/>
  <c r="N1792" i="18"/>
  <c r="N1793" i="18"/>
  <c r="N1794" i="18"/>
  <c r="N1795" i="18"/>
  <c r="N1796" i="18"/>
  <c r="N1797" i="18"/>
  <c r="N1798" i="18"/>
  <c r="N1799" i="18"/>
  <c r="N1801" i="18"/>
  <c r="N1802" i="18"/>
  <c r="N1803" i="18"/>
  <c r="N1804" i="18"/>
  <c r="N1805" i="18"/>
  <c r="N1806" i="18"/>
  <c r="N1807" i="18"/>
  <c r="N1808" i="18"/>
  <c r="N1809" i="18"/>
  <c r="N1810" i="18"/>
  <c r="N1811" i="18"/>
  <c r="N1812" i="18"/>
  <c r="N1813" i="18"/>
  <c r="N1814" i="18"/>
  <c r="N1815" i="18"/>
  <c r="N1816" i="18"/>
  <c r="N1817" i="18"/>
  <c r="N1818" i="18"/>
  <c r="N1819" i="18"/>
  <c r="N1820" i="18"/>
  <c r="N1821" i="18"/>
  <c r="N1822" i="18"/>
  <c r="N1823" i="18"/>
  <c r="N1824" i="18"/>
  <c r="N1825" i="18"/>
  <c r="N1826" i="18"/>
  <c r="O1463" i="18"/>
  <c r="O1465" i="18"/>
  <c r="O1466" i="18"/>
  <c r="O1467" i="18"/>
  <c r="O1468" i="18"/>
  <c r="O1469" i="18"/>
  <c r="O1470" i="18"/>
  <c r="O1471" i="18"/>
  <c r="O1472" i="18"/>
  <c r="O1473" i="18"/>
  <c r="O1474" i="18"/>
  <c r="O1475" i="18"/>
  <c r="O1476" i="18"/>
  <c r="O1477" i="18"/>
  <c r="O1478" i="18"/>
  <c r="O1479" i="18"/>
  <c r="O1480" i="18"/>
  <c r="O1481" i="18"/>
  <c r="O1482" i="18"/>
  <c r="O1483" i="18"/>
  <c r="O1484" i="18"/>
  <c r="O1485" i="18"/>
  <c r="O1486" i="18"/>
  <c r="O1487" i="18"/>
  <c r="O1488" i="18"/>
  <c r="O1489" i="18"/>
  <c r="O1490" i="18"/>
  <c r="O1491" i="18"/>
  <c r="O1492" i="18"/>
  <c r="O1493" i="18"/>
  <c r="O1494" i="18"/>
  <c r="O1496" i="18"/>
  <c r="O1497" i="18"/>
  <c r="O1498" i="18"/>
  <c r="O1499" i="18"/>
  <c r="O1500" i="18"/>
  <c r="O1501" i="18"/>
  <c r="O1502" i="18"/>
  <c r="O1503" i="18"/>
  <c r="O1504" i="18"/>
  <c r="O1505" i="18"/>
  <c r="O1506" i="18"/>
  <c r="O1507" i="18"/>
  <c r="O1508" i="18"/>
  <c r="O1509" i="18"/>
  <c r="O1510" i="18"/>
  <c r="O1511" i="18"/>
  <c r="O1512" i="18"/>
  <c r="O1513" i="18"/>
  <c r="O1514" i="18"/>
  <c r="O1515" i="18"/>
  <c r="O1516" i="18"/>
  <c r="O1517" i="18"/>
  <c r="O1518" i="18"/>
  <c r="O1519" i="18"/>
  <c r="O1520" i="18"/>
  <c r="O1521" i="18"/>
  <c r="O1522" i="18"/>
  <c r="O1523" i="18"/>
  <c r="O1524" i="18"/>
  <c r="O1525" i="18"/>
  <c r="O1527" i="18"/>
  <c r="O1528" i="18"/>
  <c r="O1529" i="18"/>
  <c r="O1530" i="18"/>
  <c r="O1531" i="18"/>
  <c r="O1532" i="18"/>
  <c r="O1533" i="18"/>
  <c r="O1534" i="18"/>
  <c r="O1535" i="18"/>
  <c r="O1536" i="18"/>
  <c r="O1537" i="18"/>
  <c r="O1538" i="18"/>
  <c r="O1539" i="18"/>
  <c r="O1540" i="18"/>
  <c r="O1541" i="18"/>
  <c r="O1542" i="18"/>
  <c r="O1543" i="18"/>
  <c r="O1544" i="18"/>
  <c r="O1545" i="18"/>
  <c r="O1546" i="18"/>
  <c r="O1547" i="18"/>
  <c r="O1548" i="18"/>
  <c r="O1549" i="18"/>
  <c r="O1550" i="18"/>
  <c r="O1551" i="18"/>
  <c r="O1552" i="18"/>
  <c r="O1553" i="18"/>
  <c r="O1554" i="18"/>
  <c r="O1555" i="18"/>
  <c r="O1556" i="18"/>
  <c r="O1558" i="18"/>
  <c r="O1559" i="18"/>
  <c r="O1560" i="18"/>
  <c r="O1561" i="18"/>
  <c r="O1562" i="18"/>
  <c r="O1563" i="18"/>
  <c r="O1564" i="18"/>
  <c r="O1565" i="18"/>
  <c r="O1566" i="18"/>
  <c r="O1567" i="18"/>
  <c r="O1568" i="18"/>
  <c r="O1569" i="18"/>
  <c r="O1570" i="18"/>
  <c r="O1571" i="18"/>
  <c r="O1572" i="18"/>
  <c r="O1573" i="18"/>
  <c r="O1574" i="18"/>
  <c r="O1575" i="18"/>
  <c r="O1576" i="18"/>
  <c r="O1577" i="18"/>
  <c r="O1578" i="18"/>
  <c r="O1579" i="18"/>
  <c r="O1580" i="18"/>
  <c r="O1581" i="18"/>
  <c r="O1582" i="18"/>
  <c r="O1583" i="18"/>
  <c r="O1584" i="18"/>
  <c r="O1585" i="18"/>
  <c r="O1586" i="18"/>
  <c r="O1587" i="18"/>
  <c r="O1589" i="18"/>
  <c r="O1590" i="18"/>
  <c r="O1591" i="18"/>
  <c r="O1592" i="18"/>
  <c r="O1593" i="18"/>
  <c r="O1594" i="18"/>
  <c r="O1595" i="18"/>
  <c r="O1596" i="18"/>
  <c r="O1597" i="18"/>
  <c r="O1598" i="18"/>
  <c r="O1599" i="18"/>
  <c r="O1600" i="18"/>
  <c r="O1601" i="18"/>
  <c r="O1602" i="18"/>
  <c r="O1603" i="18"/>
  <c r="O1604" i="18"/>
  <c r="O1605" i="18"/>
  <c r="O1606" i="18"/>
  <c r="O1607" i="18"/>
  <c r="O1608" i="18"/>
  <c r="O1609" i="18"/>
  <c r="O1610" i="18"/>
  <c r="O1611" i="18"/>
  <c r="O1612" i="18"/>
  <c r="O1613" i="18"/>
  <c r="O1614" i="18"/>
  <c r="O1615" i="18"/>
  <c r="O1616" i="18"/>
  <c r="O1617" i="18"/>
  <c r="O1618" i="18"/>
  <c r="O1620" i="18"/>
  <c r="O1621" i="18"/>
  <c r="O1622" i="18"/>
  <c r="O1623" i="18"/>
  <c r="O1624" i="18"/>
  <c r="O1625" i="18"/>
  <c r="O1626" i="18"/>
  <c r="O1627" i="18"/>
  <c r="O1628" i="18"/>
  <c r="O1629" i="18"/>
  <c r="O1630" i="18"/>
  <c r="O1631" i="18"/>
  <c r="O1632" i="18"/>
  <c r="O1633" i="18"/>
  <c r="O1634" i="18"/>
  <c r="O1635" i="18"/>
  <c r="O1636" i="18"/>
  <c r="O1637" i="18"/>
  <c r="O1638" i="18"/>
  <c r="O1639" i="18"/>
  <c r="O1640" i="18"/>
  <c r="O1641" i="18"/>
  <c r="O1642" i="18"/>
  <c r="O1643" i="18"/>
  <c r="O1644" i="18"/>
  <c r="O1645" i="18"/>
  <c r="O1646" i="18"/>
  <c r="O1647" i="18"/>
  <c r="O1648" i="18"/>
  <c r="O1649" i="18"/>
  <c r="O1651" i="18"/>
  <c r="O1652" i="18"/>
  <c r="O1653" i="18"/>
  <c r="O1654" i="18"/>
  <c r="O1655" i="18"/>
  <c r="O1656" i="18"/>
  <c r="O1657" i="18"/>
  <c r="O1658" i="18"/>
  <c r="O1659" i="18"/>
  <c r="O1660" i="18"/>
  <c r="O1661" i="18"/>
  <c r="O1662" i="18"/>
  <c r="O1663" i="18"/>
  <c r="O1664" i="18"/>
  <c r="O1665" i="18"/>
  <c r="O1666" i="18"/>
  <c r="O1667" i="18"/>
  <c r="O1668" i="18"/>
  <c r="O1669" i="18"/>
  <c r="O1670" i="18"/>
  <c r="O1671" i="18"/>
  <c r="O1672" i="18"/>
  <c r="O1673" i="18"/>
  <c r="O1674" i="18"/>
  <c r="O1675" i="18"/>
  <c r="O1676" i="18"/>
  <c r="O1677" i="18"/>
  <c r="O1678" i="18"/>
  <c r="O1679" i="18"/>
  <c r="O1681" i="18"/>
  <c r="O1682" i="18"/>
  <c r="O1683" i="18"/>
  <c r="O1684" i="18"/>
  <c r="O1685" i="18"/>
  <c r="O1686" i="18"/>
  <c r="O1687" i="18"/>
  <c r="O1688" i="18"/>
  <c r="O1689" i="18"/>
  <c r="O1690" i="18"/>
  <c r="O1691" i="18"/>
  <c r="O1692" i="18"/>
  <c r="O1693" i="18"/>
  <c r="O1694" i="18"/>
  <c r="O1695" i="18"/>
  <c r="O1696" i="18"/>
  <c r="O1697" i="18"/>
  <c r="O1698" i="18"/>
  <c r="O1699" i="18"/>
  <c r="O1700" i="18"/>
  <c r="O1701" i="18"/>
  <c r="O1702" i="18"/>
  <c r="O1703" i="18"/>
  <c r="O1704" i="18"/>
  <c r="O1705" i="18"/>
  <c r="O1706" i="18"/>
  <c r="O1707" i="18"/>
  <c r="O1708" i="18"/>
  <c r="O1709" i="18"/>
  <c r="O1711" i="18"/>
  <c r="O1712" i="18"/>
  <c r="O1713" i="18"/>
  <c r="O1714" i="18"/>
  <c r="O1715" i="18"/>
  <c r="O1716" i="18"/>
  <c r="O1717" i="18"/>
  <c r="O1718" i="18"/>
  <c r="O1719" i="18"/>
  <c r="O1720" i="18"/>
  <c r="O1721" i="18"/>
  <c r="O1722" i="18"/>
  <c r="O1723" i="18"/>
  <c r="O1724" i="18"/>
  <c r="O1725" i="18"/>
  <c r="O1726" i="18"/>
  <c r="O1727" i="18"/>
  <c r="O1728" i="18"/>
  <c r="O1729" i="18"/>
  <c r="O1730" i="18"/>
  <c r="O1731" i="18"/>
  <c r="O1732" i="18"/>
  <c r="O1733" i="18"/>
  <c r="O1734" i="18"/>
  <c r="O1735" i="18"/>
  <c r="O1736" i="18"/>
  <c r="O1737" i="18"/>
  <c r="O1738" i="18"/>
  <c r="O1739" i="18"/>
  <c r="O1741" i="18"/>
  <c r="O1742" i="18"/>
  <c r="O1743" i="18"/>
  <c r="O1744" i="18"/>
  <c r="O1745" i="18"/>
  <c r="O1746" i="18"/>
  <c r="O1747" i="18"/>
  <c r="O1748" i="18"/>
  <c r="O1749" i="18"/>
  <c r="O1750" i="18"/>
  <c r="O1751" i="18"/>
  <c r="O1752" i="18"/>
  <c r="O1753" i="18"/>
  <c r="O1754" i="18"/>
  <c r="O1755" i="18"/>
  <c r="O1756" i="18"/>
  <c r="O1757" i="18"/>
  <c r="O1758" i="18"/>
  <c r="O1759" i="18"/>
  <c r="O1760" i="18"/>
  <c r="O1761" i="18"/>
  <c r="O1762" i="18"/>
  <c r="O1763" i="18"/>
  <c r="O1764" i="18"/>
  <c r="O1765" i="18"/>
  <c r="O1766" i="18"/>
  <c r="O1767" i="18"/>
  <c r="O1768" i="18"/>
  <c r="O1769" i="18"/>
  <c r="O1771" i="18"/>
  <c r="O1772" i="18"/>
  <c r="O1773" i="18"/>
  <c r="O1774" i="18"/>
  <c r="O1775" i="18"/>
  <c r="O1776" i="18"/>
  <c r="O1777" i="18"/>
  <c r="O1778" i="18"/>
  <c r="O1779" i="18"/>
  <c r="O1780" i="18"/>
  <c r="O1781" i="18"/>
  <c r="O1782" i="18"/>
  <c r="O1783" i="18"/>
  <c r="O1784" i="18"/>
  <c r="O1785" i="18"/>
  <c r="O1786" i="18"/>
  <c r="O1787" i="18"/>
  <c r="O1788" i="18"/>
  <c r="O1789" i="18"/>
  <c r="O1790" i="18"/>
  <c r="O1791" i="18"/>
  <c r="O1792" i="18"/>
  <c r="O1793" i="18"/>
  <c r="O1794" i="18"/>
  <c r="O1795" i="18"/>
  <c r="O1796" i="18"/>
  <c r="O1797" i="18"/>
  <c r="O1798" i="18"/>
  <c r="O1799" i="18"/>
  <c r="O1801" i="18"/>
  <c r="O1802" i="18"/>
  <c r="O1803" i="18"/>
  <c r="O1804" i="18"/>
  <c r="O1805" i="18"/>
  <c r="O1806" i="18"/>
  <c r="O1807" i="18"/>
  <c r="O1808" i="18"/>
  <c r="O1809" i="18"/>
  <c r="O1810" i="18"/>
  <c r="O1811" i="18"/>
  <c r="O1812" i="18"/>
  <c r="O1813" i="18"/>
  <c r="O1814" i="18"/>
  <c r="O1815" i="18"/>
  <c r="O1816" i="18"/>
  <c r="O1817" i="18"/>
  <c r="O1818" i="18"/>
  <c r="O1819" i="18"/>
  <c r="O1820" i="18"/>
  <c r="O1821" i="18"/>
  <c r="O1822" i="18"/>
  <c r="O1823" i="18"/>
  <c r="O1824" i="18"/>
  <c r="O1825" i="18"/>
  <c r="O1826" i="18"/>
  <c r="P1463" i="18"/>
  <c r="P1464" i="18"/>
  <c r="P1465" i="18"/>
  <c r="P1466" i="18"/>
  <c r="P1468" i="18"/>
  <c r="P1469" i="18"/>
  <c r="P1470" i="18"/>
  <c r="P1471" i="18"/>
  <c r="P1472" i="18"/>
  <c r="P1473" i="18"/>
  <c r="P1474" i="18"/>
  <c r="P1475" i="18"/>
  <c r="P1476" i="18"/>
  <c r="P1477" i="18"/>
  <c r="P1478" i="18"/>
  <c r="P1480" i="18"/>
  <c r="P1481" i="18"/>
  <c r="P1482" i="18"/>
  <c r="P1483" i="18"/>
  <c r="P1484" i="18"/>
  <c r="P1485" i="18"/>
  <c r="P1486" i="18"/>
  <c r="P1487" i="18"/>
  <c r="P1488" i="18"/>
  <c r="P1489" i="18"/>
  <c r="P1490" i="18"/>
  <c r="P1492" i="18"/>
  <c r="P1493" i="18"/>
  <c r="P1494" i="18"/>
  <c r="P1495" i="18"/>
  <c r="P1496" i="18"/>
  <c r="P1497" i="18"/>
  <c r="P1498" i="18"/>
  <c r="P1499" i="18"/>
  <c r="P1500" i="18"/>
  <c r="P1501" i="18"/>
  <c r="P1502" i="18"/>
  <c r="P1504" i="18"/>
  <c r="P1505" i="18"/>
  <c r="P1506" i="18"/>
  <c r="P1507" i="18"/>
  <c r="P1508" i="18"/>
  <c r="P1509" i="18"/>
  <c r="P1510" i="18"/>
  <c r="P1511" i="18"/>
  <c r="P1512" i="18"/>
  <c r="P1513" i="18"/>
  <c r="P1514" i="18"/>
  <c r="P1516" i="18"/>
  <c r="P1517" i="18"/>
  <c r="P1518" i="18"/>
  <c r="P1519" i="18"/>
  <c r="P1520" i="18"/>
  <c r="P1521" i="18"/>
  <c r="P1522" i="18"/>
  <c r="P1523" i="18"/>
  <c r="P1524" i="18"/>
  <c r="P1525" i="18"/>
  <c r="P1526" i="18"/>
  <c r="P1528" i="18"/>
  <c r="P1529" i="18"/>
  <c r="P1530" i="18"/>
  <c r="P1531" i="18"/>
  <c r="P1532" i="18"/>
  <c r="P1533" i="18"/>
  <c r="P1534" i="18"/>
  <c r="P1535" i="18"/>
  <c r="P1536" i="18"/>
  <c r="P1537" i="18"/>
  <c r="P1538" i="18"/>
  <c r="P1540" i="18"/>
  <c r="P1541" i="18"/>
  <c r="P1542" i="18"/>
  <c r="P1543" i="18"/>
  <c r="P1544" i="18"/>
  <c r="P1545" i="18"/>
  <c r="P1546" i="18"/>
  <c r="P1547" i="18"/>
  <c r="P1548" i="18"/>
  <c r="P1549" i="18"/>
  <c r="P1550" i="18"/>
  <c r="P1552" i="18"/>
  <c r="P1553" i="18"/>
  <c r="P1554" i="18"/>
  <c r="P1555" i="18"/>
  <c r="P1556" i="18"/>
  <c r="P1557" i="18"/>
  <c r="P1558" i="18"/>
  <c r="P1559" i="18"/>
  <c r="P1560" i="18"/>
  <c r="P1561" i="18"/>
  <c r="P1562" i="18"/>
  <c r="P1564" i="18"/>
  <c r="P1565" i="18"/>
  <c r="P1566" i="18"/>
  <c r="P1567" i="18"/>
  <c r="P1568" i="18"/>
  <c r="P1569" i="18"/>
  <c r="P1570" i="18"/>
  <c r="P1571" i="18"/>
  <c r="P1572" i="18"/>
  <c r="P1573" i="18"/>
  <c r="P1574" i="18"/>
  <c r="P1576" i="18"/>
  <c r="P1577" i="18"/>
  <c r="P1578" i="18"/>
  <c r="P1579" i="18"/>
  <c r="P1580" i="18"/>
  <c r="P1581" i="18"/>
  <c r="P1582" i="18"/>
  <c r="P1583" i="18"/>
  <c r="P1584" i="18"/>
  <c r="P1585" i="18"/>
  <c r="P1586" i="18"/>
  <c r="P1588" i="18"/>
  <c r="P1589" i="18"/>
  <c r="P1590" i="18"/>
  <c r="P1591" i="18"/>
  <c r="P1592" i="18"/>
  <c r="P1593" i="18"/>
  <c r="P1594" i="18"/>
  <c r="P1595" i="18"/>
  <c r="P1596" i="18"/>
  <c r="P1597" i="18"/>
  <c r="P1598" i="18"/>
  <c r="P1600" i="18"/>
  <c r="P1601" i="18"/>
  <c r="P1602" i="18"/>
  <c r="P1603" i="18"/>
  <c r="P1604" i="18"/>
  <c r="P1605" i="18"/>
  <c r="P1606" i="18"/>
  <c r="P1607" i="18"/>
  <c r="P1608" i="18"/>
  <c r="P1609" i="18"/>
  <c r="P1610" i="18"/>
  <c r="P1612" i="18"/>
  <c r="P1613" i="18"/>
  <c r="P1614" i="18"/>
  <c r="P1615" i="18"/>
  <c r="P1616" i="18"/>
  <c r="P1617" i="18"/>
  <c r="P1618" i="18"/>
  <c r="P1619" i="18"/>
  <c r="P1620" i="18"/>
  <c r="P1621" i="18"/>
  <c r="P1622" i="18"/>
  <c r="P1624" i="18"/>
  <c r="P1625" i="18"/>
  <c r="P1626" i="18"/>
  <c r="P1627" i="18"/>
  <c r="P1628" i="18"/>
  <c r="P1629" i="18"/>
  <c r="P1630" i="18"/>
  <c r="P1631" i="18"/>
  <c r="P1632" i="18"/>
  <c r="P1633" i="18"/>
  <c r="P1634" i="18"/>
  <c r="P1636" i="18"/>
  <c r="P1637" i="18"/>
  <c r="P1638" i="18"/>
  <c r="P1639" i="18"/>
  <c r="P1640" i="18"/>
  <c r="P1641" i="18"/>
  <c r="P1642" i="18"/>
  <c r="P1643" i="18"/>
  <c r="P1644" i="18"/>
  <c r="P1645" i="18"/>
  <c r="P1646" i="18"/>
  <c r="P1648" i="18"/>
  <c r="P1649" i="18"/>
  <c r="P1650" i="18"/>
  <c r="P1651" i="18"/>
  <c r="P1652" i="18"/>
  <c r="P1653" i="18"/>
  <c r="P1654" i="18"/>
  <c r="P1655" i="18"/>
  <c r="P1656" i="18"/>
  <c r="P1657" i="18"/>
  <c r="P1658" i="18"/>
  <c r="P1660" i="18"/>
  <c r="P1661" i="18"/>
  <c r="P1662" i="18"/>
  <c r="P1663" i="18"/>
  <c r="P1664" i="18"/>
  <c r="P1665" i="18"/>
  <c r="P1666" i="18"/>
  <c r="P1667" i="18"/>
  <c r="P1668" i="18"/>
  <c r="P1669" i="18"/>
  <c r="P1670" i="18"/>
  <c r="P1672" i="18"/>
  <c r="P1673" i="18"/>
  <c r="P1674" i="18"/>
  <c r="P1675" i="18"/>
  <c r="P1676" i="18"/>
  <c r="P1677" i="18"/>
  <c r="P1678" i="18"/>
  <c r="P1679" i="18"/>
  <c r="P1680" i="18"/>
  <c r="P1681" i="18"/>
  <c r="P1682" i="18"/>
  <c r="P1684" i="18"/>
  <c r="P1685" i="18"/>
  <c r="P1686" i="18"/>
  <c r="P1687" i="18"/>
  <c r="P1688" i="18"/>
  <c r="P1689" i="18"/>
  <c r="P1690" i="18"/>
  <c r="P1691" i="18"/>
  <c r="P1692" i="18"/>
  <c r="P1693" i="18"/>
  <c r="P1694" i="18"/>
  <c r="P1696" i="18"/>
  <c r="P1697" i="18"/>
  <c r="P1698" i="18"/>
  <c r="P1699" i="18"/>
  <c r="P1700" i="18"/>
  <c r="P1701" i="18"/>
  <c r="P1702" i="18"/>
  <c r="P1703" i="18"/>
  <c r="P1704" i="18"/>
  <c r="P1705" i="18"/>
  <c r="P1706" i="18"/>
  <c r="P1708" i="18"/>
  <c r="P1709" i="18"/>
  <c r="P1710" i="18"/>
  <c r="P1711" i="18"/>
  <c r="P1712" i="18"/>
  <c r="P1713" i="18"/>
  <c r="P1714" i="18"/>
  <c r="P1715" i="18"/>
  <c r="P1716" i="18"/>
  <c r="P1717" i="18"/>
  <c r="P1718" i="18"/>
  <c r="P1720" i="18"/>
  <c r="P1721" i="18"/>
  <c r="P1722" i="18"/>
  <c r="P1723" i="18"/>
  <c r="P1724" i="18"/>
  <c r="P1725" i="18"/>
  <c r="P1726" i="18"/>
  <c r="P1727" i="18"/>
  <c r="P1728" i="18"/>
  <c r="P1729" i="18"/>
  <c r="P1730" i="18"/>
  <c r="P1732" i="18"/>
  <c r="P1733" i="18"/>
  <c r="P1734" i="18"/>
  <c r="P1735" i="18"/>
  <c r="P1736" i="18"/>
  <c r="P1737" i="18"/>
  <c r="P1738" i="18"/>
  <c r="P1739" i="18"/>
  <c r="P1740" i="18"/>
  <c r="P1741" i="18"/>
  <c r="P1742" i="18"/>
  <c r="P1744" i="18"/>
  <c r="P1745" i="18"/>
  <c r="P1746" i="18"/>
  <c r="P1747" i="18"/>
  <c r="P1748" i="18"/>
  <c r="P1749" i="18"/>
  <c r="P1750" i="18"/>
  <c r="P1751" i="18"/>
  <c r="P1752" i="18"/>
  <c r="P1753" i="18"/>
  <c r="P1754" i="18"/>
  <c r="P1756" i="18"/>
  <c r="P1757" i="18"/>
  <c r="P1758" i="18"/>
  <c r="P1759" i="18"/>
  <c r="P1760" i="18"/>
  <c r="P1761" i="18"/>
  <c r="P1762" i="18"/>
  <c r="P1763" i="18"/>
  <c r="P1764" i="18"/>
  <c r="P1765" i="18"/>
  <c r="P1766" i="18"/>
  <c r="P1768" i="18"/>
  <c r="P1769" i="18"/>
  <c r="P1770" i="18"/>
  <c r="P1771" i="18"/>
  <c r="P1772" i="18"/>
  <c r="P1773" i="18"/>
  <c r="P1774" i="18"/>
  <c r="P1775" i="18"/>
  <c r="P1776" i="18"/>
  <c r="P1777" i="18"/>
  <c r="P1778" i="18"/>
  <c r="P1780" i="18"/>
  <c r="P1781" i="18"/>
  <c r="P1782" i="18"/>
  <c r="P1783" i="18"/>
  <c r="P1784" i="18"/>
  <c r="P1785" i="18"/>
  <c r="P1786" i="18"/>
  <c r="P1787" i="18"/>
  <c r="P1788" i="18"/>
  <c r="P1789" i="18"/>
  <c r="P1790" i="18"/>
  <c r="P1792" i="18"/>
  <c r="P1793" i="18"/>
  <c r="P1794" i="18"/>
  <c r="P1795" i="18"/>
  <c r="P1796" i="18"/>
  <c r="P1797" i="18"/>
  <c r="P1798" i="18"/>
  <c r="P1799" i="18"/>
  <c r="P1800" i="18"/>
  <c r="P1801" i="18"/>
  <c r="P1802" i="18"/>
  <c r="P1804" i="18"/>
  <c r="P1805" i="18"/>
  <c r="P1806" i="18"/>
  <c r="P1807" i="18"/>
  <c r="P1808" i="18"/>
  <c r="P1809" i="18"/>
  <c r="P1810" i="18"/>
  <c r="P1811" i="18"/>
  <c r="P1812" i="18"/>
  <c r="P1813" i="18"/>
  <c r="P1814" i="18"/>
  <c r="P1816" i="18"/>
  <c r="P1817" i="18"/>
  <c r="P1818" i="18"/>
  <c r="P1819" i="18"/>
  <c r="P1820" i="18"/>
  <c r="P1821" i="18"/>
  <c r="P1822" i="18"/>
  <c r="P1823" i="18"/>
  <c r="P1824" i="18"/>
  <c r="P1825" i="18"/>
  <c r="P1826" i="18"/>
  <c r="Q1463" i="18"/>
  <c r="Q1465" i="18"/>
  <c r="Q1466" i="18"/>
  <c r="Q1467" i="18"/>
  <c r="Q1468" i="18"/>
  <c r="Q1469" i="18"/>
  <c r="Q1470" i="18"/>
  <c r="Q1471" i="18"/>
  <c r="Q1472" i="18"/>
  <c r="Q1473" i="18"/>
  <c r="Q1474" i="18"/>
  <c r="Q1475" i="18"/>
  <c r="Q1476" i="18"/>
  <c r="Q1477" i="18"/>
  <c r="Q1478" i="18"/>
  <c r="Q1479" i="18"/>
  <c r="Q1480" i="18"/>
  <c r="Q1481" i="18"/>
  <c r="Q1482" i="18"/>
  <c r="Q1483" i="18"/>
  <c r="Q1484" i="18"/>
  <c r="Q1485" i="18"/>
  <c r="Q1486" i="18"/>
  <c r="Q1487" i="18"/>
  <c r="Q1488" i="18"/>
  <c r="Q1489" i="18"/>
  <c r="Q1490" i="18"/>
  <c r="Q1491" i="18"/>
  <c r="Q1492" i="18"/>
  <c r="Q1493" i="18"/>
  <c r="Q1494" i="18"/>
  <c r="Q1496" i="18"/>
  <c r="Q1497" i="18"/>
  <c r="Q1498" i="18"/>
  <c r="Q1499" i="18"/>
  <c r="Q1500" i="18"/>
  <c r="Q1501" i="18"/>
  <c r="Q1502" i="18"/>
  <c r="Q1503" i="18"/>
  <c r="Q1504" i="18"/>
  <c r="Q1505" i="18"/>
  <c r="Q1506" i="18"/>
  <c r="Q1507" i="18"/>
  <c r="Q1508" i="18"/>
  <c r="Q1509" i="18"/>
  <c r="Q1510" i="18"/>
  <c r="Q1511" i="18"/>
  <c r="Q1512" i="18"/>
  <c r="Q1513" i="18"/>
  <c r="Q1514" i="18"/>
  <c r="Q1515" i="18"/>
  <c r="Q1516" i="18"/>
  <c r="Q1517" i="18"/>
  <c r="Q1518" i="18"/>
  <c r="Q1519" i="18"/>
  <c r="Q1520" i="18"/>
  <c r="Q1521" i="18"/>
  <c r="Q1522" i="18"/>
  <c r="Q1523" i="18"/>
  <c r="Q1524" i="18"/>
  <c r="Q1525" i="18"/>
  <c r="Q1527" i="18"/>
  <c r="Q1528" i="18"/>
  <c r="Q1529" i="18"/>
  <c r="Q1530" i="18"/>
  <c r="Q1531" i="18"/>
  <c r="Q1532" i="18"/>
  <c r="Q1533" i="18"/>
  <c r="Q1534" i="18"/>
  <c r="Q1535" i="18"/>
  <c r="Q1536" i="18"/>
  <c r="Q1537" i="18"/>
  <c r="Q1538" i="18"/>
  <c r="Q1539" i="18"/>
  <c r="Q1540" i="18"/>
  <c r="Q1541" i="18"/>
  <c r="Q1542" i="18"/>
  <c r="Q1543" i="18"/>
  <c r="Q1544" i="18"/>
  <c r="Q1545" i="18"/>
  <c r="Q1546" i="18"/>
  <c r="Q1547" i="18"/>
  <c r="Q1548" i="18"/>
  <c r="Q1549" i="18"/>
  <c r="Q1550" i="18"/>
  <c r="Q1551" i="18"/>
  <c r="Q1552" i="18"/>
  <c r="Q1553" i="18"/>
  <c r="Q1554" i="18"/>
  <c r="Q1555" i="18"/>
  <c r="Q1556" i="18"/>
  <c r="Q1558" i="18"/>
  <c r="Q1559" i="18"/>
  <c r="Q1560" i="18"/>
  <c r="Q1561" i="18"/>
  <c r="Q1562" i="18"/>
  <c r="Q1563" i="18"/>
  <c r="Q1564" i="18"/>
  <c r="Q1565" i="18"/>
  <c r="Q1566" i="18"/>
  <c r="Q1567" i="18"/>
  <c r="Q1568" i="18"/>
  <c r="Q1569" i="18"/>
  <c r="Q1570" i="18"/>
  <c r="Q1571" i="18"/>
  <c r="Q1572" i="18"/>
  <c r="Q1573" i="18"/>
  <c r="Q1574" i="18"/>
  <c r="Q1575" i="18"/>
  <c r="Q1576" i="18"/>
  <c r="Q1577" i="18"/>
  <c r="Q1578" i="18"/>
  <c r="Q1579" i="18"/>
  <c r="Q1580" i="18"/>
  <c r="Q1581" i="18"/>
  <c r="Q1582" i="18"/>
  <c r="Q1583" i="18"/>
  <c r="Q1584" i="18"/>
  <c r="Q1585" i="18"/>
  <c r="Q1586" i="18"/>
  <c r="Q1587" i="18"/>
  <c r="Q1589" i="18"/>
  <c r="Q1590" i="18"/>
  <c r="Q1591" i="18"/>
  <c r="Q1592" i="18"/>
  <c r="Q1593" i="18"/>
  <c r="Q1594" i="18"/>
  <c r="Q1595" i="18"/>
  <c r="Q1596" i="18"/>
  <c r="Q1597" i="18"/>
  <c r="Q1598" i="18"/>
  <c r="Q1599" i="18"/>
  <c r="Q1600" i="18"/>
  <c r="Q1601" i="18"/>
  <c r="Q1602" i="18"/>
  <c r="Q1603" i="18"/>
  <c r="Q1604" i="18"/>
  <c r="Q1605" i="18"/>
  <c r="Q1606" i="18"/>
  <c r="Q1607" i="18"/>
  <c r="Q1608" i="18"/>
  <c r="Q1609" i="18"/>
  <c r="Q1610" i="18"/>
  <c r="Q1611" i="18"/>
  <c r="Q1612" i="18"/>
  <c r="Q1613" i="18"/>
  <c r="Q1614" i="18"/>
  <c r="Q1615" i="18"/>
  <c r="Q1616" i="18"/>
  <c r="Q1617" i="18"/>
  <c r="Q1618" i="18"/>
  <c r="Q1620" i="18"/>
  <c r="Q1621" i="18"/>
  <c r="Q1622" i="18"/>
  <c r="Q1623" i="18"/>
  <c r="Q1624" i="18"/>
  <c r="Q1625" i="18"/>
  <c r="Q1626" i="18"/>
  <c r="Q1627" i="18"/>
  <c r="Q1628" i="18"/>
  <c r="Q1629" i="18"/>
  <c r="Q1630" i="18"/>
  <c r="Q1631" i="18"/>
  <c r="Q1632" i="18"/>
  <c r="Q1633" i="18"/>
  <c r="Q1634" i="18"/>
  <c r="Q1635" i="18"/>
  <c r="Q1636" i="18"/>
  <c r="Q1637" i="18"/>
  <c r="Q1638" i="18"/>
  <c r="Q1639" i="18"/>
  <c r="Q1640" i="18"/>
  <c r="Q1641" i="18"/>
  <c r="Q1642" i="18"/>
  <c r="Q1643" i="18"/>
  <c r="Q1644" i="18"/>
  <c r="Q1645" i="18"/>
  <c r="Q1646" i="18"/>
  <c r="Q1647" i="18"/>
  <c r="Q1648" i="18"/>
  <c r="Q1649" i="18"/>
  <c r="Q1651" i="18"/>
  <c r="Q1652" i="18"/>
  <c r="Q1653" i="18"/>
  <c r="Q1654" i="18"/>
  <c r="Q1655" i="18"/>
  <c r="Q1656" i="18"/>
  <c r="Q1657" i="18"/>
  <c r="Q1658" i="18"/>
  <c r="Q1659" i="18"/>
  <c r="Q1660" i="18"/>
  <c r="Q1661" i="18"/>
  <c r="Q1662" i="18"/>
  <c r="Q1663" i="18"/>
  <c r="Q1664" i="18"/>
  <c r="Q1665" i="18"/>
  <c r="Q1666" i="18"/>
  <c r="Q1667" i="18"/>
  <c r="Q1668" i="18"/>
  <c r="Q1669" i="18"/>
  <c r="Q1670" i="18"/>
  <c r="Q1671" i="18"/>
  <c r="Q1672" i="18"/>
  <c r="Q1673" i="18"/>
  <c r="Q1674" i="18"/>
  <c r="Q1675" i="18"/>
  <c r="Q1676" i="18"/>
  <c r="Q1677" i="18"/>
  <c r="Q1678" i="18"/>
  <c r="Q1679" i="18"/>
  <c r="Q1681" i="18"/>
  <c r="Q1682" i="18"/>
  <c r="Q1683" i="18"/>
  <c r="Q1684" i="18"/>
  <c r="Q1685" i="18"/>
  <c r="Q1686" i="18"/>
  <c r="Q1687" i="18"/>
  <c r="Q1688" i="18"/>
  <c r="Q1689" i="18"/>
  <c r="Q1690" i="18"/>
  <c r="Q1691" i="18"/>
  <c r="Q1692" i="18"/>
  <c r="Q1693" i="18"/>
  <c r="Q1694" i="18"/>
  <c r="Q1695" i="18"/>
  <c r="Q1696" i="18"/>
  <c r="Q1697" i="18"/>
  <c r="Q1698" i="18"/>
  <c r="Q1699" i="18"/>
  <c r="Q1700" i="18"/>
  <c r="Q1701" i="18"/>
  <c r="Q1702" i="18"/>
  <c r="Q1703" i="18"/>
  <c r="Q1704" i="18"/>
  <c r="Q1705" i="18"/>
  <c r="Q1706" i="18"/>
  <c r="Q1707" i="18"/>
  <c r="Q1708" i="18"/>
  <c r="Q1709" i="18"/>
  <c r="Q1711" i="18"/>
  <c r="Q1712" i="18"/>
  <c r="Q1713" i="18"/>
  <c r="Q1714" i="18"/>
  <c r="Q1715" i="18"/>
  <c r="Q1716" i="18"/>
  <c r="Q1717" i="18"/>
  <c r="Q1718" i="18"/>
  <c r="Q1719" i="18"/>
  <c r="Q1720" i="18"/>
  <c r="Q1721" i="18"/>
  <c r="Q1722" i="18"/>
  <c r="Q1723" i="18"/>
  <c r="Q1724" i="18"/>
  <c r="Q1725" i="18"/>
  <c r="Q1726" i="18"/>
  <c r="Q1727" i="18"/>
  <c r="Q1728" i="18"/>
  <c r="Q1729" i="18"/>
  <c r="Q1730" i="18"/>
  <c r="Q1731" i="18"/>
  <c r="Q1732" i="18"/>
  <c r="Q1733" i="18"/>
  <c r="Q1734" i="18"/>
  <c r="Q1735" i="18"/>
  <c r="Q1736" i="18"/>
  <c r="Q1737" i="18"/>
  <c r="Q1738" i="18"/>
  <c r="Q1739" i="18"/>
  <c r="Q1741" i="18"/>
  <c r="Q1742" i="18"/>
  <c r="Q1743" i="18"/>
  <c r="Q1744" i="18"/>
  <c r="Q1745" i="18"/>
  <c r="Q1746" i="18"/>
  <c r="Q1747" i="18"/>
  <c r="Q1748" i="18"/>
  <c r="Q1749" i="18"/>
  <c r="Q1750" i="18"/>
  <c r="Q1751" i="18"/>
  <c r="Q1752" i="18"/>
  <c r="Q1753" i="18"/>
  <c r="Q1754" i="18"/>
  <c r="Q1755" i="18"/>
  <c r="Q1756" i="18"/>
  <c r="Q1757" i="18"/>
  <c r="Q1758" i="18"/>
  <c r="Q1759" i="18"/>
  <c r="Q1760" i="18"/>
  <c r="Q1761" i="18"/>
  <c r="Q1762" i="18"/>
  <c r="Q1763" i="18"/>
  <c r="Q1764" i="18"/>
  <c r="Q1765" i="18"/>
  <c r="Q1766" i="18"/>
  <c r="Q1767" i="18"/>
  <c r="Q1768" i="18"/>
  <c r="Q1769" i="18"/>
  <c r="Q1771" i="18"/>
  <c r="Q1772" i="18"/>
  <c r="Q1773" i="18"/>
  <c r="Q1774" i="18"/>
  <c r="Q1775" i="18"/>
  <c r="Q1776" i="18"/>
  <c r="Q1777" i="18"/>
  <c r="Q1778" i="18"/>
  <c r="Q1779" i="18"/>
  <c r="Q1780" i="18"/>
  <c r="Q1781" i="18"/>
  <c r="Q1782" i="18"/>
  <c r="Q1783" i="18"/>
  <c r="Q1784" i="18"/>
  <c r="Q1785" i="18"/>
  <c r="Q1786" i="18"/>
  <c r="Q1787" i="18"/>
  <c r="Q1788" i="18"/>
  <c r="Q1789" i="18"/>
  <c r="Q1790" i="18"/>
  <c r="Q1791" i="18"/>
  <c r="Q1792" i="18"/>
  <c r="Q1793" i="18"/>
  <c r="Q1794" i="18"/>
  <c r="Q1795" i="18"/>
  <c r="Q1796" i="18"/>
  <c r="Q1797" i="18"/>
  <c r="Q1798" i="18"/>
  <c r="Q1799" i="18"/>
  <c r="Q1801" i="18"/>
  <c r="Q1802" i="18"/>
  <c r="Q1803" i="18"/>
  <c r="Q1804" i="18"/>
  <c r="Q1805" i="18"/>
  <c r="Q1806" i="18"/>
  <c r="Q1807" i="18"/>
  <c r="Q1808" i="18"/>
  <c r="Q1809" i="18"/>
  <c r="Q1810" i="18"/>
  <c r="Q1811" i="18"/>
  <c r="Q1812" i="18"/>
  <c r="Q1813" i="18"/>
  <c r="Q1814" i="18"/>
  <c r="Q1815" i="18"/>
  <c r="Q1816" i="18"/>
  <c r="Q1817" i="18"/>
  <c r="Q1818" i="18"/>
  <c r="Q1819" i="18"/>
  <c r="Q1820" i="18"/>
  <c r="Q1821" i="18"/>
  <c r="Q1822" i="18"/>
  <c r="Q1823" i="18"/>
  <c r="Q1824" i="18"/>
  <c r="Q1825" i="18"/>
  <c r="Q1826" i="18"/>
  <c r="B1098" i="18"/>
  <c r="B1099" i="18"/>
  <c r="B1100" i="18"/>
  <c r="B1101" i="18"/>
  <c r="B1102" i="18"/>
  <c r="B1103" i="18"/>
  <c r="B1104" i="18"/>
  <c r="B1105" i="18"/>
  <c r="B1106" i="18"/>
  <c r="B1107" i="18"/>
  <c r="B1108" i="18"/>
  <c r="B1109" i="18"/>
  <c r="B1110" i="18"/>
  <c r="B1111" i="18"/>
  <c r="B1112" i="18"/>
  <c r="B1113" i="18"/>
  <c r="B1114" i="18"/>
  <c r="B1115" i="18"/>
  <c r="B1116" i="18"/>
  <c r="B1117" i="18"/>
  <c r="B1118" i="18"/>
  <c r="B1119" i="18"/>
  <c r="B1120" i="18"/>
  <c r="B1121" i="18"/>
  <c r="B1122" i="18"/>
  <c r="B1123" i="18"/>
  <c r="B1124" i="18"/>
  <c r="B1125" i="18"/>
  <c r="B1126" i="18"/>
  <c r="B1127" i="18"/>
  <c r="B1128" i="18"/>
  <c r="B1129" i="18"/>
  <c r="B1130" i="18"/>
  <c r="B1131" i="18"/>
  <c r="B1132" i="18"/>
  <c r="B1133" i="18"/>
  <c r="B1134" i="18"/>
  <c r="B1135" i="18"/>
  <c r="B1136" i="18"/>
  <c r="B1137" i="18"/>
  <c r="B1138" i="18"/>
  <c r="B1139" i="18"/>
  <c r="B1140" i="18"/>
  <c r="B1141" i="18"/>
  <c r="B1142" i="18"/>
  <c r="B1143" i="18"/>
  <c r="B1144" i="18"/>
  <c r="B1145" i="18"/>
  <c r="B1146" i="18"/>
  <c r="B1147" i="18"/>
  <c r="B1148" i="18"/>
  <c r="B1149" i="18"/>
  <c r="B1150" i="18"/>
  <c r="B1151" i="18"/>
  <c r="B1152" i="18"/>
  <c r="B1153" i="18"/>
  <c r="B1154" i="18"/>
  <c r="B1155" i="18"/>
  <c r="B1156" i="18"/>
  <c r="B1157" i="18"/>
  <c r="B1158" i="18"/>
  <c r="B1159" i="18"/>
  <c r="B1160" i="18"/>
  <c r="B1161" i="18"/>
  <c r="B1162" i="18"/>
  <c r="B1163" i="18"/>
  <c r="B1164" i="18"/>
  <c r="B1165" i="18"/>
  <c r="B1166" i="18"/>
  <c r="B1167" i="18"/>
  <c r="B1168" i="18"/>
  <c r="B1169" i="18"/>
  <c r="B1170" i="18"/>
  <c r="B1171" i="18"/>
  <c r="B1172" i="18"/>
  <c r="B1173" i="18"/>
  <c r="B1174" i="18"/>
  <c r="B1175" i="18"/>
  <c r="B1176" i="18"/>
  <c r="B1177" i="18"/>
  <c r="B1178" i="18"/>
  <c r="B1179" i="18"/>
  <c r="B1180" i="18"/>
  <c r="B1181" i="18"/>
  <c r="B1182" i="18"/>
  <c r="B1183" i="18"/>
  <c r="B1184" i="18"/>
  <c r="B1185" i="18"/>
  <c r="B1186" i="18"/>
  <c r="B1187" i="18"/>
  <c r="B1188" i="18"/>
  <c r="B1189" i="18"/>
  <c r="B1190" i="18"/>
  <c r="B1191" i="18"/>
  <c r="B1192" i="18"/>
  <c r="B1193" i="18"/>
  <c r="B1194" i="18"/>
  <c r="B1195" i="18"/>
  <c r="B1196" i="18"/>
  <c r="B1197" i="18"/>
  <c r="B1198" i="18"/>
  <c r="B1199" i="18"/>
  <c r="B1200" i="18"/>
  <c r="B1201" i="18"/>
  <c r="B1202" i="18"/>
  <c r="B1203" i="18"/>
  <c r="B1204" i="18"/>
  <c r="B1205" i="18"/>
  <c r="B1206" i="18"/>
  <c r="B1207" i="18"/>
  <c r="B1208" i="18"/>
  <c r="B1209" i="18"/>
  <c r="B1210" i="18"/>
  <c r="B1211" i="18"/>
  <c r="B1212" i="18"/>
  <c r="B1213" i="18"/>
  <c r="B1214" i="18"/>
  <c r="B1215" i="18"/>
  <c r="B1216" i="18"/>
  <c r="B1217" i="18"/>
  <c r="B1218" i="18"/>
  <c r="B1219" i="18"/>
  <c r="B1220" i="18"/>
  <c r="B1221" i="18"/>
  <c r="B1222" i="18"/>
  <c r="B1223" i="18"/>
  <c r="B1224" i="18"/>
  <c r="B1225" i="18"/>
  <c r="B1226" i="18"/>
  <c r="B1227" i="18"/>
  <c r="B1228" i="18"/>
  <c r="B1229" i="18"/>
  <c r="B1230" i="18"/>
  <c r="B1231" i="18"/>
  <c r="B1232" i="18"/>
  <c r="B1233" i="18"/>
  <c r="B1234" i="18"/>
  <c r="B1235" i="18"/>
  <c r="B1236" i="18"/>
  <c r="B1237" i="18"/>
  <c r="B1238" i="18"/>
  <c r="B1239" i="18"/>
  <c r="B1240" i="18"/>
  <c r="B1241" i="18"/>
  <c r="B1242" i="18"/>
  <c r="B1243" i="18"/>
  <c r="B1244" i="18"/>
  <c r="B1245" i="18"/>
  <c r="B1246" i="18"/>
  <c r="B1247" i="18"/>
  <c r="B1248" i="18"/>
  <c r="B1249" i="18"/>
  <c r="B1250" i="18"/>
  <c r="B1251" i="18"/>
  <c r="B1252" i="18"/>
  <c r="B1253" i="18"/>
  <c r="B1254" i="18"/>
  <c r="B1255" i="18"/>
  <c r="B1256" i="18"/>
  <c r="B1257" i="18"/>
  <c r="B1258" i="18"/>
  <c r="B1259" i="18"/>
  <c r="B1260" i="18"/>
  <c r="B1261" i="18"/>
  <c r="B1262" i="18"/>
  <c r="B1263" i="18"/>
  <c r="B1264" i="18"/>
  <c r="B1265" i="18"/>
  <c r="B1266" i="18"/>
  <c r="B1267" i="18"/>
  <c r="B1268" i="18"/>
  <c r="B1269" i="18"/>
  <c r="B1270" i="18"/>
  <c r="B1271" i="18"/>
  <c r="B1272" i="18"/>
  <c r="B1273" i="18"/>
  <c r="B1274" i="18"/>
  <c r="B1275" i="18"/>
  <c r="B1276" i="18"/>
  <c r="B1277" i="18"/>
  <c r="B1278" i="18"/>
  <c r="B1279" i="18"/>
  <c r="B1280" i="18"/>
  <c r="B1281" i="18"/>
  <c r="B1282" i="18"/>
  <c r="B1283" i="18"/>
  <c r="B1284" i="18"/>
  <c r="B1285" i="18"/>
  <c r="B1286" i="18"/>
  <c r="B1287" i="18"/>
  <c r="B1288" i="18"/>
  <c r="B1289" i="18"/>
  <c r="B1290" i="18"/>
  <c r="B1291" i="18"/>
  <c r="B1292" i="18"/>
  <c r="B1293" i="18"/>
  <c r="B1294" i="18"/>
  <c r="B1295" i="18"/>
  <c r="B1296" i="18"/>
  <c r="B1297" i="18"/>
  <c r="B1298" i="18"/>
  <c r="B1299" i="18"/>
  <c r="B1300" i="18"/>
  <c r="B1301" i="18"/>
  <c r="B1302" i="18"/>
  <c r="B1303" i="18"/>
  <c r="B1304" i="18"/>
  <c r="B1305" i="18"/>
  <c r="B1306" i="18"/>
  <c r="B1307" i="18"/>
  <c r="B1308" i="18"/>
  <c r="B1309" i="18"/>
  <c r="B1310" i="18"/>
  <c r="B1311" i="18"/>
  <c r="B1312" i="18"/>
  <c r="B1313" i="18"/>
  <c r="B1314" i="18"/>
  <c r="B1315" i="18"/>
  <c r="B1316" i="18"/>
  <c r="B1317" i="18"/>
  <c r="B1318" i="18"/>
  <c r="B1319" i="18"/>
  <c r="B1320" i="18"/>
  <c r="B1321" i="18"/>
  <c r="B1322" i="18"/>
  <c r="B1323" i="18"/>
  <c r="B1324" i="18"/>
  <c r="B1325" i="18"/>
  <c r="B1326" i="18"/>
  <c r="B1327" i="18"/>
  <c r="B1328" i="18"/>
  <c r="B1329" i="18"/>
  <c r="B1330" i="18"/>
  <c r="B1331" i="18"/>
  <c r="B1332" i="18"/>
  <c r="B1333" i="18"/>
  <c r="B1334" i="18"/>
  <c r="B1335" i="18"/>
  <c r="B1336" i="18"/>
  <c r="B1337" i="18"/>
  <c r="B1338" i="18"/>
  <c r="B1339" i="18"/>
  <c r="B1340" i="18"/>
  <c r="B1341" i="18"/>
  <c r="B1342" i="18"/>
  <c r="B1343" i="18"/>
  <c r="B1344" i="18"/>
  <c r="B1345" i="18"/>
  <c r="B1346" i="18"/>
  <c r="B1347" i="18"/>
  <c r="B1348" i="18"/>
  <c r="B1349" i="18"/>
  <c r="B1350" i="18"/>
  <c r="B1351" i="18"/>
  <c r="B1352" i="18"/>
  <c r="B1353" i="18"/>
  <c r="B1354" i="18"/>
  <c r="B1355" i="18"/>
  <c r="B1356" i="18"/>
  <c r="B1357" i="18"/>
  <c r="B1358" i="18"/>
  <c r="B1359" i="18"/>
  <c r="B1360" i="18"/>
  <c r="B1361" i="18"/>
  <c r="B1362" i="18"/>
  <c r="B1363" i="18"/>
  <c r="B1364" i="18"/>
  <c r="B1365" i="18"/>
  <c r="B1366" i="18"/>
  <c r="B1367" i="18"/>
  <c r="B1368" i="18"/>
  <c r="B1369" i="18"/>
  <c r="B1370" i="18"/>
  <c r="B1371" i="18"/>
  <c r="B1372" i="18"/>
  <c r="B1373" i="18"/>
  <c r="B1374" i="18"/>
  <c r="B1375" i="18"/>
  <c r="B1376" i="18"/>
  <c r="B1377" i="18"/>
  <c r="B1378" i="18"/>
  <c r="B1379" i="18"/>
  <c r="B1380" i="18"/>
  <c r="B1381" i="18"/>
  <c r="B1382" i="18"/>
  <c r="B1383" i="18"/>
  <c r="B1384" i="18"/>
  <c r="B1385" i="18"/>
  <c r="B1386" i="18"/>
  <c r="B1387" i="18"/>
  <c r="B1388" i="18"/>
  <c r="B1389" i="18"/>
  <c r="B1390" i="18"/>
  <c r="B1391" i="18"/>
  <c r="B1392" i="18"/>
  <c r="B1393" i="18"/>
  <c r="B1394" i="18"/>
  <c r="B1395" i="18"/>
  <c r="B1396" i="18"/>
  <c r="B1397" i="18"/>
  <c r="B1398" i="18"/>
  <c r="B1399" i="18"/>
  <c r="B1400" i="18"/>
  <c r="B1401" i="18"/>
  <c r="B1402" i="18"/>
  <c r="B1403" i="18"/>
  <c r="B1404" i="18"/>
  <c r="B1405" i="18"/>
  <c r="B1406" i="18"/>
  <c r="B1407" i="18"/>
  <c r="B1408" i="18"/>
  <c r="B1409" i="18"/>
  <c r="B1410" i="18"/>
  <c r="B1411" i="18"/>
  <c r="B1412" i="18"/>
  <c r="B1413" i="18"/>
  <c r="B1414" i="18"/>
  <c r="B1415" i="18"/>
  <c r="B1416" i="18"/>
  <c r="B1417" i="18"/>
  <c r="B1418" i="18"/>
  <c r="B1419" i="18"/>
  <c r="B1420" i="18"/>
  <c r="B1421" i="18"/>
  <c r="B1422" i="18"/>
  <c r="B1423" i="18"/>
  <c r="B1424" i="18"/>
  <c r="B1425" i="18"/>
  <c r="B1426" i="18"/>
  <c r="B1427" i="18"/>
  <c r="B1428" i="18"/>
  <c r="B1429" i="18"/>
  <c r="B1430" i="18"/>
  <c r="B1431" i="18"/>
  <c r="B1432" i="18"/>
  <c r="B1433" i="18"/>
  <c r="B1434" i="18"/>
  <c r="B1435" i="18"/>
  <c r="B1436" i="18"/>
  <c r="B1437" i="18"/>
  <c r="B1438" i="18"/>
  <c r="B1439" i="18"/>
  <c r="B1440" i="18"/>
  <c r="B1441" i="18"/>
  <c r="B1442" i="18"/>
  <c r="B1443" i="18"/>
  <c r="B1444" i="18"/>
  <c r="B1445" i="18"/>
  <c r="B1446" i="18"/>
  <c r="B1447" i="18"/>
  <c r="B1448" i="18"/>
  <c r="B1449" i="18"/>
  <c r="B1450" i="18"/>
  <c r="B1451" i="18"/>
  <c r="B1452" i="18"/>
  <c r="B1453" i="18"/>
  <c r="B1454" i="18"/>
  <c r="B1455" i="18"/>
  <c r="B1456" i="18"/>
  <c r="B1457" i="18"/>
  <c r="B1458" i="18"/>
  <c r="B1459" i="18"/>
  <c r="B1460" i="18"/>
  <c r="B1461" i="18"/>
  <c r="B1462" i="18"/>
  <c r="C1098" i="18"/>
  <c r="C1099" i="18"/>
  <c r="C1100" i="18"/>
  <c r="C1101" i="18"/>
  <c r="C1102" i="18"/>
  <c r="C1103" i="18"/>
  <c r="C1104" i="18"/>
  <c r="C1105" i="18"/>
  <c r="P1105" i="18" s="1"/>
  <c r="C1106" i="18"/>
  <c r="C1107" i="18"/>
  <c r="C1108" i="18"/>
  <c r="C1109" i="18"/>
  <c r="C1110" i="18"/>
  <c r="C1111" i="18"/>
  <c r="C1112" i="18"/>
  <c r="C1113" i="18"/>
  <c r="C1114" i="18"/>
  <c r="C1115" i="18"/>
  <c r="C1116" i="18"/>
  <c r="C1117" i="18"/>
  <c r="P1117" i="18" s="1"/>
  <c r="C1118" i="18"/>
  <c r="C1119" i="18"/>
  <c r="C1120" i="18"/>
  <c r="C1121" i="18"/>
  <c r="C1122" i="18"/>
  <c r="C1123" i="18"/>
  <c r="C1124" i="18"/>
  <c r="C1125" i="18"/>
  <c r="C1126" i="18"/>
  <c r="C1127" i="18"/>
  <c r="C1128" i="18"/>
  <c r="C1129" i="18"/>
  <c r="P1129" i="18" s="1"/>
  <c r="C1130" i="18"/>
  <c r="C1131" i="18"/>
  <c r="C1132" i="18"/>
  <c r="C1133" i="18"/>
  <c r="C1134" i="18"/>
  <c r="C1135" i="18"/>
  <c r="C1136" i="18"/>
  <c r="C1137" i="18"/>
  <c r="C1138" i="18"/>
  <c r="C1139" i="18"/>
  <c r="C1140" i="18"/>
  <c r="C1141" i="18"/>
  <c r="P1141" i="18" s="1"/>
  <c r="C1142" i="18"/>
  <c r="C1143" i="18"/>
  <c r="C1144" i="18"/>
  <c r="C1145" i="18"/>
  <c r="C1146" i="18"/>
  <c r="C1147" i="18"/>
  <c r="C1148" i="18"/>
  <c r="C1149" i="18"/>
  <c r="C1150" i="18"/>
  <c r="C1151" i="18"/>
  <c r="C1152" i="18"/>
  <c r="C1153" i="18"/>
  <c r="P1153" i="18" s="1"/>
  <c r="C1154" i="18"/>
  <c r="C1155" i="18"/>
  <c r="C1156" i="18"/>
  <c r="C1157" i="18"/>
  <c r="C1158" i="18"/>
  <c r="C1159" i="18"/>
  <c r="C1160" i="18"/>
  <c r="C1161" i="18"/>
  <c r="C1162" i="18"/>
  <c r="C1163" i="18"/>
  <c r="C1164" i="18"/>
  <c r="C1165" i="18"/>
  <c r="P1165" i="18" s="1"/>
  <c r="C1166" i="18"/>
  <c r="C1167" i="18"/>
  <c r="C1168" i="18"/>
  <c r="C1169" i="18"/>
  <c r="C1170" i="18"/>
  <c r="C1171" i="18"/>
  <c r="C1172" i="18"/>
  <c r="C1173" i="18"/>
  <c r="C1174" i="18"/>
  <c r="C1175" i="18"/>
  <c r="C1176" i="18"/>
  <c r="C1177" i="18"/>
  <c r="P1177" i="18" s="1"/>
  <c r="C1178" i="18"/>
  <c r="C1179" i="18"/>
  <c r="C1180" i="18"/>
  <c r="C1181" i="18"/>
  <c r="C1182" i="18"/>
  <c r="C1183" i="18"/>
  <c r="C1184" i="18"/>
  <c r="C1185" i="18"/>
  <c r="C1186" i="18"/>
  <c r="C1187" i="18"/>
  <c r="C1188" i="18"/>
  <c r="C1189" i="18"/>
  <c r="P1189" i="18" s="1"/>
  <c r="C1190" i="18"/>
  <c r="C1191" i="18"/>
  <c r="C1192" i="18"/>
  <c r="C1193" i="18"/>
  <c r="C1194" i="18"/>
  <c r="C1195" i="18"/>
  <c r="C1196" i="18"/>
  <c r="C1197" i="18"/>
  <c r="C1198" i="18"/>
  <c r="C1199" i="18"/>
  <c r="C1200" i="18"/>
  <c r="C1201" i="18"/>
  <c r="P1201" i="18" s="1"/>
  <c r="C1202" i="18"/>
  <c r="C1203" i="18"/>
  <c r="C1204" i="18"/>
  <c r="C1205" i="18"/>
  <c r="C1206" i="18"/>
  <c r="C1207" i="18"/>
  <c r="C1208" i="18"/>
  <c r="C1209" i="18"/>
  <c r="C1210" i="18"/>
  <c r="C1211" i="18"/>
  <c r="C1212" i="18"/>
  <c r="C1213" i="18"/>
  <c r="P1213" i="18" s="1"/>
  <c r="C1214" i="18"/>
  <c r="C1215" i="18"/>
  <c r="C1216" i="18"/>
  <c r="C1217" i="18"/>
  <c r="C1218" i="18"/>
  <c r="C1219" i="18"/>
  <c r="C1220" i="18"/>
  <c r="C1221" i="18"/>
  <c r="C1222" i="18"/>
  <c r="C1223" i="18"/>
  <c r="C1224" i="18"/>
  <c r="C1225" i="18"/>
  <c r="P1225" i="18" s="1"/>
  <c r="C1226" i="18"/>
  <c r="C1227" i="18"/>
  <c r="C1228" i="18"/>
  <c r="C1229" i="18"/>
  <c r="C1230" i="18"/>
  <c r="C1231" i="18"/>
  <c r="C1232" i="18"/>
  <c r="C1233" i="18"/>
  <c r="C1234" i="18"/>
  <c r="C1235" i="18"/>
  <c r="C1236" i="18"/>
  <c r="C1237" i="18"/>
  <c r="P1237" i="18" s="1"/>
  <c r="C1238" i="18"/>
  <c r="C1239" i="18"/>
  <c r="C1240" i="18"/>
  <c r="C1241" i="18"/>
  <c r="C1242" i="18"/>
  <c r="C1243" i="18"/>
  <c r="C1244" i="18"/>
  <c r="C1245" i="18"/>
  <c r="C1246" i="18"/>
  <c r="C1247" i="18"/>
  <c r="C1248" i="18"/>
  <c r="C1249" i="18"/>
  <c r="P1249" i="18" s="1"/>
  <c r="C1250" i="18"/>
  <c r="C1251" i="18"/>
  <c r="C1252" i="18"/>
  <c r="C1253" i="18"/>
  <c r="C1254" i="18"/>
  <c r="C1255" i="18"/>
  <c r="C1256" i="18"/>
  <c r="C1257" i="18"/>
  <c r="C1258" i="18"/>
  <c r="C1259" i="18"/>
  <c r="C1260" i="18"/>
  <c r="C1261" i="18"/>
  <c r="P1261" i="18" s="1"/>
  <c r="C1262" i="18"/>
  <c r="C1263" i="18"/>
  <c r="C1264" i="18"/>
  <c r="C1265" i="18"/>
  <c r="C1266" i="18"/>
  <c r="C1267" i="18"/>
  <c r="C1268" i="18"/>
  <c r="C1269" i="18"/>
  <c r="C1270" i="18"/>
  <c r="C1271" i="18"/>
  <c r="C1272" i="18"/>
  <c r="C1273" i="18"/>
  <c r="P1273" i="18" s="1"/>
  <c r="C1274" i="18"/>
  <c r="C1275" i="18"/>
  <c r="C1276" i="18"/>
  <c r="C1277" i="18"/>
  <c r="C1278" i="18"/>
  <c r="C1279" i="18"/>
  <c r="C1280" i="18"/>
  <c r="C1281" i="18"/>
  <c r="C1282" i="18"/>
  <c r="C1283" i="18"/>
  <c r="C1284" i="18"/>
  <c r="C1285" i="18"/>
  <c r="P1285" i="18" s="1"/>
  <c r="C1286" i="18"/>
  <c r="C1287" i="18"/>
  <c r="C1288" i="18"/>
  <c r="C1289" i="18"/>
  <c r="C1290" i="18"/>
  <c r="C1291" i="18"/>
  <c r="C1292" i="18"/>
  <c r="C1293" i="18"/>
  <c r="C1294" i="18"/>
  <c r="C1295" i="18"/>
  <c r="C1296" i="18"/>
  <c r="C1297" i="18"/>
  <c r="P1297" i="18" s="1"/>
  <c r="C1298" i="18"/>
  <c r="C1299" i="18"/>
  <c r="C1300" i="18"/>
  <c r="C1301" i="18"/>
  <c r="C1302" i="18"/>
  <c r="C1303" i="18"/>
  <c r="C1304" i="18"/>
  <c r="C1305" i="18"/>
  <c r="C1306" i="18"/>
  <c r="C1307" i="18"/>
  <c r="C1308" i="18"/>
  <c r="C1309" i="18"/>
  <c r="P1309" i="18" s="1"/>
  <c r="C1310" i="18"/>
  <c r="C1311" i="18"/>
  <c r="C1312" i="18"/>
  <c r="C1313" i="18"/>
  <c r="C1314" i="18"/>
  <c r="C1315" i="18"/>
  <c r="C1316" i="18"/>
  <c r="C1317" i="18"/>
  <c r="C1318" i="18"/>
  <c r="C1319" i="18"/>
  <c r="C1320" i="18"/>
  <c r="C1321" i="18"/>
  <c r="P1321" i="18" s="1"/>
  <c r="C1322" i="18"/>
  <c r="C1323" i="18"/>
  <c r="C1324" i="18"/>
  <c r="C1325" i="18"/>
  <c r="C1326" i="18"/>
  <c r="C1327" i="18"/>
  <c r="C1328" i="18"/>
  <c r="C1329" i="18"/>
  <c r="C1330" i="18"/>
  <c r="C1331" i="18"/>
  <c r="C1332" i="18"/>
  <c r="C1333" i="18"/>
  <c r="P1333" i="18" s="1"/>
  <c r="C1334" i="18"/>
  <c r="C1335" i="18"/>
  <c r="C1336" i="18"/>
  <c r="C1337" i="18"/>
  <c r="C1338" i="18"/>
  <c r="C1339" i="18"/>
  <c r="C1340" i="18"/>
  <c r="C1341" i="18"/>
  <c r="C1342" i="18"/>
  <c r="C1343" i="18"/>
  <c r="C1344" i="18"/>
  <c r="C1345" i="18"/>
  <c r="P1345" i="18" s="1"/>
  <c r="C1346" i="18"/>
  <c r="C1347" i="18"/>
  <c r="C1348" i="18"/>
  <c r="C1349" i="18"/>
  <c r="C1350" i="18"/>
  <c r="C1351" i="18"/>
  <c r="C1352" i="18"/>
  <c r="C1353" i="18"/>
  <c r="C1354" i="18"/>
  <c r="C1355" i="18"/>
  <c r="C1356" i="18"/>
  <c r="C1357" i="18"/>
  <c r="P1357" i="18" s="1"/>
  <c r="C1358" i="18"/>
  <c r="C1359" i="18"/>
  <c r="C1360" i="18"/>
  <c r="C1361" i="18"/>
  <c r="C1362" i="18"/>
  <c r="C1363" i="18"/>
  <c r="C1364" i="18"/>
  <c r="C1365" i="18"/>
  <c r="C1366" i="18"/>
  <c r="C1367" i="18"/>
  <c r="C1368" i="18"/>
  <c r="C1369" i="18"/>
  <c r="P1369" i="18" s="1"/>
  <c r="C1370" i="18"/>
  <c r="C1371" i="18"/>
  <c r="C1372" i="18"/>
  <c r="C1373" i="18"/>
  <c r="C1374" i="18"/>
  <c r="C1375" i="18"/>
  <c r="C1376" i="18"/>
  <c r="C1377" i="18"/>
  <c r="C1378" i="18"/>
  <c r="C1379" i="18"/>
  <c r="C1380" i="18"/>
  <c r="C1381" i="18"/>
  <c r="P1381" i="18" s="1"/>
  <c r="C1382" i="18"/>
  <c r="C1383" i="18"/>
  <c r="C1384" i="18"/>
  <c r="C1385" i="18"/>
  <c r="C1386" i="18"/>
  <c r="C1387" i="18"/>
  <c r="C1388" i="18"/>
  <c r="C1389" i="18"/>
  <c r="C1390" i="18"/>
  <c r="C1391" i="18"/>
  <c r="C1392" i="18"/>
  <c r="C1393" i="18"/>
  <c r="P1393" i="18" s="1"/>
  <c r="C1394" i="18"/>
  <c r="C1395" i="18"/>
  <c r="C1396" i="18"/>
  <c r="C1397" i="18"/>
  <c r="C1398" i="18"/>
  <c r="C1399" i="18"/>
  <c r="C1400" i="18"/>
  <c r="C1401" i="18"/>
  <c r="C1402" i="18"/>
  <c r="C1403" i="18"/>
  <c r="C1404" i="18"/>
  <c r="C1405" i="18"/>
  <c r="P1405" i="18" s="1"/>
  <c r="C1406" i="18"/>
  <c r="C1407" i="18"/>
  <c r="C1408" i="18"/>
  <c r="C1409" i="18"/>
  <c r="C1410" i="18"/>
  <c r="C1411" i="18"/>
  <c r="C1412" i="18"/>
  <c r="C1413" i="18"/>
  <c r="C1414" i="18"/>
  <c r="C1415" i="18"/>
  <c r="C1416" i="18"/>
  <c r="C1417" i="18"/>
  <c r="P1417" i="18" s="1"/>
  <c r="C1418" i="18"/>
  <c r="C1419" i="18"/>
  <c r="C1420" i="18"/>
  <c r="C1421" i="18"/>
  <c r="C1422" i="18"/>
  <c r="C1423" i="18"/>
  <c r="C1424" i="18"/>
  <c r="C1425" i="18"/>
  <c r="C1426" i="18"/>
  <c r="C1427" i="18"/>
  <c r="C1428" i="18"/>
  <c r="C1429" i="18"/>
  <c r="P1429" i="18" s="1"/>
  <c r="C1430" i="18"/>
  <c r="C1431" i="18"/>
  <c r="C1432" i="18"/>
  <c r="C1433" i="18"/>
  <c r="C1434" i="18"/>
  <c r="C1435" i="18"/>
  <c r="C1436" i="18"/>
  <c r="C1437" i="18"/>
  <c r="C1438" i="18"/>
  <c r="C1439" i="18"/>
  <c r="C1440" i="18"/>
  <c r="C1441" i="18"/>
  <c r="P1441" i="18" s="1"/>
  <c r="C1442" i="18"/>
  <c r="C1443" i="18"/>
  <c r="C1444" i="18"/>
  <c r="C1445" i="18"/>
  <c r="C1446" i="18"/>
  <c r="C1447" i="18"/>
  <c r="C1448" i="18"/>
  <c r="C1449" i="18"/>
  <c r="C1450" i="18"/>
  <c r="C1451" i="18"/>
  <c r="C1452" i="18"/>
  <c r="C1453" i="18"/>
  <c r="P1453" i="18" s="1"/>
  <c r="C1454" i="18"/>
  <c r="C1455" i="18"/>
  <c r="C1456" i="18"/>
  <c r="C1457" i="18"/>
  <c r="C1458" i="18"/>
  <c r="C1459" i="18"/>
  <c r="C1460" i="18"/>
  <c r="C1461" i="18"/>
  <c r="C1462" i="18"/>
  <c r="D1098" i="18"/>
  <c r="D1099" i="18"/>
  <c r="D1100" i="18"/>
  <c r="D1101" i="18"/>
  <c r="D1102" i="18"/>
  <c r="D1103" i="18"/>
  <c r="D1104" i="18"/>
  <c r="D1105" i="18"/>
  <c r="D1106" i="18"/>
  <c r="D1107" i="18"/>
  <c r="D1108" i="18"/>
  <c r="D1109" i="18"/>
  <c r="D1110" i="18"/>
  <c r="D1111" i="18"/>
  <c r="D1112" i="18"/>
  <c r="D1113" i="18"/>
  <c r="D1114" i="18"/>
  <c r="D1115" i="18"/>
  <c r="D1116" i="18"/>
  <c r="D1117" i="18"/>
  <c r="D1118" i="18"/>
  <c r="D1119" i="18"/>
  <c r="D1120" i="18"/>
  <c r="D1121" i="18"/>
  <c r="D1122" i="18"/>
  <c r="D1123" i="18"/>
  <c r="D1124" i="18"/>
  <c r="D1125" i="18"/>
  <c r="D1126" i="18"/>
  <c r="D1127" i="18"/>
  <c r="D1128" i="18"/>
  <c r="D1129" i="18"/>
  <c r="D1130" i="18"/>
  <c r="D1131" i="18"/>
  <c r="D1132" i="18"/>
  <c r="D1133" i="18"/>
  <c r="D1134" i="18"/>
  <c r="D1135" i="18"/>
  <c r="D1136" i="18"/>
  <c r="D1137" i="18"/>
  <c r="D1138" i="18"/>
  <c r="D1139" i="18"/>
  <c r="D1140" i="18"/>
  <c r="D1141" i="18"/>
  <c r="D1142" i="18"/>
  <c r="D1143" i="18"/>
  <c r="D1144" i="18"/>
  <c r="D1145" i="18"/>
  <c r="D1146" i="18"/>
  <c r="D1147" i="18"/>
  <c r="D1148" i="18"/>
  <c r="D1149" i="18"/>
  <c r="D1150" i="18"/>
  <c r="D1151" i="18"/>
  <c r="D1152" i="18"/>
  <c r="D1153" i="18"/>
  <c r="D1154" i="18"/>
  <c r="D1155" i="18"/>
  <c r="D1156" i="18"/>
  <c r="D1157" i="18"/>
  <c r="D1158" i="18"/>
  <c r="D1159" i="18"/>
  <c r="D1160" i="18"/>
  <c r="D1161" i="18"/>
  <c r="D1162" i="18"/>
  <c r="D1163" i="18"/>
  <c r="D1164" i="18"/>
  <c r="D1165" i="18"/>
  <c r="D1166" i="18"/>
  <c r="D1167" i="18"/>
  <c r="D1168" i="18"/>
  <c r="D1169" i="18"/>
  <c r="D1170" i="18"/>
  <c r="D1171" i="18"/>
  <c r="D1172" i="18"/>
  <c r="D1173" i="18"/>
  <c r="D1174" i="18"/>
  <c r="D1175" i="18"/>
  <c r="D1176" i="18"/>
  <c r="D1177" i="18"/>
  <c r="D1178" i="18"/>
  <c r="D1179" i="18"/>
  <c r="D1180" i="18"/>
  <c r="D1181" i="18"/>
  <c r="D1182" i="18"/>
  <c r="D1183" i="18"/>
  <c r="D1184" i="18"/>
  <c r="D1185" i="18"/>
  <c r="D1186" i="18"/>
  <c r="D1187" i="18"/>
  <c r="D1188" i="18"/>
  <c r="D1189" i="18"/>
  <c r="D1190" i="18"/>
  <c r="D1191" i="18"/>
  <c r="D1192" i="18"/>
  <c r="D1193" i="18"/>
  <c r="D1194" i="18"/>
  <c r="D1195" i="18"/>
  <c r="D1196" i="18"/>
  <c r="D1197" i="18"/>
  <c r="D1198" i="18"/>
  <c r="D1199" i="18"/>
  <c r="D1200" i="18"/>
  <c r="D1201" i="18"/>
  <c r="D1202" i="18"/>
  <c r="D1203" i="18"/>
  <c r="D1204" i="18"/>
  <c r="D1205" i="18"/>
  <c r="D1206" i="18"/>
  <c r="D1207" i="18"/>
  <c r="D1208" i="18"/>
  <c r="D1209" i="18"/>
  <c r="D1210" i="18"/>
  <c r="D1211" i="18"/>
  <c r="D1212" i="18"/>
  <c r="D1213" i="18"/>
  <c r="D1214" i="18"/>
  <c r="D1215" i="18"/>
  <c r="D1216" i="18"/>
  <c r="D1217" i="18"/>
  <c r="D1218" i="18"/>
  <c r="D1219" i="18"/>
  <c r="D1220" i="18"/>
  <c r="D1221" i="18"/>
  <c r="D1222" i="18"/>
  <c r="D1223" i="18"/>
  <c r="D1224" i="18"/>
  <c r="D1225" i="18"/>
  <c r="D1226" i="18"/>
  <c r="D1227" i="18"/>
  <c r="D1228" i="18"/>
  <c r="D1229" i="18"/>
  <c r="D1230" i="18"/>
  <c r="D1231" i="18"/>
  <c r="D1232" i="18"/>
  <c r="D1233" i="18"/>
  <c r="D1234" i="18"/>
  <c r="D1235" i="18"/>
  <c r="D1236" i="18"/>
  <c r="D1237" i="18"/>
  <c r="D1238" i="18"/>
  <c r="D1239" i="18"/>
  <c r="D1240" i="18"/>
  <c r="D1241" i="18"/>
  <c r="D1242" i="18"/>
  <c r="D1243" i="18"/>
  <c r="D1244" i="18"/>
  <c r="D1245" i="18"/>
  <c r="D1246" i="18"/>
  <c r="D1247" i="18"/>
  <c r="D1248" i="18"/>
  <c r="D1249" i="18"/>
  <c r="D1250" i="18"/>
  <c r="D1251" i="18"/>
  <c r="D1252" i="18"/>
  <c r="D1253" i="18"/>
  <c r="D1254" i="18"/>
  <c r="D1255" i="18"/>
  <c r="D1256" i="18"/>
  <c r="D1257" i="18"/>
  <c r="D1258" i="18"/>
  <c r="D1259" i="18"/>
  <c r="D1260" i="18"/>
  <c r="D1261" i="18"/>
  <c r="D1262" i="18"/>
  <c r="D1263" i="18"/>
  <c r="D1264" i="18"/>
  <c r="D1265" i="18"/>
  <c r="D1266" i="18"/>
  <c r="D1267" i="18"/>
  <c r="D1268" i="18"/>
  <c r="D1269" i="18"/>
  <c r="D1270" i="18"/>
  <c r="D1271" i="18"/>
  <c r="D1272" i="18"/>
  <c r="D1273" i="18"/>
  <c r="D1274" i="18"/>
  <c r="D1275" i="18"/>
  <c r="D1276" i="18"/>
  <c r="D1277" i="18"/>
  <c r="D1278" i="18"/>
  <c r="D1279" i="18"/>
  <c r="D1280" i="18"/>
  <c r="D1281" i="18"/>
  <c r="D1282" i="18"/>
  <c r="D1283" i="18"/>
  <c r="D1284" i="18"/>
  <c r="D1285" i="18"/>
  <c r="D1286" i="18"/>
  <c r="D1287" i="18"/>
  <c r="D1288" i="18"/>
  <c r="D1289" i="18"/>
  <c r="D1290" i="18"/>
  <c r="D1291" i="18"/>
  <c r="D1292" i="18"/>
  <c r="D1293" i="18"/>
  <c r="D1294" i="18"/>
  <c r="D1295" i="18"/>
  <c r="D1296" i="18"/>
  <c r="D1297" i="18"/>
  <c r="D1298" i="18"/>
  <c r="D1299" i="18"/>
  <c r="D1300" i="18"/>
  <c r="D1301" i="18"/>
  <c r="D1302" i="18"/>
  <c r="D1303" i="18"/>
  <c r="D1304" i="18"/>
  <c r="D1305" i="18"/>
  <c r="D1306" i="18"/>
  <c r="D1307" i="18"/>
  <c r="D1308" i="18"/>
  <c r="D1309" i="18"/>
  <c r="D1310" i="18"/>
  <c r="D1311" i="18"/>
  <c r="D1312" i="18"/>
  <c r="D1313" i="18"/>
  <c r="D1314" i="18"/>
  <c r="D1315" i="18"/>
  <c r="D1316" i="18"/>
  <c r="D1317" i="18"/>
  <c r="D1318" i="18"/>
  <c r="D1319" i="18"/>
  <c r="D1320" i="18"/>
  <c r="D1321" i="18"/>
  <c r="D1322" i="18"/>
  <c r="D1323" i="18"/>
  <c r="D1324" i="18"/>
  <c r="D1325" i="18"/>
  <c r="D1326" i="18"/>
  <c r="D1327" i="18"/>
  <c r="D1328" i="18"/>
  <c r="D1329" i="18"/>
  <c r="D1330" i="18"/>
  <c r="D1331" i="18"/>
  <c r="D1332" i="18"/>
  <c r="D1333" i="18"/>
  <c r="D1334" i="18"/>
  <c r="D1335" i="18"/>
  <c r="D1336" i="18"/>
  <c r="D1337" i="18"/>
  <c r="D1338" i="18"/>
  <c r="D1339" i="18"/>
  <c r="D1340" i="18"/>
  <c r="D1341" i="18"/>
  <c r="D1342" i="18"/>
  <c r="D1343" i="18"/>
  <c r="D1344" i="18"/>
  <c r="D1345" i="18"/>
  <c r="D1346" i="18"/>
  <c r="D1347" i="18"/>
  <c r="D1348" i="18"/>
  <c r="D1349" i="18"/>
  <c r="D1350" i="18"/>
  <c r="D1351" i="18"/>
  <c r="D1352" i="18"/>
  <c r="D1353" i="18"/>
  <c r="D1354" i="18"/>
  <c r="D1355" i="18"/>
  <c r="D1356" i="18"/>
  <c r="D1357" i="18"/>
  <c r="D1358" i="18"/>
  <c r="D1359" i="18"/>
  <c r="D1360" i="18"/>
  <c r="D1361" i="18"/>
  <c r="D1362" i="18"/>
  <c r="D1363" i="18"/>
  <c r="D1364" i="18"/>
  <c r="D1365" i="18"/>
  <c r="D1366" i="18"/>
  <c r="D1367" i="18"/>
  <c r="D1368" i="18"/>
  <c r="D1369" i="18"/>
  <c r="D1370" i="18"/>
  <c r="D1371" i="18"/>
  <c r="D1372" i="18"/>
  <c r="D1373" i="18"/>
  <c r="D1374" i="18"/>
  <c r="D1375" i="18"/>
  <c r="D1376" i="18"/>
  <c r="D1377" i="18"/>
  <c r="D1378" i="18"/>
  <c r="D1379" i="18"/>
  <c r="D1380" i="18"/>
  <c r="D1381" i="18"/>
  <c r="D1382" i="18"/>
  <c r="D1383" i="18"/>
  <c r="D1384" i="18"/>
  <c r="D1385" i="18"/>
  <c r="D1386" i="18"/>
  <c r="D1387" i="18"/>
  <c r="D1388" i="18"/>
  <c r="D1389" i="18"/>
  <c r="D1390" i="18"/>
  <c r="D1391" i="18"/>
  <c r="D1392" i="18"/>
  <c r="D1393" i="18"/>
  <c r="D1394" i="18"/>
  <c r="D1395" i="18"/>
  <c r="D1396" i="18"/>
  <c r="D1397" i="18"/>
  <c r="D1398" i="18"/>
  <c r="D1399" i="18"/>
  <c r="D1400" i="18"/>
  <c r="D1401" i="18"/>
  <c r="D1402" i="18"/>
  <c r="D1403" i="18"/>
  <c r="D1404" i="18"/>
  <c r="D1405" i="18"/>
  <c r="D1406" i="18"/>
  <c r="D1407" i="18"/>
  <c r="D1408" i="18"/>
  <c r="D1409" i="18"/>
  <c r="D1410" i="18"/>
  <c r="D1411" i="18"/>
  <c r="D1412" i="18"/>
  <c r="D1413" i="18"/>
  <c r="D1414" i="18"/>
  <c r="D1415" i="18"/>
  <c r="D1416" i="18"/>
  <c r="D1417" i="18"/>
  <c r="D1418" i="18"/>
  <c r="D1419" i="18"/>
  <c r="D1420" i="18"/>
  <c r="D1421" i="18"/>
  <c r="D1422" i="18"/>
  <c r="D1423" i="18"/>
  <c r="D1424" i="18"/>
  <c r="D1425" i="18"/>
  <c r="D1426" i="18"/>
  <c r="D1427" i="18"/>
  <c r="D1428" i="18"/>
  <c r="D1429" i="18"/>
  <c r="D1430" i="18"/>
  <c r="D1431" i="18"/>
  <c r="D1432" i="18"/>
  <c r="D1433" i="18"/>
  <c r="D1434" i="18"/>
  <c r="D1435" i="18"/>
  <c r="D1436" i="18"/>
  <c r="D1437" i="18"/>
  <c r="D1438" i="18"/>
  <c r="D1439" i="18"/>
  <c r="D1440" i="18"/>
  <c r="D1441" i="18"/>
  <c r="D1442" i="18"/>
  <c r="D1443" i="18"/>
  <c r="D1444" i="18"/>
  <c r="D1445" i="18"/>
  <c r="D1446" i="18"/>
  <c r="D1447" i="18"/>
  <c r="D1448" i="18"/>
  <c r="D1449" i="18"/>
  <c r="D1450" i="18"/>
  <c r="D1451" i="18"/>
  <c r="D1452" i="18"/>
  <c r="D1453" i="18"/>
  <c r="D1454" i="18"/>
  <c r="D1455" i="18"/>
  <c r="D1456" i="18"/>
  <c r="D1457" i="18"/>
  <c r="D1458" i="18"/>
  <c r="D1459" i="18"/>
  <c r="D1460" i="18"/>
  <c r="D1461" i="18"/>
  <c r="D1462" i="18"/>
  <c r="E1098" i="18"/>
  <c r="E1099" i="18"/>
  <c r="E1100" i="18"/>
  <c r="E1101" i="18"/>
  <c r="E1102" i="18"/>
  <c r="E1103" i="18"/>
  <c r="E1104" i="18"/>
  <c r="E1105" i="18"/>
  <c r="E1106" i="18"/>
  <c r="E1107" i="18"/>
  <c r="E1108" i="18"/>
  <c r="E1109" i="18"/>
  <c r="E1110" i="18"/>
  <c r="E1111" i="18"/>
  <c r="E1112" i="18"/>
  <c r="E1113" i="18"/>
  <c r="E1114" i="18"/>
  <c r="E1115" i="18"/>
  <c r="E1116" i="18"/>
  <c r="E1117" i="18"/>
  <c r="E1118" i="18"/>
  <c r="E1119" i="18"/>
  <c r="E1120" i="18"/>
  <c r="E1121" i="18"/>
  <c r="E1122" i="18"/>
  <c r="E1123" i="18"/>
  <c r="E1124" i="18"/>
  <c r="E1125" i="18"/>
  <c r="E1126" i="18"/>
  <c r="E1127" i="18"/>
  <c r="E1128" i="18"/>
  <c r="E1129" i="18"/>
  <c r="E1130" i="18"/>
  <c r="E1131" i="18"/>
  <c r="E1132" i="18"/>
  <c r="E1133" i="18"/>
  <c r="E1134" i="18"/>
  <c r="E1135" i="18"/>
  <c r="E1136" i="18"/>
  <c r="E1137" i="18"/>
  <c r="E1138" i="18"/>
  <c r="E1139" i="18"/>
  <c r="E1140" i="18"/>
  <c r="E1141" i="18"/>
  <c r="E1142" i="18"/>
  <c r="E1143" i="18"/>
  <c r="E1144" i="18"/>
  <c r="E1145" i="18"/>
  <c r="E1146" i="18"/>
  <c r="E1147" i="18"/>
  <c r="E1148" i="18"/>
  <c r="E1149" i="18"/>
  <c r="E1150" i="18"/>
  <c r="E1151" i="18"/>
  <c r="E1152" i="18"/>
  <c r="E1153" i="18"/>
  <c r="E1154" i="18"/>
  <c r="E1155" i="18"/>
  <c r="E1156" i="18"/>
  <c r="E1157" i="18"/>
  <c r="E1158" i="18"/>
  <c r="E1159" i="18"/>
  <c r="E1160" i="18"/>
  <c r="E1161" i="18"/>
  <c r="E1162" i="18"/>
  <c r="E1163" i="18"/>
  <c r="E1164" i="18"/>
  <c r="E1165" i="18"/>
  <c r="E1166" i="18"/>
  <c r="E1167" i="18"/>
  <c r="E1168" i="18"/>
  <c r="E1169" i="18"/>
  <c r="E1170" i="18"/>
  <c r="E1171" i="18"/>
  <c r="E1172" i="18"/>
  <c r="E1173" i="18"/>
  <c r="E1174" i="18"/>
  <c r="E1175" i="18"/>
  <c r="E1176" i="18"/>
  <c r="E1177" i="18"/>
  <c r="E1178" i="18"/>
  <c r="E1179" i="18"/>
  <c r="E1180" i="18"/>
  <c r="E1181" i="18"/>
  <c r="E1182" i="18"/>
  <c r="E1183" i="18"/>
  <c r="E1184" i="18"/>
  <c r="E1185" i="18"/>
  <c r="E1186" i="18"/>
  <c r="E1187" i="18"/>
  <c r="E1188" i="18"/>
  <c r="E1189" i="18"/>
  <c r="E1190" i="18"/>
  <c r="E1191" i="18"/>
  <c r="E1192" i="18"/>
  <c r="E1193" i="18"/>
  <c r="E1194" i="18"/>
  <c r="E1195" i="18"/>
  <c r="E1196" i="18"/>
  <c r="E1197" i="18"/>
  <c r="E1198" i="18"/>
  <c r="E1199" i="18"/>
  <c r="E1200" i="18"/>
  <c r="E1201" i="18"/>
  <c r="E1202" i="18"/>
  <c r="E1203" i="18"/>
  <c r="E1204" i="18"/>
  <c r="E1205" i="18"/>
  <c r="E1206" i="18"/>
  <c r="E1207" i="18"/>
  <c r="E1208" i="18"/>
  <c r="E1209" i="18"/>
  <c r="E1210" i="18"/>
  <c r="E1211" i="18"/>
  <c r="E1212" i="18"/>
  <c r="E1213" i="18"/>
  <c r="E1214" i="18"/>
  <c r="E1215" i="18"/>
  <c r="E1216" i="18"/>
  <c r="E1217" i="18"/>
  <c r="E1218" i="18"/>
  <c r="E1219" i="18"/>
  <c r="E1220" i="18"/>
  <c r="E1221" i="18"/>
  <c r="E1222" i="18"/>
  <c r="E1223" i="18"/>
  <c r="E1224" i="18"/>
  <c r="E1225" i="18"/>
  <c r="E1226" i="18"/>
  <c r="E1227" i="18"/>
  <c r="E1228" i="18"/>
  <c r="E1229" i="18"/>
  <c r="E1230" i="18"/>
  <c r="E1231" i="18"/>
  <c r="E1232" i="18"/>
  <c r="E1233" i="18"/>
  <c r="E1234" i="18"/>
  <c r="E1235" i="18"/>
  <c r="E1236" i="18"/>
  <c r="E1237" i="18"/>
  <c r="E1238" i="18"/>
  <c r="E1239" i="18"/>
  <c r="E1240" i="18"/>
  <c r="E1241" i="18"/>
  <c r="E1242" i="18"/>
  <c r="E1243" i="18"/>
  <c r="E1244" i="18"/>
  <c r="E1245" i="18"/>
  <c r="E1246" i="18"/>
  <c r="E1247" i="18"/>
  <c r="E1248" i="18"/>
  <c r="E1249" i="18"/>
  <c r="E1250" i="18"/>
  <c r="E1251" i="18"/>
  <c r="E1252" i="18"/>
  <c r="E1253" i="18"/>
  <c r="E1254" i="18"/>
  <c r="E1255" i="18"/>
  <c r="E1256" i="18"/>
  <c r="E1257" i="18"/>
  <c r="E1258" i="18"/>
  <c r="E1259" i="18"/>
  <c r="E1260" i="18"/>
  <c r="E1261" i="18"/>
  <c r="E1262" i="18"/>
  <c r="E1263" i="18"/>
  <c r="E1264" i="18"/>
  <c r="E1265" i="18"/>
  <c r="E1266" i="18"/>
  <c r="E1267" i="18"/>
  <c r="E1268" i="18"/>
  <c r="E1269" i="18"/>
  <c r="E1270" i="18"/>
  <c r="E1271" i="18"/>
  <c r="E1272" i="18"/>
  <c r="E1273" i="18"/>
  <c r="E1274" i="18"/>
  <c r="E1275" i="18"/>
  <c r="E1276" i="18"/>
  <c r="E1277" i="18"/>
  <c r="E1278" i="18"/>
  <c r="E1279" i="18"/>
  <c r="E1280" i="18"/>
  <c r="E1281" i="18"/>
  <c r="E1282" i="18"/>
  <c r="E1283" i="18"/>
  <c r="E1284" i="18"/>
  <c r="E1285" i="18"/>
  <c r="E1286" i="18"/>
  <c r="E1287" i="18"/>
  <c r="E1288" i="18"/>
  <c r="E1289" i="18"/>
  <c r="E1290" i="18"/>
  <c r="E1291" i="18"/>
  <c r="E1292" i="18"/>
  <c r="E1293" i="18"/>
  <c r="E1294" i="18"/>
  <c r="E1295" i="18"/>
  <c r="E1296" i="18"/>
  <c r="E1297" i="18"/>
  <c r="E1298" i="18"/>
  <c r="E1299" i="18"/>
  <c r="E1300" i="18"/>
  <c r="E1301" i="18"/>
  <c r="E1302" i="18"/>
  <c r="E1303" i="18"/>
  <c r="E1304" i="18"/>
  <c r="E1305" i="18"/>
  <c r="E1306" i="18"/>
  <c r="E1307" i="18"/>
  <c r="E1308" i="18"/>
  <c r="E1309" i="18"/>
  <c r="E1310" i="18"/>
  <c r="E1311" i="18"/>
  <c r="E1312" i="18"/>
  <c r="E1313" i="18"/>
  <c r="E1314" i="18"/>
  <c r="E1315" i="18"/>
  <c r="E1316" i="18"/>
  <c r="E1317" i="18"/>
  <c r="E1318" i="18"/>
  <c r="E1319" i="18"/>
  <c r="E1320" i="18"/>
  <c r="E1321" i="18"/>
  <c r="E1322" i="18"/>
  <c r="E1323" i="18"/>
  <c r="E1324" i="18"/>
  <c r="E1325" i="18"/>
  <c r="E1326" i="18"/>
  <c r="E1327" i="18"/>
  <c r="E1328" i="18"/>
  <c r="E1329" i="18"/>
  <c r="E1330" i="18"/>
  <c r="E1331" i="18"/>
  <c r="E1332" i="18"/>
  <c r="E1333" i="18"/>
  <c r="E1334" i="18"/>
  <c r="E1335" i="18"/>
  <c r="E1336" i="18"/>
  <c r="E1337" i="18"/>
  <c r="E1338" i="18"/>
  <c r="E1339" i="18"/>
  <c r="E1340" i="18"/>
  <c r="E1341" i="18"/>
  <c r="E1342" i="18"/>
  <c r="E1343" i="18"/>
  <c r="E1344" i="18"/>
  <c r="E1345" i="18"/>
  <c r="E1346" i="18"/>
  <c r="E1347" i="18"/>
  <c r="E1348" i="18"/>
  <c r="E1349" i="18"/>
  <c r="E1350" i="18"/>
  <c r="E1351" i="18"/>
  <c r="E1352" i="18"/>
  <c r="E1353" i="18"/>
  <c r="E1354" i="18"/>
  <c r="E1355" i="18"/>
  <c r="E1356" i="18"/>
  <c r="E1357" i="18"/>
  <c r="E1358" i="18"/>
  <c r="E1359" i="18"/>
  <c r="E1360" i="18"/>
  <c r="E1361" i="18"/>
  <c r="E1362" i="18"/>
  <c r="E1363" i="18"/>
  <c r="E1364" i="18"/>
  <c r="E1365" i="18"/>
  <c r="E1366" i="18"/>
  <c r="E1367" i="18"/>
  <c r="E1368" i="18"/>
  <c r="E1369" i="18"/>
  <c r="E1370" i="18"/>
  <c r="E1371" i="18"/>
  <c r="E1372" i="18"/>
  <c r="E1373" i="18"/>
  <c r="E1374" i="18"/>
  <c r="E1375" i="18"/>
  <c r="E1376" i="18"/>
  <c r="E1377" i="18"/>
  <c r="E1378" i="18"/>
  <c r="E1379" i="18"/>
  <c r="E1380" i="18"/>
  <c r="E1381" i="18"/>
  <c r="E1382" i="18"/>
  <c r="E1383" i="18"/>
  <c r="E1384" i="18"/>
  <c r="E1385" i="18"/>
  <c r="E1386" i="18"/>
  <c r="E1387" i="18"/>
  <c r="E1388" i="18"/>
  <c r="E1389" i="18"/>
  <c r="E1390" i="18"/>
  <c r="E1391" i="18"/>
  <c r="E1392" i="18"/>
  <c r="E1393" i="18"/>
  <c r="E1394" i="18"/>
  <c r="E1395" i="18"/>
  <c r="E1396" i="18"/>
  <c r="E1397" i="18"/>
  <c r="E1398" i="18"/>
  <c r="E1399" i="18"/>
  <c r="E1400" i="18"/>
  <c r="E1401" i="18"/>
  <c r="E1402" i="18"/>
  <c r="E1403" i="18"/>
  <c r="E1404" i="18"/>
  <c r="E1405" i="18"/>
  <c r="E1406" i="18"/>
  <c r="E1407" i="18"/>
  <c r="E1408" i="18"/>
  <c r="E1409" i="18"/>
  <c r="E1410" i="18"/>
  <c r="E1411" i="18"/>
  <c r="E1412" i="18"/>
  <c r="E1413" i="18"/>
  <c r="E1414" i="18"/>
  <c r="E1415" i="18"/>
  <c r="E1416" i="18"/>
  <c r="E1417" i="18"/>
  <c r="E1418" i="18"/>
  <c r="E1419" i="18"/>
  <c r="E1420" i="18"/>
  <c r="E1421" i="18"/>
  <c r="E1422" i="18"/>
  <c r="E1423" i="18"/>
  <c r="E1424" i="18"/>
  <c r="E1425" i="18"/>
  <c r="E1426" i="18"/>
  <c r="E1427" i="18"/>
  <c r="E1428" i="18"/>
  <c r="E1429" i="18"/>
  <c r="E1430" i="18"/>
  <c r="E1431" i="18"/>
  <c r="E1432" i="18"/>
  <c r="E1433" i="18"/>
  <c r="E1434" i="18"/>
  <c r="E1435" i="18"/>
  <c r="E1436" i="18"/>
  <c r="E1437" i="18"/>
  <c r="E1438" i="18"/>
  <c r="E1439" i="18"/>
  <c r="E1440" i="18"/>
  <c r="E1441" i="18"/>
  <c r="E1442" i="18"/>
  <c r="E1443" i="18"/>
  <c r="E1444" i="18"/>
  <c r="E1445" i="18"/>
  <c r="E1446" i="18"/>
  <c r="E1447" i="18"/>
  <c r="E1448" i="18"/>
  <c r="E1449" i="18"/>
  <c r="E1450" i="18"/>
  <c r="E1451" i="18"/>
  <c r="E1452" i="18"/>
  <c r="E1453" i="18"/>
  <c r="E1454" i="18"/>
  <c r="E1455" i="18"/>
  <c r="E1456" i="18"/>
  <c r="E1457" i="18"/>
  <c r="E1458" i="18"/>
  <c r="E1459" i="18"/>
  <c r="E1460" i="18"/>
  <c r="E1461" i="18"/>
  <c r="E1462" i="18"/>
  <c r="G1098" i="18"/>
  <c r="G1099" i="18"/>
  <c r="G1100" i="18"/>
  <c r="G1101" i="18"/>
  <c r="G1102" i="18"/>
  <c r="G1103" i="18"/>
  <c r="G1104" i="18"/>
  <c r="G1105" i="18"/>
  <c r="G1106" i="18"/>
  <c r="G1107" i="18"/>
  <c r="G1108" i="18"/>
  <c r="G1109" i="18"/>
  <c r="G1110" i="18"/>
  <c r="G1111" i="18"/>
  <c r="G1112" i="18"/>
  <c r="G1113" i="18"/>
  <c r="G1114" i="18"/>
  <c r="G1115" i="18"/>
  <c r="G1116" i="18"/>
  <c r="G1117" i="18"/>
  <c r="G1118" i="18"/>
  <c r="G1119" i="18"/>
  <c r="G1120" i="18"/>
  <c r="G1121" i="18"/>
  <c r="G1122" i="18"/>
  <c r="G1123" i="18"/>
  <c r="G1124" i="18"/>
  <c r="G1125" i="18"/>
  <c r="G1126" i="18"/>
  <c r="G1127" i="18"/>
  <c r="G1128" i="18"/>
  <c r="G1129" i="18"/>
  <c r="G1130" i="18"/>
  <c r="G1131" i="18"/>
  <c r="G1132" i="18"/>
  <c r="G1133" i="18"/>
  <c r="G1134" i="18"/>
  <c r="G1135" i="18"/>
  <c r="G1136" i="18"/>
  <c r="G1137" i="18"/>
  <c r="G1138" i="18"/>
  <c r="G1139" i="18"/>
  <c r="G1140" i="18"/>
  <c r="G1141" i="18"/>
  <c r="G1142" i="18"/>
  <c r="G1143" i="18"/>
  <c r="G1144" i="18"/>
  <c r="G1145" i="18"/>
  <c r="G1146" i="18"/>
  <c r="G1147" i="18"/>
  <c r="G1148" i="18"/>
  <c r="G1149" i="18"/>
  <c r="G1150" i="18"/>
  <c r="G1151" i="18"/>
  <c r="G1152" i="18"/>
  <c r="G1153" i="18"/>
  <c r="G1154" i="18"/>
  <c r="G1155" i="18"/>
  <c r="G1156" i="18"/>
  <c r="G1157" i="18"/>
  <c r="G1158" i="18"/>
  <c r="G1159" i="18"/>
  <c r="G1160" i="18"/>
  <c r="G1161" i="18"/>
  <c r="G1162" i="18"/>
  <c r="G1163" i="18"/>
  <c r="G1164" i="18"/>
  <c r="G1165" i="18"/>
  <c r="G1166" i="18"/>
  <c r="G1167" i="18"/>
  <c r="G1168" i="18"/>
  <c r="G1169" i="18"/>
  <c r="G1170" i="18"/>
  <c r="G1171" i="18"/>
  <c r="G1172" i="18"/>
  <c r="G1173" i="18"/>
  <c r="G1174" i="18"/>
  <c r="G1175" i="18"/>
  <c r="G1176" i="18"/>
  <c r="G1177" i="18"/>
  <c r="G1178" i="18"/>
  <c r="G1179" i="18"/>
  <c r="G1180" i="18"/>
  <c r="G1181" i="18"/>
  <c r="G1182" i="18"/>
  <c r="G1183" i="18"/>
  <c r="G1184" i="18"/>
  <c r="G1185" i="18"/>
  <c r="G1186" i="18"/>
  <c r="G1187" i="18"/>
  <c r="G1188" i="18"/>
  <c r="G1189" i="18"/>
  <c r="G1190" i="18"/>
  <c r="G1191" i="18"/>
  <c r="G1192" i="18"/>
  <c r="G1193" i="18"/>
  <c r="G1194" i="18"/>
  <c r="G1195" i="18"/>
  <c r="G1196" i="18"/>
  <c r="G1197" i="18"/>
  <c r="G1198" i="18"/>
  <c r="G1199" i="18"/>
  <c r="G1200" i="18"/>
  <c r="G1201" i="18"/>
  <c r="G1202" i="18"/>
  <c r="G1203" i="18"/>
  <c r="G1204" i="18"/>
  <c r="G1205" i="18"/>
  <c r="G1206" i="18"/>
  <c r="G1207" i="18"/>
  <c r="G1208" i="18"/>
  <c r="G1209" i="18"/>
  <c r="G1210" i="18"/>
  <c r="G1211" i="18"/>
  <c r="G1212" i="18"/>
  <c r="G1213" i="18"/>
  <c r="G1214" i="18"/>
  <c r="G1215" i="18"/>
  <c r="G1216" i="18"/>
  <c r="G1217" i="18"/>
  <c r="G1218" i="18"/>
  <c r="G1219" i="18"/>
  <c r="G1220" i="18"/>
  <c r="G1221" i="18"/>
  <c r="G1222" i="18"/>
  <c r="G1223" i="18"/>
  <c r="G1224" i="18"/>
  <c r="G1225" i="18"/>
  <c r="G1226" i="18"/>
  <c r="G1227" i="18"/>
  <c r="G1228" i="18"/>
  <c r="G1229" i="18"/>
  <c r="G1230" i="18"/>
  <c r="G1231" i="18"/>
  <c r="G1232" i="18"/>
  <c r="G1233" i="18"/>
  <c r="G1234" i="18"/>
  <c r="G1235" i="18"/>
  <c r="G1236" i="18"/>
  <c r="G1237" i="18"/>
  <c r="G1238" i="18"/>
  <c r="G1239" i="18"/>
  <c r="G1240" i="18"/>
  <c r="G1241" i="18"/>
  <c r="G1242" i="18"/>
  <c r="G1243" i="18"/>
  <c r="G1244" i="18"/>
  <c r="G1245" i="18"/>
  <c r="G1246" i="18"/>
  <c r="G1247" i="18"/>
  <c r="G1248" i="18"/>
  <c r="G1249" i="18"/>
  <c r="G1250" i="18"/>
  <c r="G1251" i="18"/>
  <c r="G1252" i="18"/>
  <c r="G1253" i="18"/>
  <c r="G1254" i="18"/>
  <c r="G1255" i="18"/>
  <c r="G1256" i="18"/>
  <c r="G1257" i="18"/>
  <c r="G1258" i="18"/>
  <c r="G1259" i="18"/>
  <c r="G1260" i="18"/>
  <c r="G1261" i="18"/>
  <c r="G1262" i="18"/>
  <c r="G1263" i="18"/>
  <c r="G1264" i="18"/>
  <c r="G1265" i="18"/>
  <c r="G1266" i="18"/>
  <c r="G1267" i="18"/>
  <c r="G1268" i="18"/>
  <c r="G1269" i="18"/>
  <c r="G1270" i="18"/>
  <c r="G1271" i="18"/>
  <c r="G1272" i="18"/>
  <c r="G1273" i="18"/>
  <c r="G1274" i="18"/>
  <c r="G1275" i="18"/>
  <c r="G1276" i="18"/>
  <c r="G1277" i="18"/>
  <c r="G1278" i="18"/>
  <c r="G1279" i="18"/>
  <c r="G1280" i="18"/>
  <c r="G1281" i="18"/>
  <c r="G1282" i="18"/>
  <c r="G1283" i="18"/>
  <c r="G1284" i="18"/>
  <c r="G1285" i="18"/>
  <c r="G1286" i="18"/>
  <c r="G1287" i="18"/>
  <c r="G1288" i="18"/>
  <c r="G1289" i="18"/>
  <c r="G1290" i="18"/>
  <c r="G1291" i="18"/>
  <c r="G1292" i="18"/>
  <c r="G1293" i="18"/>
  <c r="G1294" i="18"/>
  <c r="G1295" i="18"/>
  <c r="G1296" i="18"/>
  <c r="G1297" i="18"/>
  <c r="G1298" i="18"/>
  <c r="G1299" i="18"/>
  <c r="G1300" i="18"/>
  <c r="G1301" i="18"/>
  <c r="G1302" i="18"/>
  <c r="G1303" i="18"/>
  <c r="G1304" i="18"/>
  <c r="G1305" i="18"/>
  <c r="G1306" i="18"/>
  <c r="G1307" i="18"/>
  <c r="G1308" i="18"/>
  <c r="G1309" i="18"/>
  <c r="G1310" i="18"/>
  <c r="G1311" i="18"/>
  <c r="G1312" i="18"/>
  <c r="G1313" i="18"/>
  <c r="G1314" i="18"/>
  <c r="G1315" i="18"/>
  <c r="G1316" i="18"/>
  <c r="G1317" i="18"/>
  <c r="G1318" i="18"/>
  <c r="G1319" i="18"/>
  <c r="G1320" i="18"/>
  <c r="G1321" i="18"/>
  <c r="G1322" i="18"/>
  <c r="G1323" i="18"/>
  <c r="G1324" i="18"/>
  <c r="G1325" i="18"/>
  <c r="G1326" i="18"/>
  <c r="G1327" i="18"/>
  <c r="G1328" i="18"/>
  <c r="G1329" i="18"/>
  <c r="G1330" i="18"/>
  <c r="G1331" i="18"/>
  <c r="G1332" i="18"/>
  <c r="G1333" i="18"/>
  <c r="G1334" i="18"/>
  <c r="G1335" i="18"/>
  <c r="G1336" i="18"/>
  <c r="G1337" i="18"/>
  <c r="G1338" i="18"/>
  <c r="G1339" i="18"/>
  <c r="G1340" i="18"/>
  <c r="G1341" i="18"/>
  <c r="G1342" i="18"/>
  <c r="G1343" i="18"/>
  <c r="G1344" i="18"/>
  <c r="G1345" i="18"/>
  <c r="G1346" i="18"/>
  <c r="G1347" i="18"/>
  <c r="G1348" i="18"/>
  <c r="G1349" i="18"/>
  <c r="G1350" i="18"/>
  <c r="G1351" i="18"/>
  <c r="G1352" i="18"/>
  <c r="G1353" i="18"/>
  <c r="G1354" i="18"/>
  <c r="G1355" i="18"/>
  <c r="G1356" i="18"/>
  <c r="G1357" i="18"/>
  <c r="G1358" i="18"/>
  <c r="G1359" i="18"/>
  <c r="G1360" i="18"/>
  <c r="G1361" i="18"/>
  <c r="G1362" i="18"/>
  <c r="G1363" i="18"/>
  <c r="G1364" i="18"/>
  <c r="G1365" i="18"/>
  <c r="G1366" i="18"/>
  <c r="G1367" i="18"/>
  <c r="G1368" i="18"/>
  <c r="G1369" i="18"/>
  <c r="G1370" i="18"/>
  <c r="G1371" i="18"/>
  <c r="G1372" i="18"/>
  <c r="G1373" i="18"/>
  <c r="G1374" i="18"/>
  <c r="G1375" i="18"/>
  <c r="G1376" i="18"/>
  <c r="G1377" i="18"/>
  <c r="G1378" i="18"/>
  <c r="G1379" i="18"/>
  <c r="G1380" i="18"/>
  <c r="G1381" i="18"/>
  <c r="G1382" i="18"/>
  <c r="G1383" i="18"/>
  <c r="G1384" i="18"/>
  <c r="G1385" i="18"/>
  <c r="G1386" i="18"/>
  <c r="G1387" i="18"/>
  <c r="G1388" i="18"/>
  <c r="G1389" i="18"/>
  <c r="G1390" i="18"/>
  <c r="G1391" i="18"/>
  <c r="G1392" i="18"/>
  <c r="G1393" i="18"/>
  <c r="G1394" i="18"/>
  <c r="G1395" i="18"/>
  <c r="G1396" i="18"/>
  <c r="G1397" i="18"/>
  <c r="G1398" i="18"/>
  <c r="G1399" i="18"/>
  <c r="G1400" i="18"/>
  <c r="G1401" i="18"/>
  <c r="G1402" i="18"/>
  <c r="G1403" i="18"/>
  <c r="G1404" i="18"/>
  <c r="G1405" i="18"/>
  <c r="G1406" i="18"/>
  <c r="G1407" i="18"/>
  <c r="G1408" i="18"/>
  <c r="G1409" i="18"/>
  <c r="G1410" i="18"/>
  <c r="G1411" i="18"/>
  <c r="G1412" i="18"/>
  <c r="G1413" i="18"/>
  <c r="G1414" i="18"/>
  <c r="G1415" i="18"/>
  <c r="G1416" i="18"/>
  <c r="G1417" i="18"/>
  <c r="G1418" i="18"/>
  <c r="G1419" i="18"/>
  <c r="G1420" i="18"/>
  <c r="G1421" i="18"/>
  <c r="G1422" i="18"/>
  <c r="G1423" i="18"/>
  <c r="G1424" i="18"/>
  <c r="G1425" i="18"/>
  <c r="G1426" i="18"/>
  <c r="G1427" i="18"/>
  <c r="G1428" i="18"/>
  <c r="G1429" i="18"/>
  <c r="G1430" i="18"/>
  <c r="G1431" i="18"/>
  <c r="G1432" i="18"/>
  <c r="G1433" i="18"/>
  <c r="G1434" i="18"/>
  <c r="G1435" i="18"/>
  <c r="G1436" i="18"/>
  <c r="G1437" i="18"/>
  <c r="G1438" i="18"/>
  <c r="G1439" i="18"/>
  <c r="G1440" i="18"/>
  <c r="G1441" i="18"/>
  <c r="G1442" i="18"/>
  <c r="G1443" i="18"/>
  <c r="G1444" i="18"/>
  <c r="G1445" i="18"/>
  <c r="G1446" i="18"/>
  <c r="G1447" i="18"/>
  <c r="G1448" i="18"/>
  <c r="G1449" i="18"/>
  <c r="G1450" i="18"/>
  <c r="G1451" i="18"/>
  <c r="G1452" i="18"/>
  <c r="G1453" i="18"/>
  <c r="G1454" i="18"/>
  <c r="G1455" i="18"/>
  <c r="G1456" i="18"/>
  <c r="G1457" i="18"/>
  <c r="G1458" i="18"/>
  <c r="G1459" i="18"/>
  <c r="G1460" i="18"/>
  <c r="G1461" i="18"/>
  <c r="G1462" i="18"/>
  <c r="I1099" i="18"/>
  <c r="I1101" i="18"/>
  <c r="I1103" i="18"/>
  <c r="I1104" i="18"/>
  <c r="I1105" i="18"/>
  <c r="I1107" i="18"/>
  <c r="I1108" i="18"/>
  <c r="I1109" i="18"/>
  <c r="I1110" i="18"/>
  <c r="I1111" i="18"/>
  <c r="I1112" i="18"/>
  <c r="I1113" i="18"/>
  <c r="I1114" i="18"/>
  <c r="I1115" i="18"/>
  <c r="I1116" i="18"/>
  <c r="I1118" i="18"/>
  <c r="I1119" i="18"/>
  <c r="I1120" i="18"/>
  <c r="I1121" i="18"/>
  <c r="I1122" i="18"/>
  <c r="I1123" i="18"/>
  <c r="I1124" i="18"/>
  <c r="I1125" i="18"/>
  <c r="I1126" i="18"/>
  <c r="I1127" i="18"/>
  <c r="I1128" i="18"/>
  <c r="I1130" i="18"/>
  <c r="I1132" i="18"/>
  <c r="I1134" i="18"/>
  <c r="I1135" i="18"/>
  <c r="I1136" i="18"/>
  <c r="I1138" i="18"/>
  <c r="I1139" i="18"/>
  <c r="I1140" i="18"/>
  <c r="I1141" i="18"/>
  <c r="I1142" i="18"/>
  <c r="I1143" i="18"/>
  <c r="I1144" i="18"/>
  <c r="I1145" i="18"/>
  <c r="I1146" i="18"/>
  <c r="I1147" i="18"/>
  <c r="I1149" i="18"/>
  <c r="I1150" i="18"/>
  <c r="I1151" i="18"/>
  <c r="I1152" i="18"/>
  <c r="I1153" i="18"/>
  <c r="I1154" i="18"/>
  <c r="I1155" i="18"/>
  <c r="I1156" i="18"/>
  <c r="I1157" i="18"/>
  <c r="I1158" i="18"/>
  <c r="I1159" i="18"/>
  <c r="I1161" i="18"/>
  <c r="I1163" i="18"/>
  <c r="I1165" i="18"/>
  <c r="I1166" i="18"/>
  <c r="I1167" i="18"/>
  <c r="I1169" i="18"/>
  <c r="I1170" i="18"/>
  <c r="I1171" i="18"/>
  <c r="I1172" i="18"/>
  <c r="I1173" i="18"/>
  <c r="I1174" i="18"/>
  <c r="I1175" i="18"/>
  <c r="I1176" i="18"/>
  <c r="I1177" i="18"/>
  <c r="I1178" i="18"/>
  <c r="I1180" i="18"/>
  <c r="I1181" i="18"/>
  <c r="I1182" i="18"/>
  <c r="I1183" i="18"/>
  <c r="I1184" i="18"/>
  <c r="I1185" i="18"/>
  <c r="I1186" i="18"/>
  <c r="I1187" i="18"/>
  <c r="I1188" i="18"/>
  <c r="I1189" i="18"/>
  <c r="I1190" i="18"/>
  <c r="I1192" i="18"/>
  <c r="I1194" i="18"/>
  <c r="I1196" i="18"/>
  <c r="I1197" i="18"/>
  <c r="I1198" i="18"/>
  <c r="I1200" i="18"/>
  <c r="I1201" i="18"/>
  <c r="I1202" i="18"/>
  <c r="I1203" i="18"/>
  <c r="I1204" i="18"/>
  <c r="I1205" i="18"/>
  <c r="I1206" i="18"/>
  <c r="I1207" i="18"/>
  <c r="I1208" i="18"/>
  <c r="I1209" i="18"/>
  <c r="I1211" i="18"/>
  <c r="I1212" i="18"/>
  <c r="I1213" i="18"/>
  <c r="I1214" i="18"/>
  <c r="I1215" i="18"/>
  <c r="I1216" i="18"/>
  <c r="I1217" i="18"/>
  <c r="I1218" i="18"/>
  <c r="I1219" i="18"/>
  <c r="I1220" i="18"/>
  <c r="I1221" i="18"/>
  <c r="I1223" i="18"/>
  <c r="I1225" i="18"/>
  <c r="I1227" i="18"/>
  <c r="I1228" i="18"/>
  <c r="I1229" i="18"/>
  <c r="I1231" i="18"/>
  <c r="I1232" i="18"/>
  <c r="I1233" i="18"/>
  <c r="I1234" i="18"/>
  <c r="I1235" i="18"/>
  <c r="I1236" i="18"/>
  <c r="I1237" i="18"/>
  <c r="I1238" i="18"/>
  <c r="I1239" i="18"/>
  <c r="I1240" i="18"/>
  <c r="I1242" i="18"/>
  <c r="I1243" i="18"/>
  <c r="I1244" i="18"/>
  <c r="I1245" i="18"/>
  <c r="I1246" i="18"/>
  <c r="I1247" i="18"/>
  <c r="I1248" i="18"/>
  <c r="I1249" i="18"/>
  <c r="I1250" i="18"/>
  <c r="I1251" i="18"/>
  <c r="I1252" i="18"/>
  <c r="I1254" i="18"/>
  <c r="I1256" i="18"/>
  <c r="I1258" i="18"/>
  <c r="I1259" i="18"/>
  <c r="I1260" i="18"/>
  <c r="I1262" i="18"/>
  <c r="I1263" i="18"/>
  <c r="I1264" i="18"/>
  <c r="I1265" i="18"/>
  <c r="I1266" i="18"/>
  <c r="I1267" i="18"/>
  <c r="I1268" i="18"/>
  <c r="I1269" i="18"/>
  <c r="I1270" i="18"/>
  <c r="I1271" i="18"/>
  <c r="I1273" i="18"/>
  <c r="I1274" i="18"/>
  <c r="I1275" i="18"/>
  <c r="I1276" i="18"/>
  <c r="I1277" i="18"/>
  <c r="I1278" i="18"/>
  <c r="I1279" i="18"/>
  <c r="I1280" i="18"/>
  <c r="I1281" i="18"/>
  <c r="I1282" i="18"/>
  <c r="I1283" i="18"/>
  <c r="I1285" i="18"/>
  <c r="I1287" i="18"/>
  <c r="I1289" i="18"/>
  <c r="I1290" i="18"/>
  <c r="I1291" i="18"/>
  <c r="I1293" i="18"/>
  <c r="I1294" i="18"/>
  <c r="I1295" i="18"/>
  <c r="I1296" i="18"/>
  <c r="I1297" i="18"/>
  <c r="I1298" i="18"/>
  <c r="I1299" i="18"/>
  <c r="I1300" i="18"/>
  <c r="I1301" i="18"/>
  <c r="I1302" i="18"/>
  <c r="I1304" i="18"/>
  <c r="I1305" i="18"/>
  <c r="I1306" i="18"/>
  <c r="I1307" i="18"/>
  <c r="I1308" i="18"/>
  <c r="I1309" i="18"/>
  <c r="I1310" i="18"/>
  <c r="I1311" i="18"/>
  <c r="I1312" i="18"/>
  <c r="I1313" i="18"/>
  <c r="I1315" i="18"/>
  <c r="I1317" i="18"/>
  <c r="I1319" i="18"/>
  <c r="I1320" i="18"/>
  <c r="I1321" i="18"/>
  <c r="I1323" i="18"/>
  <c r="I1324" i="18"/>
  <c r="I1325" i="18"/>
  <c r="I1326" i="18"/>
  <c r="I1327" i="18"/>
  <c r="I1328" i="18"/>
  <c r="I1329" i="18"/>
  <c r="I1330" i="18"/>
  <c r="I1331" i="18"/>
  <c r="I1332" i="18"/>
  <c r="I1334" i="18"/>
  <c r="I1335" i="18"/>
  <c r="I1336" i="18"/>
  <c r="I1337" i="18"/>
  <c r="I1338" i="18"/>
  <c r="I1339" i="18"/>
  <c r="I1340" i="18"/>
  <c r="I1341" i="18"/>
  <c r="I1342" i="18"/>
  <c r="I1343" i="18"/>
  <c r="I1345" i="18"/>
  <c r="I1347" i="18"/>
  <c r="I1349" i="18"/>
  <c r="I1350" i="18"/>
  <c r="I1351" i="18"/>
  <c r="I1353" i="18"/>
  <c r="I1354" i="18"/>
  <c r="I1355" i="18"/>
  <c r="I1356" i="18"/>
  <c r="I1357" i="18"/>
  <c r="I1358" i="18"/>
  <c r="I1359" i="18"/>
  <c r="I1360" i="18"/>
  <c r="I1361" i="18"/>
  <c r="I1362" i="18"/>
  <c r="I1364" i="18"/>
  <c r="I1365" i="18"/>
  <c r="I1366" i="18"/>
  <c r="I1367" i="18"/>
  <c r="I1368" i="18"/>
  <c r="I1369" i="18"/>
  <c r="I1370" i="18"/>
  <c r="I1371" i="18"/>
  <c r="I1372" i="18"/>
  <c r="I1373" i="18"/>
  <c r="I1375" i="18"/>
  <c r="I1377" i="18"/>
  <c r="I1379" i="18"/>
  <c r="I1380" i="18"/>
  <c r="I1381" i="18"/>
  <c r="I1383" i="18"/>
  <c r="I1384" i="18"/>
  <c r="I1385" i="18"/>
  <c r="I1386" i="18"/>
  <c r="I1387" i="18"/>
  <c r="I1388" i="18"/>
  <c r="I1389" i="18"/>
  <c r="I1390" i="18"/>
  <c r="I1391" i="18"/>
  <c r="I1392" i="18"/>
  <c r="I1394" i="18"/>
  <c r="I1395" i="18"/>
  <c r="I1396" i="18"/>
  <c r="I1397" i="18"/>
  <c r="I1398" i="18"/>
  <c r="I1399" i="18"/>
  <c r="I1400" i="18"/>
  <c r="I1401" i="18"/>
  <c r="I1402" i="18"/>
  <c r="I1403" i="18"/>
  <c r="I1405" i="18"/>
  <c r="I1407" i="18"/>
  <c r="I1409" i="18"/>
  <c r="I1410" i="18"/>
  <c r="I1411" i="18"/>
  <c r="I1413" i="18"/>
  <c r="I1414" i="18"/>
  <c r="I1415" i="18"/>
  <c r="I1416" i="18"/>
  <c r="I1417" i="18"/>
  <c r="I1418" i="18"/>
  <c r="I1419" i="18"/>
  <c r="I1420" i="18"/>
  <c r="I1421" i="18"/>
  <c r="I1422" i="18"/>
  <c r="I1424" i="18"/>
  <c r="I1425" i="18"/>
  <c r="I1426" i="18"/>
  <c r="I1427" i="18"/>
  <c r="I1428" i="18"/>
  <c r="I1429" i="18"/>
  <c r="I1430" i="18"/>
  <c r="I1431" i="18"/>
  <c r="I1432" i="18"/>
  <c r="I1433" i="18"/>
  <c r="I1435" i="18"/>
  <c r="I1437" i="18"/>
  <c r="I1438" i="18"/>
  <c r="I1439" i="18"/>
  <c r="I1440" i="18"/>
  <c r="I1441" i="18"/>
  <c r="I1442" i="18"/>
  <c r="I1443" i="18"/>
  <c r="I1444" i="18"/>
  <c r="I1445" i="18"/>
  <c r="I1446" i="18"/>
  <c r="I1447" i="18"/>
  <c r="I1448" i="18"/>
  <c r="I1449" i="18"/>
  <c r="I1450" i="18"/>
  <c r="I1451" i="18"/>
  <c r="I1452" i="18"/>
  <c r="I1454" i="18"/>
  <c r="I1455" i="18"/>
  <c r="I1456" i="18"/>
  <c r="I1457" i="18"/>
  <c r="I1458" i="18"/>
  <c r="I1459" i="18"/>
  <c r="I1460" i="18"/>
  <c r="I1461" i="18"/>
  <c r="I1462" i="18"/>
  <c r="J1099" i="18"/>
  <c r="J1101" i="18"/>
  <c r="J1103" i="18"/>
  <c r="J1104" i="18"/>
  <c r="J1105" i="18"/>
  <c r="J1107" i="18"/>
  <c r="J1108" i="18"/>
  <c r="J1109" i="18"/>
  <c r="J1110" i="18"/>
  <c r="J1111" i="18"/>
  <c r="J1112" i="18"/>
  <c r="J1113" i="18"/>
  <c r="J1114" i="18"/>
  <c r="J1115" i="18"/>
  <c r="J1116" i="18"/>
  <c r="J1118" i="18"/>
  <c r="J1119" i="18"/>
  <c r="J1120" i="18"/>
  <c r="J1121" i="18"/>
  <c r="J1122" i="18"/>
  <c r="J1123" i="18"/>
  <c r="J1124" i="18"/>
  <c r="J1125" i="18"/>
  <c r="J1126" i="18"/>
  <c r="J1127" i="18"/>
  <c r="J1128" i="18"/>
  <c r="J1130" i="18"/>
  <c r="J1132" i="18"/>
  <c r="J1134" i="18"/>
  <c r="J1135" i="18"/>
  <c r="J1136" i="18"/>
  <c r="J1138" i="18"/>
  <c r="J1139" i="18"/>
  <c r="J1140" i="18"/>
  <c r="J1141" i="18"/>
  <c r="J1142" i="18"/>
  <c r="J1143" i="18"/>
  <c r="J1144" i="18"/>
  <c r="J1145" i="18"/>
  <c r="J1146" i="18"/>
  <c r="J1147" i="18"/>
  <c r="J1149" i="18"/>
  <c r="J1150" i="18"/>
  <c r="J1151" i="18"/>
  <c r="J1152" i="18"/>
  <c r="J1153" i="18"/>
  <c r="J1154" i="18"/>
  <c r="J1155" i="18"/>
  <c r="J1156" i="18"/>
  <c r="J1157" i="18"/>
  <c r="J1158" i="18"/>
  <c r="J1159" i="18"/>
  <c r="J1161" i="18"/>
  <c r="J1163" i="18"/>
  <c r="J1165" i="18"/>
  <c r="J1166" i="18"/>
  <c r="J1167" i="18"/>
  <c r="J1169" i="18"/>
  <c r="J1170" i="18"/>
  <c r="J1171" i="18"/>
  <c r="J1172" i="18"/>
  <c r="J1173" i="18"/>
  <c r="J1174" i="18"/>
  <c r="J1175" i="18"/>
  <c r="J1176" i="18"/>
  <c r="J1177" i="18"/>
  <c r="J1178" i="18"/>
  <c r="J1180" i="18"/>
  <c r="J1181" i="18"/>
  <c r="J1182" i="18"/>
  <c r="J1183" i="18"/>
  <c r="J1184" i="18"/>
  <c r="J1185" i="18"/>
  <c r="J1186" i="18"/>
  <c r="J1187" i="18"/>
  <c r="J1188" i="18"/>
  <c r="J1189" i="18"/>
  <c r="J1190" i="18"/>
  <c r="J1192" i="18"/>
  <c r="J1194" i="18"/>
  <c r="J1196" i="18"/>
  <c r="J1197" i="18"/>
  <c r="J1198" i="18"/>
  <c r="J1200" i="18"/>
  <c r="J1201" i="18"/>
  <c r="J1202" i="18"/>
  <c r="J1203" i="18"/>
  <c r="J1204" i="18"/>
  <c r="J1205" i="18"/>
  <c r="J1206" i="18"/>
  <c r="J1207" i="18"/>
  <c r="J1208" i="18"/>
  <c r="J1209" i="18"/>
  <c r="J1211" i="18"/>
  <c r="J1212" i="18"/>
  <c r="J1213" i="18"/>
  <c r="J1214" i="18"/>
  <c r="J1215" i="18"/>
  <c r="J1216" i="18"/>
  <c r="J1217" i="18"/>
  <c r="J1218" i="18"/>
  <c r="J1219" i="18"/>
  <c r="J1220" i="18"/>
  <c r="J1221" i="18"/>
  <c r="J1223" i="18"/>
  <c r="J1225" i="18"/>
  <c r="J1227" i="18"/>
  <c r="J1228" i="18"/>
  <c r="J1229" i="18"/>
  <c r="J1231" i="18"/>
  <c r="J1232" i="18"/>
  <c r="J1233" i="18"/>
  <c r="J1234" i="18"/>
  <c r="J1235" i="18"/>
  <c r="J1236" i="18"/>
  <c r="J1237" i="18"/>
  <c r="J1238" i="18"/>
  <c r="J1239" i="18"/>
  <c r="J1240" i="18"/>
  <c r="J1242" i="18"/>
  <c r="J1243" i="18"/>
  <c r="J1244" i="18"/>
  <c r="J1245" i="18"/>
  <c r="J1246" i="18"/>
  <c r="J1247" i="18"/>
  <c r="J1248" i="18"/>
  <c r="J1249" i="18"/>
  <c r="J1250" i="18"/>
  <c r="J1251" i="18"/>
  <c r="J1252" i="18"/>
  <c r="J1254" i="18"/>
  <c r="J1256" i="18"/>
  <c r="J1258" i="18"/>
  <c r="J1259" i="18"/>
  <c r="J1260" i="18"/>
  <c r="J1262" i="18"/>
  <c r="J1263" i="18"/>
  <c r="J1264" i="18"/>
  <c r="J1265" i="18"/>
  <c r="J1266" i="18"/>
  <c r="J1267" i="18"/>
  <c r="J1268" i="18"/>
  <c r="J1269" i="18"/>
  <c r="J1270" i="18"/>
  <c r="J1271" i="18"/>
  <c r="J1273" i="18"/>
  <c r="J1274" i="18"/>
  <c r="J1275" i="18"/>
  <c r="J1276" i="18"/>
  <c r="J1277" i="18"/>
  <c r="J1278" i="18"/>
  <c r="J1279" i="18"/>
  <c r="J1280" i="18"/>
  <c r="J1281" i="18"/>
  <c r="J1282" i="18"/>
  <c r="J1283" i="18"/>
  <c r="J1285" i="18"/>
  <c r="J1287" i="18"/>
  <c r="J1289" i="18"/>
  <c r="J1290" i="18"/>
  <c r="J1291" i="18"/>
  <c r="J1293" i="18"/>
  <c r="J1294" i="18"/>
  <c r="J1295" i="18"/>
  <c r="J1296" i="18"/>
  <c r="J1297" i="18"/>
  <c r="J1298" i="18"/>
  <c r="J1299" i="18"/>
  <c r="J1300" i="18"/>
  <c r="J1301" i="18"/>
  <c r="J1302" i="18"/>
  <c r="J1304" i="18"/>
  <c r="J1305" i="18"/>
  <c r="J1306" i="18"/>
  <c r="J1307" i="18"/>
  <c r="J1308" i="18"/>
  <c r="J1309" i="18"/>
  <c r="J1310" i="18"/>
  <c r="J1311" i="18"/>
  <c r="J1312" i="18"/>
  <c r="J1313" i="18"/>
  <c r="J1315" i="18"/>
  <c r="J1317" i="18"/>
  <c r="J1319" i="18"/>
  <c r="J1320" i="18"/>
  <c r="J1321" i="18"/>
  <c r="J1323" i="18"/>
  <c r="J1324" i="18"/>
  <c r="J1325" i="18"/>
  <c r="J1326" i="18"/>
  <c r="J1327" i="18"/>
  <c r="J1328" i="18"/>
  <c r="J1329" i="18"/>
  <c r="J1330" i="18"/>
  <c r="J1331" i="18"/>
  <c r="J1332" i="18"/>
  <c r="J1334" i="18"/>
  <c r="J1335" i="18"/>
  <c r="J1336" i="18"/>
  <c r="J1337" i="18"/>
  <c r="J1338" i="18"/>
  <c r="J1339" i="18"/>
  <c r="J1340" i="18"/>
  <c r="J1341" i="18"/>
  <c r="J1342" i="18"/>
  <c r="J1343" i="18"/>
  <c r="J1345" i="18"/>
  <c r="J1347" i="18"/>
  <c r="J1349" i="18"/>
  <c r="J1350" i="18"/>
  <c r="J1351" i="18"/>
  <c r="J1353" i="18"/>
  <c r="J1354" i="18"/>
  <c r="J1355" i="18"/>
  <c r="J1356" i="18"/>
  <c r="J1357" i="18"/>
  <c r="J1358" i="18"/>
  <c r="J1359" i="18"/>
  <c r="J1360" i="18"/>
  <c r="J1361" i="18"/>
  <c r="J1362" i="18"/>
  <c r="J1364" i="18"/>
  <c r="J1365" i="18"/>
  <c r="J1366" i="18"/>
  <c r="J1367" i="18"/>
  <c r="J1368" i="18"/>
  <c r="J1369" i="18"/>
  <c r="J1370" i="18"/>
  <c r="J1371" i="18"/>
  <c r="J1372" i="18"/>
  <c r="J1373" i="18"/>
  <c r="J1375" i="18"/>
  <c r="J1377" i="18"/>
  <c r="J1379" i="18"/>
  <c r="J1380" i="18"/>
  <c r="J1381" i="18"/>
  <c r="J1383" i="18"/>
  <c r="J1384" i="18"/>
  <c r="J1385" i="18"/>
  <c r="J1386" i="18"/>
  <c r="J1387" i="18"/>
  <c r="J1388" i="18"/>
  <c r="J1389" i="18"/>
  <c r="J1390" i="18"/>
  <c r="J1391" i="18"/>
  <c r="J1392" i="18"/>
  <c r="J1394" i="18"/>
  <c r="J1395" i="18"/>
  <c r="J1396" i="18"/>
  <c r="J1397" i="18"/>
  <c r="J1398" i="18"/>
  <c r="J1399" i="18"/>
  <c r="J1400" i="18"/>
  <c r="J1401" i="18"/>
  <c r="J1402" i="18"/>
  <c r="J1403" i="18"/>
  <c r="J1405" i="18"/>
  <c r="J1407" i="18"/>
  <c r="J1409" i="18"/>
  <c r="J1410" i="18"/>
  <c r="J1411" i="18"/>
  <c r="J1413" i="18"/>
  <c r="J1414" i="18"/>
  <c r="J1415" i="18"/>
  <c r="J1416" i="18"/>
  <c r="J1417" i="18"/>
  <c r="J1418" i="18"/>
  <c r="J1419" i="18"/>
  <c r="J1420" i="18"/>
  <c r="J1421" i="18"/>
  <c r="J1422" i="18"/>
  <c r="J1424" i="18"/>
  <c r="J1425" i="18"/>
  <c r="J1426" i="18"/>
  <c r="J1427" i="18"/>
  <c r="J1428" i="18"/>
  <c r="J1429" i="18"/>
  <c r="J1430" i="18"/>
  <c r="J1431" i="18"/>
  <c r="J1432" i="18"/>
  <c r="J1433" i="18"/>
  <c r="J1435" i="18"/>
  <c r="J1437" i="18"/>
  <c r="J1438" i="18"/>
  <c r="J1439" i="18"/>
  <c r="J1440" i="18"/>
  <c r="J1441" i="18"/>
  <c r="J1442" i="18"/>
  <c r="J1443" i="18"/>
  <c r="J1444" i="18"/>
  <c r="J1445" i="18"/>
  <c r="J1446" i="18"/>
  <c r="J1447" i="18"/>
  <c r="J1448" i="18"/>
  <c r="J1449" i="18"/>
  <c r="J1450" i="18"/>
  <c r="J1451" i="18"/>
  <c r="J1452" i="18"/>
  <c r="J1454" i="18"/>
  <c r="J1455" i="18"/>
  <c r="J1456" i="18"/>
  <c r="J1457" i="18"/>
  <c r="J1458" i="18"/>
  <c r="J1459" i="18"/>
  <c r="J1460" i="18"/>
  <c r="J1461" i="18"/>
  <c r="J1462" i="18"/>
  <c r="K1099" i="18"/>
  <c r="K1101" i="18"/>
  <c r="K1103" i="18"/>
  <c r="K1104" i="18"/>
  <c r="K1105" i="18"/>
  <c r="K1107" i="18"/>
  <c r="K1108" i="18"/>
  <c r="K1109" i="18"/>
  <c r="K1110" i="18"/>
  <c r="K1111" i="18"/>
  <c r="K1112" i="18"/>
  <c r="K1113" i="18"/>
  <c r="K1114" i="18"/>
  <c r="K1115" i="18"/>
  <c r="K1116" i="18"/>
  <c r="K1118" i="18"/>
  <c r="K1119" i="18"/>
  <c r="K1120" i="18"/>
  <c r="K1121" i="18"/>
  <c r="K1122" i="18"/>
  <c r="K1123" i="18"/>
  <c r="K1124" i="18"/>
  <c r="K1125" i="18"/>
  <c r="K1126" i="18"/>
  <c r="K1127" i="18"/>
  <c r="K1128" i="18"/>
  <c r="K1130" i="18"/>
  <c r="K1132" i="18"/>
  <c r="K1134" i="18"/>
  <c r="K1135" i="18"/>
  <c r="K1136" i="18"/>
  <c r="K1138" i="18"/>
  <c r="K1139" i="18"/>
  <c r="K1140" i="18"/>
  <c r="K1141" i="18"/>
  <c r="K1142" i="18"/>
  <c r="K1143" i="18"/>
  <c r="K1144" i="18"/>
  <c r="K1145" i="18"/>
  <c r="K1146" i="18"/>
  <c r="K1147" i="18"/>
  <c r="K1149" i="18"/>
  <c r="K1150" i="18"/>
  <c r="K1151" i="18"/>
  <c r="K1152" i="18"/>
  <c r="K1153" i="18"/>
  <c r="K1154" i="18"/>
  <c r="K1155" i="18"/>
  <c r="K1156" i="18"/>
  <c r="K1157" i="18"/>
  <c r="K1158" i="18"/>
  <c r="K1159" i="18"/>
  <c r="K1161" i="18"/>
  <c r="K1163" i="18"/>
  <c r="K1165" i="18"/>
  <c r="K1166" i="18"/>
  <c r="K1167" i="18"/>
  <c r="K1169" i="18"/>
  <c r="K1170" i="18"/>
  <c r="K1171" i="18"/>
  <c r="K1172" i="18"/>
  <c r="K1173" i="18"/>
  <c r="K1174" i="18"/>
  <c r="K1175" i="18"/>
  <c r="K1176" i="18"/>
  <c r="K1177" i="18"/>
  <c r="K1178" i="18"/>
  <c r="K1180" i="18"/>
  <c r="K1181" i="18"/>
  <c r="K1182" i="18"/>
  <c r="K1183" i="18"/>
  <c r="K1184" i="18"/>
  <c r="K1185" i="18"/>
  <c r="K1186" i="18"/>
  <c r="K1187" i="18"/>
  <c r="K1188" i="18"/>
  <c r="K1189" i="18"/>
  <c r="K1190" i="18"/>
  <c r="K1192" i="18"/>
  <c r="K1194" i="18"/>
  <c r="K1196" i="18"/>
  <c r="K1197" i="18"/>
  <c r="K1198" i="18"/>
  <c r="K1200" i="18"/>
  <c r="K1201" i="18"/>
  <c r="K1202" i="18"/>
  <c r="K1203" i="18"/>
  <c r="K1204" i="18"/>
  <c r="K1205" i="18"/>
  <c r="K1206" i="18"/>
  <c r="K1207" i="18"/>
  <c r="K1208" i="18"/>
  <c r="K1209" i="18"/>
  <c r="K1211" i="18"/>
  <c r="K1212" i="18"/>
  <c r="K1213" i="18"/>
  <c r="K1214" i="18"/>
  <c r="K1215" i="18"/>
  <c r="K1216" i="18"/>
  <c r="K1217" i="18"/>
  <c r="K1218" i="18"/>
  <c r="K1219" i="18"/>
  <c r="K1220" i="18"/>
  <c r="K1221" i="18"/>
  <c r="K1223" i="18"/>
  <c r="K1225" i="18"/>
  <c r="K1227" i="18"/>
  <c r="K1228" i="18"/>
  <c r="K1229" i="18"/>
  <c r="K1231" i="18"/>
  <c r="K1232" i="18"/>
  <c r="K1233" i="18"/>
  <c r="K1234" i="18"/>
  <c r="K1235" i="18"/>
  <c r="K1236" i="18"/>
  <c r="K1237" i="18"/>
  <c r="K1238" i="18"/>
  <c r="K1239" i="18"/>
  <c r="K1240" i="18"/>
  <c r="K1242" i="18"/>
  <c r="K1243" i="18"/>
  <c r="K1244" i="18"/>
  <c r="K1245" i="18"/>
  <c r="K1246" i="18"/>
  <c r="K1247" i="18"/>
  <c r="K1248" i="18"/>
  <c r="K1249" i="18"/>
  <c r="K1250" i="18"/>
  <c r="K1251" i="18"/>
  <c r="K1252" i="18"/>
  <c r="K1254" i="18"/>
  <c r="K1256" i="18"/>
  <c r="K1258" i="18"/>
  <c r="K1259" i="18"/>
  <c r="K1260" i="18"/>
  <c r="K1262" i="18"/>
  <c r="K1263" i="18"/>
  <c r="K1264" i="18"/>
  <c r="K1265" i="18"/>
  <c r="K1266" i="18"/>
  <c r="K1267" i="18"/>
  <c r="K1268" i="18"/>
  <c r="K1269" i="18"/>
  <c r="K1270" i="18"/>
  <c r="K1271" i="18"/>
  <c r="K1273" i="18"/>
  <c r="K1274" i="18"/>
  <c r="K1275" i="18"/>
  <c r="K1276" i="18"/>
  <c r="K1277" i="18"/>
  <c r="K1278" i="18"/>
  <c r="K1279" i="18"/>
  <c r="K1280" i="18"/>
  <c r="K1281" i="18"/>
  <c r="K1282" i="18"/>
  <c r="K1283" i="18"/>
  <c r="K1285" i="18"/>
  <c r="K1287" i="18"/>
  <c r="K1289" i="18"/>
  <c r="K1290" i="18"/>
  <c r="K1291" i="18"/>
  <c r="K1293" i="18"/>
  <c r="K1294" i="18"/>
  <c r="K1295" i="18"/>
  <c r="K1296" i="18"/>
  <c r="K1297" i="18"/>
  <c r="K1298" i="18"/>
  <c r="K1299" i="18"/>
  <c r="K1300" i="18"/>
  <c r="K1301" i="18"/>
  <c r="K1302" i="18"/>
  <c r="K1304" i="18"/>
  <c r="K1305" i="18"/>
  <c r="K1306" i="18"/>
  <c r="K1307" i="18"/>
  <c r="K1308" i="18"/>
  <c r="K1309" i="18"/>
  <c r="K1310" i="18"/>
  <c r="K1311" i="18"/>
  <c r="K1312" i="18"/>
  <c r="K1313" i="18"/>
  <c r="K1315" i="18"/>
  <c r="K1317" i="18"/>
  <c r="K1319" i="18"/>
  <c r="K1320" i="18"/>
  <c r="K1321" i="18"/>
  <c r="K1323" i="18"/>
  <c r="K1324" i="18"/>
  <c r="K1325" i="18"/>
  <c r="K1326" i="18"/>
  <c r="K1327" i="18"/>
  <c r="K1328" i="18"/>
  <c r="K1329" i="18"/>
  <c r="K1330" i="18"/>
  <c r="K1331" i="18"/>
  <c r="K1332" i="18"/>
  <c r="K1334" i="18"/>
  <c r="K1335" i="18"/>
  <c r="K1336" i="18"/>
  <c r="K1337" i="18"/>
  <c r="K1338" i="18"/>
  <c r="K1339" i="18"/>
  <c r="K1340" i="18"/>
  <c r="K1341" i="18"/>
  <c r="K1342" i="18"/>
  <c r="K1343" i="18"/>
  <c r="K1345" i="18"/>
  <c r="K1347" i="18"/>
  <c r="K1349" i="18"/>
  <c r="K1350" i="18"/>
  <c r="K1351" i="18"/>
  <c r="K1353" i="18"/>
  <c r="K1354" i="18"/>
  <c r="K1355" i="18"/>
  <c r="K1356" i="18"/>
  <c r="K1357" i="18"/>
  <c r="K1358" i="18"/>
  <c r="K1359" i="18"/>
  <c r="K1360" i="18"/>
  <c r="K1361" i="18"/>
  <c r="K1362" i="18"/>
  <c r="K1364" i="18"/>
  <c r="K1365" i="18"/>
  <c r="K1366" i="18"/>
  <c r="K1367" i="18"/>
  <c r="K1368" i="18"/>
  <c r="K1369" i="18"/>
  <c r="K1370" i="18"/>
  <c r="K1371" i="18"/>
  <c r="K1372" i="18"/>
  <c r="K1373" i="18"/>
  <c r="K1375" i="18"/>
  <c r="K1377" i="18"/>
  <c r="K1379" i="18"/>
  <c r="K1380" i="18"/>
  <c r="K1381" i="18"/>
  <c r="K1383" i="18"/>
  <c r="K1384" i="18"/>
  <c r="K1385" i="18"/>
  <c r="K1386" i="18"/>
  <c r="K1387" i="18"/>
  <c r="K1388" i="18"/>
  <c r="K1389" i="18"/>
  <c r="K1390" i="18"/>
  <c r="K1391" i="18"/>
  <c r="K1392" i="18"/>
  <c r="K1394" i="18"/>
  <c r="K1395" i="18"/>
  <c r="K1396" i="18"/>
  <c r="K1397" i="18"/>
  <c r="K1398" i="18"/>
  <c r="K1399" i="18"/>
  <c r="K1400" i="18"/>
  <c r="K1401" i="18"/>
  <c r="K1402" i="18"/>
  <c r="K1403" i="18"/>
  <c r="K1405" i="18"/>
  <c r="K1407" i="18"/>
  <c r="K1409" i="18"/>
  <c r="K1410" i="18"/>
  <c r="K1411" i="18"/>
  <c r="K1413" i="18"/>
  <c r="K1414" i="18"/>
  <c r="K1415" i="18"/>
  <c r="K1416" i="18"/>
  <c r="K1417" i="18"/>
  <c r="K1418" i="18"/>
  <c r="K1419" i="18"/>
  <c r="K1420" i="18"/>
  <c r="K1421" i="18"/>
  <c r="K1422" i="18"/>
  <c r="K1424" i="18"/>
  <c r="K1425" i="18"/>
  <c r="K1426" i="18"/>
  <c r="K1427" i="18"/>
  <c r="K1428" i="18"/>
  <c r="K1429" i="18"/>
  <c r="K1430" i="18"/>
  <c r="K1431" i="18"/>
  <c r="K1432" i="18"/>
  <c r="K1433" i="18"/>
  <c r="K1435" i="18"/>
  <c r="K1437" i="18"/>
  <c r="K1438" i="18"/>
  <c r="K1439" i="18"/>
  <c r="K1440" i="18"/>
  <c r="K1441" i="18"/>
  <c r="K1442" i="18"/>
  <c r="K1443" i="18"/>
  <c r="K1444" i="18"/>
  <c r="K1445" i="18"/>
  <c r="K1446" i="18"/>
  <c r="K1447" i="18"/>
  <c r="K1448" i="18"/>
  <c r="K1449" i="18"/>
  <c r="K1450" i="18"/>
  <c r="K1451" i="18"/>
  <c r="K1452" i="18"/>
  <c r="K1454" i="18"/>
  <c r="K1455" i="18"/>
  <c r="K1456" i="18"/>
  <c r="K1457" i="18"/>
  <c r="K1458" i="18"/>
  <c r="K1459" i="18"/>
  <c r="K1460" i="18"/>
  <c r="K1461" i="18"/>
  <c r="K1462" i="18"/>
  <c r="L1099" i="18"/>
  <c r="L1101" i="18"/>
  <c r="L1103" i="18"/>
  <c r="L1104" i="18"/>
  <c r="L1105" i="18"/>
  <c r="L1107" i="18"/>
  <c r="L1108" i="18"/>
  <c r="L1109" i="18"/>
  <c r="L1110" i="18"/>
  <c r="L1111" i="18"/>
  <c r="L1112" i="18"/>
  <c r="L1113" i="18"/>
  <c r="L1114" i="18"/>
  <c r="L1115" i="18"/>
  <c r="L1116" i="18"/>
  <c r="L1118" i="18"/>
  <c r="L1119" i="18"/>
  <c r="L1120" i="18"/>
  <c r="L1121" i="18"/>
  <c r="L1122" i="18"/>
  <c r="L1123" i="18"/>
  <c r="L1124" i="18"/>
  <c r="L1125" i="18"/>
  <c r="L1126" i="18"/>
  <c r="L1127" i="18"/>
  <c r="L1128" i="18"/>
  <c r="L1130" i="18"/>
  <c r="L1132" i="18"/>
  <c r="L1134" i="18"/>
  <c r="L1135" i="18"/>
  <c r="L1136" i="18"/>
  <c r="L1138" i="18"/>
  <c r="L1139" i="18"/>
  <c r="L1140" i="18"/>
  <c r="L1141" i="18"/>
  <c r="L1142" i="18"/>
  <c r="L1143" i="18"/>
  <c r="L1144" i="18"/>
  <c r="L1145" i="18"/>
  <c r="L1146" i="18"/>
  <c r="L1147" i="18"/>
  <c r="L1149" i="18"/>
  <c r="L1150" i="18"/>
  <c r="L1151" i="18"/>
  <c r="L1152" i="18"/>
  <c r="L1153" i="18"/>
  <c r="L1154" i="18"/>
  <c r="L1155" i="18"/>
  <c r="L1156" i="18"/>
  <c r="L1157" i="18"/>
  <c r="L1158" i="18"/>
  <c r="L1159" i="18"/>
  <c r="L1161" i="18"/>
  <c r="L1163" i="18"/>
  <c r="L1165" i="18"/>
  <c r="L1166" i="18"/>
  <c r="L1167" i="18"/>
  <c r="L1169" i="18"/>
  <c r="L1170" i="18"/>
  <c r="L1171" i="18"/>
  <c r="L1172" i="18"/>
  <c r="L1173" i="18"/>
  <c r="L1174" i="18"/>
  <c r="L1175" i="18"/>
  <c r="L1176" i="18"/>
  <c r="L1177" i="18"/>
  <c r="L1178" i="18"/>
  <c r="L1180" i="18"/>
  <c r="L1181" i="18"/>
  <c r="L1182" i="18"/>
  <c r="L1183" i="18"/>
  <c r="L1184" i="18"/>
  <c r="L1185" i="18"/>
  <c r="L1186" i="18"/>
  <c r="L1187" i="18"/>
  <c r="L1188" i="18"/>
  <c r="L1189" i="18"/>
  <c r="L1190" i="18"/>
  <c r="L1192" i="18"/>
  <c r="L1194" i="18"/>
  <c r="L1196" i="18"/>
  <c r="L1197" i="18"/>
  <c r="L1198" i="18"/>
  <c r="L1200" i="18"/>
  <c r="L1201" i="18"/>
  <c r="L1202" i="18"/>
  <c r="L1203" i="18"/>
  <c r="L1204" i="18"/>
  <c r="L1205" i="18"/>
  <c r="L1206" i="18"/>
  <c r="L1207" i="18"/>
  <c r="L1208" i="18"/>
  <c r="L1209" i="18"/>
  <c r="L1211" i="18"/>
  <c r="L1212" i="18"/>
  <c r="L1213" i="18"/>
  <c r="L1214" i="18"/>
  <c r="L1215" i="18"/>
  <c r="L1216" i="18"/>
  <c r="L1217" i="18"/>
  <c r="L1218" i="18"/>
  <c r="L1219" i="18"/>
  <c r="L1220" i="18"/>
  <c r="L1221" i="18"/>
  <c r="L1223" i="18"/>
  <c r="L1225" i="18"/>
  <c r="L1227" i="18"/>
  <c r="L1228" i="18"/>
  <c r="L1229" i="18"/>
  <c r="L1231" i="18"/>
  <c r="L1232" i="18"/>
  <c r="L1233" i="18"/>
  <c r="L1234" i="18"/>
  <c r="L1235" i="18"/>
  <c r="L1236" i="18"/>
  <c r="L1237" i="18"/>
  <c r="L1238" i="18"/>
  <c r="L1239" i="18"/>
  <c r="L1240" i="18"/>
  <c r="L1242" i="18"/>
  <c r="L1243" i="18"/>
  <c r="L1244" i="18"/>
  <c r="L1245" i="18"/>
  <c r="L1246" i="18"/>
  <c r="L1247" i="18"/>
  <c r="L1248" i="18"/>
  <c r="L1249" i="18"/>
  <c r="L1250" i="18"/>
  <c r="L1251" i="18"/>
  <c r="L1252" i="18"/>
  <c r="L1254" i="18"/>
  <c r="L1256" i="18"/>
  <c r="L1258" i="18"/>
  <c r="L1259" i="18"/>
  <c r="L1260" i="18"/>
  <c r="L1262" i="18"/>
  <c r="L1263" i="18"/>
  <c r="L1264" i="18"/>
  <c r="L1265" i="18"/>
  <c r="L1266" i="18"/>
  <c r="L1267" i="18"/>
  <c r="L1268" i="18"/>
  <c r="L1269" i="18"/>
  <c r="L1270" i="18"/>
  <c r="L1271" i="18"/>
  <c r="L1273" i="18"/>
  <c r="L1274" i="18"/>
  <c r="L1275" i="18"/>
  <c r="L1276" i="18"/>
  <c r="L1277" i="18"/>
  <c r="L1278" i="18"/>
  <c r="L1279" i="18"/>
  <c r="L1280" i="18"/>
  <c r="L1281" i="18"/>
  <c r="L1282" i="18"/>
  <c r="L1283" i="18"/>
  <c r="L1285" i="18"/>
  <c r="L1287" i="18"/>
  <c r="L1289" i="18"/>
  <c r="L1290" i="18"/>
  <c r="L1291" i="18"/>
  <c r="L1293" i="18"/>
  <c r="L1294" i="18"/>
  <c r="L1295" i="18"/>
  <c r="L1296" i="18"/>
  <c r="L1297" i="18"/>
  <c r="L1298" i="18"/>
  <c r="L1299" i="18"/>
  <c r="L1300" i="18"/>
  <c r="L1301" i="18"/>
  <c r="L1302" i="18"/>
  <c r="L1304" i="18"/>
  <c r="L1305" i="18"/>
  <c r="L1306" i="18"/>
  <c r="L1307" i="18"/>
  <c r="L1308" i="18"/>
  <c r="L1309" i="18"/>
  <c r="L1310" i="18"/>
  <c r="L1311" i="18"/>
  <c r="L1312" i="18"/>
  <c r="L1313" i="18"/>
  <c r="L1315" i="18"/>
  <c r="L1317" i="18"/>
  <c r="L1319" i="18"/>
  <c r="L1320" i="18"/>
  <c r="L1321" i="18"/>
  <c r="L1323" i="18"/>
  <c r="L1324" i="18"/>
  <c r="L1325" i="18"/>
  <c r="L1326" i="18"/>
  <c r="L1327" i="18"/>
  <c r="L1328" i="18"/>
  <c r="L1329" i="18"/>
  <c r="L1330" i="18"/>
  <c r="L1331" i="18"/>
  <c r="L1332" i="18"/>
  <c r="L1334" i="18"/>
  <c r="L1335" i="18"/>
  <c r="L1336" i="18"/>
  <c r="L1337" i="18"/>
  <c r="L1338" i="18"/>
  <c r="L1339" i="18"/>
  <c r="L1340" i="18"/>
  <c r="L1341" i="18"/>
  <c r="L1342" i="18"/>
  <c r="L1343" i="18"/>
  <c r="L1345" i="18"/>
  <c r="L1347" i="18"/>
  <c r="L1349" i="18"/>
  <c r="L1350" i="18"/>
  <c r="L1351" i="18"/>
  <c r="L1353" i="18"/>
  <c r="L1354" i="18"/>
  <c r="L1355" i="18"/>
  <c r="L1356" i="18"/>
  <c r="L1357" i="18"/>
  <c r="L1358" i="18"/>
  <c r="L1359" i="18"/>
  <c r="L1360" i="18"/>
  <c r="L1361" i="18"/>
  <c r="L1362" i="18"/>
  <c r="L1364" i="18"/>
  <c r="L1365" i="18"/>
  <c r="L1366" i="18"/>
  <c r="L1367" i="18"/>
  <c r="L1368" i="18"/>
  <c r="L1369" i="18"/>
  <c r="L1370" i="18"/>
  <c r="L1371" i="18"/>
  <c r="L1372" i="18"/>
  <c r="L1373" i="18"/>
  <c r="L1375" i="18"/>
  <c r="L1377" i="18"/>
  <c r="L1379" i="18"/>
  <c r="L1380" i="18"/>
  <c r="L1381" i="18"/>
  <c r="L1383" i="18"/>
  <c r="L1384" i="18"/>
  <c r="L1385" i="18"/>
  <c r="L1386" i="18"/>
  <c r="L1387" i="18"/>
  <c r="L1388" i="18"/>
  <c r="L1389" i="18"/>
  <c r="L1390" i="18"/>
  <c r="L1391" i="18"/>
  <c r="L1392" i="18"/>
  <c r="L1394" i="18"/>
  <c r="L1395" i="18"/>
  <c r="L1396" i="18"/>
  <c r="L1397" i="18"/>
  <c r="L1398" i="18"/>
  <c r="L1399" i="18"/>
  <c r="L1400" i="18"/>
  <c r="L1401" i="18"/>
  <c r="L1402" i="18"/>
  <c r="L1403" i="18"/>
  <c r="L1405" i="18"/>
  <c r="L1407" i="18"/>
  <c r="L1409" i="18"/>
  <c r="L1410" i="18"/>
  <c r="L1411" i="18"/>
  <c r="L1413" i="18"/>
  <c r="L1414" i="18"/>
  <c r="L1415" i="18"/>
  <c r="L1416" i="18"/>
  <c r="L1417" i="18"/>
  <c r="L1418" i="18"/>
  <c r="L1419" i="18"/>
  <c r="L1420" i="18"/>
  <c r="L1421" i="18"/>
  <c r="L1422" i="18"/>
  <c r="L1424" i="18"/>
  <c r="L1425" i="18"/>
  <c r="L1426" i="18"/>
  <c r="L1427" i="18"/>
  <c r="L1428" i="18"/>
  <c r="L1429" i="18"/>
  <c r="L1430" i="18"/>
  <c r="L1431" i="18"/>
  <c r="L1432" i="18"/>
  <c r="L1433" i="18"/>
  <c r="L1435" i="18"/>
  <c r="L1437" i="18"/>
  <c r="L1438" i="18"/>
  <c r="L1439" i="18"/>
  <c r="L1440" i="18"/>
  <c r="L1441" i="18"/>
  <c r="L1442" i="18"/>
  <c r="L1443" i="18"/>
  <c r="L1444" i="18"/>
  <c r="L1445" i="18"/>
  <c r="L1446" i="18"/>
  <c r="L1447" i="18"/>
  <c r="L1448" i="18"/>
  <c r="L1449" i="18"/>
  <c r="L1450" i="18"/>
  <c r="L1451" i="18"/>
  <c r="L1452" i="18"/>
  <c r="L1454" i="18"/>
  <c r="L1455" i="18"/>
  <c r="L1456" i="18"/>
  <c r="L1457" i="18"/>
  <c r="L1458" i="18"/>
  <c r="L1459" i="18"/>
  <c r="L1460" i="18"/>
  <c r="L1461" i="18"/>
  <c r="L1462" i="18"/>
  <c r="M1099" i="18"/>
  <c r="M1101" i="18"/>
  <c r="M1103" i="18"/>
  <c r="M1104" i="18"/>
  <c r="M1105" i="18"/>
  <c r="M1107" i="18"/>
  <c r="M1108" i="18"/>
  <c r="M1109" i="18"/>
  <c r="M1110" i="18"/>
  <c r="M1111" i="18"/>
  <c r="M1112" i="18"/>
  <c r="M1113" i="18"/>
  <c r="M1114" i="18"/>
  <c r="M1115" i="18"/>
  <c r="M1116" i="18"/>
  <c r="M1118" i="18"/>
  <c r="M1119" i="18"/>
  <c r="M1120" i="18"/>
  <c r="M1121" i="18"/>
  <c r="M1122" i="18"/>
  <c r="M1123" i="18"/>
  <c r="M1124" i="18"/>
  <c r="M1125" i="18"/>
  <c r="M1126" i="18"/>
  <c r="M1127" i="18"/>
  <c r="M1128" i="18"/>
  <c r="M1130" i="18"/>
  <c r="M1132" i="18"/>
  <c r="M1134" i="18"/>
  <c r="M1135" i="18"/>
  <c r="M1136" i="18"/>
  <c r="M1138" i="18"/>
  <c r="M1139" i="18"/>
  <c r="M1140" i="18"/>
  <c r="M1141" i="18"/>
  <c r="M1142" i="18"/>
  <c r="M1143" i="18"/>
  <c r="M1144" i="18"/>
  <c r="M1145" i="18"/>
  <c r="M1146" i="18"/>
  <c r="M1147" i="18"/>
  <c r="M1149" i="18"/>
  <c r="M1150" i="18"/>
  <c r="M1151" i="18"/>
  <c r="M1152" i="18"/>
  <c r="M1153" i="18"/>
  <c r="M1154" i="18"/>
  <c r="M1155" i="18"/>
  <c r="M1156" i="18"/>
  <c r="M1157" i="18"/>
  <c r="M1158" i="18"/>
  <c r="M1159" i="18"/>
  <c r="M1161" i="18"/>
  <c r="M1163" i="18"/>
  <c r="M1165" i="18"/>
  <c r="M1166" i="18"/>
  <c r="M1167" i="18"/>
  <c r="M1169" i="18"/>
  <c r="M1170" i="18"/>
  <c r="M1171" i="18"/>
  <c r="M1172" i="18"/>
  <c r="M1173" i="18"/>
  <c r="M1174" i="18"/>
  <c r="M1175" i="18"/>
  <c r="M1176" i="18"/>
  <c r="M1177" i="18"/>
  <c r="M1178" i="18"/>
  <c r="M1180" i="18"/>
  <c r="M1181" i="18"/>
  <c r="M1182" i="18"/>
  <c r="M1183" i="18"/>
  <c r="M1184" i="18"/>
  <c r="M1185" i="18"/>
  <c r="M1186" i="18"/>
  <c r="M1187" i="18"/>
  <c r="M1188" i="18"/>
  <c r="M1189" i="18"/>
  <c r="M1190" i="18"/>
  <c r="M1192" i="18"/>
  <c r="M1194" i="18"/>
  <c r="M1196" i="18"/>
  <c r="M1197" i="18"/>
  <c r="M1198" i="18"/>
  <c r="M1200" i="18"/>
  <c r="M1201" i="18"/>
  <c r="M1202" i="18"/>
  <c r="M1203" i="18"/>
  <c r="M1204" i="18"/>
  <c r="M1205" i="18"/>
  <c r="M1206" i="18"/>
  <c r="M1207" i="18"/>
  <c r="M1208" i="18"/>
  <c r="M1209" i="18"/>
  <c r="M1211" i="18"/>
  <c r="M1212" i="18"/>
  <c r="M1213" i="18"/>
  <c r="M1214" i="18"/>
  <c r="M1215" i="18"/>
  <c r="M1216" i="18"/>
  <c r="M1217" i="18"/>
  <c r="M1218" i="18"/>
  <c r="M1219" i="18"/>
  <c r="M1220" i="18"/>
  <c r="M1221" i="18"/>
  <c r="M1223" i="18"/>
  <c r="M1225" i="18"/>
  <c r="M1227" i="18"/>
  <c r="M1228" i="18"/>
  <c r="M1229" i="18"/>
  <c r="M1231" i="18"/>
  <c r="M1232" i="18"/>
  <c r="M1233" i="18"/>
  <c r="M1234" i="18"/>
  <c r="M1235" i="18"/>
  <c r="M1236" i="18"/>
  <c r="M1237" i="18"/>
  <c r="M1238" i="18"/>
  <c r="M1239" i="18"/>
  <c r="M1240" i="18"/>
  <c r="M1242" i="18"/>
  <c r="M1243" i="18"/>
  <c r="M1244" i="18"/>
  <c r="M1245" i="18"/>
  <c r="M1246" i="18"/>
  <c r="M1247" i="18"/>
  <c r="M1248" i="18"/>
  <c r="M1249" i="18"/>
  <c r="M1250" i="18"/>
  <c r="M1251" i="18"/>
  <c r="M1252" i="18"/>
  <c r="M1254" i="18"/>
  <c r="M1256" i="18"/>
  <c r="M1258" i="18"/>
  <c r="M1259" i="18"/>
  <c r="M1260" i="18"/>
  <c r="M1262" i="18"/>
  <c r="M1263" i="18"/>
  <c r="M1264" i="18"/>
  <c r="M1265" i="18"/>
  <c r="M1266" i="18"/>
  <c r="M1267" i="18"/>
  <c r="M1268" i="18"/>
  <c r="M1269" i="18"/>
  <c r="M1270" i="18"/>
  <c r="M1271" i="18"/>
  <c r="M1273" i="18"/>
  <c r="M1274" i="18"/>
  <c r="M1275" i="18"/>
  <c r="M1276" i="18"/>
  <c r="M1277" i="18"/>
  <c r="M1278" i="18"/>
  <c r="M1279" i="18"/>
  <c r="M1280" i="18"/>
  <c r="M1281" i="18"/>
  <c r="M1282" i="18"/>
  <c r="M1283" i="18"/>
  <c r="M1285" i="18"/>
  <c r="M1287" i="18"/>
  <c r="M1289" i="18"/>
  <c r="M1290" i="18"/>
  <c r="M1291" i="18"/>
  <c r="M1293" i="18"/>
  <c r="M1294" i="18"/>
  <c r="M1295" i="18"/>
  <c r="M1296" i="18"/>
  <c r="M1297" i="18"/>
  <c r="M1298" i="18"/>
  <c r="M1299" i="18"/>
  <c r="M1300" i="18"/>
  <c r="M1301" i="18"/>
  <c r="M1302" i="18"/>
  <c r="M1304" i="18"/>
  <c r="M1305" i="18"/>
  <c r="M1306" i="18"/>
  <c r="M1307" i="18"/>
  <c r="M1308" i="18"/>
  <c r="M1309" i="18"/>
  <c r="M1310" i="18"/>
  <c r="M1311" i="18"/>
  <c r="M1312" i="18"/>
  <c r="M1313" i="18"/>
  <c r="M1315" i="18"/>
  <c r="M1317" i="18"/>
  <c r="M1319" i="18"/>
  <c r="M1320" i="18"/>
  <c r="M1321" i="18"/>
  <c r="M1323" i="18"/>
  <c r="M1324" i="18"/>
  <c r="M1325" i="18"/>
  <c r="M1326" i="18"/>
  <c r="M1327" i="18"/>
  <c r="M1328" i="18"/>
  <c r="M1329" i="18"/>
  <c r="M1330" i="18"/>
  <c r="M1331" i="18"/>
  <c r="M1332" i="18"/>
  <c r="M1334" i="18"/>
  <c r="M1335" i="18"/>
  <c r="M1336" i="18"/>
  <c r="M1337" i="18"/>
  <c r="M1338" i="18"/>
  <c r="M1339" i="18"/>
  <c r="M1340" i="18"/>
  <c r="M1341" i="18"/>
  <c r="M1342" i="18"/>
  <c r="M1343" i="18"/>
  <c r="M1345" i="18"/>
  <c r="M1347" i="18"/>
  <c r="M1349" i="18"/>
  <c r="M1350" i="18"/>
  <c r="M1351" i="18"/>
  <c r="M1353" i="18"/>
  <c r="M1354" i="18"/>
  <c r="M1355" i="18"/>
  <c r="M1356" i="18"/>
  <c r="M1357" i="18"/>
  <c r="M1358" i="18"/>
  <c r="M1359" i="18"/>
  <c r="M1360" i="18"/>
  <c r="M1361" i="18"/>
  <c r="M1362" i="18"/>
  <c r="M1364" i="18"/>
  <c r="M1365" i="18"/>
  <c r="M1366" i="18"/>
  <c r="M1367" i="18"/>
  <c r="M1368" i="18"/>
  <c r="M1369" i="18"/>
  <c r="M1370" i="18"/>
  <c r="M1371" i="18"/>
  <c r="M1372" i="18"/>
  <c r="M1373" i="18"/>
  <c r="M1375" i="18"/>
  <c r="M1377" i="18"/>
  <c r="M1379" i="18"/>
  <c r="M1380" i="18"/>
  <c r="M1381" i="18"/>
  <c r="M1383" i="18"/>
  <c r="M1384" i="18"/>
  <c r="M1385" i="18"/>
  <c r="M1386" i="18"/>
  <c r="M1387" i="18"/>
  <c r="M1388" i="18"/>
  <c r="M1389" i="18"/>
  <c r="M1390" i="18"/>
  <c r="M1391" i="18"/>
  <c r="M1392" i="18"/>
  <c r="M1394" i="18"/>
  <c r="M1395" i="18"/>
  <c r="M1396" i="18"/>
  <c r="M1397" i="18"/>
  <c r="M1398" i="18"/>
  <c r="M1399" i="18"/>
  <c r="M1400" i="18"/>
  <c r="M1401" i="18"/>
  <c r="M1402" i="18"/>
  <c r="M1403" i="18"/>
  <c r="M1405" i="18"/>
  <c r="M1407" i="18"/>
  <c r="M1409" i="18"/>
  <c r="M1410" i="18"/>
  <c r="M1411" i="18"/>
  <c r="M1413" i="18"/>
  <c r="M1414" i="18"/>
  <c r="M1415" i="18"/>
  <c r="M1416" i="18"/>
  <c r="M1417" i="18"/>
  <c r="M1418" i="18"/>
  <c r="M1419" i="18"/>
  <c r="M1420" i="18"/>
  <c r="M1421" i="18"/>
  <c r="M1422" i="18"/>
  <c r="M1424" i="18"/>
  <c r="M1425" i="18"/>
  <c r="M1426" i="18"/>
  <c r="M1427" i="18"/>
  <c r="M1428" i="18"/>
  <c r="M1429" i="18"/>
  <c r="M1430" i="18"/>
  <c r="M1431" i="18"/>
  <c r="M1432" i="18"/>
  <c r="M1433" i="18"/>
  <c r="M1435" i="18"/>
  <c r="M1437" i="18"/>
  <c r="M1438" i="18"/>
  <c r="M1439" i="18"/>
  <c r="M1440" i="18"/>
  <c r="M1441" i="18"/>
  <c r="M1442" i="18"/>
  <c r="M1443" i="18"/>
  <c r="M1444" i="18"/>
  <c r="M1445" i="18"/>
  <c r="M1446" i="18"/>
  <c r="M1447" i="18"/>
  <c r="M1448" i="18"/>
  <c r="M1449" i="18"/>
  <c r="M1450" i="18"/>
  <c r="M1451" i="18"/>
  <c r="M1452" i="18"/>
  <c r="M1454" i="18"/>
  <c r="M1455" i="18"/>
  <c r="M1456" i="18"/>
  <c r="M1457" i="18"/>
  <c r="M1458" i="18"/>
  <c r="M1459" i="18"/>
  <c r="M1460" i="18"/>
  <c r="M1461" i="18"/>
  <c r="M1462" i="18"/>
  <c r="N1099" i="18"/>
  <c r="N1101" i="18"/>
  <c r="N1103" i="18"/>
  <c r="N1104" i="18"/>
  <c r="N1105" i="18"/>
  <c r="N1107" i="18"/>
  <c r="N1108" i="18"/>
  <c r="N1109" i="18"/>
  <c r="N1110" i="18"/>
  <c r="N1111" i="18"/>
  <c r="N1112" i="18"/>
  <c r="N1113" i="18"/>
  <c r="N1114" i="18"/>
  <c r="N1115" i="18"/>
  <c r="N1116" i="18"/>
  <c r="N1118" i="18"/>
  <c r="N1119" i="18"/>
  <c r="N1120" i="18"/>
  <c r="N1121" i="18"/>
  <c r="N1122" i="18"/>
  <c r="N1123" i="18"/>
  <c r="N1124" i="18"/>
  <c r="N1125" i="18"/>
  <c r="N1126" i="18"/>
  <c r="N1127" i="18"/>
  <c r="N1128" i="18"/>
  <c r="N1130" i="18"/>
  <c r="N1132" i="18"/>
  <c r="N1134" i="18"/>
  <c r="N1135" i="18"/>
  <c r="N1136" i="18"/>
  <c r="N1138" i="18"/>
  <c r="N1139" i="18"/>
  <c r="N1140" i="18"/>
  <c r="N1141" i="18"/>
  <c r="N1142" i="18"/>
  <c r="N1143" i="18"/>
  <c r="N1144" i="18"/>
  <c r="N1145" i="18"/>
  <c r="N1146" i="18"/>
  <c r="N1147" i="18"/>
  <c r="N1149" i="18"/>
  <c r="N1150" i="18"/>
  <c r="N1151" i="18"/>
  <c r="N1152" i="18"/>
  <c r="N1153" i="18"/>
  <c r="N1154" i="18"/>
  <c r="N1155" i="18"/>
  <c r="N1156" i="18"/>
  <c r="N1157" i="18"/>
  <c r="N1158" i="18"/>
  <c r="N1159" i="18"/>
  <c r="N1161" i="18"/>
  <c r="N1163" i="18"/>
  <c r="N1165" i="18"/>
  <c r="N1166" i="18"/>
  <c r="N1167" i="18"/>
  <c r="N1169" i="18"/>
  <c r="N1170" i="18"/>
  <c r="N1171" i="18"/>
  <c r="N1172" i="18"/>
  <c r="N1173" i="18"/>
  <c r="N1174" i="18"/>
  <c r="N1175" i="18"/>
  <c r="N1176" i="18"/>
  <c r="N1177" i="18"/>
  <c r="N1178" i="18"/>
  <c r="N1180" i="18"/>
  <c r="N1181" i="18"/>
  <c r="N1182" i="18"/>
  <c r="N1183" i="18"/>
  <c r="N1184" i="18"/>
  <c r="N1185" i="18"/>
  <c r="N1186" i="18"/>
  <c r="N1187" i="18"/>
  <c r="N1188" i="18"/>
  <c r="N1189" i="18"/>
  <c r="N1190" i="18"/>
  <c r="N1192" i="18"/>
  <c r="N1194" i="18"/>
  <c r="N1196" i="18"/>
  <c r="N1197" i="18"/>
  <c r="N1198" i="18"/>
  <c r="N1200" i="18"/>
  <c r="N1201" i="18"/>
  <c r="N1202" i="18"/>
  <c r="N1203" i="18"/>
  <c r="N1204" i="18"/>
  <c r="N1205" i="18"/>
  <c r="N1206" i="18"/>
  <c r="N1207" i="18"/>
  <c r="N1208" i="18"/>
  <c r="N1209" i="18"/>
  <c r="N1211" i="18"/>
  <c r="N1212" i="18"/>
  <c r="N1213" i="18"/>
  <c r="N1214" i="18"/>
  <c r="N1215" i="18"/>
  <c r="N1216" i="18"/>
  <c r="N1217" i="18"/>
  <c r="N1218" i="18"/>
  <c r="N1219" i="18"/>
  <c r="N1220" i="18"/>
  <c r="N1221" i="18"/>
  <c r="N1223" i="18"/>
  <c r="N1225" i="18"/>
  <c r="N1227" i="18"/>
  <c r="N1228" i="18"/>
  <c r="N1229" i="18"/>
  <c r="N1231" i="18"/>
  <c r="N1232" i="18"/>
  <c r="N1233" i="18"/>
  <c r="N1234" i="18"/>
  <c r="N1235" i="18"/>
  <c r="N1236" i="18"/>
  <c r="N1237" i="18"/>
  <c r="N1238" i="18"/>
  <c r="N1239" i="18"/>
  <c r="N1240" i="18"/>
  <c r="N1242" i="18"/>
  <c r="N1243" i="18"/>
  <c r="N1244" i="18"/>
  <c r="N1245" i="18"/>
  <c r="N1246" i="18"/>
  <c r="N1247" i="18"/>
  <c r="N1248" i="18"/>
  <c r="N1249" i="18"/>
  <c r="N1250" i="18"/>
  <c r="N1251" i="18"/>
  <c r="N1252" i="18"/>
  <c r="N1254" i="18"/>
  <c r="N1256" i="18"/>
  <c r="N1258" i="18"/>
  <c r="N1259" i="18"/>
  <c r="N1260" i="18"/>
  <c r="N1262" i="18"/>
  <c r="N1263" i="18"/>
  <c r="N1264" i="18"/>
  <c r="N1265" i="18"/>
  <c r="N1266" i="18"/>
  <c r="N1267" i="18"/>
  <c r="N1268" i="18"/>
  <c r="N1269" i="18"/>
  <c r="N1270" i="18"/>
  <c r="N1271" i="18"/>
  <c r="N1273" i="18"/>
  <c r="N1274" i="18"/>
  <c r="N1275" i="18"/>
  <c r="N1276" i="18"/>
  <c r="N1277" i="18"/>
  <c r="N1278" i="18"/>
  <c r="N1279" i="18"/>
  <c r="N1280" i="18"/>
  <c r="N1281" i="18"/>
  <c r="N1282" i="18"/>
  <c r="N1283" i="18"/>
  <c r="N1285" i="18"/>
  <c r="N1287" i="18"/>
  <c r="N1289" i="18"/>
  <c r="N1290" i="18"/>
  <c r="N1291" i="18"/>
  <c r="N1293" i="18"/>
  <c r="N1294" i="18"/>
  <c r="N1295" i="18"/>
  <c r="N1296" i="18"/>
  <c r="N1297" i="18"/>
  <c r="N1298" i="18"/>
  <c r="N1299" i="18"/>
  <c r="N1300" i="18"/>
  <c r="N1301" i="18"/>
  <c r="N1302" i="18"/>
  <c r="N1304" i="18"/>
  <c r="N1305" i="18"/>
  <c r="N1306" i="18"/>
  <c r="N1307" i="18"/>
  <c r="N1308" i="18"/>
  <c r="N1309" i="18"/>
  <c r="N1310" i="18"/>
  <c r="N1311" i="18"/>
  <c r="N1312" i="18"/>
  <c r="N1313" i="18"/>
  <c r="N1315" i="18"/>
  <c r="N1317" i="18"/>
  <c r="N1319" i="18"/>
  <c r="N1320" i="18"/>
  <c r="N1321" i="18"/>
  <c r="N1323" i="18"/>
  <c r="N1324" i="18"/>
  <c r="N1325" i="18"/>
  <c r="N1326" i="18"/>
  <c r="N1327" i="18"/>
  <c r="N1328" i="18"/>
  <c r="N1329" i="18"/>
  <c r="N1330" i="18"/>
  <c r="N1331" i="18"/>
  <c r="N1332" i="18"/>
  <c r="N1334" i="18"/>
  <c r="N1335" i="18"/>
  <c r="N1336" i="18"/>
  <c r="N1337" i="18"/>
  <c r="N1338" i="18"/>
  <c r="N1339" i="18"/>
  <c r="N1340" i="18"/>
  <c r="N1341" i="18"/>
  <c r="N1342" i="18"/>
  <c r="N1343" i="18"/>
  <c r="N1345" i="18"/>
  <c r="N1347" i="18"/>
  <c r="N1349" i="18"/>
  <c r="N1350" i="18"/>
  <c r="N1351" i="18"/>
  <c r="N1353" i="18"/>
  <c r="N1354" i="18"/>
  <c r="N1355" i="18"/>
  <c r="N1356" i="18"/>
  <c r="N1357" i="18"/>
  <c r="N1358" i="18"/>
  <c r="N1359" i="18"/>
  <c r="N1360" i="18"/>
  <c r="N1361" i="18"/>
  <c r="N1362" i="18"/>
  <c r="N1364" i="18"/>
  <c r="N1365" i="18"/>
  <c r="N1366" i="18"/>
  <c r="N1367" i="18"/>
  <c r="N1368" i="18"/>
  <c r="N1369" i="18"/>
  <c r="N1370" i="18"/>
  <c r="N1371" i="18"/>
  <c r="N1372" i="18"/>
  <c r="N1373" i="18"/>
  <c r="N1375" i="18"/>
  <c r="N1377" i="18"/>
  <c r="N1379" i="18"/>
  <c r="N1380" i="18"/>
  <c r="N1381" i="18"/>
  <c r="N1383" i="18"/>
  <c r="N1384" i="18"/>
  <c r="N1385" i="18"/>
  <c r="N1386" i="18"/>
  <c r="N1387" i="18"/>
  <c r="N1388" i="18"/>
  <c r="N1389" i="18"/>
  <c r="N1390" i="18"/>
  <c r="N1391" i="18"/>
  <c r="N1392" i="18"/>
  <c r="N1394" i="18"/>
  <c r="N1395" i="18"/>
  <c r="N1396" i="18"/>
  <c r="N1397" i="18"/>
  <c r="N1398" i="18"/>
  <c r="N1399" i="18"/>
  <c r="N1400" i="18"/>
  <c r="N1401" i="18"/>
  <c r="N1402" i="18"/>
  <c r="N1403" i="18"/>
  <c r="N1405" i="18"/>
  <c r="N1407" i="18"/>
  <c r="N1409" i="18"/>
  <c r="N1410" i="18"/>
  <c r="N1411" i="18"/>
  <c r="N1413" i="18"/>
  <c r="N1414" i="18"/>
  <c r="N1415" i="18"/>
  <c r="N1416" i="18"/>
  <c r="N1417" i="18"/>
  <c r="N1418" i="18"/>
  <c r="N1419" i="18"/>
  <c r="N1420" i="18"/>
  <c r="N1421" i="18"/>
  <c r="N1422" i="18"/>
  <c r="N1424" i="18"/>
  <c r="N1425" i="18"/>
  <c r="N1426" i="18"/>
  <c r="N1427" i="18"/>
  <c r="N1428" i="18"/>
  <c r="N1429" i="18"/>
  <c r="N1430" i="18"/>
  <c r="N1431" i="18"/>
  <c r="N1432" i="18"/>
  <c r="N1433" i="18"/>
  <c r="N1435" i="18"/>
  <c r="N1437" i="18"/>
  <c r="N1438" i="18"/>
  <c r="N1439" i="18"/>
  <c r="N1440" i="18"/>
  <c r="N1441" i="18"/>
  <c r="N1442" i="18"/>
  <c r="N1443" i="18"/>
  <c r="N1444" i="18"/>
  <c r="N1445" i="18"/>
  <c r="N1446" i="18"/>
  <c r="N1447" i="18"/>
  <c r="N1448" i="18"/>
  <c r="N1449" i="18"/>
  <c r="N1450" i="18"/>
  <c r="N1451" i="18"/>
  <c r="N1452" i="18"/>
  <c r="N1454" i="18"/>
  <c r="N1455" i="18"/>
  <c r="N1456" i="18"/>
  <c r="N1457" i="18"/>
  <c r="N1458" i="18"/>
  <c r="N1459" i="18"/>
  <c r="N1460" i="18"/>
  <c r="N1461" i="18"/>
  <c r="N1462" i="18"/>
  <c r="O1099" i="18"/>
  <c r="O1101" i="18"/>
  <c r="O1103" i="18"/>
  <c r="O1104" i="18"/>
  <c r="O1105" i="18"/>
  <c r="O1107" i="18"/>
  <c r="O1108" i="18"/>
  <c r="O1109" i="18"/>
  <c r="O1110" i="18"/>
  <c r="O1111" i="18"/>
  <c r="O1112" i="18"/>
  <c r="O1113" i="18"/>
  <c r="O1114" i="18"/>
  <c r="O1115" i="18"/>
  <c r="O1116" i="18"/>
  <c r="O1118" i="18"/>
  <c r="O1119" i="18"/>
  <c r="O1120" i="18"/>
  <c r="O1121" i="18"/>
  <c r="O1122" i="18"/>
  <c r="O1123" i="18"/>
  <c r="O1124" i="18"/>
  <c r="O1125" i="18"/>
  <c r="O1126" i="18"/>
  <c r="O1127" i="18"/>
  <c r="O1128" i="18"/>
  <c r="O1130" i="18"/>
  <c r="O1132" i="18"/>
  <c r="O1134" i="18"/>
  <c r="O1135" i="18"/>
  <c r="O1136" i="18"/>
  <c r="O1138" i="18"/>
  <c r="O1139" i="18"/>
  <c r="O1140" i="18"/>
  <c r="O1141" i="18"/>
  <c r="O1142" i="18"/>
  <c r="O1143" i="18"/>
  <c r="O1144" i="18"/>
  <c r="O1145" i="18"/>
  <c r="O1146" i="18"/>
  <c r="O1147" i="18"/>
  <c r="O1149" i="18"/>
  <c r="O1150" i="18"/>
  <c r="O1151" i="18"/>
  <c r="O1152" i="18"/>
  <c r="O1153" i="18"/>
  <c r="O1154" i="18"/>
  <c r="O1155" i="18"/>
  <c r="O1156" i="18"/>
  <c r="O1157" i="18"/>
  <c r="O1158" i="18"/>
  <c r="O1159" i="18"/>
  <c r="O1161" i="18"/>
  <c r="O1163" i="18"/>
  <c r="O1165" i="18"/>
  <c r="O1166" i="18"/>
  <c r="O1167" i="18"/>
  <c r="O1169" i="18"/>
  <c r="O1170" i="18"/>
  <c r="O1171" i="18"/>
  <c r="O1172" i="18"/>
  <c r="O1173" i="18"/>
  <c r="O1174" i="18"/>
  <c r="O1175" i="18"/>
  <c r="O1176" i="18"/>
  <c r="O1177" i="18"/>
  <c r="O1178" i="18"/>
  <c r="O1180" i="18"/>
  <c r="O1181" i="18"/>
  <c r="O1182" i="18"/>
  <c r="O1183" i="18"/>
  <c r="O1184" i="18"/>
  <c r="O1185" i="18"/>
  <c r="O1186" i="18"/>
  <c r="O1187" i="18"/>
  <c r="O1188" i="18"/>
  <c r="O1189" i="18"/>
  <c r="O1190" i="18"/>
  <c r="O1192" i="18"/>
  <c r="O1194" i="18"/>
  <c r="O1196" i="18"/>
  <c r="O1197" i="18"/>
  <c r="O1198" i="18"/>
  <c r="O1200" i="18"/>
  <c r="O1201" i="18"/>
  <c r="O1202" i="18"/>
  <c r="O1203" i="18"/>
  <c r="O1204" i="18"/>
  <c r="O1205" i="18"/>
  <c r="O1206" i="18"/>
  <c r="O1207" i="18"/>
  <c r="O1208" i="18"/>
  <c r="O1209" i="18"/>
  <c r="O1211" i="18"/>
  <c r="O1212" i="18"/>
  <c r="O1213" i="18"/>
  <c r="O1214" i="18"/>
  <c r="O1215" i="18"/>
  <c r="O1216" i="18"/>
  <c r="O1217" i="18"/>
  <c r="O1218" i="18"/>
  <c r="O1219" i="18"/>
  <c r="O1220" i="18"/>
  <c r="O1221" i="18"/>
  <c r="O1223" i="18"/>
  <c r="O1225" i="18"/>
  <c r="O1227" i="18"/>
  <c r="O1228" i="18"/>
  <c r="O1229" i="18"/>
  <c r="O1231" i="18"/>
  <c r="O1232" i="18"/>
  <c r="O1233" i="18"/>
  <c r="O1234" i="18"/>
  <c r="O1235" i="18"/>
  <c r="O1236" i="18"/>
  <c r="O1237" i="18"/>
  <c r="O1238" i="18"/>
  <c r="O1239" i="18"/>
  <c r="O1240" i="18"/>
  <c r="O1242" i="18"/>
  <c r="O1243" i="18"/>
  <c r="O1244" i="18"/>
  <c r="O1245" i="18"/>
  <c r="O1246" i="18"/>
  <c r="O1247" i="18"/>
  <c r="O1248" i="18"/>
  <c r="O1249" i="18"/>
  <c r="O1250" i="18"/>
  <c r="O1251" i="18"/>
  <c r="O1252" i="18"/>
  <c r="O1254" i="18"/>
  <c r="O1256" i="18"/>
  <c r="O1258" i="18"/>
  <c r="O1259" i="18"/>
  <c r="O1260" i="18"/>
  <c r="O1262" i="18"/>
  <c r="O1263" i="18"/>
  <c r="O1264" i="18"/>
  <c r="O1265" i="18"/>
  <c r="O1266" i="18"/>
  <c r="O1267" i="18"/>
  <c r="O1268" i="18"/>
  <c r="O1269" i="18"/>
  <c r="O1270" i="18"/>
  <c r="O1271" i="18"/>
  <c r="O1273" i="18"/>
  <c r="O1274" i="18"/>
  <c r="O1275" i="18"/>
  <c r="O1276" i="18"/>
  <c r="O1277" i="18"/>
  <c r="O1278" i="18"/>
  <c r="O1279" i="18"/>
  <c r="O1280" i="18"/>
  <c r="O1281" i="18"/>
  <c r="O1282" i="18"/>
  <c r="O1283" i="18"/>
  <c r="O1285" i="18"/>
  <c r="O1287" i="18"/>
  <c r="O1289" i="18"/>
  <c r="O1290" i="18"/>
  <c r="O1291" i="18"/>
  <c r="O1293" i="18"/>
  <c r="O1294" i="18"/>
  <c r="O1295" i="18"/>
  <c r="O1296" i="18"/>
  <c r="O1297" i="18"/>
  <c r="O1298" i="18"/>
  <c r="O1299" i="18"/>
  <c r="O1300" i="18"/>
  <c r="O1301" i="18"/>
  <c r="O1302" i="18"/>
  <c r="O1304" i="18"/>
  <c r="O1305" i="18"/>
  <c r="O1306" i="18"/>
  <c r="O1307" i="18"/>
  <c r="O1308" i="18"/>
  <c r="O1309" i="18"/>
  <c r="O1310" i="18"/>
  <c r="O1311" i="18"/>
  <c r="O1312" i="18"/>
  <c r="O1313" i="18"/>
  <c r="O1315" i="18"/>
  <c r="O1317" i="18"/>
  <c r="O1319" i="18"/>
  <c r="O1320" i="18"/>
  <c r="O1321" i="18"/>
  <c r="O1323" i="18"/>
  <c r="O1324" i="18"/>
  <c r="O1325" i="18"/>
  <c r="O1326" i="18"/>
  <c r="O1327" i="18"/>
  <c r="O1328" i="18"/>
  <c r="O1329" i="18"/>
  <c r="O1330" i="18"/>
  <c r="O1331" i="18"/>
  <c r="O1332" i="18"/>
  <c r="O1334" i="18"/>
  <c r="O1335" i="18"/>
  <c r="O1336" i="18"/>
  <c r="O1337" i="18"/>
  <c r="O1338" i="18"/>
  <c r="O1339" i="18"/>
  <c r="O1340" i="18"/>
  <c r="O1341" i="18"/>
  <c r="O1342" i="18"/>
  <c r="O1343" i="18"/>
  <c r="O1345" i="18"/>
  <c r="O1347" i="18"/>
  <c r="O1349" i="18"/>
  <c r="O1350" i="18"/>
  <c r="O1351" i="18"/>
  <c r="O1353" i="18"/>
  <c r="O1354" i="18"/>
  <c r="O1355" i="18"/>
  <c r="O1356" i="18"/>
  <c r="O1357" i="18"/>
  <c r="O1358" i="18"/>
  <c r="O1359" i="18"/>
  <c r="O1360" i="18"/>
  <c r="O1361" i="18"/>
  <c r="O1362" i="18"/>
  <c r="O1364" i="18"/>
  <c r="O1365" i="18"/>
  <c r="O1366" i="18"/>
  <c r="O1367" i="18"/>
  <c r="O1368" i="18"/>
  <c r="O1369" i="18"/>
  <c r="O1370" i="18"/>
  <c r="O1371" i="18"/>
  <c r="O1372" i="18"/>
  <c r="O1373" i="18"/>
  <c r="O1375" i="18"/>
  <c r="O1377" i="18"/>
  <c r="O1379" i="18"/>
  <c r="O1380" i="18"/>
  <c r="O1381" i="18"/>
  <c r="O1383" i="18"/>
  <c r="O1384" i="18"/>
  <c r="O1385" i="18"/>
  <c r="O1386" i="18"/>
  <c r="O1387" i="18"/>
  <c r="O1388" i="18"/>
  <c r="O1389" i="18"/>
  <c r="O1390" i="18"/>
  <c r="O1391" i="18"/>
  <c r="O1392" i="18"/>
  <c r="O1394" i="18"/>
  <c r="O1395" i="18"/>
  <c r="O1396" i="18"/>
  <c r="O1397" i="18"/>
  <c r="O1398" i="18"/>
  <c r="O1399" i="18"/>
  <c r="O1400" i="18"/>
  <c r="O1401" i="18"/>
  <c r="O1402" i="18"/>
  <c r="O1403" i="18"/>
  <c r="O1405" i="18"/>
  <c r="O1407" i="18"/>
  <c r="O1409" i="18"/>
  <c r="O1410" i="18"/>
  <c r="O1411" i="18"/>
  <c r="O1413" i="18"/>
  <c r="O1414" i="18"/>
  <c r="O1415" i="18"/>
  <c r="O1416" i="18"/>
  <c r="O1417" i="18"/>
  <c r="O1418" i="18"/>
  <c r="O1419" i="18"/>
  <c r="O1420" i="18"/>
  <c r="O1421" i="18"/>
  <c r="O1422" i="18"/>
  <c r="O1424" i="18"/>
  <c r="O1425" i="18"/>
  <c r="O1426" i="18"/>
  <c r="O1427" i="18"/>
  <c r="O1428" i="18"/>
  <c r="O1429" i="18"/>
  <c r="O1430" i="18"/>
  <c r="O1431" i="18"/>
  <c r="O1432" i="18"/>
  <c r="O1433" i="18"/>
  <c r="O1435" i="18"/>
  <c r="O1437" i="18"/>
  <c r="O1438" i="18"/>
  <c r="O1439" i="18"/>
  <c r="O1440" i="18"/>
  <c r="O1441" i="18"/>
  <c r="O1442" i="18"/>
  <c r="O1443" i="18"/>
  <c r="O1444" i="18"/>
  <c r="O1445" i="18"/>
  <c r="O1446" i="18"/>
  <c r="O1447" i="18"/>
  <c r="O1448" i="18"/>
  <c r="O1449" i="18"/>
  <c r="O1450" i="18"/>
  <c r="O1451" i="18"/>
  <c r="O1452" i="18"/>
  <c r="O1454" i="18"/>
  <c r="O1455" i="18"/>
  <c r="O1456" i="18"/>
  <c r="O1457" i="18"/>
  <c r="O1458" i="18"/>
  <c r="O1459" i="18"/>
  <c r="O1460" i="18"/>
  <c r="O1461" i="18"/>
  <c r="O1462" i="18"/>
  <c r="P1099" i="18"/>
  <c r="P1100" i="18"/>
  <c r="P1101" i="18"/>
  <c r="P1102" i="18"/>
  <c r="P1103" i="18"/>
  <c r="P1104" i="18"/>
  <c r="P1106" i="18"/>
  <c r="P1107" i="18"/>
  <c r="P1108" i="18"/>
  <c r="P1109" i="18"/>
  <c r="P1111" i="18"/>
  <c r="P1112" i="18"/>
  <c r="P1113" i="18"/>
  <c r="P1114" i="18"/>
  <c r="P1115" i="18"/>
  <c r="P1116" i="18"/>
  <c r="P1118" i="18"/>
  <c r="P1119" i="18"/>
  <c r="P1120" i="18"/>
  <c r="P1121" i="18"/>
  <c r="P1123" i="18"/>
  <c r="P1124" i="18"/>
  <c r="P1125" i="18"/>
  <c r="P1126" i="18"/>
  <c r="P1127" i="18"/>
  <c r="P1128" i="18"/>
  <c r="P1130" i="18"/>
  <c r="P1131" i="18"/>
  <c r="P1132" i="18"/>
  <c r="P1133" i="18"/>
  <c r="P1135" i="18"/>
  <c r="P1136" i="18"/>
  <c r="P1137" i="18"/>
  <c r="P1138" i="18"/>
  <c r="P1139" i="18"/>
  <c r="P1140" i="18"/>
  <c r="P1142" i="18"/>
  <c r="P1143" i="18"/>
  <c r="P1144" i="18"/>
  <c r="P1145" i="18"/>
  <c r="P1147" i="18"/>
  <c r="P1148" i="18"/>
  <c r="P1149" i="18"/>
  <c r="P1150" i="18"/>
  <c r="P1151" i="18"/>
  <c r="P1152" i="18"/>
  <c r="P1154" i="18"/>
  <c r="P1155" i="18"/>
  <c r="P1156" i="18"/>
  <c r="P1157" i="18"/>
  <c r="P1159" i="18"/>
  <c r="P1160" i="18"/>
  <c r="P1161" i="18"/>
  <c r="P1162" i="18"/>
  <c r="P1163" i="18"/>
  <c r="P1164" i="18"/>
  <c r="P1166" i="18"/>
  <c r="P1167" i="18"/>
  <c r="P1168" i="18"/>
  <c r="P1169" i="18"/>
  <c r="P1171" i="18"/>
  <c r="P1172" i="18"/>
  <c r="P1173" i="18"/>
  <c r="P1174" i="18"/>
  <c r="P1175" i="18"/>
  <c r="P1176" i="18"/>
  <c r="P1178" i="18"/>
  <c r="P1179" i="18"/>
  <c r="P1180" i="18"/>
  <c r="P1181" i="18"/>
  <c r="P1183" i="18"/>
  <c r="P1184" i="18"/>
  <c r="P1185" i="18"/>
  <c r="P1186" i="18"/>
  <c r="P1187" i="18"/>
  <c r="P1188" i="18"/>
  <c r="P1190" i="18"/>
  <c r="P1191" i="18"/>
  <c r="P1192" i="18"/>
  <c r="P1193" i="18"/>
  <c r="P1195" i="18"/>
  <c r="P1196" i="18"/>
  <c r="P1197" i="18"/>
  <c r="P1198" i="18"/>
  <c r="P1199" i="18"/>
  <c r="P1200" i="18"/>
  <c r="P1202" i="18"/>
  <c r="P1203" i="18"/>
  <c r="P1204" i="18"/>
  <c r="P1205" i="18"/>
  <c r="P1207" i="18"/>
  <c r="P1208" i="18"/>
  <c r="P1209" i="18"/>
  <c r="P1210" i="18"/>
  <c r="P1211" i="18"/>
  <c r="P1212" i="18"/>
  <c r="P1214" i="18"/>
  <c r="P1215" i="18"/>
  <c r="P1216" i="18"/>
  <c r="P1217" i="18"/>
  <c r="P1219" i="18"/>
  <c r="P1220" i="18"/>
  <c r="P1221" i="18"/>
  <c r="P1222" i="18"/>
  <c r="P1223" i="18"/>
  <c r="P1224" i="18"/>
  <c r="P1226" i="18"/>
  <c r="P1227" i="18"/>
  <c r="P1228" i="18"/>
  <c r="P1229" i="18"/>
  <c r="P1231" i="18"/>
  <c r="P1232" i="18"/>
  <c r="P1233" i="18"/>
  <c r="P1234" i="18"/>
  <c r="P1235" i="18"/>
  <c r="P1236" i="18"/>
  <c r="P1238" i="18"/>
  <c r="P1239" i="18"/>
  <c r="P1240" i="18"/>
  <c r="P1241" i="18"/>
  <c r="P1243" i="18"/>
  <c r="P1244" i="18"/>
  <c r="P1245" i="18"/>
  <c r="P1246" i="18"/>
  <c r="P1247" i="18"/>
  <c r="P1248" i="18"/>
  <c r="P1250" i="18"/>
  <c r="P1251" i="18"/>
  <c r="P1252" i="18"/>
  <c r="P1253" i="18"/>
  <c r="P1255" i="18"/>
  <c r="P1256" i="18"/>
  <c r="P1257" i="18"/>
  <c r="P1258" i="18"/>
  <c r="P1259" i="18"/>
  <c r="P1260" i="18"/>
  <c r="P1262" i="18"/>
  <c r="P1263" i="18"/>
  <c r="P1264" i="18"/>
  <c r="P1265" i="18"/>
  <c r="P1267" i="18"/>
  <c r="P1268" i="18"/>
  <c r="P1269" i="18"/>
  <c r="P1270" i="18"/>
  <c r="P1271" i="18"/>
  <c r="P1272" i="18"/>
  <c r="P1274" i="18"/>
  <c r="P1275" i="18"/>
  <c r="P1276" i="18"/>
  <c r="P1277" i="18"/>
  <c r="P1279" i="18"/>
  <c r="P1280" i="18"/>
  <c r="P1281" i="18"/>
  <c r="P1282" i="18"/>
  <c r="P1283" i="18"/>
  <c r="P1284" i="18"/>
  <c r="P1286" i="18"/>
  <c r="P1287" i="18"/>
  <c r="P1288" i="18"/>
  <c r="P1289" i="18"/>
  <c r="P1291" i="18"/>
  <c r="P1292" i="18"/>
  <c r="P1293" i="18"/>
  <c r="P1294" i="18"/>
  <c r="P1295" i="18"/>
  <c r="P1296" i="18"/>
  <c r="P1298" i="18"/>
  <c r="P1299" i="18"/>
  <c r="P1300" i="18"/>
  <c r="P1301" i="18"/>
  <c r="P1303" i="18"/>
  <c r="P1304" i="18"/>
  <c r="P1305" i="18"/>
  <c r="P1306" i="18"/>
  <c r="P1307" i="18"/>
  <c r="P1308" i="18"/>
  <c r="P1310" i="18"/>
  <c r="P1311" i="18"/>
  <c r="P1312" i="18"/>
  <c r="P1313" i="18"/>
  <c r="P1315" i="18"/>
  <c r="P1316" i="18"/>
  <c r="P1317" i="18"/>
  <c r="P1318" i="18"/>
  <c r="P1319" i="18"/>
  <c r="P1320" i="18"/>
  <c r="P1322" i="18"/>
  <c r="P1323" i="18"/>
  <c r="P1324" i="18"/>
  <c r="P1325" i="18"/>
  <c r="P1327" i="18"/>
  <c r="P1328" i="18"/>
  <c r="P1329" i="18"/>
  <c r="P1330" i="18"/>
  <c r="P1331" i="18"/>
  <c r="P1332" i="18"/>
  <c r="P1334" i="18"/>
  <c r="P1335" i="18"/>
  <c r="P1336" i="18"/>
  <c r="P1337" i="18"/>
  <c r="P1339" i="18"/>
  <c r="P1340" i="18"/>
  <c r="P1341" i="18"/>
  <c r="P1342" i="18"/>
  <c r="P1343" i="18"/>
  <c r="P1344" i="18"/>
  <c r="P1346" i="18"/>
  <c r="P1347" i="18"/>
  <c r="P1348" i="18"/>
  <c r="P1349" i="18"/>
  <c r="P1351" i="18"/>
  <c r="P1352" i="18"/>
  <c r="P1353" i="18"/>
  <c r="P1354" i="18"/>
  <c r="P1355" i="18"/>
  <c r="P1356" i="18"/>
  <c r="P1358" i="18"/>
  <c r="P1359" i="18"/>
  <c r="P1360" i="18"/>
  <c r="P1361" i="18"/>
  <c r="P1363" i="18"/>
  <c r="P1364" i="18"/>
  <c r="P1365" i="18"/>
  <c r="P1366" i="18"/>
  <c r="P1367" i="18"/>
  <c r="P1368" i="18"/>
  <c r="P1370" i="18"/>
  <c r="P1371" i="18"/>
  <c r="P1372" i="18"/>
  <c r="P1373" i="18"/>
  <c r="P1375" i="18"/>
  <c r="P1376" i="18"/>
  <c r="P1377" i="18"/>
  <c r="P1378" i="18"/>
  <c r="P1379" i="18"/>
  <c r="P1380" i="18"/>
  <c r="P1382" i="18"/>
  <c r="P1383" i="18"/>
  <c r="P1384" i="18"/>
  <c r="P1385" i="18"/>
  <c r="P1387" i="18"/>
  <c r="P1388" i="18"/>
  <c r="P1389" i="18"/>
  <c r="P1390" i="18"/>
  <c r="P1391" i="18"/>
  <c r="P1392" i="18"/>
  <c r="P1394" i="18"/>
  <c r="P1395" i="18"/>
  <c r="P1396" i="18"/>
  <c r="P1397" i="18"/>
  <c r="P1399" i="18"/>
  <c r="P1400" i="18"/>
  <c r="P1401" i="18"/>
  <c r="P1402" i="18"/>
  <c r="P1403" i="18"/>
  <c r="P1404" i="18"/>
  <c r="P1406" i="18"/>
  <c r="P1407" i="18"/>
  <c r="P1408" i="18"/>
  <c r="P1409" i="18"/>
  <c r="P1411" i="18"/>
  <c r="P1412" i="18"/>
  <c r="P1413" i="18"/>
  <c r="P1414" i="18"/>
  <c r="P1415" i="18"/>
  <c r="P1416" i="18"/>
  <c r="P1418" i="18"/>
  <c r="P1419" i="18"/>
  <c r="P1420" i="18"/>
  <c r="P1421" i="18"/>
  <c r="P1423" i="18"/>
  <c r="P1424" i="18"/>
  <c r="P1425" i="18"/>
  <c r="P1426" i="18"/>
  <c r="P1427" i="18"/>
  <c r="P1428" i="18"/>
  <c r="P1430" i="18"/>
  <c r="P1431" i="18"/>
  <c r="P1432" i="18"/>
  <c r="P1433" i="18"/>
  <c r="P1435" i="18"/>
  <c r="P1436" i="18"/>
  <c r="P1437" i="18"/>
  <c r="P1438" i="18"/>
  <c r="P1439" i="18"/>
  <c r="P1440" i="18"/>
  <c r="P1442" i="18"/>
  <c r="P1443" i="18"/>
  <c r="P1444" i="18"/>
  <c r="P1445" i="18"/>
  <c r="P1447" i="18"/>
  <c r="P1448" i="18"/>
  <c r="P1449" i="18"/>
  <c r="P1450" i="18"/>
  <c r="P1451" i="18"/>
  <c r="P1452" i="18"/>
  <c r="P1454" i="18"/>
  <c r="P1455" i="18"/>
  <c r="P1456" i="18"/>
  <c r="P1457" i="18"/>
  <c r="P1459" i="18"/>
  <c r="P1460" i="18"/>
  <c r="P1461" i="18"/>
  <c r="P1462" i="18"/>
  <c r="Q1099" i="18"/>
  <c r="Q1101" i="18"/>
  <c r="Q1103" i="18"/>
  <c r="Q1104" i="18"/>
  <c r="Q1105" i="18"/>
  <c r="Q1107" i="18"/>
  <c r="Q1108" i="18"/>
  <c r="Q1109" i="18"/>
  <c r="Q1110" i="18"/>
  <c r="Q1111" i="18"/>
  <c r="Q1112" i="18"/>
  <c r="Q1113" i="18"/>
  <c r="Q1114" i="18"/>
  <c r="Q1115" i="18"/>
  <c r="Q1116" i="18"/>
  <c r="Q1118" i="18"/>
  <c r="Q1119" i="18"/>
  <c r="Q1120" i="18"/>
  <c r="Q1121" i="18"/>
  <c r="Q1122" i="18"/>
  <c r="Q1123" i="18"/>
  <c r="Q1124" i="18"/>
  <c r="Q1125" i="18"/>
  <c r="Q1126" i="18"/>
  <c r="Q1127" i="18"/>
  <c r="Q1128" i="18"/>
  <c r="Q1130" i="18"/>
  <c r="Q1132" i="18"/>
  <c r="Q1134" i="18"/>
  <c r="Q1135" i="18"/>
  <c r="Q1136" i="18"/>
  <c r="Q1138" i="18"/>
  <c r="Q1139" i="18"/>
  <c r="Q1140" i="18"/>
  <c r="Q1141" i="18"/>
  <c r="Q1142" i="18"/>
  <c r="Q1143" i="18"/>
  <c r="Q1144" i="18"/>
  <c r="Q1145" i="18"/>
  <c r="Q1146" i="18"/>
  <c r="Q1147" i="18"/>
  <c r="Q1149" i="18"/>
  <c r="Q1150" i="18"/>
  <c r="Q1151" i="18"/>
  <c r="Q1152" i="18"/>
  <c r="Q1153" i="18"/>
  <c r="Q1154" i="18"/>
  <c r="Q1155" i="18"/>
  <c r="Q1156" i="18"/>
  <c r="Q1157" i="18"/>
  <c r="Q1158" i="18"/>
  <c r="Q1159" i="18"/>
  <c r="Q1161" i="18"/>
  <c r="Q1163" i="18"/>
  <c r="Q1165" i="18"/>
  <c r="Q1166" i="18"/>
  <c r="Q1167" i="18"/>
  <c r="Q1169" i="18"/>
  <c r="Q1170" i="18"/>
  <c r="Q1171" i="18"/>
  <c r="Q1172" i="18"/>
  <c r="Q1173" i="18"/>
  <c r="Q1174" i="18"/>
  <c r="Q1175" i="18"/>
  <c r="Q1176" i="18"/>
  <c r="Q1177" i="18"/>
  <c r="Q1178" i="18"/>
  <c r="Q1180" i="18"/>
  <c r="Q1181" i="18"/>
  <c r="Q1182" i="18"/>
  <c r="Q1183" i="18"/>
  <c r="Q1184" i="18"/>
  <c r="Q1185" i="18"/>
  <c r="Q1186" i="18"/>
  <c r="Q1187" i="18"/>
  <c r="Q1188" i="18"/>
  <c r="Q1189" i="18"/>
  <c r="Q1190" i="18"/>
  <c r="Q1192" i="18"/>
  <c r="Q1194" i="18"/>
  <c r="Q1196" i="18"/>
  <c r="Q1197" i="18"/>
  <c r="Q1198" i="18"/>
  <c r="Q1200" i="18"/>
  <c r="Q1201" i="18"/>
  <c r="Q1202" i="18"/>
  <c r="Q1203" i="18"/>
  <c r="Q1204" i="18"/>
  <c r="Q1205" i="18"/>
  <c r="Q1206" i="18"/>
  <c r="Q1207" i="18"/>
  <c r="Q1208" i="18"/>
  <c r="Q1209" i="18"/>
  <c r="Q1211" i="18"/>
  <c r="Q1212" i="18"/>
  <c r="Q1213" i="18"/>
  <c r="Q1214" i="18"/>
  <c r="Q1215" i="18"/>
  <c r="Q1216" i="18"/>
  <c r="Q1217" i="18"/>
  <c r="Q1218" i="18"/>
  <c r="Q1219" i="18"/>
  <c r="Q1220" i="18"/>
  <c r="Q1221" i="18"/>
  <c r="Q1223" i="18"/>
  <c r="Q1225" i="18"/>
  <c r="Q1227" i="18"/>
  <c r="Q1228" i="18"/>
  <c r="Q1229" i="18"/>
  <c r="Q1231" i="18"/>
  <c r="Q1232" i="18"/>
  <c r="Q1233" i="18"/>
  <c r="Q1234" i="18"/>
  <c r="Q1235" i="18"/>
  <c r="Q1236" i="18"/>
  <c r="Q1237" i="18"/>
  <c r="Q1238" i="18"/>
  <c r="Q1239" i="18"/>
  <c r="Q1240" i="18"/>
  <c r="Q1242" i="18"/>
  <c r="Q1243" i="18"/>
  <c r="Q1244" i="18"/>
  <c r="Q1245" i="18"/>
  <c r="Q1246" i="18"/>
  <c r="Q1247" i="18"/>
  <c r="Q1248" i="18"/>
  <c r="Q1249" i="18"/>
  <c r="Q1250" i="18"/>
  <c r="Q1251" i="18"/>
  <c r="Q1252" i="18"/>
  <c r="Q1254" i="18"/>
  <c r="Q1256" i="18"/>
  <c r="Q1258" i="18"/>
  <c r="Q1259" i="18"/>
  <c r="Q1260" i="18"/>
  <c r="Q1262" i="18"/>
  <c r="Q1263" i="18"/>
  <c r="Q1264" i="18"/>
  <c r="Q1265" i="18"/>
  <c r="Q1266" i="18"/>
  <c r="Q1267" i="18"/>
  <c r="Q1268" i="18"/>
  <c r="Q1269" i="18"/>
  <c r="Q1270" i="18"/>
  <c r="Q1271" i="18"/>
  <c r="Q1273" i="18"/>
  <c r="Q1274" i="18"/>
  <c r="Q1275" i="18"/>
  <c r="Q1276" i="18"/>
  <c r="Q1277" i="18"/>
  <c r="Q1278" i="18"/>
  <c r="Q1279" i="18"/>
  <c r="Q1280" i="18"/>
  <c r="Q1281" i="18"/>
  <c r="Q1282" i="18"/>
  <c r="Q1283" i="18"/>
  <c r="Q1285" i="18"/>
  <c r="Q1287" i="18"/>
  <c r="Q1289" i="18"/>
  <c r="Q1290" i="18"/>
  <c r="Q1291" i="18"/>
  <c r="Q1293" i="18"/>
  <c r="Q1294" i="18"/>
  <c r="Q1295" i="18"/>
  <c r="Q1296" i="18"/>
  <c r="Q1297" i="18"/>
  <c r="Q1298" i="18"/>
  <c r="Q1299" i="18"/>
  <c r="Q1300" i="18"/>
  <c r="Q1301" i="18"/>
  <c r="Q1302" i="18"/>
  <c r="Q1304" i="18"/>
  <c r="Q1305" i="18"/>
  <c r="Q1306" i="18"/>
  <c r="Q1307" i="18"/>
  <c r="Q1308" i="18"/>
  <c r="Q1309" i="18"/>
  <c r="Q1310" i="18"/>
  <c r="Q1311" i="18"/>
  <c r="Q1312" i="18"/>
  <c r="Q1313" i="18"/>
  <c r="Q1315" i="18"/>
  <c r="Q1317" i="18"/>
  <c r="Q1319" i="18"/>
  <c r="Q1320" i="18"/>
  <c r="Q1321" i="18"/>
  <c r="Q1323" i="18"/>
  <c r="Q1324" i="18"/>
  <c r="Q1325" i="18"/>
  <c r="Q1326" i="18"/>
  <c r="Q1327" i="18"/>
  <c r="Q1328" i="18"/>
  <c r="Q1329" i="18"/>
  <c r="Q1330" i="18"/>
  <c r="Q1331" i="18"/>
  <c r="Q1332" i="18"/>
  <c r="Q1334" i="18"/>
  <c r="Q1335" i="18"/>
  <c r="Q1336" i="18"/>
  <c r="Q1337" i="18"/>
  <c r="Q1338" i="18"/>
  <c r="Q1339" i="18"/>
  <c r="Q1340" i="18"/>
  <c r="Q1341" i="18"/>
  <c r="Q1342" i="18"/>
  <c r="Q1343" i="18"/>
  <c r="Q1345" i="18"/>
  <c r="Q1347" i="18"/>
  <c r="Q1349" i="18"/>
  <c r="Q1350" i="18"/>
  <c r="Q1351" i="18"/>
  <c r="Q1353" i="18"/>
  <c r="Q1354" i="18"/>
  <c r="Q1355" i="18"/>
  <c r="Q1356" i="18"/>
  <c r="Q1357" i="18"/>
  <c r="Q1358" i="18"/>
  <c r="Q1359" i="18"/>
  <c r="Q1360" i="18"/>
  <c r="Q1361" i="18"/>
  <c r="Q1362" i="18"/>
  <c r="Q1364" i="18"/>
  <c r="Q1365" i="18"/>
  <c r="Q1366" i="18"/>
  <c r="Q1367" i="18"/>
  <c r="Q1368" i="18"/>
  <c r="Q1369" i="18"/>
  <c r="Q1370" i="18"/>
  <c r="Q1371" i="18"/>
  <c r="Q1372" i="18"/>
  <c r="Q1373" i="18"/>
  <c r="Q1375" i="18"/>
  <c r="Q1377" i="18"/>
  <c r="Q1379" i="18"/>
  <c r="Q1380" i="18"/>
  <c r="Q1381" i="18"/>
  <c r="Q1383" i="18"/>
  <c r="Q1384" i="18"/>
  <c r="Q1385" i="18"/>
  <c r="Q1386" i="18"/>
  <c r="Q1387" i="18"/>
  <c r="Q1388" i="18"/>
  <c r="Q1389" i="18"/>
  <c r="Q1390" i="18"/>
  <c r="Q1391" i="18"/>
  <c r="Q1392" i="18"/>
  <c r="Q1394" i="18"/>
  <c r="Q1395" i="18"/>
  <c r="Q1396" i="18"/>
  <c r="Q1397" i="18"/>
  <c r="Q1398" i="18"/>
  <c r="Q1399" i="18"/>
  <c r="Q1400" i="18"/>
  <c r="Q1401" i="18"/>
  <c r="Q1402" i="18"/>
  <c r="Q1403" i="18"/>
  <c r="Q1405" i="18"/>
  <c r="Q1407" i="18"/>
  <c r="Q1409" i="18"/>
  <c r="Q1410" i="18"/>
  <c r="Q1411" i="18"/>
  <c r="Q1413" i="18"/>
  <c r="Q1414" i="18"/>
  <c r="Q1415" i="18"/>
  <c r="Q1416" i="18"/>
  <c r="Q1417" i="18"/>
  <c r="Q1418" i="18"/>
  <c r="Q1419" i="18"/>
  <c r="Q1420" i="18"/>
  <c r="Q1421" i="18"/>
  <c r="Q1422" i="18"/>
  <c r="Q1424" i="18"/>
  <c r="Q1425" i="18"/>
  <c r="Q1426" i="18"/>
  <c r="Q1427" i="18"/>
  <c r="Q1428" i="18"/>
  <c r="Q1429" i="18"/>
  <c r="Q1430" i="18"/>
  <c r="Q1431" i="18"/>
  <c r="Q1432" i="18"/>
  <c r="Q1433" i="18"/>
  <c r="Q1435" i="18"/>
  <c r="Q1437" i="18"/>
  <c r="Q1438" i="18"/>
  <c r="Q1439" i="18"/>
  <c r="Q1440" i="18"/>
  <c r="Q1441" i="18"/>
  <c r="Q1442" i="18"/>
  <c r="Q1443" i="18"/>
  <c r="Q1444" i="18"/>
  <c r="Q1445" i="18"/>
  <c r="Q1446" i="18"/>
  <c r="Q1447" i="18"/>
  <c r="Q1448" i="18"/>
  <c r="Q1449" i="18"/>
  <c r="Q1450" i="18"/>
  <c r="Q1451" i="18"/>
  <c r="Q1452" i="18"/>
  <c r="Q1454" i="18"/>
  <c r="Q1455" i="18"/>
  <c r="Q1456" i="18"/>
  <c r="Q1457" i="18"/>
  <c r="Q1458" i="18"/>
  <c r="Q1459" i="18"/>
  <c r="Q1460" i="18"/>
  <c r="Q1461" i="18"/>
  <c r="Q1462" i="18"/>
  <c r="E234" i="15"/>
  <c r="E224" i="15"/>
  <c r="E222" i="15"/>
  <c r="E216" i="15"/>
  <c r="E215" i="15"/>
  <c r="E182" i="15"/>
  <c r="E177" i="15"/>
  <c r="E158" i="15"/>
  <c r="E154" i="15"/>
  <c r="E156" i="15"/>
  <c r="E155" i="15"/>
  <c r="E143" i="15"/>
  <c r="E133" i="15"/>
  <c r="E132" i="15"/>
  <c r="E130" i="15"/>
  <c r="E129" i="15"/>
  <c r="E128" i="15"/>
  <c r="E106" i="15"/>
  <c r="E107" i="15"/>
  <c r="F2" i="15"/>
  <c r="F3" i="15" s="1"/>
  <c r="F4" i="15" s="1"/>
  <c r="F5" i="15" s="1"/>
  <c r="F6" i="15" s="1"/>
  <c r="F7" i="15" s="1"/>
  <c r="F8" i="15" s="1"/>
  <c r="F9" i="15" s="1"/>
  <c r="G19" i="16"/>
  <c r="E80" i="15"/>
  <c r="E78" i="15"/>
  <c r="E70" i="15"/>
  <c r="E62" i="15"/>
  <c r="E52" i="15"/>
  <c r="E56" i="15"/>
  <c r="E46" i="15"/>
  <c r="E349" i="15"/>
  <c r="G16" i="16"/>
  <c r="H2051" i="18" l="1"/>
  <c r="H1955" i="18"/>
  <c r="H1895" i="18"/>
  <c r="H1896" i="18" s="1"/>
  <c r="H1897" i="18" s="1"/>
  <c r="H1898" i="18" s="1"/>
  <c r="H1899" i="18" s="1"/>
  <c r="H1900" i="18" s="1"/>
  <c r="H1901" i="18" s="1"/>
  <c r="H1902" i="18" s="1"/>
  <c r="H1903" i="18" s="1"/>
  <c r="H1904" i="18" s="1"/>
  <c r="H1905" i="18" s="1"/>
  <c r="H1906" i="18" s="1"/>
  <c r="H1907" i="18" s="1"/>
  <c r="H1908" i="18" s="1"/>
  <c r="H1909" i="18" s="1"/>
  <c r="H1910" i="18" s="1"/>
  <c r="H1911" i="18" s="1"/>
  <c r="H1912" i="18" s="1"/>
  <c r="H1913" i="18" s="1"/>
  <c r="H1914" i="18" s="1"/>
  <c r="H1915" i="18" s="1"/>
  <c r="H1916" i="18" s="1"/>
  <c r="H1917" i="18" s="1"/>
  <c r="H1918" i="18" s="1"/>
  <c r="H1919" i="18" s="1"/>
  <c r="H1859" i="18"/>
  <c r="P1815" i="18"/>
  <c r="P1803" i="18"/>
  <c r="P1791" i="18"/>
  <c r="P1779" i="18"/>
  <c r="P1767" i="18"/>
  <c r="P1755" i="18"/>
  <c r="P1743" i="18"/>
  <c r="P1731" i="18"/>
  <c r="P1719" i="18"/>
  <c r="P1707" i="18"/>
  <c r="P1695" i="18"/>
  <c r="P1683" i="18"/>
  <c r="P1671" i="18"/>
  <c r="P1659" i="18"/>
  <c r="P1647" i="18"/>
  <c r="P1635" i="18"/>
  <c r="P1623" i="18"/>
  <c r="P1611" i="18"/>
  <c r="P1599" i="18"/>
  <c r="P1587" i="18"/>
  <c r="P1575" i="18"/>
  <c r="P1563" i="18"/>
  <c r="P1551" i="18"/>
  <c r="P1539" i="18"/>
  <c r="P1527" i="18"/>
  <c r="P1515" i="18"/>
  <c r="P1503" i="18"/>
  <c r="P1491" i="18"/>
  <c r="P1479" i="18"/>
  <c r="P1467" i="18"/>
  <c r="H2073" i="18"/>
  <c r="H2013" i="18"/>
  <c r="H2014" i="18" s="1"/>
  <c r="P1458" i="18"/>
  <c r="P1446" i="18"/>
  <c r="P1434" i="18"/>
  <c r="P1422" i="18"/>
  <c r="P1410" i="18"/>
  <c r="P1398" i="18"/>
  <c r="P1386" i="18"/>
  <c r="P1374" i="18"/>
  <c r="P1362" i="18"/>
  <c r="P1350" i="18"/>
  <c r="P1338" i="18"/>
  <c r="P1326" i="18"/>
  <c r="P1314" i="18"/>
  <c r="P1302" i="18"/>
  <c r="P1290" i="18"/>
  <c r="P1278" i="18"/>
  <c r="P1266" i="18"/>
  <c r="P1254" i="18"/>
  <c r="P1242" i="18"/>
  <c r="P1230" i="18"/>
  <c r="P1218" i="18"/>
  <c r="P1206" i="18"/>
  <c r="P1194" i="18"/>
  <c r="P1182" i="18"/>
  <c r="P1170" i="18"/>
  <c r="P1158" i="18"/>
  <c r="P1146" i="18"/>
  <c r="P1134" i="18"/>
  <c r="P1122" i="18"/>
  <c r="P1110" i="18"/>
  <c r="P1098" i="18"/>
  <c r="H2104" i="18"/>
  <c r="H2105" i="18" s="1"/>
  <c r="H2106" i="18" s="1"/>
  <c r="H2107" i="18" s="1"/>
  <c r="H2108" i="18" s="1"/>
  <c r="H2109" i="18" s="1"/>
  <c r="H2110" i="18" s="1"/>
  <c r="H2135" i="18"/>
  <c r="H2136" i="18" s="1"/>
  <c r="H2137" i="18" s="1"/>
  <c r="H2138" i="18" s="1"/>
  <c r="H2139" i="18" s="1"/>
  <c r="H2140" i="18" s="1"/>
  <c r="H2141" i="18" s="1"/>
  <c r="H2142" i="18" s="1"/>
  <c r="H2143" i="18" s="1"/>
  <c r="H2144" i="18" s="1"/>
  <c r="H2145" i="18" s="1"/>
  <c r="H2146" i="18" s="1"/>
  <c r="H2147" i="18" s="1"/>
  <c r="H2148" i="18" s="1"/>
  <c r="H2149" i="18" s="1"/>
  <c r="H2150" i="18" s="1"/>
  <c r="H2151" i="18" s="1"/>
  <c r="H2152" i="18" s="1"/>
  <c r="H2153" i="18" s="1"/>
  <c r="H2154" i="18" s="1"/>
  <c r="H2155" i="18" s="1"/>
  <c r="H2156" i="18" s="1"/>
  <c r="H2157" i="18" s="1"/>
  <c r="H2158" i="18" s="1"/>
  <c r="H2159" i="18" s="1"/>
  <c r="H2160" i="18" s="1"/>
  <c r="H2161" i="18" s="1"/>
  <c r="H2162" i="18" s="1"/>
  <c r="H2074" i="18"/>
  <c r="H2075" i="18" s="1"/>
  <c r="H2076" i="18" s="1"/>
  <c r="H2077" i="18" s="1"/>
  <c r="H2078" i="18" s="1"/>
  <c r="H2079" i="18" s="1"/>
  <c r="H2080" i="18" s="1"/>
  <c r="H2081" i="18" s="1"/>
  <c r="H2082" i="18" s="1"/>
  <c r="H2083" i="18" s="1"/>
  <c r="H2084" i="18" s="1"/>
  <c r="H2085" i="18" s="1"/>
  <c r="H2086" i="18" s="1"/>
  <c r="H2087" i="18" s="1"/>
  <c r="H2088" i="18" s="1"/>
  <c r="H2089" i="18" s="1"/>
  <c r="H2090" i="18" s="1"/>
  <c r="H2091" i="18" s="1"/>
  <c r="H2092" i="18" s="1"/>
  <c r="H2093" i="18" s="1"/>
  <c r="H2094" i="18" s="1"/>
  <c r="H2095" i="18" s="1"/>
  <c r="H2096" i="18" s="1"/>
  <c r="H2097" i="18" s="1"/>
  <c r="H2098" i="18" s="1"/>
  <c r="H2099" i="18" s="1"/>
  <c r="H2100" i="18" s="1"/>
  <c r="H2101" i="18" s="1"/>
  <c r="H2102" i="18" s="1"/>
  <c r="H1983" i="18"/>
  <c r="H1984" i="18" s="1"/>
  <c r="H1985" i="18" s="1"/>
  <c r="H1986" i="18" s="1"/>
  <c r="H1987" i="18" s="1"/>
  <c r="H1988" i="18" s="1"/>
  <c r="H1989" i="18" s="1"/>
  <c r="H1990" i="18" s="1"/>
  <c r="H1991" i="18" s="1"/>
  <c r="H1992" i="18" s="1"/>
  <c r="H1993" i="18" s="1"/>
  <c r="H1994" i="18" s="1"/>
  <c r="H1995" i="18" s="1"/>
  <c r="H1996" i="18" s="1"/>
  <c r="H1997" i="18" s="1"/>
  <c r="H1998" i="18" s="1"/>
  <c r="H1999" i="18" s="1"/>
  <c r="H2000" i="18" s="1"/>
  <c r="H2001" i="18" s="1"/>
  <c r="H2002" i="18" s="1"/>
  <c r="H2003" i="18" s="1"/>
  <c r="H2004" i="18" s="1"/>
  <c r="H2005" i="18" s="1"/>
  <c r="H2006" i="18" s="1"/>
  <c r="H2007" i="18" s="1"/>
  <c r="H2008" i="18" s="1"/>
  <c r="H2009" i="18" s="1"/>
  <c r="H2010" i="18" s="1"/>
  <c r="H2011" i="18" s="1"/>
  <c r="H2012" i="18" s="1"/>
  <c r="H2164" i="18"/>
  <c r="H2165" i="18" s="1"/>
  <c r="H2166" i="18" s="1"/>
  <c r="H2167" i="18" s="1"/>
  <c r="H2168" i="18" s="1"/>
  <c r="H2169" i="18" s="1"/>
  <c r="H2170" i="18" s="1"/>
  <c r="H2171" i="18" s="1"/>
  <c r="H2172" i="18" s="1"/>
  <c r="H2173" i="18" s="1"/>
  <c r="H2174" i="18" s="1"/>
  <c r="H2175" i="18" s="1"/>
  <c r="H2176" i="18" s="1"/>
  <c r="H2177" i="18" s="1"/>
  <c r="H2178" i="18" s="1"/>
  <c r="H2179" i="18" s="1"/>
  <c r="H2180" i="18" s="1"/>
  <c r="H2181" i="18" s="1"/>
  <c r="H2182" i="18" s="1"/>
  <c r="H2183" i="18" s="1"/>
  <c r="H2184" i="18" s="1"/>
  <c r="H2185" i="18" s="1"/>
  <c r="H2186" i="18" s="1"/>
  <c r="H2187" i="18" s="1"/>
  <c r="H2188" i="18" s="1"/>
  <c r="H2189" i="18" s="1"/>
  <c r="H2190" i="18" s="1"/>
  <c r="H2191" i="18" s="1"/>
  <c r="H2111" i="18"/>
  <c r="H2112" i="18" s="1"/>
  <c r="H2113" i="18" s="1"/>
  <c r="H2114" i="18" s="1"/>
  <c r="H2115" i="18" s="1"/>
  <c r="H2116" i="18" s="1"/>
  <c r="H2117" i="18" s="1"/>
  <c r="H2118" i="18" s="1"/>
  <c r="H2119" i="18" s="1"/>
  <c r="H2120" i="18" s="1"/>
  <c r="H2121" i="18" s="1"/>
  <c r="H2122" i="18" s="1"/>
  <c r="H2123" i="18" s="1"/>
  <c r="H2124" i="18" s="1"/>
  <c r="H2125" i="18" s="1"/>
  <c r="H2126" i="18" s="1"/>
  <c r="H2127" i="18" s="1"/>
  <c r="H2128" i="18" s="1"/>
  <c r="H2129" i="18" s="1"/>
  <c r="H2130" i="18" s="1"/>
  <c r="H2131" i="18" s="1"/>
  <c r="H2132" i="18" s="1"/>
  <c r="H2015" i="18"/>
  <c r="H2016" i="18" s="1"/>
  <c r="H2017" i="18" s="1"/>
  <c r="H2018" i="18" s="1"/>
  <c r="H2019" i="18" s="1"/>
  <c r="H2020" i="18" s="1"/>
  <c r="H2021" i="18" s="1"/>
  <c r="H2022" i="18" s="1"/>
  <c r="H2023" i="18" s="1"/>
  <c r="H2024" i="18" s="1"/>
  <c r="H2025" i="18" s="1"/>
  <c r="H2026" i="18" s="1"/>
  <c r="H2027" i="18" s="1"/>
  <c r="H2028" i="18" s="1"/>
  <c r="H2029" i="18" s="1"/>
  <c r="H2030" i="18" s="1"/>
  <c r="H2031" i="18" s="1"/>
  <c r="H2032" i="18" s="1"/>
  <c r="H2033" i="18" s="1"/>
  <c r="H2034" i="18" s="1"/>
  <c r="H2035" i="18" s="1"/>
  <c r="H2036" i="18" s="1"/>
  <c r="H2037" i="18" s="1"/>
  <c r="H2038" i="18" s="1"/>
  <c r="H2039" i="18" s="1"/>
  <c r="H2040" i="18" s="1"/>
  <c r="H2041" i="18" s="1"/>
  <c r="H2042" i="18" s="1"/>
  <c r="H1835" i="18"/>
  <c r="H1836" i="18" s="1"/>
  <c r="H1837" i="18" s="1"/>
  <c r="H1838" i="18" s="1"/>
  <c r="H1839" i="18" s="1"/>
  <c r="H1840" i="18" s="1"/>
  <c r="H1841" i="18" s="1"/>
  <c r="H1842" i="18" s="1"/>
  <c r="H1843" i="18" s="1"/>
  <c r="H1844" i="18" s="1"/>
  <c r="H1845" i="18" s="1"/>
  <c r="H1846" i="18" s="1"/>
  <c r="H1847" i="18" s="1"/>
  <c r="H1848" i="18" s="1"/>
  <c r="H1849" i="18" s="1"/>
  <c r="H1850" i="18" s="1"/>
  <c r="H1851" i="18" s="1"/>
  <c r="H1852" i="18" s="1"/>
  <c r="H1853" i="18" s="1"/>
  <c r="H1854" i="18" s="1"/>
  <c r="H1855" i="18" s="1"/>
  <c r="H1856" i="18" s="1"/>
  <c r="H1857" i="18" s="1"/>
  <c r="H2052" i="18"/>
  <c r="H2053" i="18" s="1"/>
  <c r="H2054" i="18" s="1"/>
  <c r="H2055" i="18" s="1"/>
  <c r="H2056" i="18" s="1"/>
  <c r="H2057" i="18" s="1"/>
  <c r="H2058" i="18" s="1"/>
  <c r="H2059" i="18" s="1"/>
  <c r="H2060" i="18" s="1"/>
  <c r="H2061" i="18" s="1"/>
  <c r="H2062" i="18" s="1"/>
  <c r="H2063" i="18" s="1"/>
  <c r="H2064" i="18" s="1"/>
  <c r="H2065" i="18" s="1"/>
  <c r="H2066" i="18" s="1"/>
  <c r="H2067" i="18" s="1"/>
  <c r="H2068" i="18" s="1"/>
  <c r="H2069" i="18" s="1"/>
  <c r="H2070" i="18" s="1"/>
  <c r="H2071" i="18" s="1"/>
  <c r="H2072" i="18" s="1"/>
  <c r="H1956" i="18"/>
  <c r="H1957" i="18" s="1"/>
  <c r="H1958" i="18" s="1"/>
  <c r="H1959" i="18" s="1"/>
  <c r="H1960" i="18" s="1"/>
  <c r="H1961" i="18" s="1"/>
  <c r="H1962" i="18" s="1"/>
  <c r="H1963" i="18" s="1"/>
  <c r="H1964" i="18" s="1"/>
  <c r="H1965" i="18" s="1"/>
  <c r="H1966" i="18" s="1"/>
  <c r="H1967" i="18" s="1"/>
  <c r="H1968" i="18" s="1"/>
  <c r="H1969" i="18" s="1"/>
  <c r="H1970" i="18" s="1"/>
  <c r="H1971" i="18" s="1"/>
  <c r="H1972" i="18" s="1"/>
  <c r="H1973" i="18" s="1"/>
  <c r="H1974" i="18" s="1"/>
  <c r="H1975" i="18" s="1"/>
  <c r="H1976" i="18" s="1"/>
  <c r="H1977" i="18" s="1"/>
  <c r="H1978" i="18" s="1"/>
  <c r="H1979" i="18" s="1"/>
  <c r="H1980" i="18" s="1"/>
  <c r="H1981" i="18" s="1"/>
  <c r="H1920" i="18"/>
  <c r="H1921" i="18" s="1"/>
  <c r="H1922" i="18" s="1"/>
  <c r="H1923" i="18" s="1"/>
  <c r="H1924" i="18" s="1"/>
  <c r="H1925" i="18" s="1"/>
  <c r="H1926" i="18" s="1"/>
  <c r="H1927" i="18" s="1"/>
  <c r="H1928" i="18" s="1"/>
  <c r="H1929" i="18" s="1"/>
  <c r="H1930" i="18" s="1"/>
  <c r="H1931" i="18" s="1"/>
  <c r="H1932" i="18" s="1"/>
  <c r="H1933" i="18" s="1"/>
  <c r="H1934" i="18" s="1"/>
  <c r="H1935" i="18" s="1"/>
  <c r="H1936" i="18" s="1"/>
  <c r="H1937" i="18" s="1"/>
  <c r="H1938" i="18" s="1"/>
  <c r="H1939" i="18" s="1"/>
  <c r="H1940" i="18" s="1"/>
  <c r="H1941" i="18" s="1"/>
  <c r="H1942" i="18" s="1"/>
  <c r="H1943" i="18" s="1"/>
  <c r="H1944" i="18" s="1"/>
  <c r="H1945" i="18" s="1"/>
  <c r="H1946" i="18" s="1"/>
  <c r="H1947" i="18" s="1"/>
  <c r="H1948" i="18" s="1"/>
  <c r="H1949" i="18" s="1"/>
  <c r="H1950" i="18" s="1"/>
  <c r="H1860" i="18"/>
  <c r="H1861" i="18" s="1"/>
  <c r="H1862" i="18" s="1"/>
  <c r="H1863" i="18" s="1"/>
  <c r="H1864" i="18" s="1"/>
  <c r="H1865" i="18" s="1"/>
  <c r="H1866" i="18" s="1"/>
  <c r="H1867" i="18" s="1"/>
  <c r="H1868" i="18" s="1"/>
  <c r="H1869" i="18" s="1"/>
  <c r="H1870" i="18" s="1"/>
  <c r="H1871" i="18" s="1"/>
  <c r="H1872" i="18" s="1"/>
  <c r="H1873" i="18" s="1"/>
  <c r="H1874" i="18" s="1"/>
  <c r="H1875" i="18" s="1"/>
  <c r="H1876" i="18" s="1"/>
  <c r="H1877" i="18" s="1"/>
  <c r="H1878" i="18" s="1"/>
  <c r="H1879" i="18" s="1"/>
  <c r="H1880" i="18" s="1"/>
  <c r="H1881" i="18" s="1"/>
  <c r="H1882" i="18" s="1"/>
  <c r="H1883" i="18" s="1"/>
  <c r="H1884" i="18" s="1"/>
  <c r="H1885" i="18" s="1"/>
  <c r="H1886" i="18" s="1"/>
  <c r="H1887" i="18" s="1"/>
  <c r="H1888" i="18" s="1"/>
  <c r="H1344" i="18"/>
  <c r="H1345" i="18" s="1"/>
  <c r="H1346" i="18" s="1"/>
  <c r="H1347" i="18" s="1"/>
  <c r="H1348" i="18" s="1"/>
  <c r="H1349" i="18" s="1"/>
  <c r="H1350" i="18" s="1"/>
  <c r="H1351" i="18" s="1"/>
  <c r="H1352" i="18" s="1"/>
  <c r="H1353" i="18" s="1"/>
  <c r="H1354" i="18" s="1"/>
  <c r="H1355" i="18" s="1"/>
  <c r="H1356" i="18" s="1"/>
  <c r="H1357" i="18" s="1"/>
  <c r="H1358" i="18" s="1"/>
  <c r="H1359" i="18" s="1"/>
  <c r="H1360" i="18" s="1"/>
  <c r="H1361" i="18" s="1"/>
  <c r="H1362" i="18" s="1"/>
  <c r="H1363" i="18" s="1"/>
  <c r="H1364" i="18" s="1"/>
  <c r="H1365" i="18" s="1"/>
  <c r="H1366" i="18" s="1"/>
  <c r="H1367" i="18" s="1"/>
  <c r="H1368" i="18" s="1"/>
  <c r="H1369" i="18" s="1"/>
  <c r="H1370" i="18" s="1"/>
  <c r="H1371" i="18" s="1"/>
  <c r="H1372" i="18" s="1"/>
  <c r="H1373" i="18" s="1"/>
  <c r="H1738" i="18"/>
  <c r="H1739" i="18" s="1"/>
  <c r="H1740" i="18" s="1"/>
  <c r="H1741" i="18" s="1"/>
  <c r="H1742" i="18" s="1"/>
  <c r="H1743" i="18" s="1"/>
  <c r="H1744" i="18" s="1"/>
  <c r="H1745" i="18" s="1"/>
  <c r="H1746" i="18" s="1"/>
  <c r="H1747" i="18" s="1"/>
  <c r="H1748" i="18" s="1"/>
  <c r="H1749" i="18" s="1"/>
  <c r="H1750" i="18" s="1"/>
  <c r="H1751" i="18" s="1"/>
  <c r="H1752" i="18" s="1"/>
  <c r="H1753" i="18" s="1"/>
  <c r="H1754" i="18" s="1"/>
  <c r="H1755" i="18" s="1"/>
  <c r="H1756" i="18" s="1"/>
  <c r="H1757" i="18" s="1"/>
  <c r="H1758" i="18" s="1"/>
  <c r="H1759" i="18" s="1"/>
  <c r="H1760" i="18" s="1"/>
  <c r="H1761" i="18" s="1"/>
  <c r="H1762" i="18" s="1"/>
  <c r="H1763" i="18" s="1"/>
  <c r="H1764" i="18" s="1"/>
  <c r="H1765" i="18" s="1"/>
  <c r="H1766" i="18" s="1"/>
  <c r="H1767" i="18" s="1"/>
  <c r="H1678" i="18"/>
  <c r="H1679" i="18" s="1"/>
  <c r="H1680" i="18" s="1"/>
  <c r="H1681" i="18" s="1"/>
  <c r="H1682" i="18" s="1"/>
  <c r="H1683" i="18" s="1"/>
  <c r="H1684" i="18" s="1"/>
  <c r="H1685" i="18" s="1"/>
  <c r="H1686" i="18" s="1"/>
  <c r="H1687" i="18" s="1"/>
  <c r="H1688" i="18" s="1"/>
  <c r="H1689" i="18" s="1"/>
  <c r="H1690" i="18" s="1"/>
  <c r="H1691" i="18" s="1"/>
  <c r="H1692" i="18" s="1"/>
  <c r="H1693" i="18" s="1"/>
  <c r="H1694" i="18" s="1"/>
  <c r="H1695" i="18" s="1"/>
  <c r="H1696" i="18" s="1"/>
  <c r="H1697" i="18" s="1"/>
  <c r="H1698" i="18" s="1"/>
  <c r="H1699" i="18" s="1"/>
  <c r="H1700" i="18" s="1"/>
  <c r="H1701" i="18" s="1"/>
  <c r="H1702" i="18" s="1"/>
  <c r="H1703" i="18" s="1"/>
  <c r="H1704" i="18" s="1"/>
  <c r="H1705" i="18" s="1"/>
  <c r="H1706" i="18" s="1"/>
  <c r="H1707" i="18" s="1"/>
  <c r="H1586" i="18"/>
  <c r="H1587" i="18" s="1"/>
  <c r="H1588" i="18" s="1"/>
  <c r="H1589" i="18" s="1"/>
  <c r="H1590" i="18" s="1"/>
  <c r="H1591" i="18" s="1"/>
  <c r="H1592" i="18" s="1"/>
  <c r="H1593" i="18" s="1"/>
  <c r="H1594" i="18" s="1"/>
  <c r="H1595" i="18" s="1"/>
  <c r="H1596" i="18" s="1"/>
  <c r="H1597" i="18" s="1"/>
  <c r="H1598" i="18" s="1"/>
  <c r="H1599" i="18" s="1"/>
  <c r="H1600" i="18" s="1"/>
  <c r="H1601" i="18" s="1"/>
  <c r="H1602" i="18" s="1"/>
  <c r="H1603" i="18" s="1"/>
  <c r="H1604" i="18" s="1"/>
  <c r="H1605" i="18" s="1"/>
  <c r="H1606" i="18" s="1"/>
  <c r="H1607" i="18" s="1"/>
  <c r="H1608" i="18" s="1"/>
  <c r="H1609" i="18" s="1"/>
  <c r="H1610" i="18" s="1"/>
  <c r="H1611" i="18" s="1"/>
  <c r="H1612" i="18" s="1"/>
  <c r="H1613" i="18" s="1"/>
  <c r="H1614" i="18" s="1"/>
  <c r="H1615" i="18" s="1"/>
  <c r="H1616" i="18" s="1"/>
  <c r="H1555" i="18"/>
  <c r="H1617" i="18"/>
  <c r="H1618" i="18" s="1"/>
  <c r="H1619" i="18" s="1"/>
  <c r="H1620" i="18" s="1"/>
  <c r="H1621" i="18" s="1"/>
  <c r="H1622" i="18" s="1"/>
  <c r="H1623" i="18" s="1"/>
  <c r="H1624" i="18" s="1"/>
  <c r="H1625" i="18" s="1"/>
  <c r="H1626" i="18" s="1"/>
  <c r="H1627" i="18" s="1"/>
  <c r="H1628" i="18" s="1"/>
  <c r="H1629" i="18" s="1"/>
  <c r="H1630" i="18" s="1"/>
  <c r="H1631" i="18" s="1"/>
  <c r="H1632" i="18" s="1"/>
  <c r="H1633" i="18" s="1"/>
  <c r="H1634" i="18" s="1"/>
  <c r="H1635" i="18" s="1"/>
  <c r="H1636" i="18" s="1"/>
  <c r="H1637" i="18" s="1"/>
  <c r="H1638" i="18" s="1"/>
  <c r="H1639" i="18" s="1"/>
  <c r="H1640" i="18" s="1"/>
  <c r="H1641" i="18" s="1"/>
  <c r="H1642" i="18" s="1"/>
  <c r="H1643" i="18" s="1"/>
  <c r="H1644" i="18" s="1"/>
  <c r="H1645" i="18" s="1"/>
  <c r="H1646" i="18" s="1"/>
  <c r="H1647" i="18" s="1"/>
  <c r="H1493" i="18"/>
  <c r="H1253" i="18"/>
  <c r="H1254" i="18" s="1"/>
  <c r="H1255" i="18" s="1"/>
  <c r="H1256" i="18" s="1"/>
  <c r="H1257" i="18" s="1"/>
  <c r="H1258" i="18" s="1"/>
  <c r="H1259" i="18" s="1"/>
  <c r="H1260" i="18" s="1"/>
  <c r="H1261" i="18" s="1"/>
  <c r="H1262" i="18" s="1"/>
  <c r="H1263" i="18" s="1"/>
  <c r="H1264" i="18" s="1"/>
  <c r="H1265" i="18" s="1"/>
  <c r="H1266" i="18" s="1"/>
  <c r="H1267" i="18" s="1"/>
  <c r="H1268" i="18" s="1"/>
  <c r="H1269" i="18" s="1"/>
  <c r="H1270" i="18" s="1"/>
  <c r="H1271" i="18" s="1"/>
  <c r="H1272" i="18" s="1"/>
  <c r="H1273" i="18" s="1"/>
  <c r="H1274" i="18" s="1"/>
  <c r="H1275" i="18" s="1"/>
  <c r="H1276" i="18" s="1"/>
  <c r="H1277" i="18" s="1"/>
  <c r="H1278" i="18" s="1"/>
  <c r="H1279" i="18" s="1"/>
  <c r="H1280" i="18" s="1"/>
  <c r="H1281" i="18" s="1"/>
  <c r="H1282" i="18" s="1"/>
  <c r="H1283" i="18" s="1"/>
  <c r="H1129" i="18"/>
  <c r="H1130" i="18" s="1"/>
  <c r="H1131" i="18" s="1"/>
  <c r="H1132" i="18" s="1"/>
  <c r="H1133" i="18" s="1"/>
  <c r="H1134" i="18" s="1"/>
  <c r="H1135" i="18" s="1"/>
  <c r="H1136" i="18" s="1"/>
  <c r="H1137" i="18" s="1"/>
  <c r="H1138" i="18" s="1"/>
  <c r="H1139" i="18" s="1"/>
  <c r="H1140" i="18" s="1"/>
  <c r="H1141" i="18" s="1"/>
  <c r="H1142" i="18" s="1"/>
  <c r="H1143" i="18" s="1"/>
  <c r="H1144" i="18" s="1"/>
  <c r="H1145" i="18" s="1"/>
  <c r="H1146" i="18" s="1"/>
  <c r="H1147" i="18" s="1"/>
  <c r="H1148" i="18" s="1"/>
  <c r="H1149" i="18" s="1"/>
  <c r="H1150" i="18" s="1"/>
  <c r="H1151" i="18" s="1"/>
  <c r="H1152" i="18" s="1"/>
  <c r="H1153" i="18" s="1"/>
  <c r="H1154" i="18" s="1"/>
  <c r="H1155" i="18" s="1"/>
  <c r="H1156" i="18" s="1"/>
  <c r="H1157" i="18" s="1"/>
  <c r="H1158" i="18" s="1"/>
  <c r="H1159" i="18" s="1"/>
  <c r="H1768" i="18"/>
  <c r="H1769" i="18" s="1"/>
  <c r="H1770" i="18" s="1"/>
  <c r="H1771" i="18" s="1"/>
  <c r="H1772" i="18" s="1"/>
  <c r="H1773" i="18" s="1"/>
  <c r="H1774" i="18" s="1"/>
  <c r="H1775" i="18" s="1"/>
  <c r="H1776" i="18" s="1"/>
  <c r="H1777" i="18" s="1"/>
  <c r="H1778" i="18" s="1"/>
  <c r="H1779" i="18" s="1"/>
  <c r="H1780" i="18" s="1"/>
  <c r="H1781" i="18" s="1"/>
  <c r="H1782" i="18" s="1"/>
  <c r="H1783" i="18" s="1"/>
  <c r="H1784" i="18" s="1"/>
  <c r="H1785" i="18" s="1"/>
  <c r="H1786" i="18" s="1"/>
  <c r="H1787" i="18" s="1"/>
  <c r="H1788" i="18" s="1"/>
  <c r="H1789" i="18" s="1"/>
  <c r="H1790" i="18" s="1"/>
  <c r="H1791" i="18" s="1"/>
  <c r="H1792" i="18" s="1"/>
  <c r="H1793" i="18" s="1"/>
  <c r="H1794" i="18" s="1"/>
  <c r="H1795" i="18" s="1"/>
  <c r="H1796" i="18" s="1"/>
  <c r="H1797" i="18" s="1"/>
  <c r="H1708" i="18"/>
  <c r="H1709" i="18" s="1"/>
  <c r="H1710" i="18" s="1"/>
  <c r="H1711" i="18" s="1"/>
  <c r="H1712" i="18" s="1"/>
  <c r="H1713" i="18" s="1"/>
  <c r="H1714" i="18" s="1"/>
  <c r="H1715" i="18" s="1"/>
  <c r="H1716" i="18" s="1"/>
  <c r="H1717" i="18" s="1"/>
  <c r="H1718" i="18" s="1"/>
  <c r="H1719" i="18" s="1"/>
  <c r="H1720" i="18" s="1"/>
  <c r="H1721" i="18" s="1"/>
  <c r="H1722" i="18" s="1"/>
  <c r="H1723" i="18" s="1"/>
  <c r="H1724" i="18" s="1"/>
  <c r="H1725" i="18" s="1"/>
  <c r="H1726" i="18" s="1"/>
  <c r="H1727" i="18" s="1"/>
  <c r="H1728" i="18" s="1"/>
  <c r="H1729" i="18" s="1"/>
  <c r="H1730" i="18" s="1"/>
  <c r="H1731" i="18" s="1"/>
  <c r="H1732" i="18" s="1"/>
  <c r="H1733" i="18" s="1"/>
  <c r="H1734" i="18" s="1"/>
  <c r="H1735" i="18" s="1"/>
  <c r="H1736" i="18" s="1"/>
  <c r="H1737" i="18" s="1"/>
  <c r="H1648" i="18"/>
  <c r="H1649" i="18" s="1"/>
  <c r="H1650" i="18" s="1"/>
  <c r="H1651" i="18" s="1"/>
  <c r="H1652" i="18" s="1"/>
  <c r="H1653" i="18" s="1"/>
  <c r="H1654" i="18" s="1"/>
  <c r="H1655" i="18" s="1"/>
  <c r="H1656" i="18" s="1"/>
  <c r="H1657" i="18" s="1"/>
  <c r="H1658" i="18" s="1"/>
  <c r="H1659" i="18" s="1"/>
  <c r="H1660" i="18" s="1"/>
  <c r="H1661" i="18" s="1"/>
  <c r="H1662" i="18" s="1"/>
  <c r="H1663" i="18" s="1"/>
  <c r="H1664" i="18" s="1"/>
  <c r="H1665" i="18" s="1"/>
  <c r="H1666" i="18" s="1"/>
  <c r="H1667" i="18" s="1"/>
  <c r="H1668" i="18" s="1"/>
  <c r="H1669" i="18" s="1"/>
  <c r="H1670" i="18" s="1"/>
  <c r="H1671" i="18" s="1"/>
  <c r="H1672" i="18" s="1"/>
  <c r="H1673" i="18" s="1"/>
  <c r="H1674" i="18" s="1"/>
  <c r="H1675" i="18" s="1"/>
  <c r="H1676" i="18" s="1"/>
  <c r="H1677" i="18" s="1"/>
  <c r="H1524" i="18"/>
  <c r="H1525" i="18" s="1"/>
  <c r="H1526" i="18" s="1"/>
  <c r="H1527" i="18" s="1"/>
  <c r="H1528" i="18" s="1"/>
  <c r="H1529" i="18" s="1"/>
  <c r="H1530" i="18" s="1"/>
  <c r="H1531" i="18" s="1"/>
  <c r="H1532" i="18" s="1"/>
  <c r="H1533" i="18" s="1"/>
  <c r="H1534" i="18" s="1"/>
  <c r="H1535" i="18" s="1"/>
  <c r="H1536" i="18" s="1"/>
  <c r="H1537" i="18" s="1"/>
  <c r="H1538" i="18" s="1"/>
  <c r="H1539" i="18" s="1"/>
  <c r="H1540" i="18" s="1"/>
  <c r="H1541" i="18" s="1"/>
  <c r="H1542" i="18" s="1"/>
  <c r="H1543" i="18" s="1"/>
  <c r="H1544" i="18" s="1"/>
  <c r="H1545" i="18" s="1"/>
  <c r="H1546" i="18" s="1"/>
  <c r="H1547" i="18" s="1"/>
  <c r="H1548" i="18" s="1"/>
  <c r="H1549" i="18" s="1"/>
  <c r="H1550" i="18" s="1"/>
  <c r="H1551" i="18" s="1"/>
  <c r="H1552" i="18" s="1"/>
  <c r="H1553" i="18" s="1"/>
  <c r="H1554" i="18" s="1"/>
  <c r="H1404" i="18"/>
  <c r="H1405" i="18" s="1"/>
  <c r="H1406" i="18" s="1"/>
  <c r="H1407" i="18" s="1"/>
  <c r="H1408" i="18" s="1"/>
  <c r="H1409" i="18" s="1"/>
  <c r="H1410" i="18" s="1"/>
  <c r="H1411" i="18" s="1"/>
  <c r="H1412" i="18" s="1"/>
  <c r="H1413" i="18" s="1"/>
  <c r="H1414" i="18" s="1"/>
  <c r="H1415" i="18" s="1"/>
  <c r="H1416" i="18" s="1"/>
  <c r="H1417" i="18" s="1"/>
  <c r="H1418" i="18" s="1"/>
  <c r="H1419" i="18" s="1"/>
  <c r="H1420" i="18" s="1"/>
  <c r="H1421" i="18" s="1"/>
  <c r="H1422" i="18" s="1"/>
  <c r="H1423" i="18" s="1"/>
  <c r="H1424" i="18" s="1"/>
  <c r="H1425" i="18" s="1"/>
  <c r="H1426" i="18" s="1"/>
  <c r="H1427" i="18" s="1"/>
  <c r="H1428" i="18" s="1"/>
  <c r="H1429" i="18" s="1"/>
  <c r="H1430" i="18" s="1"/>
  <c r="H1431" i="18" s="1"/>
  <c r="H1432" i="18" s="1"/>
  <c r="H1433" i="18" s="1"/>
  <c r="H1284" i="18"/>
  <c r="H1285" i="18" s="1"/>
  <c r="H1286" i="18" s="1"/>
  <c r="H1287" i="18" s="1"/>
  <c r="H1288" i="18" s="1"/>
  <c r="H1289" i="18" s="1"/>
  <c r="H1290" i="18" s="1"/>
  <c r="H1291" i="18" s="1"/>
  <c r="H1292" i="18" s="1"/>
  <c r="H1293" i="18" s="1"/>
  <c r="H1294" i="18" s="1"/>
  <c r="H1295" i="18" s="1"/>
  <c r="H1296" i="18" s="1"/>
  <c r="H1297" i="18" s="1"/>
  <c r="H1298" i="18" s="1"/>
  <c r="H1299" i="18" s="1"/>
  <c r="H1300" i="18" s="1"/>
  <c r="H1301" i="18" s="1"/>
  <c r="H1302" i="18" s="1"/>
  <c r="H1303" i="18" s="1"/>
  <c r="H1304" i="18" s="1"/>
  <c r="H1305" i="18" s="1"/>
  <c r="H1306" i="18" s="1"/>
  <c r="H1307" i="18" s="1"/>
  <c r="H1308" i="18" s="1"/>
  <c r="H1309" i="18" s="1"/>
  <c r="H1310" i="18" s="1"/>
  <c r="H1311" i="18" s="1"/>
  <c r="H1312" i="18" s="1"/>
  <c r="H1313" i="18" s="1"/>
  <c r="H1160" i="18"/>
  <c r="H1161" i="18" s="1"/>
  <c r="H1162" i="18" s="1"/>
  <c r="H1163" i="18" s="1"/>
  <c r="H1164" i="18" s="1"/>
  <c r="H1165" i="18" s="1"/>
  <c r="H1166" i="18" s="1"/>
  <c r="H1167" i="18" s="1"/>
  <c r="H1168" i="18" s="1"/>
  <c r="H1169" i="18" s="1"/>
  <c r="H1170" i="18" s="1"/>
  <c r="H1171" i="18" s="1"/>
  <c r="H1172" i="18" s="1"/>
  <c r="H1173" i="18" s="1"/>
  <c r="H1174" i="18" s="1"/>
  <c r="H1175" i="18" s="1"/>
  <c r="H1176" i="18" s="1"/>
  <c r="H1177" i="18" s="1"/>
  <c r="H1178" i="18" s="1"/>
  <c r="H1179" i="18" s="1"/>
  <c r="H1180" i="18" s="1"/>
  <c r="H1181" i="18" s="1"/>
  <c r="H1182" i="18" s="1"/>
  <c r="H1183" i="18" s="1"/>
  <c r="H1184" i="18" s="1"/>
  <c r="H1185" i="18" s="1"/>
  <c r="H1186" i="18" s="1"/>
  <c r="H1187" i="18" s="1"/>
  <c r="H1188" i="18" s="1"/>
  <c r="H1189" i="18" s="1"/>
  <c r="H1190" i="18" s="1"/>
  <c r="H1434" i="18"/>
  <c r="H1435" i="18" s="1"/>
  <c r="H1436" i="18" s="1"/>
  <c r="H1437" i="18" s="1"/>
  <c r="H1438" i="18" s="1"/>
  <c r="H1439" i="18" s="1"/>
  <c r="H1440" i="18" s="1"/>
  <c r="H1441" i="18" s="1"/>
  <c r="H1442" i="18" s="1"/>
  <c r="H1443" i="18" s="1"/>
  <c r="H1444" i="18" s="1"/>
  <c r="H1445" i="18" s="1"/>
  <c r="H1446" i="18" s="1"/>
  <c r="H1447" i="18" s="1"/>
  <c r="H1448" i="18" s="1"/>
  <c r="H1449" i="18" s="1"/>
  <c r="H1450" i="18" s="1"/>
  <c r="H1451" i="18" s="1"/>
  <c r="H1452" i="18" s="1"/>
  <c r="H1453" i="18" s="1"/>
  <c r="H1454" i="18" s="1"/>
  <c r="H1455" i="18" s="1"/>
  <c r="H1456" i="18" s="1"/>
  <c r="H1457" i="18" s="1"/>
  <c r="H1458" i="18" s="1"/>
  <c r="H1459" i="18" s="1"/>
  <c r="H1460" i="18" s="1"/>
  <c r="H1461" i="18" s="1"/>
  <c r="H1462" i="18" s="1"/>
  <c r="H1463" i="18" s="1"/>
  <c r="H1464" i="18" s="1"/>
  <c r="H1465" i="18" s="1"/>
  <c r="H1466" i="18" s="1"/>
  <c r="H1467" i="18" s="1"/>
  <c r="H1468" i="18" s="1"/>
  <c r="H1469" i="18" s="1"/>
  <c r="H1470" i="18" s="1"/>
  <c r="H1471" i="18" s="1"/>
  <c r="H1472" i="18" s="1"/>
  <c r="H1473" i="18" s="1"/>
  <c r="H1474" i="18" s="1"/>
  <c r="H1475" i="18" s="1"/>
  <c r="H1476" i="18" s="1"/>
  <c r="H1477" i="18" s="1"/>
  <c r="H1478" i="18" s="1"/>
  <c r="H1479" i="18" s="1"/>
  <c r="H1480" i="18" s="1"/>
  <c r="H1481" i="18" s="1"/>
  <c r="H1482" i="18" s="1"/>
  <c r="H1483" i="18" s="1"/>
  <c r="H1484" i="18" s="1"/>
  <c r="H1485" i="18" s="1"/>
  <c r="H1486" i="18" s="1"/>
  <c r="H1487" i="18" s="1"/>
  <c r="H1488" i="18" s="1"/>
  <c r="H1489" i="18" s="1"/>
  <c r="H1490" i="18" s="1"/>
  <c r="H1491" i="18" s="1"/>
  <c r="H1492" i="18" s="1"/>
  <c r="H1374" i="18"/>
  <c r="H1375" i="18" s="1"/>
  <c r="H1376" i="18" s="1"/>
  <c r="H1377" i="18" s="1"/>
  <c r="H1378" i="18" s="1"/>
  <c r="H1379" i="18" s="1"/>
  <c r="H1380" i="18" s="1"/>
  <c r="H1381" i="18" s="1"/>
  <c r="H1382" i="18" s="1"/>
  <c r="H1383" i="18" s="1"/>
  <c r="H1384" i="18" s="1"/>
  <c r="H1385" i="18" s="1"/>
  <c r="H1386" i="18" s="1"/>
  <c r="H1387" i="18" s="1"/>
  <c r="H1388" i="18" s="1"/>
  <c r="H1389" i="18" s="1"/>
  <c r="H1390" i="18" s="1"/>
  <c r="H1391" i="18" s="1"/>
  <c r="H1392" i="18" s="1"/>
  <c r="H1393" i="18" s="1"/>
  <c r="H1394" i="18" s="1"/>
  <c r="H1395" i="18" s="1"/>
  <c r="H1396" i="18" s="1"/>
  <c r="H1397" i="18" s="1"/>
  <c r="H1398" i="18" s="1"/>
  <c r="H1399" i="18" s="1"/>
  <c r="H1400" i="18" s="1"/>
  <c r="H1401" i="18" s="1"/>
  <c r="H1402" i="18" s="1"/>
  <c r="H1403" i="18" s="1"/>
  <c r="H1314" i="18"/>
  <c r="H1315" i="18" s="1"/>
  <c r="H1316" i="18" s="1"/>
  <c r="H1317" i="18" s="1"/>
  <c r="H1318" i="18" s="1"/>
  <c r="H1319" i="18" s="1"/>
  <c r="H1320" i="18" s="1"/>
  <c r="H1321" i="18" s="1"/>
  <c r="H1322" i="18" s="1"/>
  <c r="H1323" i="18" s="1"/>
  <c r="H1324" i="18" s="1"/>
  <c r="H1325" i="18" s="1"/>
  <c r="H1326" i="18" s="1"/>
  <c r="H1327" i="18" s="1"/>
  <c r="H1328" i="18" s="1"/>
  <c r="H1329" i="18" s="1"/>
  <c r="H1330" i="18" s="1"/>
  <c r="H1331" i="18" s="1"/>
  <c r="H1332" i="18" s="1"/>
  <c r="H1333" i="18" s="1"/>
  <c r="H1334" i="18" s="1"/>
  <c r="H1335" i="18" s="1"/>
  <c r="H1336" i="18" s="1"/>
  <c r="H1337" i="18" s="1"/>
  <c r="H1338" i="18" s="1"/>
  <c r="H1339" i="18" s="1"/>
  <c r="H1340" i="18" s="1"/>
  <c r="H1341" i="18" s="1"/>
  <c r="H1342" i="18" s="1"/>
  <c r="H1343" i="18" s="1"/>
  <c r="H1222" i="18"/>
  <c r="H1223" i="18" s="1"/>
  <c r="H1224" i="18" s="1"/>
  <c r="H1225" i="18" s="1"/>
  <c r="H1226" i="18" s="1"/>
  <c r="H1227" i="18" s="1"/>
  <c r="H1228" i="18" s="1"/>
  <c r="H1229" i="18" s="1"/>
  <c r="H1230" i="18" s="1"/>
  <c r="H1231" i="18" s="1"/>
  <c r="H1232" i="18" s="1"/>
  <c r="H1233" i="18" s="1"/>
  <c r="H1234" i="18" s="1"/>
  <c r="H1235" i="18" s="1"/>
  <c r="H1236" i="18" s="1"/>
  <c r="H1237" i="18" s="1"/>
  <c r="H1238" i="18" s="1"/>
  <c r="H1239" i="18" s="1"/>
  <c r="H1240" i="18" s="1"/>
  <c r="H1241" i="18" s="1"/>
  <c r="H1242" i="18" s="1"/>
  <c r="H1243" i="18" s="1"/>
  <c r="H1244" i="18" s="1"/>
  <c r="H1245" i="18" s="1"/>
  <c r="H1246" i="18" s="1"/>
  <c r="H1247" i="18" s="1"/>
  <c r="H1248" i="18" s="1"/>
  <c r="H1249" i="18" s="1"/>
  <c r="H1250" i="18" s="1"/>
  <c r="H1251" i="18" s="1"/>
  <c r="H1252" i="18" s="1"/>
  <c r="H1798" i="18"/>
  <c r="H1799" i="18" s="1"/>
  <c r="H1800" i="18" s="1"/>
  <c r="H1801" i="18" s="1"/>
  <c r="H1802" i="18" s="1"/>
  <c r="H1803" i="18" s="1"/>
  <c r="H1804" i="18" s="1"/>
  <c r="H1805" i="18" s="1"/>
  <c r="H1806" i="18" s="1"/>
  <c r="H1807" i="18" s="1"/>
  <c r="H1808" i="18" s="1"/>
  <c r="H1809" i="18" s="1"/>
  <c r="H1810" i="18" s="1"/>
  <c r="H1811" i="18" s="1"/>
  <c r="H1812" i="18" s="1"/>
  <c r="H1813" i="18" s="1"/>
  <c r="H1814" i="18" s="1"/>
  <c r="H1815" i="18" s="1"/>
  <c r="H1816" i="18" s="1"/>
  <c r="H1817" i="18" s="1"/>
  <c r="H1818" i="18" s="1"/>
  <c r="H1819" i="18" s="1"/>
  <c r="H1820" i="18" s="1"/>
  <c r="H1821" i="18" s="1"/>
  <c r="H1822" i="18" s="1"/>
  <c r="H1823" i="18" s="1"/>
  <c r="H1824" i="18" s="1"/>
  <c r="H1825" i="18" s="1"/>
  <c r="H1826" i="18" s="1"/>
  <c r="H1494" i="18"/>
  <c r="H1495" i="18" s="1"/>
  <c r="H1496" i="18" s="1"/>
  <c r="H1497" i="18" s="1"/>
  <c r="H1498" i="18" s="1"/>
  <c r="H1499" i="18" s="1"/>
  <c r="H1500" i="18" s="1"/>
  <c r="H1501" i="18" s="1"/>
  <c r="H1502" i="18" s="1"/>
  <c r="H1503" i="18" s="1"/>
  <c r="H1504" i="18" s="1"/>
  <c r="H1505" i="18" s="1"/>
  <c r="H1506" i="18" s="1"/>
  <c r="H1507" i="18" s="1"/>
  <c r="H1508" i="18" s="1"/>
  <c r="H1509" i="18" s="1"/>
  <c r="H1510" i="18" s="1"/>
  <c r="H1511" i="18" s="1"/>
  <c r="H1512" i="18" s="1"/>
  <c r="H1513" i="18" s="1"/>
  <c r="H1514" i="18" s="1"/>
  <c r="H1515" i="18" s="1"/>
  <c r="H1516" i="18" s="1"/>
  <c r="H1517" i="18" s="1"/>
  <c r="H1518" i="18" s="1"/>
  <c r="H1519" i="18" s="1"/>
  <c r="H1520" i="18" s="1"/>
  <c r="H1521" i="18" s="1"/>
  <c r="H1522" i="18" s="1"/>
  <c r="H1523" i="18" s="1"/>
  <c r="H1556" i="18"/>
  <c r="H1557" i="18" s="1"/>
  <c r="H1558" i="18" s="1"/>
  <c r="H1559" i="18" s="1"/>
  <c r="H1560" i="18" s="1"/>
  <c r="H1561" i="18" s="1"/>
  <c r="H1562" i="18" s="1"/>
  <c r="H1563" i="18" s="1"/>
  <c r="H1564" i="18" s="1"/>
  <c r="H1565" i="18" s="1"/>
  <c r="H1566" i="18" s="1"/>
  <c r="H1567" i="18" s="1"/>
  <c r="H1568" i="18" s="1"/>
  <c r="H1569" i="18" s="1"/>
  <c r="H1570" i="18" s="1"/>
  <c r="H1571" i="18" s="1"/>
  <c r="H1572" i="18" s="1"/>
  <c r="H1573" i="18" s="1"/>
  <c r="H1574" i="18" s="1"/>
  <c r="H1575" i="18" s="1"/>
  <c r="H1576" i="18" s="1"/>
  <c r="H1577" i="18" s="1"/>
  <c r="H1578" i="18" s="1"/>
  <c r="H1579" i="18" s="1"/>
  <c r="H1580" i="18" s="1"/>
  <c r="H1581" i="18" s="1"/>
  <c r="H1582" i="18" s="1"/>
  <c r="H1583" i="18" s="1"/>
  <c r="H1584" i="18" s="1"/>
  <c r="H1585" i="18" s="1"/>
  <c r="H1191" i="18"/>
  <c r="H1192" i="18" s="1"/>
  <c r="H1193" i="18" s="1"/>
  <c r="H1194" i="18" s="1"/>
  <c r="H1195" i="18" s="1"/>
  <c r="H1196" i="18" s="1"/>
  <c r="H1197" i="18" s="1"/>
  <c r="H1198" i="18" s="1"/>
  <c r="H1199" i="18" s="1"/>
  <c r="H1200" i="18" s="1"/>
  <c r="H1201" i="18" s="1"/>
  <c r="H1202" i="18" s="1"/>
  <c r="H1203" i="18" s="1"/>
  <c r="H1204" i="18" s="1"/>
  <c r="H1205" i="18" s="1"/>
  <c r="H1206" i="18" s="1"/>
  <c r="H1207" i="18" s="1"/>
  <c r="H1208" i="18" s="1"/>
  <c r="H1209" i="18" s="1"/>
  <c r="H1210" i="18" s="1"/>
  <c r="H1211" i="18" s="1"/>
  <c r="H1212" i="18" s="1"/>
  <c r="H1213" i="18" s="1"/>
  <c r="H1214" i="18" s="1"/>
  <c r="H1215" i="18" s="1"/>
  <c r="H1216" i="18" s="1"/>
  <c r="H1217" i="18" s="1"/>
  <c r="H1218" i="18" s="1"/>
  <c r="H1219" i="18" s="1"/>
  <c r="H1220" i="18" s="1"/>
  <c r="H1221" i="18" s="1"/>
  <c r="E34" i="15"/>
  <c r="E33" i="15"/>
  <c r="C24" i="21"/>
  <c r="C27" i="21" s="1"/>
  <c r="C19" i="21"/>
  <c r="C21" i="21" s="1"/>
  <c r="B24" i="21"/>
  <c r="B27" i="21" s="1"/>
  <c r="C15" i="21"/>
  <c r="C16" i="21" s="1"/>
  <c r="B15" i="21"/>
  <c r="B17" i="21" s="1"/>
  <c r="M14" i="21"/>
  <c r="F21" i="21"/>
  <c r="E21" i="21"/>
  <c r="D21" i="21"/>
  <c r="B21" i="21"/>
  <c r="B22" i="21"/>
  <c r="F26" i="21"/>
  <c r="E26" i="21"/>
  <c r="D26" i="21"/>
  <c r="M24" i="21"/>
  <c r="L24" i="21"/>
  <c r="D6" i="21"/>
  <c r="J24" i="21"/>
  <c r="L18" i="21"/>
  <c r="I24" i="21"/>
  <c r="F27" i="21"/>
  <c r="D27" i="21"/>
  <c r="E27" i="21"/>
  <c r="F22" i="21"/>
  <c r="E22" i="21"/>
  <c r="D22" i="21"/>
  <c r="I19" i="21"/>
  <c r="F17" i="21"/>
  <c r="E17" i="21"/>
  <c r="D17" i="21"/>
  <c r="F16" i="21"/>
  <c r="E16" i="21"/>
  <c r="D16" i="21"/>
  <c r="J14" i="21"/>
  <c r="I14" i="21"/>
  <c r="A12" i="21"/>
  <c r="A2" i="21" s="1"/>
  <c r="F11" i="21"/>
  <c r="D11" i="21"/>
  <c r="F10" i="21"/>
  <c r="D10" i="21"/>
  <c r="E10" i="21" s="1"/>
  <c r="H9" i="21"/>
  <c r="H2" i="21" s="1"/>
  <c r="F9" i="21"/>
  <c r="D9" i="21"/>
  <c r="J8" i="21"/>
  <c r="F8" i="21"/>
  <c r="D8" i="21"/>
  <c r="J7" i="21"/>
  <c r="F7" i="21"/>
  <c r="D7" i="21"/>
  <c r="E7" i="21" s="1"/>
  <c r="J6" i="21"/>
  <c r="F6" i="21"/>
  <c r="J5" i="21"/>
  <c r="F5" i="21"/>
  <c r="D5" i="21"/>
  <c r="J4" i="21"/>
  <c r="F4" i="21"/>
  <c r="F12" i="21" s="1"/>
  <c r="B2" i="21" s="1"/>
  <c r="D4" i="21"/>
  <c r="E4" i="21" s="1"/>
  <c r="D2" i="21"/>
  <c r="N35" i="15"/>
  <c r="E27" i="15"/>
  <c r="E25" i="15"/>
  <c r="E11" i="15"/>
  <c r="E10" i="15"/>
  <c r="F10" i="15" s="1"/>
  <c r="C72" i="9"/>
  <c r="D72" i="9"/>
  <c r="E17" i="17"/>
  <c r="E3" i="17"/>
  <c r="O506" i="15"/>
  <c r="E8" i="21" l="1"/>
  <c r="E9" i="21"/>
  <c r="J25" i="21"/>
  <c r="F11" i="15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J15" i="21"/>
  <c r="M25" i="21"/>
  <c r="E5" i="21"/>
  <c r="E11" i="21"/>
  <c r="J9" i="21"/>
  <c r="K7" i="21" s="1"/>
  <c r="L7" i="21" s="1"/>
  <c r="E6" i="21"/>
  <c r="C26" i="21"/>
  <c r="C22" i="21"/>
  <c r="B26" i="21"/>
  <c r="C17" i="21"/>
  <c r="B16" i="21"/>
  <c r="E12" i="21"/>
  <c r="F2" i="21" s="1"/>
  <c r="E2" i="21" s="1"/>
  <c r="I15" i="21"/>
  <c r="G2" i="9"/>
  <c r="G9" i="9"/>
  <c r="G11" i="9"/>
  <c r="G12" i="9"/>
  <c r="G15" i="9"/>
  <c r="G17" i="9"/>
  <c r="G18" i="9"/>
  <c r="G22" i="9"/>
  <c r="G23" i="9"/>
  <c r="G24" i="9"/>
  <c r="G26" i="9"/>
  <c r="G27" i="9"/>
  <c r="G28" i="9"/>
  <c r="G29" i="9"/>
  <c r="G30" i="9"/>
  <c r="G32" i="9"/>
  <c r="G35" i="9"/>
  <c r="G36" i="9"/>
  <c r="G37" i="9"/>
  <c r="G39" i="9"/>
  <c r="G40" i="9"/>
  <c r="G41" i="9"/>
  <c r="G42" i="9"/>
  <c r="G45" i="9"/>
  <c r="G46" i="9"/>
  <c r="G47" i="9"/>
  <c r="G48" i="9"/>
  <c r="G49" i="9"/>
  <c r="G50" i="9"/>
  <c r="G52" i="9"/>
  <c r="G56" i="9"/>
  <c r="G71" i="9"/>
  <c r="G77" i="9"/>
  <c r="G81" i="9"/>
  <c r="AD3" i="15"/>
  <c r="AD646" i="15"/>
  <c r="B791" i="15"/>
  <c r="B792" i="15"/>
  <c r="B793" i="15"/>
  <c r="B794" i="15"/>
  <c r="B795" i="15"/>
  <c r="B797" i="15"/>
  <c r="B650" i="15"/>
  <c r="B649" i="15"/>
  <c r="B36" i="15"/>
  <c r="B639" i="15"/>
  <c r="B52" i="15"/>
  <c r="B25" i="15"/>
  <c r="B23" i="15"/>
  <c r="B651" i="15"/>
  <c r="B638" i="15"/>
  <c r="B659" i="15"/>
  <c r="B644" i="15"/>
  <c r="B640" i="15"/>
  <c r="B643" i="15"/>
  <c r="B641" i="15"/>
  <c r="B642" i="15"/>
  <c r="B652" i="15"/>
  <c r="B658" i="15"/>
  <c r="B796" i="15"/>
  <c r="B654" i="15"/>
  <c r="B3" i="15"/>
  <c r="B4" i="15"/>
  <c r="B7" i="15"/>
  <c r="B8" i="15"/>
  <c r="B9" i="15"/>
  <c r="B661" i="15"/>
  <c r="B662" i="15"/>
  <c r="B655" i="15"/>
  <c r="B656" i="15"/>
  <c r="B645" i="15"/>
  <c r="B646" i="15"/>
  <c r="B5" i="15"/>
  <c r="B2" i="15"/>
  <c r="B10" i="15"/>
  <c r="B798" i="15"/>
  <c r="B799" i="15"/>
  <c r="B11" i="15"/>
  <c r="B19" i="15"/>
  <c r="B27" i="15"/>
  <c r="B60" i="15"/>
  <c r="B28" i="15"/>
  <c r="B20" i="15"/>
  <c r="B33" i="15"/>
  <c r="B86" i="15"/>
  <c r="B85" i="15"/>
  <c r="B120" i="15"/>
  <c r="B105" i="15"/>
  <c r="B100" i="15"/>
  <c r="B123" i="15"/>
  <c r="B146" i="15"/>
  <c r="B163" i="15"/>
  <c r="B75" i="15"/>
  <c r="B76" i="15"/>
  <c r="B72" i="15"/>
  <c r="B185" i="15"/>
  <c r="B197" i="15"/>
  <c r="B106" i="15"/>
  <c r="B80" i="15"/>
  <c r="B107" i="15"/>
  <c r="B93" i="15"/>
  <c r="B94" i="15"/>
  <c r="B108" i="15"/>
  <c r="B109" i="15"/>
  <c r="B84" i="15"/>
  <c r="B102" i="15"/>
  <c r="B81" i="15"/>
  <c r="B82" i="15"/>
  <c r="B21" i="15"/>
  <c r="B22" i="15"/>
  <c r="B42" i="15"/>
  <c r="B43" i="15"/>
  <c r="B71" i="15"/>
  <c r="B87" i="15"/>
  <c r="B53" i="15"/>
  <c r="B54" i="15"/>
  <c r="B59" i="15"/>
  <c r="B45" i="15"/>
  <c r="B44" i="15"/>
  <c r="B180" i="15"/>
  <c r="B181" i="15"/>
  <c r="B159" i="15"/>
  <c r="B160" i="15"/>
  <c r="B169" i="15"/>
  <c r="B184" i="15"/>
  <c r="B175" i="15"/>
  <c r="B176" i="15"/>
  <c r="B173" i="15"/>
  <c r="B177" i="15"/>
  <c r="B206" i="15"/>
  <c r="B219" i="15"/>
  <c r="B172" i="15"/>
  <c r="B182" i="15"/>
  <c r="B195" i="15"/>
  <c r="B196" i="15"/>
  <c r="B231" i="15"/>
  <c r="B253" i="15"/>
  <c r="B215" i="15"/>
  <c r="B77" i="15"/>
  <c r="B78" i="15"/>
  <c r="B58" i="15"/>
  <c r="B64" i="15"/>
  <c r="B47" i="15"/>
  <c r="B62" i="15"/>
  <c r="B55" i="15"/>
  <c r="B56" i="15"/>
  <c r="B70" i="15"/>
  <c r="B124" i="15"/>
  <c r="B126" i="15"/>
  <c r="B115" i="15"/>
  <c r="B119" i="15"/>
  <c r="B121" i="15"/>
  <c r="B122" i="15"/>
  <c r="B127" i="15"/>
  <c r="B128" i="15"/>
  <c r="B152" i="15"/>
  <c r="B168" i="15"/>
  <c r="B187" i="15"/>
  <c r="B203" i="15"/>
  <c r="B221" i="15"/>
  <c r="B141" i="15"/>
  <c r="B142" i="15"/>
  <c r="B143" i="15"/>
  <c r="B154" i="15"/>
  <c r="B155" i="15"/>
  <c r="B233" i="15"/>
  <c r="B266" i="15"/>
  <c r="B228" i="15"/>
  <c r="B156" i="15"/>
  <c r="B129" i="15"/>
  <c r="B130" i="15"/>
  <c r="B131" i="15"/>
  <c r="B132" i="15"/>
  <c r="B133" i="15"/>
  <c r="B135" i="15"/>
  <c r="B136" i="15"/>
  <c r="L791" i="15"/>
  <c r="L792" i="15"/>
  <c r="L793" i="15"/>
  <c r="L794" i="15"/>
  <c r="L795" i="15"/>
  <c r="L797" i="15"/>
  <c r="L650" i="15"/>
  <c r="L649" i="15"/>
  <c r="L36" i="15"/>
  <c r="L639" i="15"/>
  <c r="L52" i="15"/>
  <c r="L25" i="15"/>
  <c r="L23" i="15"/>
  <c r="L651" i="15"/>
  <c r="L638" i="15"/>
  <c r="L659" i="15"/>
  <c r="L644" i="15"/>
  <c r="L640" i="15"/>
  <c r="L643" i="15"/>
  <c r="L641" i="15"/>
  <c r="L642" i="15"/>
  <c r="L652" i="15"/>
  <c r="L658" i="15"/>
  <c r="L796" i="15"/>
  <c r="L654" i="15"/>
  <c r="L3" i="15"/>
  <c r="L4" i="15"/>
  <c r="L7" i="15"/>
  <c r="L8" i="15"/>
  <c r="L9" i="15"/>
  <c r="L661" i="15"/>
  <c r="L662" i="15"/>
  <c r="L655" i="15"/>
  <c r="L656" i="15"/>
  <c r="L645" i="15"/>
  <c r="L646" i="15"/>
  <c r="L5" i="15"/>
  <c r="L2" i="15"/>
  <c r="L10" i="15"/>
  <c r="L798" i="15"/>
  <c r="L799" i="15"/>
  <c r="L11" i="15"/>
  <c r="L19" i="15"/>
  <c r="L27" i="15"/>
  <c r="L60" i="15"/>
  <c r="L28" i="15"/>
  <c r="L20" i="15"/>
  <c r="L33" i="15"/>
  <c r="L86" i="15"/>
  <c r="L85" i="15"/>
  <c r="L120" i="15"/>
  <c r="L105" i="15"/>
  <c r="L100" i="15"/>
  <c r="L123" i="15"/>
  <c r="L146" i="15"/>
  <c r="L163" i="15"/>
  <c r="L75" i="15"/>
  <c r="L76" i="15"/>
  <c r="L72" i="15"/>
  <c r="L185" i="15"/>
  <c r="L197" i="15"/>
  <c r="L106" i="15"/>
  <c r="L80" i="15"/>
  <c r="L107" i="15"/>
  <c r="L93" i="15"/>
  <c r="L94" i="15"/>
  <c r="L108" i="15"/>
  <c r="L109" i="15"/>
  <c r="L84" i="15"/>
  <c r="L102" i="15"/>
  <c r="L81" i="15"/>
  <c r="L82" i="15"/>
  <c r="L21" i="15"/>
  <c r="L22" i="15"/>
  <c r="L42" i="15"/>
  <c r="L43" i="15"/>
  <c r="L71" i="15"/>
  <c r="L87" i="15"/>
  <c r="L53" i="15"/>
  <c r="L54" i="15"/>
  <c r="L59" i="15"/>
  <c r="L45" i="15"/>
  <c r="L44" i="15"/>
  <c r="L180" i="15"/>
  <c r="L181" i="15"/>
  <c r="L159" i="15"/>
  <c r="L160" i="15"/>
  <c r="L169" i="15"/>
  <c r="L184" i="15"/>
  <c r="L175" i="15"/>
  <c r="L176" i="15"/>
  <c r="L173" i="15"/>
  <c r="L177" i="15"/>
  <c r="L206" i="15"/>
  <c r="L219" i="15"/>
  <c r="L172" i="15"/>
  <c r="L182" i="15"/>
  <c r="L195" i="15"/>
  <c r="L196" i="15"/>
  <c r="L231" i="15"/>
  <c r="L253" i="15"/>
  <c r="L215" i="15"/>
  <c r="L77" i="15"/>
  <c r="L78" i="15"/>
  <c r="L58" i="15"/>
  <c r="L64" i="15"/>
  <c r="L47" i="15"/>
  <c r="L62" i="15"/>
  <c r="L55" i="15"/>
  <c r="L56" i="15"/>
  <c r="L70" i="15"/>
  <c r="L124" i="15"/>
  <c r="L126" i="15"/>
  <c r="L115" i="15"/>
  <c r="L119" i="15"/>
  <c r="L121" i="15"/>
  <c r="L122" i="15"/>
  <c r="L127" i="15"/>
  <c r="L128" i="15"/>
  <c r="L152" i="15"/>
  <c r="L168" i="15"/>
  <c r="L187" i="15"/>
  <c r="L203" i="15"/>
  <c r="L221" i="15"/>
  <c r="L141" i="15"/>
  <c r="L142" i="15"/>
  <c r="L143" i="15"/>
  <c r="L154" i="15"/>
  <c r="L155" i="15"/>
  <c r="L233" i="15"/>
  <c r="L266" i="15"/>
  <c r="L228" i="15"/>
  <c r="L156" i="15"/>
  <c r="L129" i="15"/>
  <c r="L130" i="15"/>
  <c r="L131" i="15"/>
  <c r="L132" i="15"/>
  <c r="L133" i="15"/>
  <c r="L135" i="15"/>
  <c r="L136" i="15"/>
  <c r="N791" i="15"/>
  <c r="N792" i="15"/>
  <c r="N793" i="15"/>
  <c r="N794" i="15"/>
  <c r="N795" i="15"/>
  <c r="N797" i="15"/>
  <c r="N650" i="15"/>
  <c r="N649" i="15"/>
  <c r="N36" i="15"/>
  <c r="N639" i="15"/>
  <c r="N52" i="15"/>
  <c r="N25" i="15"/>
  <c r="N23" i="15"/>
  <c r="N651" i="15"/>
  <c r="N638" i="15"/>
  <c r="N659" i="15"/>
  <c r="N644" i="15"/>
  <c r="N640" i="15"/>
  <c r="N643" i="15"/>
  <c r="N641" i="15"/>
  <c r="N642" i="15"/>
  <c r="N652" i="15"/>
  <c r="N658" i="15"/>
  <c r="N796" i="15"/>
  <c r="N654" i="15"/>
  <c r="N3" i="15"/>
  <c r="N4" i="15"/>
  <c r="N7" i="15"/>
  <c r="N8" i="15"/>
  <c r="N9" i="15"/>
  <c r="N661" i="15"/>
  <c r="N662" i="15"/>
  <c r="N655" i="15"/>
  <c r="N656" i="15"/>
  <c r="N645" i="15"/>
  <c r="N646" i="15"/>
  <c r="N5" i="15"/>
  <c r="N2" i="15"/>
  <c r="N10" i="15"/>
  <c r="N798" i="15"/>
  <c r="N799" i="15"/>
  <c r="N11" i="15"/>
  <c r="N19" i="15"/>
  <c r="N27" i="15"/>
  <c r="N60" i="15"/>
  <c r="N28" i="15"/>
  <c r="N20" i="15"/>
  <c r="N33" i="15"/>
  <c r="N86" i="15"/>
  <c r="N85" i="15"/>
  <c r="N120" i="15"/>
  <c r="N105" i="15"/>
  <c r="N100" i="15"/>
  <c r="N123" i="15"/>
  <c r="N146" i="15"/>
  <c r="N163" i="15"/>
  <c r="N75" i="15"/>
  <c r="N76" i="15"/>
  <c r="N72" i="15"/>
  <c r="N185" i="15"/>
  <c r="N197" i="15"/>
  <c r="N106" i="15"/>
  <c r="N80" i="15"/>
  <c r="N107" i="15"/>
  <c r="N93" i="15"/>
  <c r="N94" i="15"/>
  <c r="N108" i="15"/>
  <c r="N109" i="15"/>
  <c r="N84" i="15"/>
  <c r="N102" i="15"/>
  <c r="N81" i="15"/>
  <c r="N82" i="15"/>
  <c r="N21" i="15"/>
  <c r="N22" i="15"/>
  <c r="N42" i="15"/>
  <c r="N43" i="15"/>
  <c r="N71" i="15"/>
  <c r="N87" i="15"/>
  <c r="N53" i="15"/>
  <c r="N54" i="15"/>
  <c r="N59" i="15"/>
  <c r="N45" i="15"/>
  <c r="N44" i="15"/>
  <c r="N180" i="15"/>
  <c r="N181" i="15"/>
  <c r="N159" i="15"/>
  <c r="N160" i="15"/>
  <c r="N169" i="15"/>
  <c r="N184" i="15"/>
  <c r="N175" i="15"/>
  <c r="N176" i="15"/>
  <c r="N173" i="15"/>
  <c r="N177" i="15"/>
  <c r="N206" i="15"/>
  <c r="N219" i="15"/>
  <c r="N172" i="15"/>
  <c r="N182" i="15"/>
  <c r="N195" i="15"/>
  <c r="N196" i="15"/>
  <c r="N231" i="15"/>
  <c r="N253" i="15"/>
  <c r="N215" i="15"/>
  <c r="N77" i="15"/>
  <c r="N78" i="15"/>
  <c r="N58" i="15"/>
  <c r="N64" i="15"/>
  <c r="N47" i="15"/>
  <c r="N62" i="15"/>
  <c r="N55" i="15"/>
  <c r="N56" i="15"/>
  <c r="N70" i="15"/>
  <c r="N124" i="15"/>
  <c r="N126" i="15"/>
  <c r="N115" i="15"/>
  <c r="N119" i="15"/>
  <c r="N121" i="15"/>
  <c r="N122" i="15"/>
  <c r="N127" i="15"/>
  <c r="N128" i="15"/>
  <c r="N152" i="15"/>
  <c r="N168" i="15"/>
  <c r="N187" i="15"/>
  <c r="N203" i="15"/>
  <c r="N221" i="15"/>
  <c r="N141" i="15"/>
  <c r="N142" i="15"/>
  <c r="N143" i="15"/>
  <c r="N154" i="15"/>
  <c r="N155" i="15"/>
  <c r="N233" i="15"/>
  <c r="N266" i="15"/>
  <c r="N228" i="15"/>
  <c r="N156" i="15"/>
  <c r="N129" i="15"/>
  <c r="N130" i="15"/>
  <c r="N131" i="15"/>
  <c r="N132" i="15"/>
  <c r="N133" i="15"/>
  <c r="N135" i="15"/>
  <c r="N136" i="15"/>
  <c r="O791" i="15"/>
  <c r="O792" i="15"/>
  <c r="O793" i="15"/>
  <c r="O794" i="15"/>
  <c r="O795" i="15"/>
  <c r="O797" i="15"/>
  <c r="O650" i="15"/>
  <c r="O649" i="15"/>
  <c r="O36" i="15"/>
  <c r="O639" i="15"/>
  <c r="O52" i="15"/>
  <c r="O25" i="15"/>
  <c r="O23" i="15"/>
  <c r="O651" i="15"/>
  <c r="O638" i="15"/>
  <c r="O659" i="15"/>
  <c r="O644" i="15"/>
  <c r="O640" i="15"/>
  <c r="O643" i="15"/>
  <c r="O641" i="15"/>
  <c r="O642" i="15"/>
  <c r="O652" i="15"/>
  <c r="O658" i="15"/>
  <c r="O796" i="15"/>
  <c r="O654" i="15"/>
  <c r="O3" i="15"/>
  <c r="O4" i="15"/>
  <c r="O7" i="15"/>
  <c r="O8" i="15"/>
  <c r="O9" i="15"/>
  <c r="O661" i="15"/>
  <c r="O662" i="15"/>
  <c r="O655" i="15"/>
  <c r="O656" i="15"/>
  <c r="O645" i="15"/>
  <c r="O646" i="15"/>
  <c r="O5" i="15"/>
  <c r="O2" i="15"/>
  <c r="O10" i="15"/>
  <c r="O798" i="15"/>
  <c r="O799" i="15"/>
  <c r="O11" i="15"/>
  <c r="O19" i="15"/>
  <c r="O27" i="15"/>
  <c r="O60" i="15"/>
  <c r="O28" i="15"/>
  <c r="O20" i="15"/>
  <c r="O33" i="15"/>
  <c r="O86" i="15"/>
  <c r="O85" i="15"/>
  <c r="O120" i="15"/>
  <c r="O105" i="15"/>
  <c r="O100" i="15"/>
  <c r="O123" i="15"/>
  <c r="O146" i="15"/>
  <c r="O163" i="15"/>
  <c r="O75" i="15"/>
  <c r="O76" i="15"/>
  <c r="O72" i="15"/>
  <c r="O185" i="15"/>
  <c r="O197" i="15"/>
  <c r="O106" i="15"/>
  <c r="O80" i="15"/>
  <c r="O107" i="15"/>
  <c r="O93" i="15"/>
  <c r="O94" i="15"/>
  <c r="O108" i="15"/>
  <c r="O109" i="15"/>
  <c r="O84" i="15"/>
  <c r="O102" i="15"/>
  <c r="O81" i="15"/>
  <c r="O82" i="15"/>
  <c r="O21" i="15"/>
  <c r="O22" i="15"/>
  <c r="O42" i="15"/>
  <c r="O43" i="15"/>
  <c r="O71" i="15"/>
  <c r="O87" i="15"/>
  <c r="O53" i="15"/>
  <c r="O54" i="15"/>
  <c r="O59" i="15"/>
  <c r="O45" i="15"/>
  <c r="O44" i="15"/>
  <c r="O180" i="15"/>
  <c r="O181" i="15"/>
  <c r="O159" i="15"/>
  <c r="O160" i="15"/>
  <c r="O169" i="15"/>
  <c r="O184" i="15"/>
  <c r="O175" i="15"/>
  <c r="O176" i="15"/>
  <c r="O173" i="15"/>
  <c r="O177" i="15"/>
  <c r="O206" i="15"/>
  <c r="O219" i="15"/>
  <c r="O172" i="15"/>
  <c r="O182" i="15"/>
  <c r="O195" i="15"/>
  <c r="O196" i="15"/>
  <c r="O231" i="15"/>
  <c r="O253" i="15"/>
  <c r="O215" i="15"/>
  <c r="O77" i="15"/>
  <c r="O78" i="15"/>
  <c r="O58" i="15"/>
  <c r="O64" i="15"/>
  <c r="O47" i="15"/>
  <c r="O62" i="15"/>
  <c r="O55" i="15"/>
  <c r="O56" i="15"/>
  <c r="O70" i="15"/>
  <c r="O124" i="15"/>
  <c r="O126" i="15"/>
  <c r="O115" i="15"/>
  <c r="O119" i="15"/>
  <c r="O121" i="15"/>
  <c r="O122" i="15"/>
  <c r="O127" i="15"/>
  <c r="O128" i="15"/>
  <c r="O152" i="15"/>
  <c r="O168" i="15"/>
  <c r="O187" i="15"/>
  <c r="O203" i="15"/>
  <c r="O221" i="15"/>
  <c r="O141" i="15"/>
  <c r="O142" i="15"/>
  <c r="O143" i="15"/>
  <c r="O154" i="15"/>
  <c r="O155" i="15"/>
  <c r="O233" i="15"/>
  <c r="O266" i="15"/>
  <c r="O228" i="15"/>
  <c r="O156" i="15"/>
  <c r="O129" i="15"/>
  <c r="O130" i="15"/>
  <c r="O131" i="15"/>
  <c r="O132" i="15"/>
  <c r="O133" i="15"/>
  <c r="O135" i="15"/>
  <c r="O136" i="15"/>
  <c r="P791" i="15"/>
  <c r="P792" i="15"/>
  <c r="P793" i="15"/>
  <c r="P794" i="15"/>
  <c r="P795" i="15"/>
  <c r="P797" i="15"/>
  <c r="P650" i="15"/>
  <c r="P649" i="15"/>
  <c r="P36" i="15"/>
  <c r="P639" i="15"/>
  <c r="P52" i="15"/>
  <c r="P25" i="15"/>
  <c r="P23" i="15"/>
  <c r="P651" i="15"/>
  <c r="P638" i="15"/>
  <c r="P659" i="15"/>
  <c r="P644" i="15"/>
  <c r="P640" i="15"/>
  <c r="P643" i="15"/>
  <c r="P641" i="15"/>
  <c r="P642" i="15"/>
  <c r="P652" i="15"/>
  <c r="P658" i="15"/>
  <c r="P796" i="15"/>
  <c r="P654" i="15"/>
  <c r="P3" i="15"/>
  <c r="P4" i="15"/>
  <c r="P7" i="15"/>
  <c r="P8" i="15"/>
  <c r="P9" i="15"/>
  <c r="P661" i="15"/>
  <c r="P662" i="15"/>
  <c r="P655" i="15"/>
  <c r="P656" i="15"/>
  <c r="P645" i="15"/>
  <c r="P646" i="15"/>
  <c r="P5" i="15"/>
  <c r="P2" i="15"/>
  <c r="P10" i="15"/>
  <c r="P798" i="15"/>
  <c r="P799" i="15"/>
  <c r="P11" i="15"/>
  <c r="P19" i="15"/>
  <c r="P27" i="15"/>
  <c r="P60" i="15"/>
  <c r="P28" i="15"/>
  <c r="P20" i="15"/>
  <c r="P33" i="15"/>
  <c r="P86" i="15"/>
  <c r="P85" i="15"/>
  <c r="P120" i="15"/>
  <c r="P105" i="15"/>
  <c r="P100" i="15"/>
  <c r="P123" i="15"/>
  <c r="P146" i="15"/>
  <c r="P163" i="15"/>
  <c r="P75" i="15"/>
  <c r="P76" i="15"/>
  <c r="P72" i="15"/>
  <c r="P185" i="15"/>
  <c r="P197" i="15"/>
  <c r="P106" i="15"/>
  <c r="P80" i="15"/>
  <c r="P107" i="15"/>
  <c r="P93" i="15"/>
  <c r="P94" i="15"/>
  <c r="P108" i="15"/>
  <c r="P109" i="15"/>
  <c r="P84" i="15"/>
  <c r="P102" i="15"/>
  <c r="P81" i="15"/>
  <c r="P82" i="15"/>
  <c r="P21" i="15"/>
  <c r="P22" i="15"/>
  <c r="P42" i="15"/>
  <c r="P43" i="15"/>
  <c r="P71" i="15"/>
  <c r="P87" i="15"/>
  <c r="P53" i="15"/>
  <c r="P54" i="15"/>
  <c r="P59" i="15"/>
  <c r="P45" i="15"/>
  <c r="P44" i="15"/>
  <c r="P180" i="15"/>
  <c r="P181" i="15"/>
  <c r="P159" i="15"/>
  <c r="P160" i="15"/>
  <c r="P169" i="15"/>
  <c r="P184" i="15"/>
  <c r="P175" i="15"/>
  <c r="P176" i="15"/>
  <c r="P173" i="15"/>
  <c r="P177" i="15"/>
  <c r="P206" i="15"/>
  <c r="P219" i="15"/>
  <c r="P172" i="15"/>
  <c r="P182" i="15"/>
  <c r="P195" i="15"/>
  <c r="P196" i="15"/>
  <c r="P231" i="15"/>
  <c r="P253" i="15"/>
  <c r="P215" i="15"/>
  <c r="P77" i="15"/>
  <c r="P78" i="15"/>
  <c r="P58" i="15"/>
  <c r="P64" i="15"/>
  <c r="P47" i="15"/>
  <c r="P62" i="15"/>
  <c r="P55" i="15"/>
  <c r="P56" i="15"/>
  <c r="P70" i="15"/>
  <c r="P124" i="15"/>
  <c r="P126" i="15"/>
  <c r="P115" i="15"/>
  <c r="P119" i="15"/>
  <c r="P121" i="15"/>
  <c r="P122" i="15"/>
  <c r="P127" i="15"/>
  <c r="P128" i="15"/>
  <c r="P152" i="15"/>
  <c r="P168" i="15"/>
  <c r="P187" i="15"/>
  <c r="P203" i="15"/>
  <c r="P221" i="15"/>
  <c r="P141" i="15"/>
  <c r="P142" i="15"/>
  <c r="P143" i="15"/>
  <c r="P154" i="15"/>
  <c r="P155" i="15"/>
  <c r="P233" i="15"/>
  <c r="P266" i="15"/>
  <c r="P228" i="15"/>
  <c r="P156" i="15"/>
  <c r="P129" i="15"/>
  <c r="P130" i="15"/>
  <c r="P131" i="15"/>
  <c r="P132" i="15"/>
  <c r="P133" i="15"/>
  <c r="P135" i="15"/>
  <c r="P136" i="15"/>
  <c r="R791" i="15"/>
  <c r="R792" i="15"/>
  <c r="R793" i="15"/>
  <c r="R794" i="15"/>
  <c r="R795" i="15"/>
  <c r="R797" i="15"/>
  <c r="R650" i="15"/>
  <c r="R649" i="15"/>
  <c r="R36" i="15"/>
  <c r="R639" i="15"/>
  <c r="R52" i="15"/>
  <c r="R25" i="15"/>
  <c r="R23" i="15"/>
  <c r="R651" i="15"/>
  <c r="R638" i="15"/>
  <c r="R659" i="15"/>
  <c r="R644" i="15"/>
  <c r="R640" i="15"/>
  <c r="R643" i="15"/>
  <c r="R641" i="15"/>
  <c r="R642" i="15"/>
  <c r="R652" i="15"/>
  <c r="R658" i="15"/>
  <c r="R796" i="15"/>
  <c r="R654" i="15"/>
  <c r="R3" i="15"/>
  <c r="R4" i="15"/>
  <c r="R7" i="15"/>
  <c r="R8" i="15"/>
  <c r="R9" i="15"/>
  <c r="R661" i="15"/>
  <c r="R662" i="15"/>
  <c r="R655" i="15"/>
  <c r="R656" i="15"/>
  <c r="R645" i="15"/>
  <c r="R646" i="15"/>
  <c r="R5" i="15"/>
  <c r="R2" i="15"/>
  <c r="R10" i="15"/>
  <c r="R798" i="15"/>
  <c r="R799" i="15"/>
  <c r="R11" i="15"/>
  <c r="R19" i="15"/>
  <c r="R27" i="15"/>
  <c r="R60" i="15"/>
  <c r="R28" i="15"/>
  <c r="R20" i="15"/>
  <c r="R33" i="15"/>
  <c r="R86" i="15"/>
  <c r="R85" i="15"/>
  <c r="R120" i="15"/>
  <c r="R105" i="15"/>
  <c r="R100" i="15"/>
  <c r="R123" i="15"/>
  <c r="R146" i="15"/>
  <c r="R163" i="15"/>
  <c r="R75" i="15"/>
  <c r="R76" i="15"/>
  <c r="R72" i="15"/>
  <c r="R185" i="15"/>
  <c r="R197" i="15"/>
  <c r="R106" i="15"/>
  <c r="R80" i="15"/>
  <c r="R107" i="15"/>
  <c r="R93" i="15"/>
  <c r="R94" i="15"/>
  <c r="R108" i="15"/>
  <c r="R109" i="15"/>
  <c r="R84" i="15"/>
  <c r="R102" i="15"/>
  <c r="R81" i="15"/>
  <c r="R82" i="15"/>
  <c r="R21" i="15"/>
  <c r="R22" i="15"/>
  <c r="R42" i="15"/>
  <c r="R43" i="15"/>
  <c r="R71" i="15"/>
  <c r="R87" i="15"/>
  <c r="R53" i="15"/>
  <c r="R54" i="15"/>
  <c r="R59" i="15"/>
  <c r="R45" i="15"/>
  <c r="R44" i="15"/>
  <c r="R180" i="15"/>
  <c r="R181" i="15"/>
  <c r="R159" i="15"/>
  <c r="R160" i="15"/>
  <c r="R169" i="15"/>
  <c r="R184" i="15"/>
  <c r="R175" i="15"/>
  <c r="R176" i="15"/>
  <c r="R173" i="15"/>
  <c r="R177" i="15"/>
  <c r="R206" i="15"/>
  <c r="R219" i="15"/>
  <c r="R172" i="15"/>
  <c r="R182" i="15"/>
  <c r="R195" i="15"/>
  <c r="R196" i="15"/>
  <c r="R231" i="15"/>
  <c r="R253" i="15"/>
  <c r="R215" i="15"/>
  <c r="R77" i="15"/>
  <c r="R78" i="15"/>
  <c r="R58" i="15"/>
  <c r="R64" i="15"/>
  <c r="R47" i="15"/>
  <c r="R62" i="15"/>
  <c r="R55" i="15"/>
  <c r="R56" i="15"/>
  <c r="R70" i="15"/>
  <c r="R124" i="15"/>
  <c r="R126" i="15"/>
  <c r="R115" i="15"/>
  <c r="R119" i="15"/>
  <c r="R121" i="15"/>
  <c r="R122" i="15"/>
  <c r="R127" i="15"/>
  <c r="R128" i="15"/>
  <c r="R152" i="15"/>
  <c r="R168" i="15"/>
  <c r="R187" i="15"/>
  <c r="R203" i="15"/>
  <c r="R221" i="15"/>
  <c r="R141" i="15"/>
  <c r="R142" i="15"/>
  <c r="R143" i="15"/>
  <c r="R154" i="15"/>
  <c r="R155" i="15"/>
  <c r="R233" i="15"/>
  <c r="R266" i="15"/>
  <c r="R228" i="15"/>
  <c r="R156" i="15"/>
  <c r="R129" i="15"/>
  <c r="R130" i="15"/>
  <c r="R131" i="15"/>
  <c r="R132" i="15"/>
  <c r="R133" i="15"/>
  <c r="R135" i="15"/>
  <c r="R136" i="15"/>
  <c r="S791" i="15"/>
  <c r="S792" i="15"/>
  <c r="S793" i="15"/>
  <c r="S794" i="15"/>
  <c r="S795" i="15"/>
  <c r="S797" i="15"/>
  <c r="S650" i="15"/>
  <c r="S649" i="15"/>
  <c r="S36" i="15"/>
  <c r="S639" i="15"/>
  <c r="S52" i="15"/>
  <c r="S25" i="15"/>
  <c r="S23" i="15"/>
  <c r="S651" i="15"/>
  <c r="S638" i="15"/>
  <c r="S659" i="15"/>
  <c r="S644" i="15"/>
  <c r="S640" i="15"/>
  <c r="S643" i="15"/>
  <c r="S641" i="15"/>
  <c r="S642" i="15"/>
  <c r="S652" i="15"/>
  <c r="S658" i="15"/>
  <c r="S796" i="15"/>
  <c r="S654" i="15"/>
  <c r="S3" i="15"/>
  <c r="S4" i="15"/>
  <c r="S7" i="15"/>
  <c r="S8" i="15"/>
  <c r="S9" i="15"/>
  <c r="S661" i="15"/>
  <c r="S662" i="15"/>
  <c r="S655" i="15"/>
  <c r="S656" i="15"/>
  <c r="S645" i="15"/>
  <c r="S646" i="15"/>
  <c r="S5" i="15"/>
  <c r="S2" i="15"/>
  <c r="S10" i="15"/>
  <c r="S798" i="15"/>
  <c r="S799" i="15"/>
  <c r="S11" i="15"/>
  <c r="S19" i="15"/>
  <c r="S27" i="15"/>
  <c r="S60" i="15"/>
  <c r="S28" i="15"/>
  <c r="S20" i="15"/>
  <c r="S33" i="15"/>
  <c r="S86" i="15"/>
  <c r="S85" i="15"/>
  <c r="S120" i="15"/>
  <c r="S105" i="15"/>
  <c r="S100" i="15"/>
  <c r="S123" i="15"/>
  <c r="S146" i="15"/>
  <c r="S163" i="15"/>
  <c r="S75" i="15"/>
  <c r="S76" i="15"/>
  <c r="S72" i="15"/>
  <c r="S185" i="15"/>
  <c r="S197" i="15"/>
  <c r="S106" i="15"/>
  <c r="S80" i="15"/>
  <c r="S107" i="15"/>
  <c r="S93" i="15"/>
  <c r="S94" i="15"/>
  <c r="S108" i="15"/>
  <c r="S109" i="15"/>
  <c r="S84" i="15"/>
  <c r="S102" i="15"/>
  <c r="S81" i="15"/>
  <c r="S82" i="15"/>
  <c r="S21" i="15"/>
  <c r="S22" i="15"/>
  <c r="S42" i="15"/>
  <c r="S43" i="15"/>
  <c r="S71" i="15"/>
  <c r="S87" i="15"/>
  <c r="S53" i="15"/>
  <c r="S54" i="15"/>
  <c r="S59" i="15"/>
  <c r="S45" i="15"/>
  <c r="S44" i="15"/>
  <c r="S180" i="15"/>
  <c r="S181" i="15"/>
  <c r="S159" i="15"/>
  <c r="S160" i="15"/>
  <c r="S169" i="15"/>
  <c r="S184" i="15"/>
  <c r="S175" i="15"/>
  <c r="S176" i="15"/>
  <c r="S173" i="15"/>
  <c r="S177" i="15"/>
  <c r="S206" i="15"/>
  <c r="S219" i="15"/>
  <c r="S172" i="15"/>
  <c r="S182" i="15"/>
  <c r="S195" i="15"/>
  <c r="S196" i="15"/>
  <c r="S231" i="15"/>
  <c r="S253" i="15"/>
  <c r="S215" i="15"/>
  <c r="S77" i="15"/>
  <c r="S78" i="15"/>
  <c r="S58" i="15"/>
  <c r="S64" i="15"/>
  <c r="S47" i="15"/>
  <c r="S62" i="15"/>
  <c r="S55" i="15"/>
  <c r="S56" i="15"/>
  <c r="S70" i="15"/>
  <c r="S124" i="15"/>
  <c r="S126" i="15"/>
  <c r="S115" i="15"/>
  <c r="S119" i="15"/>
  <c r="S121" i="15"/>
  <c r="S122" i="15"/>
  <c r="S127" i="15"/>
  <c r="S128" i="15"/>
  <c r="S152" i="15"/>
  <c r="S168" i="15"/>
  <c r="S187" i="15"/>
  <c r="S203" i="15"/>
  <c r="S221" i="15"/>
  <c r="S141" i="15"/>
  <c r="S142" i="15"/>
  <c r="S143" i="15"/>
  <c r="S154" i="15"/>
  <c r="S155" i="15"/>
  <c r="S233" i="15"/>
  <c r="S266" i="15"/>
  <c r="S228" i="15"/>
  <c r="S156" i="15"/>
  <c r="S129" i="15"/>
  <c r="S130" i="15"/>
  <c r="S131" i="15"/>
  <c r="S132" i="15"/>
  <c r="S133" i="15"/>
  <c r="S135" i="15"/>
  <c r="S136" i="15"/>
  <c r="W791" i="15"/>
  <c r="W792" i="15"/>
  <c r="W793" i="15"/>
  <c r="W794" i="15"/>
  <c r="W795" i="15"/>
  <c r="W797" i="15"/>
  <c r="W650" i="15"/>
  <c r="W649" i="15"/>
  <c r="W36" i="15"/>
  <c r="W639" i="15"/>
  <c r="W52" i="15"/>
  <c r="W25" i="15"/>
  <c r="W23" i="15"/>
  <c r="W651" i="15"/>
  <c r="W638" i="15"/>
  <c r="W659" i="15"/>
  <c r="W644" i="15"/>
  <c r="W640" i="15"/>
  <c r="W643" i="15"/>
  <c r="W641" i="15"/>
  <c r="W642" i="15"/>
  <c r="W652" i="15"/>
  <c r="W658" i="15"/>
  <c r="W796" i="15"/>
  <c r="W654" i="15"/>
  <c r="W4" i="15"/>
  <c r="W7" i="15"/>
  <c r="W8" i="15"/>
  <c r="G33" i="9" s="1"/>
  <c r="W9" i="15"/>
  <c r="W661" i="15"/>
  <c r="W662" i="15"/>
  <c r="W655" i="15"/>
  <c r="W656" i="15"/>
  <c r="W645" i="15"/>
  <c r="W646" i="15"/>
  <c r="W5" i="15"/>
  <c r="W2" i="15"/>
  <c r="W10" i="15"/>
  <c r="W798" i="15"/>
  <c r="W799" i="15"/>
  <c r="W11" i="15"/>
  <c r="W19" i="15"/>
  <c r="W27" i="15"/>
  <c r="G55" i="9" s="1"/>
  <c r="W60" i="15"/>
  <c r="W28" i="15"/>
  <c r="W20" i="15"/>
  <c r="W33" i="15"/>
  <c r="W86" i="15"/>
  <c r="W85" i="15"/>
  <c r="W120" i="15"/>
  <c r="W105" i="15"/>
  <c r="W100" i="15"/>
  <c r="W123" i="15"/>
  <c r="W146" i="15"/>
  <c r="W163" i="15"/>
  <c r="W75" i="15"/>
  <c r="W76" i="15"/>
  <c r="W72" i="15"/>
  <c r="W185" i="15"/>
  <c r="W197" i="15"/>
  <c r="W106" i="15"/>
  <c r="W80" i="15"/>
  <c r="W107" i="15"/>
  <c r="W93" i="15"/>
  <c r="W94" i="15"/>
  <c r="W108" i="15"/>
  <c r="W109" i="15"/>
  <c r="W84" i="15"/>
  <c r="W102" i="15"/>
  <c r="W81" i="15"/>
  <c r="W82" i="15"/>
  <c r="W21" i="15"/>
  <c r="W22" i="15"/>
  <c r="W42" i="15"/>
  <c r="W43" i="15"/>
  <c r="W71" i="15"/>
  <c r="W87" i="15"/>
  <c r="W53" i="15"/>
  <c r="W54" i="15"/>
  <c r="W59" i="15"/>
  <c r="W45" i="15"/>
  <c r="W44" i="15"/>
  <c r="W180" i="15"/>
  <c r="W181" i="15"/>
  <c r="W159" i="15"/>
  <c r="W160" i="15"/>
  <c r="W169" i="15"/>
  <c r="W184" i="15"/>
  <c r="W175" i="15"/>
  <c r="W176" i="15"/>
  <c r="W173" i="15"/>
  <c r="W177" i="15"/>
  <c r="W206" i="15"/>
  <c r="W219" i="15"/>
  <c r="W172" i="15"/>
  <c r="W182" i="15"/>
  <c r="W195" i="15"/>
  <c r="W196" i="15"/>
  <c r="W231" i="15"/>
  <c r="W253" i="15"/>
  <c r="W215" i="15"/>
  <c r="W77" i="15"/>
  <c r="W78" i="15"/>
  <c r="W58" i="15"/>
  <c r="W64" i="15"/>
  <c r="W47" i="15"/>
  <c r="W62" i="15"/>
  <c r="W55" i="15"/>
  <c r="W56" i="15"/>
  <c r="W70" i="15"/>
  <c r="W124" i="15"/>
  <c r="W126" i="15"/>
  <c r="W115" i="15"/>
  <c r="W119" i="15"/>
  <c r="W121" i="15"/>
  <c r="W122" i="15"/>
  <c r="W127" i="15"/>
  <c r="W128" i="15"/>
  <c r="W152" i="15"/>
  <c r="W168" i="15"/>
  <c r="W187" i="15"/>
  <c r="W203" i="15"/>
  <c r="W221" i="15"/>
  <c r="W141" i="15"/>
  <c r="W142" i="15"/>
  <c r="W143" i="15"/>
  <c r="W154" i="15"/>
  <c r="W155" i="15"/>
  <c r="W233" i="15"/>
  <c r="W266" i="15"/>
  <c r="W228" i="15"/>
  <c r="W156" i="15"/>
  <c r="W129" i="15"/>
  <c r="W130" i="15"/>
  <c r="W131" i="15"/>
  <c r="W132" i="15"/>
  <c r="W133" i="15"/>
  <c r="W135" i="15"/>
  <c r="W136" i="15"/>
  <c r="X791" i="15"/>
  <c r="X792" i="15"/>
  <c r="X793" i="15"/>
  <c r="X794" i="15"/>
  <c r="X795" i="15"/>
  <c r="X797" i="15"/>
  <c r="X650" i="15"/>
  <c r="X649" i="15"/>
  <c r="X36" i="15"/>
  <c r="X639" i="15"/>
  <c r="X52" i="15"/>
  <c r="X25" i="15"/>
  <c r="X23" i="15"/>
  <c r="X651" i="15"/>
  <c r="X638" i="15"/>
  <c r="X659" i="15"/>
  <c r="X644" i="15"/>
  <c r="X640" i="15"/>
  <c r="X643" i="15"/>
  <c r="X641" i="15"/>
  <c r="X642" i="15"/>
  <c r="X652" i="15"/>
  <c r="X658" i="15"/>
  <c r="X796" i="15"/>
  <c r="X654" i="15"/>
  <c r="X4" i="15"/>
  <c r="X7" i="15"/>
  <c r="X8" i="15"/>
  <c r="X9" i="15"/>
  <c r="X661" i="15"/>
  <c r="X662" i="15"/>
  <c r="X655" i="15"/>
  <c r="X656" i="15"/>
  <c r="X645" i="15"/>
  <c r="X646" i="15"/>
  <c r="X5" i="15"/>
  <c r="X2" i="15"/>
  <c r="X10" i="15"/>
  <c r="X798" i="15"/>
  <c r="X799" i="15"/>
  <c r="X11" i="15"/>
  <c r="X19" i="15"/>
  <c r="X27" i="15"/>
  <c r="X60" i="15"/>
  <c r="X28" i="15"/>
  <c r="X20" i="15"/>
  <c r="X33" i="15"/>
  <c r="X86" i="15"/>
  <c r="X85" i="15"/>
  <c r="X120" i="15"/>
  <c r="X105" i="15"/>
  <c r="X100" i="15"/>
  <c r="X123" i="15"/>
  <c r="X146" i="15"/>
  <c r="X163" i="15"/>
  <c r="X75" i="15"/>
  <c r="X76" i="15"/>
  <c r="X72" i="15"/>
  <c r="X185" i="15"/>
  <c r="X197" i="15"/>
  <c r="X106" i="15"/>
  <c r="X80" i="15"/>
  <c r="X107" i="15"/>
  <c r="X93" i="15"/>
  <c r="X94" i="15"/>
  <c r="X108" i="15"/>
  <c r="X109" i="15"/>
  <c r="X84" i="15"/>
  <c r="X102" i="15"/>
  <c r="X81" i="15"/>
  <c r="X82" i="15"/>
  <c r="X21" i="15"/>
  <c r="X22" i="15"/>
  <c r="X42" i="15"/>
  <c r="X43" i="15"/>
  <c r="X71" i="15"/>
  <c r="X87" i="15"/>
  <c r="X53" i="15"/>
  <c r="X54" i="15"/>
  <c r="X59" i="15"/>
  <c r="X45" i="15"/>
  <c r="X44" i="15"/>
  <c r="X180" i="15"/>
  <c r="X181" i="15"/>
  <c r="X159" i="15"/>
  <c r="X160" i="15"/>
  <c r="X169" i="15"/>
  <c r="X184" i="15"/>
  <c r="X175" i="15"/>
  <c r="X176" i="15"/>
  <c r="X173" i="15"/>
  <c r="X177" i="15"/>
  <c r="X206" i="15"/>
  <c r="X219" i="15"/>
  <c r="X172" i="15"/>
  <c r="X182" i="15"/>
  <c r="X195" i="15"/>
  <c r="X196" i="15"/>
  <c r="X231" i="15"/>
  <c r="X253" i="15"/>
  <c r="X215" i="15"/>
  <c r="X77" i="15"/>
  <c r="X78" i="15"/>
  <c r="X58" i="15"/>
  <c r="X64" i="15"/>
  <c r="X47" i="15"/>
  <c r="X62" i="15"/>
  <c r="X55" i="15"/>
  <c r="X56" i="15"/>
  <c r="X70" i="15"/>
  <c r="X124" i="15"/>
  <c r="X126" i="15"/>
  <c r="X115" i="15"/>
  <c r="X119" i="15"/>
  <c r="X121" i="15"/>
  <c r="X122" i="15"/>
  <c r="X127" i="15"/>
  <c r="X128" i="15"/>
  <c r="X152" i="15"/>
  <c r="X168" i="15"/>
  <c r="X187" i="15"/>
  <c r="X203" i="15"/>
  <c r="X221" i="15"/>
  <c r="X141" i="15"/>
  <c r="X142" i="15"/>
  <c r="X143" i="15"/>
  <c r="X154" i="15"/>
  <c r="X155" i="15"/>
  <c r="X233" i="15"/>
  <c r="X266" i="15"/>
  <c r="X228" i="15"/>
  <c r="X156" i="15"/>
  <c r="X129" i="15"/>
  <c r="X130" i="15"/>
  <c r="X131" i="15"/>
  <c r="X132" i="15"/>
  <c r="X133" i="15"/>
  <c r="X135" i="15"/>
  <c r="X136" i="15"/>
  <c r="Z791" i="15"/>
  <c r="Z792" i="15"/>
  <c r="Z793" i="15"/>
  <c r="Z794" i="15"/>
  <c r="Z795" i="15"/>
  <c r="Z797" i="15"/>
  <c r="Z650" i="15"/>
  <c r="Z649" i="15"/>
  <c r="Z36" i="15"/>
  <c r="Z639" i="15"/>
  <c r="Z52" i="15"/>
  <c r="Z25" i="15"/>
  <c r="Z23" i="15"/>
  <c r="Z651" i="15"/>
  <c r="Z638" i="15"/>
  <c r="Z659" i="15"/>
  <c r="Z644" i="15"/>
  <c r="Z640" i="15"/>
  <c r="Z643" i="15"/>
  <c r="Z641" i="15"/>
  <c r="Z642" i="15"/>
  <c r="Z652" i="15"/>
  <c r="Z658" i="15"/>
  <c r="Z796" i="15"/>
  <c r="Z654" i="15"/>
  <c r="Z3" i="15"/>
  <c r="Z4" i="15"/>
  <c r="Z7" i="15"/>
  <c r="Z8" i="15"/>
  <c r="Z9" i="15"/>
  <c r="Z661" i="15"/>
  <c r="Z662" i="15"/>
  <c r="Z655" i="15"/>
  <c r="Z656" i="15"/>
  <c r="Z645" i="15"/>
  <c r="Z646" i="15"/>
  <c r="Z5" i="15"/>
  <c r="Z2" i="15"/>
  <c r="Z10" i="15"/>
  <c r="Z798" i="15"/>
  <c r="Z799" i="15"/>
  <c r="Z11" i="15"/>
  <c r="Z19" i="15"/>
  <c r="Z27" i="15"/>
  <c r="Z60" i="15"/>
  <c r="Z28" i="15"/>
  <c r="Z20" i="15"/>
  <c r="Z33" i="15"/>
  <c r="Z86" i="15"/>
  <c r="Z85" i="15"/>
  <c r="Z120" i="15"/>
  <c r="Z105" i="15"/>
  <c r="Z100" i="15"/>
  <c r="Z123" i="15"/>
  <c r="Z146" i="15"/>
  <c r="Z163" i="15"/>
  <c r="Z75" i="15"/>
  <c r="Z76" i="15"/>
  <c r="Z72" i="15"/>
  <c r="Z185" i="15"/>
  <c r="Z197" i="15"/>
  <c r="Z106" i="15"/>
  <c r="Z80" i="15"/>
  <c r="Z107" i="15"/>
  <c r="Z93" i="15"/>
  <c r="Z94" i="15"/>
  <c r="Z108" i="15"/>
  <c r="Z109" i="15"/>
  <c r="Z84" i="15"/>
  <c r="Z102" i="15"/>
  <c r="Z81" i="15"/>
  <c r="Z82" i="15"/>
  <c r="Z21" i="15"/>
  <c r="Z22" i="15"/>
  <c r="Z42" i="15"/>
  <c r="Z43" i="15"/>
  <c r="Z71" i="15"/>
  <c r="Z87" i="15"/>
  <c r="Z53" i="15"/>
  <c r="Z54" i="15"/>
  <c r="Z59" i="15"/>
  <c r="Z45" i="15"/>
  <c r="Z44" i="15"/>
  <c r="Z180" i="15"/>
  <c r="Z181" i="15"/>
  <c r="Z159" i="15"/>
  <c r="Z160" i="15"/>
  <c r="Z169" i="15"/>
  <c r="Z184" i="15"/>
  <c r="Z175" i="15"/>
  <c r="Z176" i="15"/>
  <c r="Z173" i="15"/>
  <c r="Z177" i="15"/>
  <c r="Z206" i="15"/>
  <c r="Z219" i="15"/>
  <c r="Z172" i="15"/>
  <c r="Z182" i="15"/>
  <c r="Z195" i="15"/>
  <c r="Z196" i="15"/>
  <c r="Z231" i="15"/>
  <c r="Z253" i="15"/>
  <c r="Z215" i="15"/>
  <c r="Z77" i="15"/>
  <c r="Z78" i="15"/>
  <c r="Z58" i="15"/>
  <c r="Z64" i="15"/>
  <c r="Z47" i="15"/>
  <c r="Z62" i="15"/>
  <c r="Z55" i="15"/>
  <c r="Z56" i="15"/>
  <c r="Z70" i="15"/>
  <c r="Z124" i="15"/>
  <c r="Z126" i="15"/>
  <c r="Z115" i="15"/>
  <c r="Z119" i="15"/>
  <c r="Z121" i="15"/>
  <c r="Z122" i="15"/>
  <c r="Z127" i="15"/>
  <c r="Z128" i="15"/>
  <c r="Z152" i="15"/>
  <c r="Z168" i="15"/>
  <c r="Z187" i="15"/>
  <c r="Z203" i="15"/>
  <c r="Z221" i="15"/>
  <c r="Z141" i="15"/>
  <c r="Z142" i="15"/>
  <c r="Z143" i="15"/>
  <c r="Z154" i="15"/>
  <c r="Z155" i="15"/>
  <c r="Z233" i="15"/>
  <c r="Z266" i="15"/>
  <c r="Z228" i="15"/>
  <c r="Z156" i="15"/>
  <c r="Z129" i="15"/>
  <c r="Z130" i="15"/>
  <c r="Z131" i="15"/>
  <c r="Z132" i="15"/>
  <c r="Z133" i="15"/>
  <c r="Z135" i="15"/>
  <c r="Z136" i="15"/>
  <c r="AA791" i="15"/>
  <c r="AA792" i="15"/>
  <c r="AA793" i="15"/>
  <c r="AA794" i="15"/>
  <c r="AA795" i="15"/>
  <c r="AA797" i="15"/>
  <c r="AA650" i="15"/>
  <c r="AA649" i="15"/>
  <c r="AA36" i="15"/>
  <c r="AA639" i="15"/>
  <c r="AA52" i="15"/>
  <c r="AA25" i="15"/>
  <c r="AA23" i="15"/>
  <c r="AA651" i="15"/>
  <c r="AA638" i="15"/>
  <c r="AA659" i="15"/>
  <c r="AA644" i="15"/>
  <c r="AA640" i="15"/>
  <c r="AA643" i="15"/>
  <c r="AA641" i="15"/>
  <c r="AA642" i="15"/>
  <c r="AA652" i="15"/>
  <c r="AA658" i="15"/>
  <c r="AA796" i="15"/>
  <c r="AA654" i="15"/>
  <c r="AA4" i="15"/>
  <c r="AA7" i="15"/>
  <c r="AA8" i="15"/>
  <c r="AA9" i="15"/>
  <c r="AA661" i="15"/>
  <c r="AA662" i="15"/>
  <c r="AA655" i="15"/>
  <c r="AA656" i="15"/>
  <c r="AA645" i="15"/>
  <c r="AA646" i="15"/>
  <c r="AA5" i="15"/>
  <c r="AA2" i="15"/>
  <c r="AA10" i="15"/>
  <c r="AA798" i="15"/>
  <c r="AA799" i="15"/>
  <c r="AA11" i="15"/>
  <c r="AA19" i="15"/>
  <c r="AA27" i="15"/>
  <c r="AA60" i="15"/>
  <c r="AA28" i="15"/>
  <c r="AA20" i="15"/>
  <c r="AA33" i="15"/>
  <c r="AA86" i="15"/>
  <c r="AA85" i="15"/>
  <c r="AA120" i="15"/>
  <c r="AA105" i="15"/>
  <c r="AA100" i="15"/>
  <c r="AA123" i="15"/>
  <c r="AA146" i="15"/>
  <c r="AA163" i="15"/>
  <c r="AA75" i="15"/>
  <c r="AA76" i="15"/>
  <c r="AA72" i="15"/>
  <c r="AA185" i="15"/>
  <c r="AA197" i="15"/>
  <c r="AA106" i="15"/>
  <c r="AA80" i="15"/>
  <c r="AA107" i="15"/>
  <c r="AA93" i="15"/>
  <c r="AA94" i="15"/>
  <c r="AA108" i="15"/>
  <c r="AA109" i="15"/>
  <c r="AA84" i="15"/>
  <c r="AA102" i="15"/>
  <c r="AA81" i="15"/>
  <c r="AA82" i="15"/>
  <c r="AA21" i="15"/>
  <c r="AA22" i="15"/>
  <c r="AA42" i="15"/>
  <c r="AA43" i="15"/>
  <c r="AA71" i="15"/>
  <c r="AA87" i="15"/>
  <c r="AA53" i="15"/>
  <c r="AA54" i="15"/>
  <c r="AA59" i="15"/>
  <c r="AA45" i="15"/>
  <c r="AA44" i="15"/>
  <c r="AA180" i="15"/>
  <c r="AA181" i="15"/>
  <c r="AA159" i="15"/>
  <c r="AA160" i="15"/>
  <c r="AA169" i="15"/>
  <c r="AA184" i="15"/>
  <c r="AA175" i="15"/>
  <c r="AA176" i="15"/>
  <c r="AA173" i="15"/>
  <c r="AA177" i="15"/>
  <c r="AA206" i="15"/>
  <c r="AA219" i="15"/>
  <c r="AA172" i="15"/>
  <c r="AA182" i="15"/>
  <c r="AA195" i="15"/>
  <c r="AA196" i="15"/>
  <c r="AA231" i="15"/>
  <c r="AA253" i="15"/>
  <c r="AA215" i="15"/>
  <c r="AA77" i="15"/>
  <c r="AA78" i="15"/>
  <c r="AA58" i="15"/>
  <c r="AA64" i="15"/>
  <c r="AA47" i="15"/>
  <c r="AA62" i="15"/>
  <c r="AA55" i="15"/>
  <c r="AA56" i="15"/>
  <c r="AA70" i="15"/>
  <c r="AA124" i="15"/>
  <c r="AA126" i="15"/>
  <c r="AA115" i="15"/>
  <c r="AA119" i="15"/>
  <c r="AA121" i="15"/>
  <c r="AA122" i="15"/>
  <c r="AA127" i="15"/>
  <c r="AA128" i="15"/>
  <c r="AA152" i="15"/>
  <c r="AA168" i="15"/>
  <c r="AA187" i="15"/>
  <c r="AA203" i="15"/>
  <c r="AA221" i="15"/>
  <c r="AA141" i="15"/>
  <c r="AA142" i="15"/>
  <c r="AA143" i="15"/>
  <c r="AA154" i="15"/>
  <c r="AA155" i="15"/>
  <c r="AA233" i="15"/>
  <c r="AA266" i="15"/>
  <c r="AA228" i="15"/>
  <c r="AA156" i="15"/>
  <c r="AA129" i="15"/>
  <c r="AA130" i="15"/>
  <c r="AA131" i="15"/>
  <c r="AA132" i="15"/>
  <c r="AA133" i="15"/>
  <c r="AA135" i="15"/>
  <c r="AA136" i="15"/>
  <c r="AB791" i="15"/>
  <c r="AB792" i="15"/>
  <c r="AB793" i="15"/>
  <c r="AB794" i="15"/>
  <c r="AB795" i="15"/>
  <c r="AB797" i="15"/>
  <c r="AB650" i="15"/>
  <c r="AB649" i="15"/>
  <c r="AB36" i="15"/>
  <c r="AB639" i="15"/>
  <c r="AB52" i="15"/>
  <c r="AB25" i="15"/>
  <c r="AB23" i="15"/>
  <c r="AB651" i="15"/>
  <c r="AB638" i="15"/>
  <c r="AB659" i="15"/>
  <c r="AB644" i="15"/>
  <c r="AB640" i="15"/>
  <c r="AB643" i="15"/>
  <c r="AB641" i="15"/>
  <c r="AB642" i="15"/>
  <c r="AB652" i="15"/>
  <c r="AB658" i="15"/>
  <c r="AB796" i="15"/>
  <c r="AB654" i="15"/>
  <c r="AB4" i="15"/>
  <c r="AB7" i="15"/>
  <c r="AB8" i="15"/>
  <c r="AB9" i="15"/>
  <c r="AB661" i="15"/>
  <c r="AB662" i="15"/>
  <c r="AB655" i="15"/>
  <c r="AB656" i="15"/>
  <c r="AB645" i="15"/>
  <c r="AB646" i="15"/>
  <c r="AB5" i="15"/>
  <c r="AB2" i="15"/>
  <c r="AB10" i="15"/>
  <c r="AB798" i="15"/>
  <c r="AB799" i="15"/>
  <c r="AB11" i="15"/>
  <c r="AB19" i="15"/>
  <c r="AB27" i="15"/>
  <c r="AB60" i="15"/>
  <c r="AB28" i="15"/>
  <c r="AB20" i="15"/>
  <c r="AB33" i="15"/>
  <c r="AB86" i="15"/>
  <c r="AB85" i="15"/>
  <c r="AB120" i="15"/>
  <c r="AB105" i="15"/>
  <c r="AB100" i="15"/>
  <c r="AB123" i="15"/>
  <c r="AB146" i="15"/>
  <c r="AB163" i="15"/>
  <c r="AB75" i="15"/>
  <c r="AB76" i="15"/>
  <c r="AB72" i="15"/>
  <c r="AB185" i="15"/>
  <c r="AB197" i="15"/>
  <c r="AB106" i="15"/>
  <c r="AB80" i="15"/>
  <c r="AB107" i="15"/>
  <c r="AB93" i="15"/>
  <c r="AB94" i="15"/>
  <c r="AB108" i="15"/>
  <c r="AB109" i="15"/>
  <c r="AB84" i="15"/>
  <c r="AB102" i="15"/>
  <c r="AB81" i="15"/>
  <c r="AB82" i="15"/>
  <c r="AB21" i="15"/>
  <c r="AB22" i="15"/>
  <c r="AB42" i="15"/>
  <c r="AB43" i="15"/>
  <c r="AB71" i="15"/>
  <c r="AB87" i="15"/>
  <c r="AB53" i="15"/>
  <c r="AB54" i="15"/>
  <c r="AB59" i="15"/>
  <c r="AB45" i="15"/>
  <c r="AB44" i="15"/>
  <c r="AB180" i="15"/>
  <c r="AB181" i="15"/>
  <c r="AB159" i="15"/>
  <c r="AB160" i="15"/>
  <c r="AB169" i="15"/>
  <c r="AB184" i="15"/>
  <c r="AB175" i="15"/>
  <c r="AB176" i="15"/>
  <c r="AB173" i="15"/>
  <c r="AB177" i="15"/>
  <c r="AB206" i="15"/>
  <c r="AB219" i="15"/>
  <c r="AB172" i="15"/>
  <c r="AB182" i="15"/>
  <c r="AB195" i="15"/>
  <c r="AB196" i="15"/>
  <c r="AB231" i="15"/>
  <c r="AB253" i="15"/>
  <c r="AB215" i="15"/>
  <c r="AB77" i="15"/>
  <c r="AB78" i="15"/>
  <c r="AB58" i="15"/>
  <c r="AB64" i="15"/>
  <c r="AB47" i="15"/>
  <c r="AB62" i="15"/>
  <c r="AB55" i="15"/>
  <c r="AB56" i="15"/>
  <c r="AB70" i="15"/>
  <c r="AB124" i="15"/>
  <c r="AB126" i="15"/>
  <c r="AB115" i="15"/>
  <c r="AB119" i="15"/>
  <c r="AB121" i="15"/>
  <c r="AB122" i="15"/>
  <c r="AB127" i="15"/>
  <c r="AB128" i="15"/>
  <c r="AB152" i="15"/>
  <c r="AB168" i="15"/>
  <c r="AB187" i="15"/>
  <c r="AB203" i="15"/>
  <c r="AB221" i="15"/>
  <c r="AB141" i="15"/>
  <c r="AB142" i="15"/>
  <c r="AB143" i="15"/>
  <c r="AB154" i="15"/>
  <c r="AB155" i="15"/>
  <c r="AB233" i="15"/>
  <c r="AB266" i="15"/>
  <c r="AB228" i="15"/>
  <c r="AB156" i="15"/>
  <c r="AB129" i="15"/>
  <c r="AB130" i="15"/>
  <c r="AB131" i="15"/>
  <c r="AB132" i="15"/>
  <c r="AB133" i="15"/>
  <c r="AB135" i="15"/>
  <c r="AB136" i="15"/>
  <c r="AD791" i="15"/>
  <c r="AD792" i="15"/>
  <c r="I1953" i="18" s="1"/>
  <c r="E66" i="19" s="1"/>
  <c r="AD793" i="15"/>
  <c r="AD794" i="15"/>
  <c r="AD795" i="15"/>
  <c r="I2045" i="18" s="1"/>
  <c r="E69" i="19" s="1"/>
  <c r="AD797" i="15"/>
  <c r="AD650" i="15"/>
  <c r="AD649" i="15"/>
  <c r="AD36" i="15"/>
  <c r="AD639" i="15"/>
  <c r="AD52" i="15"/>
  <c r="AD25" i="15"/>
  <c r="AD23" i="15"/>
  <c r="AD651" i="15"/>
  <c r="AD638" i="15"/>
  <c r="AD659" i="15"/>
  <c r="AD644" i="15"/>
  <c r="AD640" i="15"/>
  <c r="AD643" i="15"/>
  <c r="AD641" i="15"/>
  <c r="AD642" i="15"/>
  <c r="AD652" i="15"/>
  <c r="AD658" i="15"/>
  <c r="AD796" i="15"/>
  <c r="AD654" i="15"/>
  <c r="AD4" i="15"/>
  <c r="AD7" i="15"/>
  <c r="AD8" i="15"/>
  <c r="AD9" i="15"/>
  <c r="AD661" i="15"/>
  <c r="AD662" i="15"/>
  <c r="AD655" i="15"/>
  <c r="AD656" i="15"/>
  <c r="AD645" i="15"/>
  <c r="AD5" i="15"/>
  <c r="AD2" i="15"/>
  <c r="AD10" i="15"/>
  <c r="AD798" i="15"/>
  <c r="I2135" i="18" s="1"/>
  <c r="E72" i="19" s="1"/>
  <c r="AD799" i="15"/>
  <c r="AD11" i="15"/>
  <c r="AD19" i="15"/>
  <c r="AD27" i="15"/>
  <c r="AD60" i="15"/>
  <c r="AD28" i="15"/>
  <c r="AD20" i="15"/>
  <c r="AD33" i="15"/>
  <c r="AD86" i="15"/>
  <c r="AD85" i="15"/>
  <c r="AD120" i="15"/>
  <c r="AD105" i="15"/>
  <c r="AD100" i="15"/>
  <c r="AD123" i="15"/>
  <c r="AD146" i="15"/>
  <c r="AD163" i="15"/>
  <c r="AD75" i="15"/>
  <c r="AD76" i="15"/>
  <c r="AD72" i="15"/>
  <c r="AD185" i="15"/>
  <c r="AD197" i="15"/>
  <c r="AD106" i="15"/>
  <c r="AD80" i="15"/>
  <c r="AD107" i="15"/>
  <c r="AD93" i="15"/>
  <c r="AD94" i="15"/>
  <c r="AD108" i="15"/>
  <c r="AD109" i="15"/>
  <c r="AD84" i="15"/>
  <c r="AD102" i="15"/>
  <c r="AD81" i="15"/>
  <c r="AD82" i="15"/>
  <c r="AD21" i="15"/>
  <c r="AD22" i="15"/>
  <c r="AD42" i="15"/>
  <c r="AD43" i="15"/>
  <c r="AD71" i="15"/>
  <c r="AD87" i="15"/>
  <c r="AD53" i="15"/>
  <c r="AD54" i="15"/>
  <c r="AD59" i="15"/>
  <c r="AD45" i="15"/>
  <c r="AD44" i="15"/>
  <c r="AD180" i="15"/>
  <c r="AD181" i="15"/>
  <c r="AD159" i="15"/>
  <c r="AD160" i="15"/>
  <c r="AD169" i="15"/>
  <c r="AD184" i="15"/>
  <c r="AD175" i="15"/>
  <c r="AD176" i="15"/>
  <c r="AD173" i="15"/>
  <c r="AD177" i="15"/>
  <c r="AD206" i="15"/>
  <c r="AD219" i="15"/>
  <c r="AD172" i="15"/>
  <c r="AD182" i="15"/>
  <c r="AD195" i="15"/>
  <c r="AD196" i="15"/>
  <c r="AD231" i="15"/>
  <c r="AD253" i="15"/>
  <c r="AD215" i="15"/>
  <c r="AD77" i="15"/>
  <c r="AD78" i="15"/>
  <c r="AD58" i="15"/>
  <c r="AD64" i="15"/>
  <c r="AD47" i="15"/>
  <c r="AD62" i="15"/>
  <c r="AD55" i="15"/>
  <c r="AD56" i="15"/>
  <c r="AD70" i="15"/>
  <c r="AD124" i="15"/>
  <c r="AD126" i="15"/>
  <c r="AD115" i="15"/>
  <c r="AD119" i="15"/>
  <c r="AD121" i="15"/>
  <c r="AD122" i="15"/>
  <c r="AD127" i="15"/>
  <c r="AD128" i="15"/>
  <c r="AD152" i="15"/>
  <c r="AD168" i="15"/>
  <c r="AD187" i="15"/>
  <c r="AD203" i="15"/>
  <c r="AD221" i="15"/>
  <c r="AD141" i="15"/>
  <c r="AD142" i="15"/>
  <c r="AD143" i="15"/>
  <c r="AD154" i="15"/>
  <c r="AD155" i="15"/>
  <c r="AD233" i="15"/>
  <c r="AD266" i="15"/>
  <c r="AD228" i="15"/>
  <c r="AD156" i="15"/>
  <c r="AD129" i="15"/>
  <c r="AD130" i="15"/>
  <c r="AD131" i="15"/>
  <c r="AD132" i="15"/>
  <c r="AD133" i="15"/>
  <c r="AD135" i="15"/>
  <c r="AD136" i="15"/>
  <c r="AE791" i="15"/>
  <c r="AE792" i="15"/>
  <c r="J1953" i="18" s="1"/>
  <c r="F66" i="19" s="1"/>
  <c r="AE793" i="15"/>
  <c r="AE794" i="15"/>
  <c r="AE795" i="15"/>
  <c r="AE797" i="15"/>
  <c r="J2105" i="18" s="1"/>
  <c r="F71" i="19" s="1"/>
  <c r="AE650" i="15"/>
  <c r="AE649" i="15"/>
  <c r="AE36" i="15"/>
  <c r="AE639" i="15"/>
  <c r="AE52" i="15"/>
  <c r="AE25" i="15"/>
  <c r="AE23" i="15"/>
  <c r="AE651" i="15"/>
  <c r="AE638" i="15"/>
  <c r="AE659" i="15"/>
  <c r="AE644" i="15"/>
  <c r="AE640" i="15"/>
  <c r="AE643" i="15"/>
  <c r="AE641" i="15"/>
  <c r="AE642" i="15"/>
  <c r="AE652" i="15"/>
  <c r="AE658" i="15"/>
  <c r="AE796" i="15"/>
  <c r="AE654" i="15"/>
  <c r="AE3" i="15"/>
  <c r="AE4" i="15"/>
  <c r="AE7" i="15"/>
  <c r="AE8" i="15"/>
  <c r="AE9" i="15"/>
  <c r="AE661" i="15"/>
  <c r="AE662" i="15"/>
  <c r="AE655" i="15"/>
  <c r="AE656" i="15"/>
  <c r="AE645" i="15"/>
  <c r="AE646" i="15"/>
  <c r="AE5" i="15"/>
  <c r="AE2" i="15"/>
  <c r="AE10" i="15"/>
  <c r="AE798" i="15"/>
  <c r="J2135" i="18" s="1"/>
  <c r="F72" i="19" s="1"/>
  <c r="AE799" i="15"/>
  <c r="AE11" i="15"/>
  <c r="AE19" i="15"/>
  <c r="AE27" i="15"/>
  <c r="AE60" i="15"/>
  <c r="AE28" i="15"/>
  <c r="AE20" i="15"/>
  <c r="AE33" i="15"/>
  <c r="AE86" i="15"/>
  <c r="AE85" i="15"/>
  <c r="AE120" i="15"/>
  <c r="AE105" i="15"/>
  <c r="AE100" i="15"/>
  <c r="AE123" i="15"/>
  <c r="AE146" i="15"/>
  <c r="AE163" i="15"/>
  <c r="AE75" i="15"/>
  <c r="AE76" i="15"/>
  <c r="AE72" i="15"/>
  <c r="AE185" i="15"/>
  <c r="AE197" i="15"/>
  <c r="AE106" i="15"/>
  <c r="AE80" i="15"/>
  <c r="AE107" i="15"/>
  <c r="AE93" i="15"/>
  <c r="AE94" i="15"/>
  <c r="AE108" i="15"/>
  <c r="AE109" i="15"/>
  <c r="AE84" i="15"/>
  <c r="AE102" i="15"/>
  <c r="AE81" i="15"/>
  <c r="AE82" i="15"/>
  <c r="AE21" i="15"/>
  <c r="AE22" i="15"/>
  <c r="AE42" i="15"/>
  <c r="AE43" i="15"/>
  <c r="AE71" i="15"/>
  <c r="AE87" i="15"/>
  <c r="AE53" i="15"/>
  <c r="AE54" i="15"/>
  <c r="AE59" i="15"/>
  <c r="AE45" i="15"/>
  <c r="AE44" i="15"/>
  <c r="AE180" i="15"/>
  <c r="AE181" i="15"/>
  <c r="AE159" i="15"/>
  <c r="AE160" i="15"/>
  <c r="AE169" i="15"/>
  <c r="AE184" i="15"/>
  <c r="AE175" i="15"/>
  <c r="AE176" i="15"/>
  <c r="AE173" i="15"/>
  <c r="AE177" i="15"/>
  <c r="AE206" i="15"/>
  <c r="AE219" i="15"/>
  <c r="AE172" i="15"/>
  <c r="AE182" i="15"/>
  <c r="AE195" i="15"/>
  <c r="AE196" i="15"/>
  <c r="AE231" i="15"/>
  <c r="AE253" i="15"/>
  <c r="AE215" i="15"/>
  <c r="AE77" i="15"/>
  <c r="AE78" i="15"/>
  <c r="AE58" i="15"/>
  <c r="AE64" i="15"/>
  <c r="AE47" i="15"/>
  <c r="AE62" i="15"/>
  <c r="AE55" i="15"/>
  <c r="AE56" i="15"/>
  <c r="AE70" i="15"/>
  <c r="AE124" i="15"/>
  <c r="AE126" i="15"/>
  <c r="AE115" i="15"/>
  <c r="AE119" i="15"/>
  <c r="AE121" i="15"/>
  <c r="AE122" i="15"/>
  <c r="AE127" i="15"/>
  <c r="AE128" i="15"/>
  <c r="AE152" i="15"/>
  <c r="AE168" i="15"/>
  <c r="AE187" i="15"/>
  <c r="AE203" i="15"/>
  <c r="AE221" i="15"/>
  <c r="AE141" i="15"/>
  <c r="AE142" i="15"/>
  <c r="AE143" i="15"/>
  <c r="AE154" i="15"/>
  <c r="AE155" i="15"/>
  <c r="AE233" i="15"/>
  <c r="AE266" i="15"/>
  <c r="AE228" i="15"/>
  <c r="AE156" i="15"/>
  <c r="AE129" i="15"/>
  <c r="AE130" i="15"/>
  <c r="AE131" i="15"/>
  <c r="AE132" i="15"/>
  <c r="AE133" i="15"/>
  <c r="AE135" i="15"/>
  <c r="AE136" i="15"/>
  <c r="AF791" i="15"/>
  <c r="AF792" i="15"/>
  <c r="K1953" i="18" s="1"/>
  <c r="G66" i="19" s="1"/>
  <c r="AF793" i="15"/>
  <c r="K1984" i="18" s="1"/>
  <c r="G67" i="19" s="1"/>
  <c r="AF794" i="15"/>
  <c r="AF795" i="15"/>
  <c r="K2045" i="18" s="1"/>
  <c r="G69" i="19" s="1"/>
  <c r="AF797" i="15"/>
  <c r="AF650" i="15"/>
  <c r="AF649" i="15"/>
  <c r="AF36" i="15"/>
  <c r="AF639" i="15"/>
  <c r="AF52" i="15"/>
  <c r="AF25" i="15"/>
  <c r="AF23" i="15"/>
  <c r="AF651" i="15"/>
  <c r="AF638" i="15"/>
  <c r="AF659" i="15"/>
  <c r="AF644" i="15"/>
  <c r="AF640" i="15"/>
  <c r="AF643" i="15"/>
  <c r="AF641" i="15"/>
  <c r="AF642" i="15"/>
  <c r="AF652" i="15"/>
  <c r="AF658" i="15"/>
  <c r="AF796" i="15"/>
  <c r="K2075" i="18" s="1"/>
  <c r="G70" i="19" s="1"/>
  <c r="AF654" i="15"/>
  <c r="AF3" i="15"/>
  <c r="AF4" i="15"/>
  <c r="AF7" i="15"/>
  <c r="AF8" i="15"/>
  <c r="AF9" i="15"/>
  <c r="AF661" i="15"/>
  <c r="AF662" i="15"/>
  <c r="AF655" i="15"/>
  <c r="AF656" i="15"/>
  <c r="AF645" i="15"/>
  <c r="AF646" i="15"/>
  <c r="AF5" i="15"/>
  <c r="AF2" i="15"/>
  <c r="AF10" i="15"/>
  <c r="AF798" i="15"/>
  <c r="AF799" i="15"/>
  <c r="K2165" i="18" s="1"/>
  <c r="AF11" i="15"/>
  <c r="AF19" i="15"/>
  <c r="AF27" i="15"/>
  <c r="AF60" i="15"/>
  <c r="AF28" i="15"/>
  <c r="AF20" i="15"/>
  <c r="AF33" i="15"/>
  <c r="AF86" i="15"/>
  <c r="AF85" i="15"/>
  <c r="AF120" i="15"/>
  <c r="AF105" i="15"/>
  <c r="AF100" i="15"/>
  <c r="AF123" i="15"/>
  <c r="AF146" i="15"/>
  <c r="AF163" i="15"/>
  <c r="AF75" i="15"/>
  <c r="AF76" i="15"/>
  <c r="AF72" i="15"/>
  <c r="AF185" i="15"/>
  <c r="AF197" i="15"/>
  <c r="AF106" i="15"/>
  <c r="AF80" i="15"/>
  <c r="AF107" i="15"/>
  <c r="AF93" i="15"/>
  <c r="AF94" i="15"/>
  <c r="AF108" i="15"/>
  <c r="AF109" i="15"/>
  <c r="AF84" i="15"/>
  <c r="AF102" i="15"/>
  <c r="AF81" i="15"/>
  <c r="AF82" i="15"/>
  <c r="AF21" i="15"/>
  <c r="AF22" i="15"/>
  <c r="AF42" i="15"/>
  <c r="AF43" i="15"/>
  <c r="AF71" i="15"/>
  <c r="AF87" i="15"/>
  <c r="AF53" i="15"/>
  <c r="AF54" i="15"/>
  <c r="AF59" i="15"/>
  <c r="AF45" i="15"/>
  <c r="AF44" i="15"/>
  <c r="AF180" i="15"/>
  <c r="AF181" i="15"/>
  <c r="AF159" i="15"/>
  <c r="AF160" i="15"/>
  <c r="AF169" i="15"/>
  <c r="AF184" i="15"/>
  <c r="AF175" i="15"/>
  <c r="AF176" i="15"/>
  <c r="AF173" i="15"/>
  <c r="AF177" i="15"/>
  <c r="AF206" i="15"/>
  <c r="AF219" i="15"/>
  <c r="AF172" i="15"/>
  <c r="AF182" i="15"/>
  <c r="AF195" i="15"/>
  <c r="AF196" i="15"/>
  <c r="AF231" i="15"/>
  <c r="AF253" i="15"/>
  <c r="AF215" i="15"/>
  <c r="AF77" i="15"/>
  <c r="AF78" i="15"/>
  <c r="AF58" i="15"/>
  <c r="AF64" i="15"/>
  <c r="AF47" i="15"/>
  <c r="AF62" i="15"/>
  <c r="AF55" i="15"/>
  <c r="AF56" i="15"/>
  <c r="AF70" i="15"/>
  <c r="AF124" i="15"/>
  <c r="AF126" i="15"/>
  <c r="AF115" i="15"/>
  <c r="AF119" i="15"/>
  <c r="AF121" i="15"/>
  <c r="AF122" i="15"/>
  <c r="AF127" i="15"/>
  <c r="AF128" i="15"/>
  <c r="AF152" i="15"/>
  <c r="AF168" i="15"/>
  <c r="AF187" i="15"/>
  <c r="AF203" i="15"/>
  <c r="AF221" i="15"/>
  <c r="AF141" i="15"/>
  <c r="AF142" i="15"/>
  <c r="AF143" i="15"/>
  <c r="AF154" i="15"/>
  <c r="AF155" i="15"/>
  <c r="AF233" i="15"/>
  <c r="AF266" i="15"/>
  <c r="AF228" i="15"/>
  <c r="AF156" i="15"/>
  <c r="AF129" i="15"/>
  <c r="AF130" i="15"/>
  <c r="AF131" i="15"/>
  <c r="AF132" i="15"/>
  <c r="AF133" i="15"/>
  <c r="AF135" i="15"/>
  <c r="AF136" i="15"/>
  <c r="AG791" i="15"/>
  <c r="AG792" i="15"/>
  <c r="AG793" i="15"/>
  <c r="L1984" i="18" s="1"/>
  <c r="H67" i="19" s="1"/>
  <c r="AG794" i="15"/>
  <c r="AG795" i="15"/>
  <c r="AG797" i="15"/>
  <c r="AG650" i="15"/>
  <c r="AG649" i="15"/>
  <c r="AG36" i="15"/>
  <c r="AG639" i="15"/>
  <c r="AG52" i="15"/>
  <c r="AG25" i="15"/>
  <c r="AG23" i="15"/>
  <c r="AG651" i="15"/>
  <c r="AG638" i="15"/>
  <c r="AG659" i="15"/>
  <c r="AG644" i="15"/>
  <c r="AG640" i="15"/>
  <c r="AG643" i="15"/>
  <c r="AG641" i="15"/>
  <c r="AG642" i="15"/>
  <c r="AG652" i="15"/>
  <c r="AG658" i="15"/>
  <c r="AG796" i="15"/>
  <c r="L2075" i="18" s="1"/>
  <c r="H70" i="19" s="1"/>
  <c r="AG654" i="15"/>
  <c r="AG3" i="15"/>
  <c r="AG4" i="15"/>
  <c r="AG7" i="15"/>
  <c r="AG8" i="15"/>
  <c r="AG9" i="15"/>
  <c r="AG661" i="15"/>
  <c r="AG662" i="15"/>
  <c r="AG655" i="15"/>
  <c r="AG656" i="15"/>
  <c r="AG645" i="15"/>
  <c r="AG646" i="15"/>
  <c r="AG5" i="15"/>
  <c r="AG2" i="15"/>
  <c r="AG10" i="15"/>
  <c r="AG798" i="15"/>
  <c r="L2135" i="18" s="1"/>
  <c r="H72" i="19" s="1"/>
  <c r="AG799" i="15"/>
  <c r="AG11" i="15"/>
  <c r="AG19" i="15"/>
  <c r="AG27" i="15"/>
  <c r="AG60" i="15"/>
  <c r="AG28" i="15"/>
  <c r="AG20" i="15"/>
  <c r="AG33" i="15"/>
  <c r="AG86" i="15"/>
  <c r="AG85" i="15"/>
  <c r="AG120" i="15"/>
  <c r="AG105" i="15"/>
  <c r="AG100" i="15"/>
  <c r="AG123" i="15"/>
  <c r="AG146" i="15"/>
  <c r="AG163" i="15"/>
  <c r="AG75" i="15"/>
  <c r="AG76" i="15"/>
  <c r="AG72" i="15"/>
  <c r="AG185" i="15"/>
  <c r="AG197" i="15"/>
  <c r="AG106" i="15"/>
  <c r="AG80" i="15"/>
  <c r="AG107" i="15"/>
  <c r="AG93" i="15"/>
  <c r="AG94" i="15"/>
  <c r="AG108" i="15"/>
  <c r="AG109" i="15"/>
  <c r="AG84" i="15"/>
  <c r="AG102" i="15"/>
  <c r="AG81" i="15"/>
  <c r="AG82" i="15"/>
  <c r="AG21" i="15"/>
  <c r="AG22" i="15"/>
  <c r="AG42" i="15"/>
  <c r="AG43" i="15"/>
  <c r="AG71" i="15"/>
  <c r="AG87" i="15"/>
  <c r="AG53" i="15"/>
  <c r="AG54" i="15"/>
  <c r="AG59" i="15"/>
  <c r="AG45" i="15"/>
  <c r="AG44" i="15"/>
  <c r="AG180" i="15"/>
  <c r="AG181" i="15"/>
  <c r="AG159" i="15"/>
  <c r="AG160" i="15"/>
  <c r="AG169" i="15"/>
  <c r="AG184" i="15"/>
  <c r="AG175" i="15"/>
  <c r="AG176" i="15"/>
  <c r="AG173" i="15"/>
  <c r="AG177" i="15"/>
  <c r="AG206" i="15"/>
  <c r="AG219" i="15"/>
  <c r="AG172" i="15"/>
  <c r="AG182" i="15"/>
  <c r="AG195" i="15"/>
  <c r="AG196" i="15"/>
  <c r="AG231" i="15"/>
  <c r="AG253" i="15"/>
  <c r="AG215" i="15"/>
  <c r="AG77" i="15"/>
  <c r="AG78" i="15"/>
  <c r="AG58" i="15"/>
  <c r="AG64" i="15"/>
  <c r="AG47" i="15"/>
  <c r="AG62" i="15"/>
  <c r="AG55" i="15"/>
  <c r="AG56" i="15"/>
  <c r="AG70" i="15"/>
  <c r="AG124" i="15"/>
  <c r="AG126" i="15"/>
  <c r="AG115" i="15"/>
  <c r="AG119" i="15"/>
  <c r="AG121" i="15"/>
  <c r="AG122" i="15"/>
  <c r="AG127" i="15"/>
  <c r="AG128" i="15"/>
  <c r="AG152" i="15"/>
  <c r="AG168" i="15"/>
  <c r="AG187" i="15"/>
  <c r="AG203" i="15"/>
  <c r="AG221" i="15"/>
  <c r="AG141" i="15"/>
  <c r="AG142" i="15"/>
  <c r="AG143" i="15"/>
  <c r="AG154" i="15"/>
  <c r="AG155" i="15"/>
  <c r="AG233" i="15"/>
  <c r="AG266" i="15"/>
  <c r="AG228" i="15"/>
  <c r="AG156" i="15"/>
  <c r="AG129" i="15"/>
  <c r="AG130" i="15"/>
  <c r="AG131" i="15"/>
  <c r="AG132" i="15"/>
  <c r="AG133" i="15"/>
  <c r="AG135" i="15"/>
  <c r="AG136" i="15"/>
  <c r="AH791" i="15"/>
  <c r="AH792" i="15"/>
  <c r="N1953" i="18" s="1"/>
  <c r="J66" i="19" s="1"/>
  <c r="AH793" i="15"/>
  <c r="AH794" i="15"/>
  <c r="AH795" i="15"/>
  <c r="AH797" i="15"/>
  <c r="N2105" i="18" s="1"/>
  <c r="J71" i="19" s="1"/>
  <c r="AH650" i="15"/>
  <c r="AH649" i="15"/>
  <c r="AH36" i="15"/>
  <c r="AH639" i="15"/>
  <c r="AH52" i="15"/>
  <c r="AH25" i="15"/>
  <c r="AH23" i="15"/>
  <c r="AH651" i="15"/>
  <c r="AH638" i="15"/>
  <c r="AH659" i="15"/>
  <c r="AH644" i="15"/>
  <c r="AH640" i="15"/>
  <c r="AH643" i="15"/>
  <c r="AH641" i="15"/>
  <c r="AH642" i="15"/>
  <c r="AH652" i="15"/>
  <c r="AH658" i="15"/>
  <c r="AH796" i="15"/>
  <c r="AH654" i="15"/>
  <c r="AH3" i="15"/>
  <c r="AH4" i="15"/>
  <c r="AH7" i="15"/>
  <c r="AH8" i="15"/>
  <c r="AH9" i="15"/>
  <c r="AH661" i="15"/>
  <c r="AH662" i="15"/>
  <c r="AH655" i="15"/>
  <c r="AH656" i="15"/>
  <c r="AH645" i="15"/>
  <c r="AH646" i="15"/>
  <c r="AH5" i="15"/>
  <c r="AH2" i="15"/>
  <c r="AH10" i="15"/>
  <c r="AH798" i="15"/>
  <c r="AH799" i="15"/>
  <c r="AH11" i="15"/>
  <c r="AH19" i="15"/>
  <c r="AH27" i="15"/>
  <c r="AH60" i="15"/>
  <c r="AH28" i="15"/>
  <c r="AH20" i="15"/>
  <c r="AH33" i="15"/>
  <c r="AH86" i="15"/>
  <c r="AH85" i="15"/>
  <c r="AH120" i="15"/>
  <c r="AH105" i="15"/>
  <c r="AH100" i="15"/>
  <c r="AH123" i="15"/>
  <c r="AH146" i="15"/>
  <c r="AH163" i="15"/>
  <c r="AH75" i="15"/>
  <c r="AH76" i="15"/>
  <c r="AH72" i="15"/>
  <c r="AH185" i="15"/>
  <c r="AH197" i="15"/>
  <c r="AH106" i="15"/>
  <c r="AH80" i="15"/>
  <c r="AH107" i="15"/>
  <c r="AH93" i="15"/>
  <c r="AH94" i="15"/>
  <c r="AH108" i="15"/>
  <c r="AH109" i="15"/>
  <c r="AH84" i="15"/>
  <c r="AH102" i="15"/>
  <c r="AH81" i="15"/>
  <c r="AH82" i="15"/>
  <c r="AH21" i="15"/>
  <c r="AH22" i="15"/>
  <c r="AH42" i="15"/>
  <c r="AH43" i="15"/>
  <c r="AH71" i="15"/>
  <c r="AH87" i="15"/>
  <c r="AH53" i="15"/>
  <c r="AH54" i="15"/>
  <c r="AH59" i="15"/>
  <c r="AH45" i="15"/>
  <c r="AH44" i="15"/>
  <c r="AH180" i="15"/>
  <c r="AH181" i="15"/>
  <c r="AH159" i="15"/>
  <c r="AH160" i="15"/>
  <c r="AH169" i="15"/>
  <c r="AH184" i="15"/>
  <c r="AH175" i="15"/>
  <c r="AH176" i="15"/>
  <c r="AH173" i="15"/>
  <c r="AH177" i="15"/>
  <c r="AH206" i="15"/>
  <c r="AH219" i="15"/>
  <c r="AH172" i="15"/>
  <c r="AH182" i="15"/>
  <c r="AH195" i="15"/>
  <c r="AH196" i="15"/>
  <c r="AH231" i="15"/>
  <c r="AH253" i="15"/>
  <c r="AH215" i="15"/>
  <c r="AH77" i="15"/>
  <c r="AH78" i="15"/>
  <c r="AH58" i="15"/>
  <c r="AH64" i="15"/>
  <c r="AH47" i="15"/>
  <c r="AH62" i="15"/>
  <c r="AH55" i="15"/>
  <c r="AH56" i="15"/>
  <c r="AH70" i="15"/>
  <c r="AH124" i="15"/>
  <c r="AH126" i="15"/>
  <c r="AH115" i="15"/>
  <c r="AH119" i="15"/>
  <c r="AH121" i="15"/>
  <c r="AH122" i="15"/>
  <c r="AH127" i="15"/>
  <c r="AH128" i="15"/>
  <c r="AH152" i="15"/>
  <c r="AH168" i="15"/>
  <c r="AH187" i="15"/>
  <c r="AH203" i="15"/>
  <c r="AH221" i="15"/>
  <c r="AH141" i="15"/>
  <c r="AH142" i="15"/>
  <c r="AH143" i="15"/>
  <c r="AH154" i="15"/>
  <c r="AH155" i="15"/>
  <c r="AH233" i="15"/>
  <c r="AH266" i="15"/>
  <c r="AH228" i="15"/>
  <c r="AH156" i="15"/>
  <c r="AH129" i="15"/>
  <c r="AH130" i="15"/>
  <c r="AH131" i="15"/>
  <c r="AH132" i="15"/>
  <c r="AH133" i="15"/>
  <c r="AH135" i="15"/>
  <c r="AH136" i="15"/>
  <c r="AI791" i="15"/>
  <c r="AI792" i="15"/>
  <c r="M1953" i="18" s="1"/>
  <c r="I66" i="19" s="1"/>
  <c r="AI793" i="15"/>
  <c r="M1984" i="18" s="1"/>
  <c r="I67" i="19" s="1"/>
  <c r="AI794" i="15"/>
  <c r="AI795" i="15"/>
  <c r="M2045" i="18" s="1"/>
  <c r="I69" i="19" s="1"/>
  <c r="AI797" i="15"/>
  <c r="M2105" i="18" s="1"/>
  <c r="I71" i="19" s="1"/>
  <c r="AI650" i="15"/>
  <c r="AI649" i="15"/>
  <c r="AI36" i="15"/>
  <c r="AI639" i="15"/>
  <c r="AI52" i="15"/>
  <c r="AI25" i="15"/>
  <c r="AI23" i="15"/>
  <c r="AI651" i="15"/>
  <c r="AI638" i="15"/>
  <c r="AI659" i="15"/>
  <c r="AI644" i="15"/>
  <c r="AI640" i="15"/>
  <c r="AI643" i="15"/>
  <c r="AI641" i="15"/>
  <c r="AI642" i="15"/>
  <c r="AI652" i="15"/>
  <c r="AI658" i="15"/>
  <c r="AI796" i="15"/>
  <c r="M2075" i="18" s="1"/>
  <c r="I70" i="19" s="1"/>
  <c r="AI654" i="15"/>
  <c r="AI3" i="15"/>
  <c r="AI4" i="15"/>
  <c r="AI7" i="15"/>
  <c r="AI8" i="15"/>
  <c r="AI9" i="15"/>
  <c r="AI661" i="15"/>
  <c r="AI662" i="15"/>
  <c r="AI655" i="15"/>
  <c r="AI656" i="15"/>
  <c r="AI645" i="15"/>
  <c r="AI646" i="15"/>
  <c r="AI5" i="15"/>
  <c r="AI2" i="15"/>
  <c r="AI10" i="15"/>
  <c r="AI798" i="15"/>
  <c r="AI799" i="15"/>
  <c r="M2165" i="18" s="1"/>
  <c r="AI11" i="15"/>
  <c r="AI19" i="15"/>
  <c r="AI27" i="15"/>
  <c r="AI60" i="15"/>
  <c r="AI28" i="15"/>
  <c r="AI20" i="15"/>
  <c r="AI33" i="15"/>
  <c r="AI86" i="15"/>
  <c r="AI85" i="15"/>
  <c r="AI120" i="15"/>
  <c r="AI105" i="15"/>
  <c r="AI100" i="15"/>
  <c r="AI123" i="15"/>
  <c r="AI146" i="15"/>
  <c r="AI163" i="15"/>
  <c r="AI75" i="15"/>
  <c r="AI76" i="15"/>
  <c r="AI72" i="15"/>
  <c r="AI185" i="15"/>
  <c r="AI197" i="15"/>
  <c r="AI106" i="15"/>
  <c r="AI80" i="15"/>
  <c r="AI107" i="15"/>
  <c r="AI93" i="15"/>
  <c r="AI94" i="15"/>
  <c r="AI108" i="15"/>
  <c r="AI109" i="15"/>
  <c r="AI84" i="15"/>
  <c r="AI102" i="15"/>
  <c r="AI81" i="15"/>
  <c r="AI82" i="15"/>
  <c r="AI21" i="15"/>
  <c r="AI22" i="15"/>
  <c r="AI42" i="15"/>
  <c r="AI43" i="15"/>
  <c r="AI71" i="15"/>
  <c r="AI87" i="15"/>
  <c r="AI53" i="15"/>
  <c r="AI54" i="15"/>
  <c r="AI59" i="15"/>
  <c r="AI45" i="15"/>
  <c r="AI44" i="15"/>
  <c r="AI180" i="15"/>
  <c r="AI181" i="15"/>
  <c r="AI159" i="15"/>
  <c r="AI160" i="15"/>
  <c r="AI169" i="15"/>
  <c r="AI184" i="15"/>
  <c r="AI175" i="15"/>
  <c r="AI176" i="15"/>
  <c r="AI173" i="15"/>
  <c r="AI177" i="15"/>
  <c r="AI206" i="15"/>
  <c r="AI219" i="15"/>
  <c r="AI172" i="15"/>
  <c r="AI182" i="15"/>
  <c r="AI195" i="15"/>
  <c r="AI196" i="15"/>
  <c r="AI231" i="15"/>
  <c r="AI253" i="15"/>
  <c r="AI215" i="15"/>
  <c r="AI77" i="15"/>
  <c r="AI78" i="15"/>
  <c r="AI58" i="15"/>
  <c r="AI64" i="15"/>
  <c r="AI47" i="15"/>
  <c r="AI62" i="15"/>
  <c r="AI55" i="15"/>
  <c r="AI56" i="15"/>
  <c r="AI70" i="15"/>
  <c r="AI124" i="15"/>
  <c r="AI126" i="15"/>
  <c r="AI115" i="15"/>
  <c r="AI119" i="15"/>
  <c r="AI121" i="15"/>
  <c r="AI122" i="15"/>
  <c r="AI127" i="15"/>
  <c r="AI128" i="15"/>
  <c r="AI152" i="15"/>
  <c r="AI168" i="15"/>
  <c r="AI187" i="15"/>
  <c r="AI203" i="15"/>
  <c r="AI221" i="15"/>
  <c r="AI141" i="15"/>
  <c r="AI142" i="15"/>
  <c r="AI143" i="15"/>
  <c r="AI154" i="15"/>
  <c r="AI155" i="15"/>
  <c r="AI233" i="15"/>
  <c r="AI266" i="15"/>
  <c r="AI228" i="15"/>
  <c r="AI156" i="15"/>
  <c r="AI129" i="15"/>
  <c r="AI130" i="15"/>
  <c r="AI131" i="15"/>
  <c r="AI132" i="15"/>
  <c r="AI133" i="15"/>
  <c r="AI135" i="15"/>
  <c r="AI136" i="15"/>
  <c r="AJ791" i="15"/>
  <c r="O1922" i="18" s="1"/>
  <c r="K65" i="19" s="1"/>
  <c r="AJ792" i="15"/>
  <c r="O1953" i="18" s="1"/>
  <c r="K66" i="19" s="1"/>
  <c r="AJ793" i="15"/>
  <c r="O1984" i="18" s="1"/>
  <c r="K67" i="19" s="1"/>
  <c r="AJ794" i="15"/>
  <c r="AJ795" i="15"/>
  <c r="O2045" i="18" s="1"/>
  <c r="K69" i="19" s="1"/>
  <c r="AJ797" i="15"/>
  <c r="O2105" i="18" s="1"/>
  <c r="K71" i="19" s="1"/>
  <c r="AJ650" i="15"/>
  <c r="AJ649" i="15"/>
  <c r="AJ36" i="15"/>
  <c r="AJ639" i="15"/>
  <c r="AJ52" i="15"/>
  <c r="AJ25" i="15"/>
  <c r="AJ23" i="15"/>
  <c r="AJ651" i="15"/>
  <c r="AJ638" i="15"/>
  <c r="AJ659" i="15"/>
  <c r="AJ644" i="15"/>
  <c r="AJ640" i="15"/>
  <c r="AJ643" i="15"/>
  <c r="AJ641" i="15"/>
  <c r="AJ642" i="15"/>
  <c r="AJ652" i="15"/>
  <c r="AJ658" i="15"/>
  <c r="AJ796" i="15"/>
  <c r="O2075" i="18" s="1"/>
  <c r="K70" i="19" s="1"/>
  <c r="AJ654" i="15"/>
  <c r="AJ3" i="15"/>
  <c r="AJ4" i="15"/>
  <c r="AJ7" i="15"/>
  <c r="AJ8" i="15"/>
  <c r="AJ9" i="15"/>
  <c r="AJ661" i="15"/>
  <c r="AJ662" i="15"/>
  <c r="AJ655" i="15"/>
  <c r="AJ656" i="15"/>
  <c r="AJ645" i="15"/>
  <c r="AJ646" i="15"/>
  <c r="AJ5" i="15"/>
  <c r="AJ2" i="15"/>
  <c r="AJ10" i="15"/>
  <c r="AJ798" i="15"/>
  <c r="O2135" i="18" s="1"/>
  <c r="K72" i="19" s="1"/>
  <c r="AJ799" i="15"/>
  <c r="O2165" i="18" s="1"/>
  <c r="AJ11" i="15"/>
  <c r="AJ19" i="15"/>
  <c r="AJ27" i="15"/>
  <c r="AJ60" i="15"/>
  <c r="AJ28" i="15"/>
  <c r="AJ20" i="15"/>
  <c r="AJ33" i="15"/>
  <c r="AJ86" i="15"/>
  <c r="AJ85" i="15"/>
  <c r="AJ120" i="15"/>
  <c r="AJ105" i="15"/>
  <c r="AJ100" i="15"/>
  <c r="AJ123" i="15"/>
  <c r="AJ146" i="15"/>
  <c r="AJ163" i="15"/>
  <c r="AJ75" i="15"/>
  <c r="AJ76" i="15"/>
  <c r="AJ72" i="15"/>
  <c r="AJ185" i="15"/>
  <c r="AJ197" i="15"/>
  <c r="AJ106" i="15"/>
  <c r="AJ80" i="15"/>
  <c r="AJ107" i="15"/>
  <c r="AJ93" i="15"/>
  <c r="AJ94" i="15"/>
  <c r="AJ108" i="15"/>
  <c r="AJ109" i="15"/>
  <c r="AJ84" i="15"/>
  <c r="AJ102" i="15"/>
  <c r="AJ81" i="15"/>
  <c r="AJ82" i="15"/>
  <c r="AJ21" i="15"/>
  <c r="AJ22" i="15"/>
  <c r="AJ42" i="15"/>
  <c r="AJ43" i="15"/>
  <c r="AJ71" i="15"/>
  <c r="AJ87" i="15"/>
  <c r="AJ53" i="15"/>
  <c r="AJ54" i="15"/>
  <c r="AJ59" i="15"/>
  <c r="AJ45" i="15"/>
  <c r="AJ44" i="15"/>
  <c r="AJ180" i="15"/>
  <c r="AJ181" i="15"/>
  <c r="AJ159" i="15"/>
  <c r="AJ160" i="15"/>
  <c r="AJ169" i="15"/>
  <c r="AJ184" i="15"/>
  <c r="AJ175" i="15"/>
  <c r="AJ176" i="15"/>
  <c r="AJ173" i="15"/>
  <c r="AJ177" i="15"/>
  <c r="AJ206" i="15"/>
  <c r="AJ219" i="15"/>
  <c r="AJ172" i="15"/>
  <c r="AJ182" i="15"/>
  <c r="AJ195" i="15"/>
  <c r="AJ196" i="15"/>
  <c r="AJ231" i="15"/>
  <c r="AJ253" i="15"/>
  <c r="AJ215" i="15"/>
  <c r="AJ77" i="15"/>
  <c r="AJ78" i="15"/>
  <c r="AJ58" i="15"/>
  <c r="AJ64" i="15"/>
  <c r="AJ47" i="15"/>
  <c r="AJ62" i="15"/>
  <c r="AJ55" i="15"/>
  <c r="AJ56" i="15"/>
  <c r="AJ70" i="15"/>
  <c r="AJ124" i="15"/>
  <c r="AJ126" i="15"/>
  <c r="AJ115" i="15"/>
  <c r="AJ119" i="15"/>
  <c r="AJ121" i="15"/>
  <c r="AJ122" i="15"/>
  <c r="AJ127" i="15"/>
  <c r="AJ128" i="15"/>
  <c r="AJ152" i="15"/>
  <c r="AJ168" i="15"/>
  <c r="AJ187" i="15"/>
  <c r="AJ203" i="15"/>
  <c r="AJ221" i="15"/>
  <c r="AJ141" i="15"/>
  <c r="AJ142" i="15"/>
  <c r="AJ143" i="15"/>
  <c r="AJ154" i="15"/>
  <c r="AJ155" i="15"/>
  <c r="AJ233" i="15"/>
  <c r="AJ266" i="15"/>
  <c r="AJ228" i="15"/>
  <c r="AJ156" i="15"/>
  <c r="AJ129" i="15"/>
  <c r="AJ130" i="15"/>
  <c r="AJ131" i="15"/>
  <c r="AJ132" i="15"/>
  <c r="AJ133" i="15"/>
  <c r="AJ135" i="15"/>
  <c r="AJ136" i="15"/>
  <c r="AK791" i="15"/>
  <c r="AK792" i="15"/>
  <c r="AK793" i="15"/>
  <c r="AK794" i="15"/>
  <c r="AK795" i="15"/>
  <c r="Q2045" i="18" s="1"/>
  <c r="L69" i="19" s="1"/>
  <c r="AK797" i="15"/>
  <c r="AK650" i="15"/>
  <c r="AK649" i="15"/>
  <c r="AK36" i="15"/>
  <c r="AK639" i="15"/>
  <c r="AK52" i="15"/>
  <c r="AK25" i="15"/>
  <c r="AK23" i="15"/>
  <c r="AK651" i="15"/>
  <c r="AK638" i="15"/>
  <c r="AK659" i="15"/>
  <c r="AK644" i="15"/>
  <c r="AK640" i="15"/>
  <c r="AK643" i="15"/>
  <c r="AK641" i="15"/>
  <c r="AK642" i="15"/>
  <c r="AK652" i="15"/>
  <c r="AK658" i="15"/>
  <c r="AK796" i="15"/>
  <c r="AK654" i="15"/>
  <c r="AK4" i="15"/>
  <c r="AK7" i="15"/>
  <c r="AK8" i="15"/>
  <c r="AK9" i="15"/>
  <c r="AK661" i="15"/>
  <c r="AK662" i="15"/>
  <c r="AK655" i="15"/>
  <c r="AK656" i="15"/>
  <c r="AK645" i="15"/>
  <c r="AK5" i="15"/>
  <c r="AK2" i="15"/>
  <c r="AK10" i="15"/>
  <c r="AK798" i="15"/>
  <c r="AK799" i="15"/>
  <c r="AK11" i="15"/>
  <c r="AK19" i="15"/>
  <c r="AK27" i="15"/>
  <c r="AK60" i="15"/>
  <c r="AK28" i="15"/>
  <c r="AK20" i="15"/>
  <c r="AK33" i="15"/>
  <c r="AK86" i="15"/>
  <c r="AK85" i="15"/>
  <c r="AK120" i="15"/>
  <c r="AK105" i="15"/>
  <c r="AK100" i="15"/>
  <c r="AK123" i="15"/>
  <c r="AK146" i="15"/>
  <c r="AK163" i="15"/>
  <c r="AK75" i="15"/>
  <c r="AK76" i="15"/>
  <c r="AK72" i="15"/>
  <c r="AK185" i="15"/>
  <c r="AK197" i="15"/>
  <c r="AK106" i="15"/>
  <c r="AK80" i="15"/>
  <c r="AK107" i="15"/>
  <c r="AK93" i="15"/>
  <c r="AK94" i="15"/>
  <c r="AK108" i="15"/>
  <c r="AK109" i="15"/>
  <c r="AK84" i="15"/>
  <c r="AK102" i="15"/>
  <c r="AK81" i="15"/>
  <c r="AK82" i="15"/>
  <c r="AK21" i="15"/>
  <c r="AK22" i="15"/>
  <c r="AK42" i="15"/>
  <c r="AK43" i="15"/>
  <c r="AK71" i="15"/>
  <c r="AK87" i="15"/>
  <c r="AK53" i="15"/>
  <c r="AK54" i="15"/>
  <c r="AK59" i="15"/>
  <c r="AK45" i="15"/>
  <c r="AK44" i="15"/>
  <c r="AK180" i="15"/>
  <c r="AK181" i="15"/>
  <c r="AK159" i="15"/>
  <c r="AK160" i="15"/>
  <c r="AK169" i="15"/>
  <c r="AK184" i="15"/>
  <c r="AK175" i="15"/>
  <c r="AK176" i="15"/>
  <c r="AK173" i="15"/>
  <c r="AK177" i="15"/>
  <c r="AK206" i="15"/>
  <c r="AK219" i="15"/>
  <c r="AK172" i="15"/>
  <c r="AK182" i="15"/>
  <c r="AK195" i="15"/>
  <c r="AK196" i="15"/>
  <c r="AK231" i="15"/>
  <c r="AK253" i="15"/>
  <c r="AK215" i="15"/>
  <c r="AK77" i="15"/>
  <c r="AK78" i="15"/>
  <c r="AK58" i="15"/>
  <c r="AK64" i="15"/>
  <c r="AK47" i="15"/>
  <c r="AK62" i="15"/>
  <c r="AK55" i="15"/>
  <c r="AK56" i="15"/>
  <c r="AK70" i="15"/>
  <c r="AK124" i="15"/>
  <c r="AK126" i="15"/>
  <c r="AK115" i="15"/>
  <c r="AK119" i="15"/>
  <c r="AK121" i="15"/>
  <c r="AK122" i="15"/>
  <c r="AK127" i="15"/>
  <c r="AK128" i="15"/>
  <c r="AK152" i="15"/>
  <c r="AK168" i="15"/>
  <c r="AK187" i="15"/>
  <c r="AK203" i="15"/>
  <c r="AK221" i="15"/>
  <c r="AK141" i="15"/>
  <c r="AK142" i="15"/>
  <c r="AK143" i="15"/>
  <c r="AK154" i="15"/>
  <c r="AK155" i="15"/>
  <c r="AK233" i="15"/>
  <c r="AK266" i="15"/>
  <c r="AK228" i="15"/>
  <c r="AK156" i="15"/>
  <c r="AK129" i="15"/>
  <c r="AK130" i="15"/>
  <c r="AK131" i="15"/>
  <c r="AK132" i="15"/>
  <c r="AK133" i="15"/>
  <c r="AK135" i="15"/>
  <c r="AK136" i="15"/>
  <c r="AM791" i="15"/>
  <c r="AM792" i="15"/>
  <c r="AM793" i="15"/>
  <c r="AM794" i="15"/>
  <c r="AM795" i="15"/>
  <c r="AM797" i="15"/>
  <c r="AM650" i="15"/>
  <c r="AM649" i="15"/>
  <c r="AM36" i="15"/>
  <c r="AM639" i="15"/>
  <c r="AM52" i="15"/>
  <c r="AM25" i="15"/>
  <c r="AM23" i="15"/>
  <c r="AM651" i="15"/>
  <c r="AM638" i="15"/>
  <c r="AM659" i="15"/>
  <c r="AM644" i="15"/>
  <c r="AM640" i="15"/>
  <c r="AM643" i="15"/>
  <c r="AM641" i="15"/>
  <c r="AM642" i="15"/>
  <c r="AM652" i="15"/>
  <c r="AM658" i="15"/>
  <c r="AM796" i="15"/>
  <c r="AM654" i="15"/>
  <c r="AM3" i="15"/>
  <c r="AM4" i="15"/>
  <c r="AM7" i="15"/>
  <c r="AM8" i="15"/>
  <c r="AM9" i="15"/>
  <c r="AM661" i="15"/>
  <c r="AM662" i="15"/>
  <c r="AM655" i="15"/>
  <c r="AM656" i="15"/>
  <c r="AM645" i="15"/>
  <c r="AM646" i="15"/>
  <c r="AM5" i="15"/>
  <c r="AM2" i="15"/>
  <c r="AM10" i="15"/>
  <c r="AM798" i="15"/>
  <c r="AM799" i="15"/>
  <c r="AM11" i="15"/>
  <c r="AM19" i="15"/>
  <c r="AM27" i="15"/>
  <c r="AM60" i="15"/>
  <c r="AM28" i="15"/>
  <c r="AM20" i="15"/>
  <c r="AM33" i="15"/>
  <c r="AM86" i="15"/>
  <c r="AM85" i="15"/>
  <c r="AM120" i="15"/>
  <c r="AM105" i="15"/>
  <c r="AM100" i="15"/>
  <c r="AM123" i="15"/>
  <c r="AM146" i="15"/>
  <c r="AM163" i="15"/>
  <c r="AM75" i="15"/>
  <c r="AM76" i="15"/>
  <c r="AM72" i="15"/>
  <c r="AM185" i="15"/>
  <c r="AM197" i="15"/>
  <c r="AM106" i="15"/>
  <c r="AM80" i="15"/>
  <c r="AM107" i="15"/>
  <c r="AM93" i="15"/>
  <c r="AM94" i="15"/>
  <c r="AM108" i="15"/>
  <c r="AM109" i="15"/>
  <c r="AM84" i="15"/>
  <c r="AM102" i="15"/>
  <c r="AM81" i="15"/>
  <c r="AM82" i="15"/>
  <c r="AM21" i="15"/>
  <c r="AM22" i="15"/>
  <c r="AM42" i="15"/>
  <c r="AM43" i="15"/>
  <c r="AM71" i="15"/>
  <c r="AM87" i="15"/>
  <c r="AM53" i="15"/>
  <c r="AM54" i="15"/>
  <c r="AM59" i="15"/>
  <c r="AM45" i="15"/>
  <c r="AM44" i="15"/>
  <c r="AM180" i="15"/>
  <c r="AM181" i="15"/>
  <c r="AM159" i="15"/>
  <c r="AM160" i="15"/>
  <c r="AM169" i="15"/>
  <c r="AM184" i="15"/>
  <c r="AM175" i="15"/>
  <c r="AM176" i="15"/>
  <c r="AM173" i="15"/>
  <c r="AM177" i="15"/>
  <c r="AM206" i="15"/>
  <c r="AM219" i="15"/>
  <c r="AM172" i="15"/>
  <c r="AM182" i="15"/>
  <c r="AM195" i="15"/>
  <c r="AM196" i="15"/>
  <c r="AM231" i="15"/>
  <c r="AM253" i="15"/>
  <c r="AM215" i="15"/>
  <c r="AM77" i="15"/>
  <c r="AM78" i="15"/>
  <c r="AM58" i="15"/>
  <c r="AM64" i="15"/>
  <c r="AM47" i="15"/>
  <c r="AM62" i="15"/>
  <c r="AM55" i="15"/>
  <c r="AM56" i="15"/>
  <c r="AM70" i="15"/>
  <c r="AM124" i="15"/>
  <c r="AM126" i="15"/>
  <c r="AM115" i="15"/>
  <c r="AM119" i="15"/>
  <c r="AM121" i="15"/>
  <c r="AM122" i="15"/>
  <c r="AM127" i="15"/>
  <c r="AM128" i="15"/>
  <c r="AM152" i="15"/>
  <c r="AM168" i="15"/>
  <c r="AM187" i="15"/>
  <c r="AM203" i="15"/>
  <c r="AM221" i="15"/>
  <c r="AM141" i="15"/>
  <c r="AM142" i="15"/>
  <c r="AM143" i="15"/>
  <c r="AM154" i="15"/>
  <c r="AM155" i="15"/>
  <c r="AM233" i="15"/>
  <c r="AM266" i="15"/>
  <c r="AM228" i="15"/>
  <c r="AM156" i="15"/>
  <c r="AM129" i="15"/>
  <c r="AM130" i="15"/>
  <c r="AM131" i="15"/>
  <c r="AM132" i="15"/>
  <c r="AM133" i="15"/>
  <c r="AM135" i="15"/>
  <c r="AM136" i="15"/>
  <c r="C53" i="9"/>
  <c r="D53" i="9"/>
  <c r="B407" i="15"/>
  <c r="I30" i="17"/>
  <c r="AC20" i="15" s="1"/>
  <c r="AL20" i="15" s="1"/>
  <c r="C64" i="9"/>
  <c r="D64" i="9"/>
  <c r="I29" i="17"/>
  <c r="AC2" i="15" s="1"/>
  <c r="AL2" i="15" s="1"/>
  <c r="Q1922" i="18" l="1"/>
  <c r="L65" i="19" s="1"/>
  <c r="Q2075" i="18"/>
  <c r="L70" i="19" s="1"/>
  <c r="Q2135" i="18"/>
  <c r="L72" i="19" s="1"/>
  <c r="Q1953" i="18"/>
  <c r="L66" i="19" s="1"/>
  <c r="Q1984" i="18"/>
  <c r="L67" i="19" s="1"/>
  <c r="Q2105" i="18"/>
  <c r="L71" i="19" s="1"/>
  <c r="K2105" i="18"/>
  <c r="G71" i="19" s="1"/>
  <c r="N1984" i="18"/>
  <c r="J67" i="19" s="1"/>
  <c r="J1984" i="18"/>
  <c r="F67" i="19" s="1"/>
  <c r="M2135" i="18"/>
  <c r="I72" i="19" s="1"/>
  <c r="N2075" i="18"/>
  <c r="J70" i="19" s="1"/>
  <c r="K2135" i="18"/>
  <c r="G72" i="19" s="1"/>
  <c r="J2075" i="18"/>
  <c r="F70" i="19" s="1"/>
  <c r="I2105" i="18"/>
  <c r="E71" i="19" s="1"/>
  <c r="L2105" i="18"/>
  <c r="H71" i="19" s="1"/>
  <c r="I2165" i="18"/>
  <c r="L2165" i="18"/>
  <c r="I1984" i="18"/>
  <c r="E67" i="19" s="1"/>
  <c r="L1953" i="18"/>
  <c r="H66" i="19" s="1"/>
  <c r="I2075" i="18"/>
  <c r="E70" i="19" s="1"/>
  <c r="Q2165" i="18"/>
  <c r="N2165" i="18"/>
  <c r="N2045" i="18"/>
  <c r="J69" i="19" s="1"/>
  <c r="J2165" i="18"/>
  <c r="J2045" i="18"/>
  <c r="F69" i="19" s="1"/>
  <c r="L2045" i="18"/>
  <c r="H69" i="19" s="1"/>
  <c r="N2135" i="18"/>
  <c r="J72" i="19" s="1"/>
  <c r="AC126" i="15"/>
  <c r="AL126" i="15" s="1"/>
  <c r="K6" i="21"/>
  <c r="L6" i="21" s="1"/>
  <c r="G20" i="9"/>
  <c r="U156" i="15" s="1"/>
  <c r="AC102" i="15"/>
  <c r="AL102" i="15" s="1"/>
  <c r="AC44" i="15"/>
  <c r="AL44" i="15" s="1"/>
  <c r="AC8" i="15"/>
  <c r="AL8" i="15" s="1"/>
  <c r="I2" i="21"/>
  <c r="J2" i="21" s="1"/>
  <c r="K8" i="21"/>
  <c r="L8" i="21" s="1"/>
  <c r="K5" i="21"/>
  <c r="L5" i="21" s="1"/>
  <c r="AC87" i="15"/>
  <c r="AL87" i="15" s="1"/>
  <c r="AC120" i="15"/>
  <c r="AL120" i="15" s="1"/>
  <c r="AC45" i="15"/>
  <c r="AL45" i="15" s="1"/>
  <c r="AC28" i="15"/>
  <c r="AL28" i="15" s="1"/>
  <c r="K4" i="21"/>
  <c r="L4" i="21" s="1"/>
  <c r="G68" i="9"/>
  <c r="U58" i="15" s="1"/>
  <c r="G72" i="9"/>
  <c r="U10" i="15" s="1"/>
  <c r="G38" i="9"/>
  <c r="U8" i="15" s="1"/>
  <c r="G31" i="9"/>
  <c r="U7" i="15" s="1"/>
  <c r="AC5" i="15"/>
  <c r="AL5" i="15" s="1"/>
  <c r="AK646" i="15"/>
  <c r="AB3" i="15"/>
  <c r="AA3" i="15"/>
  <c r="X3" i="15"/>
  <c r="W3" i="15"/>
  <c r="AK3" i="15"/>
  <c r="L9" i="21" l="1"/>
  <c r="U131" i="15"/>
  <c r="U62" i="15"/>
  <c r="U11" i="15"/>
  <c r="I28" i="17"/>
  <c r="I27" i="17"/>
  <c r="AM318" i="15"/>
  <c r="AM319" i="15"/>
  <c r="AM320" i="15"/>
  <c r="C65" i="9"/>
  <c r="D65" i="9"/>
  <c r="E40" i="16"/>
  <c r="F40" i="16"/>
  <c r="W678" i="15"/>
  <c r="X678" i="15"/>
  <c r="Z678" i="15"/>
  <c r="AA678" i="15"/>
  <c r="AB678" i="15"/>
  <c r="AD678" i="15"/>
  <c r="AE678" i="15"/>
  <c r="AF678" i="15"/>
  <c r="K890" i="18" s="1"/>
  <c r="AG678" i="15"/>
  <c r="L890" i="18" s="1"/>
  <c r="O728" i="15"/>
  <c r="O733" i="15"/>
  <c r="O738" i="15"/>
  <c r="O264" i="15"/>
  <c r="O759" i="15"/>
  <c r="O776" i="15"/>
  <c r="O758" i="15"/>
  <c r="O778" i="15"/>
  <c r="B732" i="18"/>
  <c r="B733" i="18"/>
  <c r="B734" i="18"/>
  <c r="B735" i="18"/>
  <c r="B736" i="18"/>
  <c r="B737" i="18"/>
  <c r="B738" i="18"/>
  <c r="B739" i="18"/>
  <c r="B740" i="18"/>
  <c r="B741" i="18"/>
  <c r="B742" i="18"/>
  <c r="B743" i="18"/>
  <c r="B744" i="18"/>
  <c r="B745" i="18"/>
  <c r="B746" i="18"/>
  <c r="B747" i="18"/>
  <c r="B748" i="18"/>
  <c r="B749" i="18"/>
  <c r="B750" i="18"/>
  <c r="B751" i="18"/>
  <c r="B752" i="18"/>
  <c r="B753" i="18"/>
  <c r="B754" i="18"/>
  <c r="B755" i="18"/>
  <c r="B756" i="18"/>
  <c r="B757" i="18"/>
  <c r="B758" i="18"/>
  <c r="B759" i="18"/>
  <c r="B760" i="18"/>
  <c r="B761" i="18"/>
  <c r="B762" i="18"/>
  <c r="B763" i="18"/>
  <c r="B764" i="18"/>
  <c r="B765" i="18"/>
  <c r="B766" i="18"/>
  <c r="B767" i="18"/>
  <c r="B768" i="18"/>
  <c r="B769" i="18"/>
  <c r="B770" i="18"/>
  <c r="B771" i="18"/>
  <c r="B772" i="18"/>
  <c r="B773" i="18"/>
  <c r="B774" i="18"/>
  <c r="B775" i="18"/>
  <c r="B776" i="18"/>
  <c r="B777" i="18"/>
  <c r="B778" i="18"/>
  <c r="B779" i="18"/>
  <c r="B780" i="18"/>
  <c r="B781" i="18"/>
  <c r="B782" i="18"/>
  <c r="B783" i="18"/>
  <c r="B784" i="18"/>
  <c r="B785" i="18"/>
  <c r="B786" i="18"/>
  <c r="B787" i="18"/>
  <c r="B788" i="18"/>
  <c r="B789" i="18"/>
  <c r="B790" i="18"/>
  <c r="B791" i="18"/>
  <c r="B792" i="18"/>
  <c r="B793" i="18"/>
  <c r="B794" i="18"/>
  <c r="B795" i="18"/>
  <c r="B796" i="18"/>
  <c r="B797" i="18"/>
  <c r="B798" i="18"/>
  <c r="B799" i="18"/>
  <c r="B800" i="18"/>
  <c r="B801" i="18"/>
  <c r="B802" i="18"/>
  <c r="B803" i="18"/>
  <c r="B804" i="18"/>
  <c r="B805" i="18"/>
  <c r="B806" i="18"/>
  <c r="B807" i="18"/>
  <c r="B808" i="18"/>
  <c r="B809" i="18"/>
  <c r="B810" i="18"/>
  <c r="B811" i="18"/>
  <c r="B812" i="18"/>
  <c r="B813" i="18"/>
  <c r="B814" i="18"/>
  <c r="B815" i="18"/>
  <c r="B816" i="18"/>
  <c r="B817" i="18"/>
  <c r="B818" i="18"/>
  <c r="B819" i="18"/>
  <c r="B820" i="18"/>
  <c r="B821" i="18"/>
  <c r="B822" i="18"/>
  <c r="B823" i="18"/>
  <c r="B824" i="18"/>
  <c r="B825" i="18"/>
  <c r="B826" i="18"/>
  <c r="B827" i="18"/>
  <c r="B828" i="18"/>
  <c r="B829" i="18"/>
  <c r="B830" i="18"/>
  <c r="B831" i="18"/>
  <c r="B832" i="18"/>
  <c r="B833" i="18"/>
  <c r="B834" i="18"/>
  <c r="B835" i="18"/>
  <c r="B836" i="18"/>
  <c r="B837" i="18"/>
  <c r="B838" i="18"/>
  <c r="B839" i="18"/>
  <c r="B840" i="18"/>
  <c r="B841" i="18"/>
  <c r="B842" i="18"/>
  <c r="B843" i="18"/>
  <c r="B844" i="18"/>
  <c r="B845" i="18"/>
  <c r="B846" i="18"/>
  <c r="B847" i="18"/>
  <c r="B848" i="18"/>
  <c r="B849" i="18"/>
  <c r="B850" i="18"/>
  <c r="B851" i="18"/>
  <c r="B852" i="18"/>
  <c r="B853" i="18"/>
  <c r="B854" i="18"/>
  <c r="B855" i="18"/>
  <c r="B856" i="18"/>
  <c r="B857" i="18"/>
  <c r="B858" i="18"/>
  <c r="B859" i="18"/>
  <c r="B860" i="18"/>
  <c r="B861" i="18"/>
  <c r="B862" i="18"/>
  <c r="B863" i="18"/>
  <c r="B864" i="18"/>
  <c r="B865" i="18"/>
  <c r="B866" i="18"/>
  <c r="B867" i="18"/>
  <c r="B868" i="18"/>
  <c r="B869" i="18"/>
  <c r="B870" i="18"/>
  <c r="B871" i="18"/>
  <c r="B872" i="18"/>
  <c r="B873" i="18"/>
  <c r="B874" i="18"/>
  <c r="B875" i="18"/>
  <c r="B876" i="18"/>
  <c r="B877" i="18"/>
  <c r="B878" i="18"/>
  <c r="B879" i="18"/>
  <c r="B880" i="18"/>
  <c r="B881" i="18"/>
  <c r="B882" i="18"/>
  <c r="B883" i="18"/>
  <c r="B884" i="18"/>
  <c r="B885" i="18"/>
  <c r="B886" i="18"/>
  <c r="B887" i="18"/>
  <c r="B888" i="18"/>
  <c r="B889" i="18"/>
  <c r="B890" i="18"/>
  <c r="B891" i="18"/>
  <c r="B892" i="18"/>
  <c r="B893" i="18"/>
  <c r="B894" i="18"/>
  <c r="B895" i="18"/>
  <c r="B896" i="18"/>
  <c r="B897" i="18"/>
  <c r="B898" i="18"/>
  <c r="B899" i="18"/>
  <c r="B900" i="18"/>
  <c r="B901" i="18"/>
  <c r="B902" i="18"/>
  <c r="B903" i="18"/>
  <c r="B904" i="18"/>
  <c r="B905" i="18"/>
  <c r="B906" i="18"/>
  <c r="B907" i="18"/>
  <c r="B908" i="18"/>
  <c r="B909" i="18"/>
  <c r="B910" i="18"/>
  <c r="B911" i="18"/>
  <c r="B912" i="18"/>
  <c r="B913" i="18"/>
  <c r="B914" i="18"/>
  <c r="B915" i="18"/>
  <c r="B916" i="18"/>
  <c r="B917" i="18"/>
  <c r="B918" i="18"/>
  <c r="B919" i="18"/>
  <c r="B920" i="18"/>
  <c r="B921" i="18"/>
  <c r="B922" i="18"/>
  <c r="B923" i="18"/>
  <c r="B924" i="18"/>
  <c r="B925" i="18"/>
  <c r="B926" i="18"/>
  <c r="B927" i="18"/>
  <c r="B928" i="18"/>
  <c r="B929" i="18"/>
  <c r="B930" i="18"/>
  <c r="B931" i="18"/>
  <c r="B932" i="18"/>
  <c r="B933" i="18"/>
  <c r="B934" i="18"/>
  <c r="B935" i="18"/>
  <c r="B936" i="18"/>
  <c r="B937" i="18"/>
  <c r="B938" i="18"/>
  <c r="B939" i="18"/>
  <c r="B940" i="18"/>
  <c r="B941" i="18"/>
  <c r="B942" i="18"/>
  <c r="B943" i="18"/>
  <c r="B944" i="18"/>
  <c r="B945" i="18"/>
  <c r="B946" i="18"/>
  <c r="B947" i="18"/>
  <c r="B948" i="18"/>
  <c r="B949" i="18"/>
  <c r="B950" i="18"/>
  <c r="B951" i="18"/>
  <c r="B952" i="18"/>
  <c r="B953" i="18"/>
  <c r="B954" i="18"/>
  <c r="B955" i="18"/>
  <c r="B956" i="18"/>
  <c r="B957" i="18"/>
  <c r="B958" i="18"/>
  <c r="B959" i="18"/>
  <c r="B960" i="18"/>
  <c r="B961" i="18"/>
  <c r="B962" i="18"/>
  <c r="B963" i="18"/>
  <c r="B964" i="18"/>
  <c r="B965" i="18"/>
  <c r="B966" i="18"/>
  <c r="B967" i="18"/>
  <c r="B968" i="18"/>
  <c r="B969" i="18"/>
  <c r="B970" i="18"/>
  <c r="B971" i="18"/>
  <c r="B972" i="18"/>
  <c r="B973" i="18"/>
  <c r="B974" i="18"/>
  <c r="B975" i="18"/>
  <c r="B976" i="18"/>
  <c r="B977" i="18"/>
  <c r="B978" i="18"/>
  <c r="B979" i="18"/>
  <c r="B980" i="18"/>
  <c r="B981" i="18"/>
  <c r="B982" i="18"/>
  <c r="B983" i="18"/>
  <c r="B984" i="18"/>
  <c r="B985" i="18"/>
  <c r="B986" i="18"/>
  <c r="B987" i="18"/>
  <c r="B988" i="18"/>
  <c r="B989" i="18"/>
  <c r="B990" i="18"/>
  <c r="B991" i="18"/>
  <c r="B992" i="18"/>
  <c r="B993" i="18"/>
  <c r="B994" i="18"/>
  <c r="B995" i="18"/>
  <c r="B996" i="18"/>
  <c r="B997" i="18"/>
  <c r="B998" i="18"/>
  <c r="B999" i="18"/>
  <c r="B1000" i="18"/>
  <c r="B1001" i="18"/>
  <c r="B1002" i="18"/>
  <c r="B1003" i="18"/>
  <c r="B1004" i="18"/>
  <c r="B1005" i="18"/>
  <c r="B1006" i="18"/>
  <c r="B1007" i="18"/>
  <c r="B1008" i="18"/>
  <c r="B1009" i="18"/>
  <c r="B1010" i="18"/>
  <c r="B1011" i="18"/>
  <c r="B1012" i="18"/>
  <c r="B1013" i="18"/>
  <c r="B1014" i="18"/>
  <c r="B1015" i="18"/>
  <c r="B1016" i="18"/>
  <c r="B1017" i="18"/>
  <c r="B1018" i="18"/>
  <c r="B1019" i="18"/>
  <c r="B1020" i="18"/>
  <c r="B1021" i="18"/>
  <c r="B1022" i="18"/>
  <c r="B1023" i="18"/>
  <c r="B1024" i="18"/>
  <c r="B1025" i="18"/>
  <c r="B1026" i="18"/>
  <c r="B1027" i="18"/>
  <c r="B1028" i="18"/>
  <c r="B1029" i="18"/>
  <c r="B1030" i="18"/>
  <c r="B1031" i="18"/>
  <c r="B1032" i="18"/>
  <c r="B1033" i="18"/>
  <c r="B1034" i="18"/>
  <c r="B1035" i="18"/>
  <c r="B1036" i="18"/>
  <c r="B1037" i="18"/>
  <c r="B1038" i="18"/>
  <c r="B1039" i="18"/>
  <c r="B1040" i="18"/>
  <c r="B1041" i="18"/>
  <c r="B1042" i="18"/>
  <c r="B1043" i="18"/>
  <c r="B1044" i="18"/>
  <c r="B1045" i="18"/>
  <c r="B1046" i="18"/>
  <c r="B1047" i="18"/>
  <c r="B1048" i="18"/>
  <c r="B1049" i="18"/>
  <c r="B1050" i="18"/>
  <c r="B1051" i="18"/>
  <c r="B1052" i="18"/>
  <c r="B1053" i="18"/>
  <c r="B1054" i="18"/>
  <c r="B1055" i="18"/>
  <c r="B1056" i="18"/>
  <c r="B1057" i="18"/>
  <c r="B1058" i="18"/>
  <c r="B1059" i="18"/>
  <c r="B1060" i="18"/>
  <c r="B1061" i="18"/>
  <c r="B1062" i="18"/>
  <c r="B1063" i="18"/>
  <c r="B1064" i="18"/>
  <c r="B1065" i="18"/>
  <c r="B1066" i="18"/>
  <c r="B1067" i="18"/>
  <c r="B1068" i="18"/>
  <c r="B1069" i="18"/>
  <c r="B1070" i="18"/>
  <c r="B1071" i="18"/>
  <c r="B1072" i="18"/>
  <c r="B1073" i="18"/>
  <c r="B1074" i="18"/>
  <c r="B1075" i="18"/>
  <c r="B1076" i="18"/>
  <c r="B1077" i="18"/>
  <c r="B1078" i="18"/>
  <c r="B1079" i="18"/>
  <c r="B1080" i="18"/>
  <c r="B1081" i="18"/>
  <c r="B1082" i="18"/>
  <c r="B1083" i="18"/>
  <c r="B1084" i="18"/>
  <c r="B1085" i="18"/>
  <c r="B1086" i="18"/>
  <c r="B1087" i="18"/>
  <c r="B1088" i="18"/>
  <c r="B1089" i="18"/>
  <c r="B1090" i="18"/>
  <c r="B1091" i="18"/>
  <c r="B1092" i="18"/>
  <c r="B1093" i="18"/>
  <c r="B1094" i="18"/>
  <c r="B1095" i="18"/>
  <c r="B1096" i="18"/>
  <c r="C732" i="18"/>
  <c r="C733" i="18"/>
  <c r="C734" i="18"/>
  <c r="C735" i="18"/>
  <c r="C736" i="18"/>
  <c r="C737" i="18"/>
  <c r="C738" i="18"/>
  <c r="C739" i="18"/>
  <c r="C740" i="18"/>
  <c r="C741" i="18"/>
  <c r="C742" i="18"/>
  <c r="C743" i="18"/>
  <c r="P743" i="18" s="1"/>
  <c r="C744" i="18"/>
  <c r="C745" i="18"/>
  <c r="C746" i="18"/>
  <c r="C747" i="18"/>
  <c r="P747" i="18" s="1"/>
  <c r="C748" i="18"/>
  <c r="C749" i="18"/>
  <c r="C750" i="18"/>
  <c r="C751" i="18"/>
  <c r="C752" i="18"/>
  <c r="C753" i="18"/>
  <c r="C754" i="18"/>
  <c r="C755" i="18"/>
  <c r="P755" i="18" s="1"/>
  <c r="C756" i="18"/>
  <c r="C757" i="18"/>
  <c r="C758" i="18"/>
  <c r="C759" i="18"/>
  <c r="P759" i="18" s="1"/>
  <c r="C760" i="18"/>
  <c r="C761" i="18"/>
  <c r="C762" i="18"/>
  <c r="C763" i="18"/>
  <c r="C764" i="18"/>
  <c r="C765" i="18"/>
  <c r="C766" i="18"/>
  <c r="C767" i="18"/>
  <c r="P767" i="18" s="1"/>
  <c r="C768" i="18"/>
  <c r="C769" i="18"/>
  <c r="C770" i="18"/>
  <c r="C771" i="18"/>
  <c r="P771" i="18" s="1"/>
  <c r="C772" i="18"/>
  <c r="C773" i="18"/>
  <c r="C774" i="18"/>
  <c r="C775" i="18"/>
  <c r="C776" i="18"/>
  <c r="C777" i="18"/>
  <c r="C778" i="18"/>
  <c r="C779" i="18"/>
  <c r="P779" i="18" s="1"/>
  <c r="C780" i="18"/>
  <c r="C781" i="18"/>
  <c r="C782" i="18"/>
  <c r="C783" i="18"/>
  <c r="P783" i="18" s="1"/>
  <c r="C784" i="18"/>
  <c r="C785" i="18"/>
  <c r="C786" i="18"/>
  <c r="C787" i="18"/>
  <c r="C788" i="18"/>
  <c r="C789" i="18"/>
  <c r="C790" i="18"/>
  <c r="C791" i="18"/>
  <c r="P791" i="18" s="1"/>
  <c r="C792" i="18"/>
  <c r="C793" i="18"/>
  <c r="C794" i="18"/>
  <c r="C795" i="18"/>
  <c r="P795" i="18" s="1"/>
  <c r="C796" i="18"/>
  <c r="C797" i="18"/>
  <c r="C798" i="18"/>
  <c r="C799" i="18"/>
  <c r="P799" i="18" s="1"/>
  <c r="C800" i="18"/>
  <c r="C801" i="18"/>
  <c r="C802" i="18"/>
  <c r="C803" i="18"/>
  <c r="P803" i="18" s="1"/>
  <c r="C804" i="18"/>
  <c r="C805" i="18"/>
  <c r="C806" i="18"/>
  <c r="C807" i="18"/>
  <c r="P807" i="18" s="1"/>
  <c r="C808" i="18"/>
  <c r="C809" i="18"/>
  <c r="C810" i="18"/>
  <c r="C811" i="18"/>
  <c r="P811" i="18" s="1"/>
  <c r="C812" i="18"/>
  <c r="C813" i="18"/>
  <c r="C814" i="18"/>
  <c r="C815" i="18"/>
  <c r="P815" i="18" s="1"/>
  <c r="C816" i="18"/>
  <c r="C817" i="18"/>
  <c r="C818" i="18"/>
  <c r="C819" i="18"/>
  <c r="P819" i="18" s="1"/>
  <c r="C820" i="18"/>
  <c r="C821" i="18"/>
  <c r="C822" i="18"/>
  <c r="C823" i="18"/>
  <c r="P823" i="18" s="1"/>
  <c r="C824" i="18"/>
  <c r="C825" i="18"/>
  <c r="C826" i="18"/>
  <c r="C827" i="18"/>
  <c r="P827" i="18" s="1"/>
  <c r="C828" i="18"/>
  <c r="C829" i="18"/>
  <c r="C830" i="18"/>
  <c r="C831" i="18"/>
  <c r="P831" i="18" s="1"/>
  <c r="C832" i="18"/>
  <c r="C833" i="18"/>
  <c r="C834" i="18"/>
  <c r="C835" i="18"/>
  <c r="P835" i="18" s="1"/>
  <c r="C836" i="18"/>
  <c r="C837" i="18"/>
  <c r="C838" i="18"/>
  <c r="C839" i="18"/>
  <c r="P839" i="18" s="1"/>
  <c r="C840" i="18"/>
  <c r="C841" i="18"/>
  <c r="C842" i="18"/>
  <c r="C843" i="18"/>
  <c r="P843" i="18" s="1"/>
  <c r="C844" i="18"/>
  <c r="C845" i="18"/>
  <c r="C846" i="18"/>
  <c r="C847" i="18"/>
  <c r="P847" i="18" s="1"/>
  <c r="C848" i="18"/>
  <c r="C849" i="18"/>
  <c r="C850" i="18"/>
  <c r="C851" i="18"/>
  <c r="P851" i="18" s="1"/>
  <c r="C852" i="18"/>
  <c r="C853" i="18"/>
  <c r="C854" i="18"/>
  <c r="C855" i="18"/>
  <c r="P855" i="18" s="1"/>
  <c r="C856" i="18"/>
  <c r="C857" i="18"/>
  <c r="C858" i="18"/>
  <c r="C859" i="18"/>
  <c r="P859" i="18" s="1"/>
  <c r="C860" i="18"/>
  <c r="C861" i="18"/>
  <c r="C862" i="18"/>
  <c r="C863" i="18"/>
  <c r="P863" i="18" s="1"/>
  <c r="C864" i="18"/>
  <c r="C865" i="18"/>
  <c r="C866" i="18"/>
  <c r="C867" i="18"/>
  <c r="P867" i="18" s="1"/>
  <c r="C868" i="18"/>
  <c r="C869" i="18"/>
  <c r="C870" i="18"/>
  <c r="C871" i="18"/>
  <c r="P871" i="18" s="1"/>
  <c r="C872" i="18"/>
  <c r="C873" i="18"/>
  <c r="C874" i="18"/>
  <c r="C875" i="18"/>
  <c r="P875" i="18" s="1"/>
  <c r="C876" i="18"/>
  <c r="C877" i="18"/>
  <c r="C878" i="18"/>
  <c r="C879" i="18"/>
  <c r="P879" i="18" s="1"/>
  <c r="C880" i="18"/>
  <c r="C881" i="18"/>
  <c r="C882" i="18"/>
  <c r="C883" i="18"/>
  <c r="P883" i="18" s="1"/>
  <c r="C884" i="18"/>
  <c r="C885" i="18"/>
  <c r="C886" i="18"/>
  <c r="C887" i="18"/>
  <c r="P887" i="18" s="1"/>
  <c r="C888" i="18"/>
  <c r="C889" i="18"/>
  <c r="C890" i="18"/>
  <c r="C891" i="18"/>
  <c r="P891" i="18" s="1"/>
  <c r="C892" i="18"/>
  <c r="C893" i="18"/>
  <c r="C894" i="18"/>
  <c r="C895" i="18"/>
  <c r="P895" i="18" s="1"/>
  <c r="C896" i="18"/>
  <c r="C897" i="18"/>
  <c r="C898" i="18"/>
  <c r="C899" i="18"/>
  <c r="P899" i="18" s="1"/>
  <c r="C900" i="18"/>
  <c r="C901" i="18"/>
  <c r="C902" i="18"/>
  <c r="C903" i="18"/>
  <c r="P903" i="18" s="1"/>
  <c r="C904" i="18"/>
  <c r="C905" i="18"/>
  <c r="C906" i="18"/>
  <c r="C907" i="18"/>
  <c r="P907" i="18" s="1"/>
  <c r="C908" i="18"/>
  <c r="C909" i="18"/>
  <c r="C910" i="18"/>
  <c r="C911" i="18"/>
  <c r="P911" i="18" s="1"/>
  <c r="C912" i="18"/>
  <c r="C913" i="18"/>
  <c r="C914" i="18"/>
  <c r="C915" i="18"/>
  <c r="P915" i="18" s="1"/>
  <c r="C916" i="18"/>
  <c r="C917" i="18"/>
  <c r="C918" i="18"/>
  <c r="C919" i="18"/>
  <c r="P919" i="18" s="1"/>
  <c r="C920" i="18"/>
  <c r="C921" i="18"/>
  <c r="C922" i="18"/>
  <c r="C923" i="18"/>
  <c r="P923" i="18" s="1"/>
  <c r="C924" i="18"/>
  <c r="C925" i="18"/>
  <c r="C926" i="18"/>
  <c r="C927" i="18"/>
  <c r="P927" i="18" s="1"/>
  <c r="C928" i="18"/>
  <c r="C929" i="18"/>
  <c r="C930" i="18"/>
  <c r="C931" i="18"/>
  <c r="P931" i="18" s="1"/>
  <c r="C932" i="18"/>
  <c r="C933" i="18"/>
  <c r="C934" i="18"/>
  <c r="C935" i="18"/>
  <c r="P935" i="18" s="1"/>
  <c r="C936" i="18"/>
  <c r="C937" i="18"/>
  <c r="C938" i="18"/>
  <c r="C939" i="18"/>
  <c r="P939" i="18" s="1"/>
  <c r="C940" i="18"/>
  <c r="C941" i="18"/>
  <c r="C942" i="18"/>
  <c r="C943" i="18"/>
  <c r="P943" i="18" s="1"/>
  <c r="C944" i="18"/>
  <c r="C945" i="18"/>
  <c r="C946" i="18"/>
  <c r="C947" i="18"/>
  <c r="P947" i="18" s="1"/>
  <c r="C948" i="18"/>
  <c r="C949" i="18"/>
  <c r="C950" i="18"/>
  <c r="C951" i="18"/>
  <c r="P951" i="18" s="1"/>
  <c r="C952" i="18"/>
  <c r="C953" i="18"/>
  <c r="C954" i="18"/>
  <c r="C955" i="18"/>
  <c r="P955" i="18" s="1"/>
  <c r="C956" i="18"/>
  <c r="C957" i="18"/>
  <c r="C958" i="18"/>
  <c r="C959" i="18"/>
  <c r="P959" i="18" s="1"/>
  <c r="C960" i="18"/>
  <c r="C961" i="18"/>
  <c r="C962" i="18"/>
  <c r="C963" i="18"/>
  <c r="P963" i="18" s="1"/>
  <c r="C964" i="18"/>
  <c r="C965" i="18"/>
  <c r="C966" i="18"/>
  <c r="C967" i="18"/>
  <c r="P967" i="18" s="1"/>
  <c r="C968" i="18"/>
  <c r="C969" i="18"/>
  <c r="C970" i="18"/>
  <c r="C971" i="18"/>
  <c r="P971" i="18" s="1"/>
  <c r="C972" i="18"/>
  <c r="C973" i="18"/>
  <c r="C974" i="18"/>
  <c r="C975" i="18"/>
  <c r="P975" i="18" s="1"/>
  <c r="C976" i="18"/>
  <c r="C977" i="18"/>
  <c r="C978" i="18"/>
  <c r="C979" i="18"/>
  <c r="P979" i="18" s="1"/>
  <c r="C980" i="18"/>
  <c r="C981" i="18"/>
  <c r="C982" i="18"/>
  <c r="C983" i="18"/>
  <c r="P983" i="18" s="1"/>
  <c r="C984" i="18"/>
  <c r="C985" i="18"/>
  <c r="C986" i="18"/>
  <c r="C987" i="18"/>
  <c r="P987" i="18" s="1"/>
  <c r="C988" i="18"/>
  <c r="C989" i="18"/>
  <c r="C990" i="18"/>
  <c r="C991" i="18"/>
  <c r="P991" i="18" s="1"/>
  <c r="C992" i="18"/>
  <c r="C993" i="18"/>
  <c r="C994" i="18"/>
  <c r="C995" i="18"/>
  <c r="P995" i="18" s="1"/>
  <c r="C996" i="18"/>
  <c r="C997" i="18"/>
  <c r="C998" i="18"/>
  <c r="C999" i="18"/>
  <c r="P999" i="18" s="1"/>
  <c r="C1000" i="18"/>
  <c r="C1001" i="18"/>
  <c r="C1002" i="18"/>
  <c r="C1003" i="18"/>
  <c r="P1003" i="18" s="1"/>
  <c r="C1004" i="18"/>
  <c r="C1005" i="18"/>
  <c r="C1006" i="18"/>
  <c r="C1007" i="18"/>
  <c r="P1007" i="18" s="1"/>
  <c r="C1008" i="18"/>
  <c r="C1009" i="18"/>
  <c r="C1010" i="18"/>
  <c r="C1011" i="18"/>
  <c r="P1011" i="18" s="1"/>
  <c r="C1012" i="18"/>
  <c r="C1013" i="18"/>
  <c r="C1014" i="18"/>
  <c r="C1015" i="18"/>
  <c r="P1015" i="18" s="1"/>
  <c r="C1016" i="18"/>
  <c r="C1017" i="18"/>
  <c r="C1018" i="18"/>
  <c r="C1019" i="18"/>
  <c r="P1019" i="18" s="1"/>
  <c r="C1020" i="18"/>
  <c r="C1021" i="18"/>
  <c r="C1022" i="18"/>
  <c r="C1023" i="18"/>
  <c r="P1023" i="18" s="1"/>
  <c r="C1024" i="18"/>
  <c r="C1025" i="18"/>
  <c r="C1026" i="18"/>
  <c r="C1027" i="18"/>
  <c r="P1027" i="18" s="1"/>
  <c r="C1028" i="18"/>
  <c r="C1029" i="18"/>
  <c r="C1030" i="18"/>
  <c r="C1031" i="18"/>
  <c r="P1031" i="18" s="1"/>
  <c r="C1032" i="18"/>
  <c r="C1033" i="18"/>
  <c r="C1034" i="18"/>
  <c r="C1035" i="18"/>
  <c r="P1035" i="18" s="1"/>
  <c r="C1036" i="18"/>
  <c r="C1037" i="18"/>
  <c r="C1038" i="18"/>
  <c r="C1039" i="18"/>
  <c r="P1039" i="18" s="1"/>
  <c r="C1040" i="18"/>
  <c r="C1041" i="18"/>
  <c r="C1042" i="18"/>
  <c r="C1043" i="18"/>
  <c r="P1043" i="18" s="1"/>
  <c r="C1044" i="18"/>
  <c r="C1045" i="18"/>
  <c r="C1046" i="18"/>
  <c r="C1047" i="18"/>
  <c r="P1047" i="18" s="1"/>
  <c r="C1048" i="18"/>
  <c r="C1049" i="18"/>
  <c r="C1050" i="18"/>
  <c r="C1051" i="18"/>
  <c r="P1051" i="18" s="1"/>
  <c r="C1052" i="18"/>
  <c r="C1053" i="18"/>
  <c r="C1054" i="18"/>
  <c r="C1055" i="18"/>
  <c r="P1055" i="18" s="1"/>
  <c r="C1056" i="18"/>
  <c r="C1057" i="18"/>
  <c r="C1058" i="18"/>
  <c r="C1059" i="18"/>
  <c r="P1059" i="18" s="1"/>
  <c r="C1060" i="18"/>
  <c r="C1061" i="18"/>
  <c r="C1062" i="18"/>
  <c r="C1063" i="18"/>
  <c r="P1063" i="18" s="1"/>
  <c r="C1064" i="18"/>
  <c r="C1065" i="18"/>
  <c r="C1066" i="18"/>
  <c r="C1067" i="18"/>
  <c r="P1067" i="18" s="1"/>
  <c r="C1068" i="18"/>
  <c r="C1069" i="18"/>
  <c r="C1070" i="18"/>
  <c r="C1071" i="18"/>
  <c r="P1071" i="18" s="1"/>
  <c r="C1072" i="18"/>
  <c r="C1073" i="18"/>
  <c r="C1074" i="18"/>
  <c r="C1075" i="18"/>
  <c r="P1075" i="18" s="1"/>
  <c r="C1076" i="18"/>
  <c r="C1077" i="18"/>
  <c r="C1078" i="18"/>
  <c r="C1079" i="18"/>
  <c r="P1079" i="18" s="1"/>
  <c r="C1080" i="18"/>
  <c r="C1081" i="18"/>
  <c r="C1082" i="18"/>
  <c r="C1083" i="18"/>
  <c r="P1083" i="18" s="1"/>
  <c r="C1084" i="18"/>
  <c r="C1085" i="18"/>
  <c r="C1086" i="18"/>
  <c r="C1087" i="18"/>
  <c r="P1087" i="18" s="1"/>
  <c r="C1088" i="18"/>
  <c r="C1089" i="18"/>
  <c r="C1090" i="18"/>
  <c r="C1091" i="18"/>
  <c r="P1091" i="18" s="1"/>
  <c r="C1092" i="18"/>
  <c r="C1093" i="18"/>
  <c r="C1094" i="18"/>
  <c r="C1095" i="18"/>
  <c r="P1095" i="18" s="1"/>
  <c r="C1096" i="18"/>
  <c r="D732" i="18"/>
  <c r="D733" i="18"/>
  <c r="D734" i="18"/>
  <c r="D735" i="18"/>
  <c r="D736" i="18"/>
  <c r="D737" i="18"/>
  <c r="D738" i="18"/>
  <c r="D739" i="18"/>
  <c r="D740" i="18"/>
  <c r="D741" i="18"/>
  <c r="D742" i="18"/>
  <c r="D743" i="18"/>
  <c r="D744" i="18"/>
  <c r="D745" i="18"/>
  <c r="D746" i="18"/>
  <c r="D747" i="18"/>
  <c r="D748" i="18"/>
  <c r="D749" i="18"/>
  <c r="D750" i="18"/>
  <c r="D751" i="18"/>
  <c r="D752" i="18"/>
  <c r="D753" i="18"/>
  <c r="D754" i="18"/>
  <c r="D755" i="18"/>
  <c r="D756" i="18"/>
  <c r="D757" i="18"/>
  <c r="D758" i="18"/>
  <c r="D759" i="18"/>
  <c r="D760" i="18"/>
  <c r="D761" i="18"/>
  <c r="D762" i="18"/>
  <c r="D763" i="18"/>
  <c r="D764" i="18"/>
  <c r="D765" i="18"/>
  <c r="D766" i="18"/>
  <c r="D767" i="18"/>
  <c r="D768" i="18"/>
  <c r="D769" i="18"/>
  <c r="D770" i="18"/>
  <c r="D771" i="18"/>
  <c r="D772" i="18"/>
  <c r="D773" i="18"/>
  <c r="D774" i="18"/>
  <c r="D775" i="18"/>
  <c r="D776" i="18"/>
  <c r="D777" i="18"/>
  <c r="D778" i="18"/>
  <c r="D779" i="18"/>
  <c r="D780" i="18"/>
  <c r="D781" i="18"/>
  <c r="D782" i="18"/>
  <c r="D783" i="18"/>
  <c r="D784" i="18"/>
  <c r="D785" i="18"/>
  <c r="D786" i="18"/>
  <c r="D787" i="18"/>
  <c r="D788" i="18"/>
  <c r="D789" i="18"/>
  <c r="D790" i="18"/>
  <c r="D791" i="18"/>
  <c r="D792" i="18"/>
  <c r="D793" i="18"/>
  <c r="D794" i="18"/>
  <c r="D795" i="18"/>
  <c r="D796" i="18"/>
  <c r="D797" i="18"/>
  <c r="D798" i="18"/>
  <c r="D799" i="18"/>
  <c r="D800" i="18"/>
  <c r="D801" i="18"/>
  <c r="D802" i="18"/>
  <c r="D803" i="18"/>
  <c r="D804" i="18"/>
  <c r="D805" i="18"/>
  <c r="D806" i="18"/>
  <c r="D807" i="18"/>
  <c r="D808" i="18"/>
  <c r="D809" i="18"/>
  <c r="D810" i="18"/>
  <c r="D811" i="18"/>
  <c r="D812" i="18"/>
  <c r="D813" i="18"/>
  <c r="D814" i="18"/>
  <c r="D815" i="18"/>
  <c r="D816" i="18"/>
  <c r="D817" i="18"/>
  <c r="D818" i="18"/>
  <c r="D819" i="18"/>
  <c r="D820" i="18"/>
  <c r="D821" i="18"/>
  <c r="D822" i="18"/>
  <c r="D823" i="18"/>
  <c r="D824" i="18"/>
  <c r="D825" i="18"/>
  <c r="D826" i="18"/>
  <c r="D827" i="18"/>
  <c r="D828" i="18"/>
  <c r="D829" i="18"/>
  <c r="D830" i="18"/>
  <c r="D831" i="18"/>
  <c r="D832" i="18"/>
  <c r="D833" i="18"/>
  <c r="D834" i="18"/>
  <c r="D835" i="18"/>
  <c r="D836" i="18"/>
  <c r="D837" i="18"/>
  <c r="D838" i="18"/>
  <c r="D839" i="18"/>
  <c r="D840" i="18"/>
  <c r="D841" i="18"/>
  <c r="D842" i="18"/>
  <c r="D843" i="18"/>
  <c r="D844" i="18"/>
  <c r="D845" i="18"/>
  <c r="D846" i="18"/>
  <c r="D847" i="18"/>
  <c r="D848" i="18"/>
  <c r="D849" i="18"/>
  <c r="D850" i="18"/>
  <c r="D851" i="18"/>
  <c r="D852" i="18"/>
  <c r="D853" i="18"/>
  <c r="D854" i="18"/>
  <c r="D855" i="18"/>
  <c r="D856" i="18"/>
  <c r="D857" i="18"/>
  <c r="D858" i="18"/>
  <c r="D859" i="18"/>
  <c r="D860" i="18"/>
  <c r="D861" i="18"/>
  <c r="D862" i="18"/>
  <c r="D863" i="18"/>
  <c r="D864" i="18"/>
  <c r="D865" i="18"/>
  <c r="D866" i="18"/>
  <c r="D867" i="18"/>
  <c r="D868" i="18"/>
  <c r="D869" i="18"/>
  <c r="D870" i="18"/>
  <c r="D871" i="18"/>
  <c r="D872" i="18"/>
  <c r="D873" i="18"/>
  <c r="D874" i="18"/>
  <c r="D875" i="18"/>
  <c r="D876" i="18"/>
  <c r="D877" i="18"/>
  <c r="D878" i="18"/>
  <c r="D879" i="18"/>
  <c r="D880" i="18"/>
  <c r="D881" i="18"/>
  <c r="D882" i="18"/>
  <c r="D883" i="18"/>
  <c r="D884" i="18"/>
  <c r="D885" i="18"/>
  <c r="D886" i="18"/>
  <c r="D887" i="18"/>
  <c r="D888" i="18"/>
  <c r="D889" i="18"/>
  <c r="D890" i="18"/>
  <c r="D891" i="18"/>
  <c r="D892" i="18"/>
  <c r="D893" i="18"/>
  <c r="D894" i="18"/>
  <c r="D895" i="18"/>
  <c r="D896" i="18"/>
  <c r="D897" i="18"/>
  <c r="D898" i="18"/>
  <c r="D899" i="18"/>
  <c r="D900" i="18"/>
  <c r="D901" i="18"/>
  <c r="D902" i="18"/>
  <c r="D903" i="18"/>
  <c r="D904" i="18"/>
  <c r="D905" i="18"/>
  <c r="D906" i="18"/>
  <c r="D907" i="18"/>
  <c r="D908" i="18"/>
  <c r="D909" i="18"/>
  <c r="D910" i="18"/>
  <c r="D911" i="18"/>
  <c r="D912" i="18"/>
  <c r="D913" i="18"/>
  <c r="D914" i="18"/>
  <c r="D915" i="18"/>
  <c r="D916" i="18"/>
  <c r="D917" i="18"/>
  <c r="D918" i="18"/>
  <c r="D919" i="18"/>
  <c r="D920" i="18"/>
  <c r="D921" i="18"/>
  <c r="D922" i="18"/>
  <c r="D923" i="18"/>
  <c r="D924" i="18"/>
  <c r="D925" i="18"/>
  <c r="D926" i="18"/>
  <c r="D927" i="18"/>
  <c r="D928" i="18"/>
  <c r="D929" i="18"/>
  <c r="D930" i="18"/>
  <c r="D931" i="18"/>
  <c r="D932" i="18"/>
  <c r="D933" i="18"/>
  <c r="D934" i="18"/>
  <c r="D935" i="18"/>
  <c r="D936" i="18"/>
  <c r="D937" i="18"/>
  <c r="D938" i="18"/>
  <c r="D939" i="18"/>
  <c r="D940" i="18"/>
  <c r="D941" i="18"/>
  <c r="D942" i="18"/>
  <c r="D943" i="18"/>
  <c r="D944" i="18"/>
  <c r="D945" i="18"/>
  <c r="D946" i="18"/>
  <c r="D947" i="18"/>
  <c r="D948" i="18"/>
  <c r="D949" i="18"/>
  <c r="D950" i="18"/>
  <c r="D951" i="18"/>
  <c r="D952" i="18"/>
  <c r="D953" i="18"/>
  <c r="D954" i="18"/>
  <c r="D955" i="18"/>
  <c r="D956" i="18"/>
  <c r="D957" i="18"/>
  <c r="D958" i="18"/>
  <c r="D959" i="18"/>
  <c r="D960" i="18"/>
  <c r="D961" i="18"/>
  <c r="D962" i="18"/>
  <c r="D963" i="18"/>
  <c r="D964" i="18"/>
  <c r="D965" i="18"/>
  <c r="D966" i="18"/>
  <c r="D967" i="18"/>
  <c r="D968" i="18"/>
  <c r="D969" i="18"/>
  <c r="D970" i="18"/>
  <c r="D971" i="18"/>
  <c r="D972" i="18"/>
  <c r="D973" i="18"/>
  <c r="D974" i="18"/>
  <c r="D975" i="18"/>
  <c r="D976" i="18"/>
  <c r="D977" i="18"/>
  <c r="D978" i="18"/>
  <c r="D979" i="18"/>
  <c r="D980" i="18"/>
  <c r="D981" i="18"/>
  <c r="D982" i="18"/>
  <c r="D983" i="18"/>
  <c r="D984" i="18"/>
  <c r="D985" i="18"/>
  <c r="D986" i="18"/>
  <c r="D987" i="18"/>
  <c r="D988" i="18"/>
  <c r="D989" i="18"/>
  <c r="D990" i="18"/>
  <c r="D991" i="18"/>
  <c r="D992" i="18"/>
  <c r="D993" i="18"/>
  <c r="D994" i="18"/>
  <c r="D995" i="18"/>
  <c r="D996" i="18"/>
  <c r="D997" i="18"/>
  <c r="D998" i="18"/>
  <c r="D999" i="18"/>
  <c r="D1000" i="18"/>
  <c r="D1001" i="18"/>
  <c r="D1002" i="18"/>
  <c r="D1003" i="18"/>
  <c r="D1004" i="18"/>
  <c r="D1005" i="18"/>
  <c r="D1006" i="18"/>
  <c r="D1007" i="18"/>
  <c r="D1008" i="18"/>
  <c r="D1009" i="18"/>
  <c r="D1010" i="18"/>
  <c r="D1011" i="18"/>
  <c r="D1012" i="18"/>
  <c r="D1013" i="18"/>
  <c r="D1014" i="18"/>
  <c r="D1015" i="18"/>
  <c r="D1016" i="18"/>
  <c r="D1017" i="18"/>
  <c r="D1018" i="18"/>
  <c r="D1019" i="18"/>
  <c r="D1020" i="18"/>
  <c r="D1021" i="18"/>
  <c r="D1022" i="18"/>
  <c r="D1023" i="18"/>
  <c r="D1024" i="18"/>
  <c r="D1025" i="18"/>
  <c r="D1026" i="18"/>
  <c r="D1027" i="18"/>
  <c r="D1028" i="18"/>
  <c r="D1029" i="18"/>
  <c r="D1030" i="18"/>
  <c r="D1031" i="18"/>
  <c r="D1032" i="18"/>
  <c r="D1033" i="18"/>
  <c r="D1034" i="18"/>
  <c r="D1035" i="18"/>
  <c r="D1036" i="18"/>
  <c r="D1037" i="18"/>
  <c r="D1038" i="18"/>
  <c r="D1039" i="18"/>
  <c r="D1040" i="18"/>
  <c r="D1041" i="18"/>
  <c r="D1042" i="18"/>
  <c r="D1043" i="18"/>
  <c r="D1044" i="18"/>
  <c r="D1045" i="18"/>
  <c r="D1046" i="18"/>
  <c r="D1047" i="18"/>
  <c r="D1048" i="18"/>
  <c r="D1049" i="18"/>
  <c r="D1050" i="18"/>
  <c r="D1051" i="18"/>
  <c r="D1052" i="18"/>
  <c r="D1053" i="18"/>
  <c r="D1054" i="18"/>
  <c r="D1055" i="18"/>
  <c r="D1056" i="18"/>
  <c r="D1057" i="18"/>
  <c r="D1058" i="18"/>
  <c r="D1059" i="18"/>
  <c r="D1060" i="18"/>
  <c r="D1061" i="18"/>
  <c r="D1062" i="18"/>
  <c r="D1063" i="18"/>
  <c r="D1064" i="18"/>
  <c r="D1065" i="18"/>
  <c r="D1066" i="18"/>
  <c r="D1067" i="18"/>
  <c r="D1068" i="18"/>
  <c r="D1069" i="18"/>
  <c r="D1070" i="18"/>
  <c r="D1071" i="18"/>
  <c r="D1072" i="18"/>
  <c r="D1073" i="18"/>
  <c r="D1074" i="18"/>
  <c r="D1075" i="18"/>
  <c r="D1076" i="18"/>
  <c r="D1077" i="18"/>
  <c r="D1078" i="18"/>
  <c r="D1079" i="18"/>
  <c r="D1080" i="18"/>
  <c r="D1081" i="18"/>
  <c r="D1082" i="18"/>
  <c r="D1083" i="18"/>
  <c r="D1084" i="18"/>
  <c r="D1085" i="18"/>
  <c r="D1086" i="18"/>
  <c r="D1087" i="18"/>
  <c r="D1088" i="18"/>
  <c r="D1089" i="18"/>
  <c r="D1090" i="18"/>
  <c r="D1091" i="18"/>
  <c r="D1092" i="18"/>
  <c r="D1093" i="18"/>
  <c r="D1094" i="18"/>
  <c r="D1095" i="18"/>
  <c r="D1096" i="18"/>
  <c r="E732" i="18"/>
  <c r="E733" i="18"/>
  <c r="E734" i="18"/>
  <c r="E735" i="18"/>
  <c r="E736" i="18"/>
  <c r="E737" i="18"/>
  <c r="E738" i="18"/>
  <c r="E739" i="18"/>
  <c r="E740" i="18"/>
  <c r="E741" i="18"/>
  <c r="E742" i="18"/>
  <c r="E743" i="18"/>
  <c r="E744" i="18"/>
  <c r="E745" i="18"/>
  <c r="E746" i="18"/>
  <c r="E747" i="18"/>
  <c r="E748" i="18"/>
  <c r="E749" i="18"/>
  <c r="E750" i="18"/>
  <c r="E751" i="18"/>
  <c r="E752" i="18"/>
  <c r="E753" i="18"/>
  <c r="E754" i="18"/>
  <c r="E755" i="18"/>
  <c r="E756" i="18"/>
  <c r="E757" i="18"/>
  <c r="E758" i="18"/>
  <c r="E759" i="18"/>
  <c r="E760" i="18"/>
  <c r="E761" i="18"/>
  <c r="E762" i="18"/>
  <c r="E763" i="18"/>
  <c r="E764" i="18"/>
  <c r="E765" i="18"/>
  <c r="E766" i="18"/>
  <c r="E767" i="18"/>
  <c r="E768" i="18"/>
  <c r="E769" i="18"/>
  <c r="E770" i="18"/>
  <c r="E771" i="18"/>
  <c r="E772" i="18"/>
  <c r="E773" i="18"/>
  <c r="E774" i="18"/>
  <c r="E775" i="18"/>
  <c r="E776" i="18"/>
  <c r="E777" i="18"/>
  <c r="E778" i="18"/>
  <c r="E779" i="18"/>
  <c r="E780" i="18"/>
  <c r="E781" i="18"/>
  <c r="E782" i="18"/>
  <c r="E783" i="18"/>
  <c r="E784" i="18"/>
  <c r="E785" i="18"/>
  <c r="E786" i="18"/>
  <c r="E787" i="18"/>
  <c r="E788" i="18"/>
  <c r="E789" i="18"/>
  <c r="E790" i="18"/>
  <c r="E791" i="18"/>
  <c r="E792" i="18"/>
  <c r="E793" i="18"/>
  <c r="H794" i="18" s="1"/>
  <c r="E794" i="18"/>
  <c r="E795" i="18"/>
  <c r="E796" i="18"/>
  <c r="E797" i="18"/>
  <c r="E798" i="18"/>
  <c r="E799" i="18"/>
  <c r="E800" i="18"/>
  <c r="E801" i="18"/>
  <c r="E802" i="18"/>
  <c r="E803" i="18"/>
  <c r="E804" i="18"/>
  <c r="E805" i="18"/>
  <c r="E806" i="18"/>
  <c r="E807" i="18"/>
  <c r="E808" i="18"/>
  <c r="E809" i="18"/>
  <c r="E810" i="18"/>
  <c r="E811" i="18"/>
  <c r="E812" i="18"/>
  <c r="E813" i="18"/>
  <c r="E814" i="18"/>
  <c r="E815" i="18"/>
  <c r="E816" i="18"/>
  <c r="E817" i="18"/>
  <c r="E818" i="18"/>
  <c r="E819" i="18"/>
  <c r="E820" i="18"/>
  <c r="E821" i="18"/>
  <c r="E822" i="18"/>
  <c r="E823" i="18"/>
  <c r="E824" i="18"/>
  <c r="E825" i="18"/>
  <c r="E826" i="18"/>
  <c r="E827" i="18"/>
  <c r="E828" i="18"/>
  <c r="E829" i="18"/>
  <c r="E830" i="18"/>
  <c r="E831" i="18"/>
  <c r="E832" i="18"/>
  <c r="E833" i="18"/>
  <c r="E834" i="18"/>
  <c r="E835" i="18"/>
  <c r="E836" i="18"/>
  <c r="E837" i="18"/>
  <c r="E838" i="18"/>
  <c r="E839" i="18"/>
  <c r="E840" i="18"/>
  <c r="E841" i="18"/>
  <c r="E842" i="18"/>
  <c r="E843" i="18"/>
  <c r="E844" i="18"/>
  <c r="E845" i="18"/>
  <c r="E846" i="18"/>
  <c r="E847" i="18"/>
  <c r="E848" i="18"/>
  <c r="E849" i="18"/>
  <c r="E850" i="18"/>
  <c r="E851" i="18"/>
  <c r="E852" i="18"/>
  <c r="E853" i="18"/>
  <c r="E854" i="18"/>
  <c r="E855" i="18"/>
  <c r="E856" i="18"/>
  <c r="E857" i="18"/>
  <c r="E858" i="18"/>
  <c r="E859" i="18"/>
  <c r="E860" i="18"/>
  <c r="E861" i="18"/>
  <c r="E862" i="18"/>
  <c r="E863" i="18"/>
  <c r="E864" i="18"/>
  <c r="E865" i="18"/>
  <c r="E866" i="18"/>
  <c r="E867" i="18"/>
  <c r="E868" i="18"/>
  <c r="E869" i="18"/>
  <c r="E870" i="18"/>
  <c r="E871" i="18"/>
  <c r="E872" i="18"/>
  <c r="E873" i="18"/>
  <c r="E874" i="18"/>
  <c r="E875" i="18"/>
  <c r="E876" i="18"/>
  <c r="E877" i="18"/>
  <c r="E878" i="18"/>
  <c r="E879" i="18"/>
  <c r="E880" i="18"/>
  <c r="E881" i="18"/>
  <c r="E882" i="18"/>
  <c r="E883" i="18"/>
  <c r="E884" i="18"/>
  <c r="E885" i="18"/>
  <c r="E886" i="18"/>
  <c r="E887" i="18"/>
  <c r="E888" i="18"/>
  <c r="E889" i="18"/>
  <c r="E890" i="18"/>
  <c r="E891" i="18"/>
  <c r="E892" i="18"/>
  <c r="E893" i="18"/>
  <c r="E894" i="18"/>
  <c r="E895" i="18"/>
  <c r="E896" i="18"/>
  <c r="E897" i="18"/>
  <c r="E898" i="18"/>
  <c r="E899" i="18"/>
  <c r="E900" i="18"/>
  <c r="E901" i="18"/>
  <c r="E902" i="18"/>
  <c r="E903" i="18"/>
  <c r="E904" i="18"/>
  <c r="E905" i="18"/>
  <c r="E906" i="18"/>
  <c r="E907" i="18"/>
  <c r="E908" i="18"/>
  <c r="E909" i="18"/>
  <c r="E910" i="18"/>
  <c r="E911" i="18"/>
  <c r="E912" i="18"/>
  <c r="E913" i="18"/>
  <c r="E914" i="18"/>
  <c r="E915" i="18"/>
  <c r="E916" i="18"/>
  <c r="E917" i="18"/>
  <c r="E918" i="18"/>
  <c r="E919" i="18"/>
  <c r="E920" i="18"/>
  <c r="E921" i="18"/>
  <c r="E922" i="18"/>
  <c r="E923" i="18"/>
  <c r="E924" i="18"/>
  <c r="E925" i="18"/>
  <c r="E926" i="18"/>
  <c r="E927" i="18"/>
  <c r="E928" i="18"/>
  <c r="E929" i="18"/>
  <c r="E930" i="18"/>
  <c r="E931" i="18"/>
  <c r="E932" i="18"/>
  <c r="E933" i="18"/>
  <c r="E934" i="18"/>
  <c r="E935" i="18"/>
  <c r="E936" i="18"/>
  <c r="E937" i="18"/>
  <c r="E938" i="18"/>
  <c r="E939" i="18"/>
  <c r="E940" i="18"/>
  <c r="E941" i="18"/>
  <c r="E942" i="18"/>
  <c r="E943" i="18"/>
  <c r="E944" i="18"/>
  <c r="E945" i="18"/>
  <c r="E946" i="18"/>
  <c r="E947" i="18"/>
  <c r="E948" i="18"/>
  <c r="E949" i="18"/>
  <c r="E950" i="18"/>
  <c r="E951" i="18"/>
  <c r="E952" i="18"/>
  <c r="E953" i="18"/>
  <c r="E954" i="18"/>
  <c r="E955" i="18"/>
  <c r="E956" i="18"/>
  <c r="E957" i="18"/>
  <c r="E958" i="18"/>
  <c r="E959" i="18"/>
  <c r="E960" i="18"/>
  <c r="E961" i="18"/>
  <c r="E962" i="18"/>
  <c r="E963" i="18"/>
  <c r="E964" i="18"/>
  <c r="E965" i="18"/>
  <c r="E966" i="18"/>
  <c r="E967" i="18"/>
  <c r="E968" i="18"/>
  <c r="E969" i="18"/>
  <c r="E970" i="18"/>
  <c r="E971" i="18"/>
  <c r="E972" i="18"/>
  <c r="E973" i="18"/>
  <c r="E974" i="18"/>
  <c r="E975" i="18"/>
  <c r="E976" i="18"/>
  <c r="E977" i="18"/>
  <c r="E978" i="18"/>
  <c r="E979" i="18"/>
  <c r="E980" i="18"/>
  <c r="E981" i="18"/>
  <c r="E982" i="18"/>
  <c r="E983" i="18"/>
  <c r="E984" i="18"/>
  <c r="E985" i="18"/>
  <c r="E986" i="18"/>
  <c r="E987" i="18"/>
  <c r="E988" i="18"/>
  <c r="E989" i="18"/>
  <c r="E990" i="18"/>
  <c r="E991" i="18"/>
  <c r="E992" i="18"/>
  <c r="E993" i="18"/>
  <c r="E994" i="18"/>
  <c r="E995" i="18"/>
  <c r="E996" i="18"/>
  <c r="E997" i="18"/>
  <c r="E998" i="18"/>
  <c r="E999" i="18"/>
  <c r="E1000" i="18"/>
  <c r="E1001" i="18"/>
  <c r="E1002" i="18"/>
  <c r="E1003" i="18"/>
  <c r="E1004" i="18"/>
  <c r="E1005" i="18"/>
  <c r="E1006" i="18"/>
  <c r="E1007" i="18"/>
  <c r="E1008" i="18"/>
  <c r="E1009" i="18"/>
  <c r="E1010" i="18"/>
  <c r="E1011" i="18"/>
  <c r="E1012" i="18"/>
  <c r="E1013" i="18"/>
  <c r="E1014" i="18"/>
  <c r="E1015" i="18"/>
  <c r="E1016" i="18"/>
  <c r="E1017" i="18"/>
  <c r="E1018" i="18"/>
  <c r="E1019" i="18"/>
  <c r="E1020" i="18"/>
  <c r="E1021" i="18"/>
  <c r="E1022" i="18"/>
  <c r="E1023" i="18"/>
  <c r="E1024" i="18"/>
  <c r="E1025" i="18"/>
  <c r="E1026" i="18"/>
  <c r="E1027" i="18"/>
  <c r="E1028" i="18"/>
  <c r="E1029" i="18"/>
  <c r="E1030" i="18"/>
  <c r="E1031" i="18"/>
  <c r="E1032" i="18"/>
  <c r="E1033" i="18"/>
  <c r="E1034" i="18"/>
  <c r="E1035" i="18"/>
  <c r="E1036" i="18"/>
  <c r="E1037" i="18"/>
  <c r="E1038" i="18"/>
  <c r="E1039" i="18"/>
  <c r="E1040" i="18"/>
  <c r="E1041" i="18"/>
  <c r="E1042" i="18"/>
  <c r="E1043" i="18"/>
  <c r="E1044" i="18"/>
  <c r="E1045" i="18"/>
  <c r="E1046" i="18"/>
  <c r="E1047" i="18"/>
  <c r="E1048" i="18"/>
  <c r="E1049" i="18"/>
  <c r="E1050" i="18"/>
  <c r="E1051" i="18"/>
  <c r="E1052" i="18"/>
  <c r="E1053" i="18"/>
  <c r="E1054" i="18"/>
  <c r="E1055" i="18"/>
  <c r="E1056" i="18"/>
  <c r="E1057" i="18"/>
  <c r="E1058" i="18"/>
  <c r="E1059" i="18"/>
  <c r="E1060" i="18"/>
  <c r="E1061" i="18"/>
  <c r="E1062" i="18"/>
  <c r="E1063" i="18"/>
  <c r="E1064" i="18"/>
  <c r="E1065" i="18"/>
  <c r="E1066" i="18"/>
  <c r="E1067" i="18"/>
  <c r="E1068" i="18"/>
  <c r="E1069" i="18"/>
  <c r="E1070" i="18"/>
  <c r="E1071" i="18"/>
  <c r="E1072" i="18"/>
  <c r="E1073" i="18"/>
  <c r="E1074" i="18"/>
  <c r="E1075" i="18"/>
  <c r="E1076" i="18"/>
  <c r="E1077" i="18"/>
  <c r="E1078" i="18"/>
  <c r="E1079" i="18"/>
  <c r="E1080" i="18"/>
  <c r="E1081" i="18"/>
  <c r="E1082" i="18"/>
  <c r="E1083" i="18"/>
  <c r="E1084" i="18"/>
  <c r="E1085" i="18"/>
  <c r="E1086" i="18"/>
  <c r="E1087" i="18"/>
  <c r="E1088" i="18"/>
  <c r="E1089" i="18"/>
  <c r="E1090" i="18"/>
  <c r="E1091" i="18"/>
  <c r="E1092" i="18"/>
  <c r="E1093" i="18"/>
  <c r="E1094" i="18"/>
  <c r="E1095" i="18"/>
  <c r="E1096" i="18"/>
  <c r="G732" i="18"/>
  <c r="G733" i="18"/>
  <c r="G734" i="18"/>
  <c r="C481" i="15" s="1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G936" i="18"/>
  <c r="G937" i="18"/>
  <c r="G938" i="18"/>
  <c r="G939" i="18"/>
  <c r="G940" i="18"/>
  <c r="G941" i="18"/>
  <c r="G942" i="18"/>
  <c r="G943" i="18"/>
  <c r="G944" i="18"/>
  <c r="G945" i="18"/>
  <c r="G946" i="18"/>
  <c r="G947" i="18"/>
  <c r="G948" i="18"/>
  <c r="G949" i="18"/>
  <c r="G950" i="18"/>
  <c r="G951" i="18"/>
  <c r="G952" i="18"/>
  <c r="G953" i="18"/>
  <c r="G954" i="18"/>
  <c r="G955" i="18"/>
  <c r="G956" i="18"/>
  <c r="G957" i="18"/>
  <c r="G958" i="18"/>
  <c r="G959" i="18"/>
  <c r="G960" i="18"/>
  <c r="G961" i="18"/>
  <c r="G962" i="18"/>
  <c r="G963" i="18"/>
  <c r="G964" i="18"/>
  <c r="G965" i="18"/>
  <c r="G966" i="18"/>
  <c r="G967" i="18"/>
  <c r="G968" i="18"/>
  <c r="G969" i="18"/>
  <c r="G970" i="18"/>
  <c r="G971" i="18"/>
  <c r="G972" i="18"/>
  <c r="G973" i="18"/>
  <c r="G974" i="18"/>
  <c r="G975" i="18"/>
  <c r="G976" i="18"/>
  <c r="G977" i="18"/>
  <c r="G978" i="18"/>
  <c r="G979" i="18"/>
  <c r="G980" i="18"/>
  <c r="G981" i="18"/>
  <c r="G982" i="18"/>
  <c r="G983" i="18"/>
  <c r="G984" i="18"/>
  <c r="G985" i="18"/>
  <c r="G986" i="18"/>
  <c r="G987" i="18"/>
  <c r="G988" i="18"/>
  <c r="G989" i="18"/>
  <c r="G990" i="18"/>
  <c r="G991" i="18"/>
  <c r="G992" i="18"/>
  <c r="G993" i="18"/>
  <c r="G994" i="18"/>
  <c r="G995" i="18"/>
  <c r="G996" i="18"/>
  <c r="G997" i="18"/>
  <c r="G998" i="18"/>
  <c r="G999" i="18"/>
  <c r="G1000" i="18"/>
  <c r="G1001" i="18"/>
  <c r="G1002" i="18"/>
  <c r="G1003" i="18"/>
  <c r="G1004" i="18"/>
  <c r="G1005" i="18"/>
  <c r="G1006" i="18"/>
  <c r="G1007" i="18"/>
  <c r="G1008" i="18"/>
  <c r="G1009" i="18"/>
  <c r="G1010" i="18"/>
  <c r="G1011" i="18"/>
  <c r="G1012" i="18"/>
  <c r="G1013" i="18"/>
  <c r="G1014" i="18"/>
  <c r="G1015" i="18"/>
  <c r="G1016" i="18"/>
  <c r="G1017" i="18"/>
  <c r="G1018" i="18"/>
  <c r="G1019" i="18"/>
  <c r="G1020" i="18"/>
  <c r="G1021" i="18"/>
  <c r="G1022" i="18"/>
  <c r="G1023" i="18"/>
  <c r="G1024" i="18"/>
  <c r="G1025" i="18"/>
  <c r="G1026" i="18"/>
  <c r="G1027" i="18"/>
  <c r="G1028" i="18"/>
  <c r="G1029" i="18"/>
  <c r="G1030" i="18"/>
  <c r="G1031" i="18"/>
  <c r="G1032" i="18"/>
  <c r="G1033" i="18"/>
  <c r="G1034" i="18"/>
  <c r="G1035" i="18"/>
  <c r="G1036" i="18"/>
  <c r="G1037" i="18"/>
  <c r="G1038" i="18"/>
  <c r="G1039" i="18"/>
  <c r="G1040" i="18"/>
  <c r="G1041" i="18"/>
  <c r="G1042" i="18"/>
  <c r="G1043" i="18"/>
  <c r="G1044" i="18"/>
  <c r="G1045" i="18"/>
  <c r="G1046" i="18"/>
  <c r="G1047" i="18"/>
  <c r="G1048" i="18"/>
  <c r="G1049" i="18"/>
  <c r="G1050" i="18"/>
  <c r="G1051" i="18"/>
  <c r="G1052" i="18"/>
  <c r="G1053" i="18"/>
  <c r="G1054" i="18"/>
  <c r="G1055" i="18"/>
  <c r="G1056" i="18"/>
  <c r="G1057" i="18"/>
  <c r="G1058" i="18"/>
  <c r="G1059" i="18"/>
  <c r="G1060" i="18"/>
  <c r="G1061" i="18"/>
  <c r="G1062" i="18"/>
  <c r="G1063" i="18"/>
  <c r="G1064" i="18"/>
  <c r="G1065" i="18"/>
  <c r="G1066" i="18"/>
  <c r="G1067" i="18"/>
  <c r="G1068" i="18"/>
  <c r="G1069" i="18"/>
  <c r="G1070" i="18"/>
  <c r="G1071" i="18"/>
  <c r="G1072" i="18"/>
  <c r="G1073" i="18"/>
  <c r="G1074" i="18"/>
  <c r="G1075" i="18"/>
  <c r="G1076" i="18"/>
  <c r="G1077" i="18"/>
  <c r="G1078" i="18"/>
  <c r="G1079" i="18"/>
  <c r="G1080" i="18"/>
  <c r="G1081" i="18"/>
  <c r="G1082" i="18"/>
  <c r="G1083" i="18"/>
  <c r="G1084" i="18"/>
  <c r="G1085" i="18"/>
  <c r="G1086" i="18"/>
  <c r="G1087" i="18"/>
  <c r="G1088" i="18"/>
  <c r="G1089" i="18"/>
  <c r="G1090" i="18"/>
  <c r="G1091" i="18"/>
  <c r="G1092" i="18"/>
  <c r="G1093" i="18"/>
  <c r="G1094" i="18"/>
  <c r="G1095" i="18"/>
  <c r="G1096" i="18"/>
  <c r="I733" i="18"/>
  <c r="I737" i="18"/>
  <c r="I738" i="18"/>
  <c r="I739" i="18"/>
  <c r="I741" i="18"/>
  <c r="I742" i="18"/>
  <c r="I743" i="18"/>
  <c r="I744" i="18"/>
  <c r="I745" i="18"/>
  <c r="I746" i="18"/>
  <c r="I747" i="18"/>
  <c r="I748" i="18"/>
  <c r="I749" i="18"/>
  <c r="I750" i="18"/>
  <c r="I752" i="18"/>
  <c r="I753" i="18"/>
  <c r="I754" i="18"/>
  <c r="I755" i="18"/>
  <c r="I756" i="18"/>
  <c r="I757" i="18"/>
  <c r="I758" i="18"/>
  <c r="I760" i="18"/>
  <c r="I761" i="18"/>
  <c r="I762" i="18"/>
  <c r="I764" i="18"/>
  <c r="I768" i="18"/>
  <c r="I769" i="18"/>
  <c r="I770" i="18"/>
  <c r="I772" i="18"/>
  <c r="I773" i="18"/>
  <c r="I774" i="18"/>
  <c r="I775" i="18"/>
  <c r="I776" i="18"/>
  <c r="I777" i="18"/>
  <c r="I778" i="18"/>
  <c r="I779" i="18"/>
  <c r="I780" i="18"/>
  <c r="I781" i="18"/>
  <c r="I783" i="18"/>
  <c r="I784" i="18"/>
  <c r="I785" i="18"/>
  <c r="I786" i="18"/>
  <c r="I787" i="18"/>
  <c r="I788" i="18"/>
  <c r="I789" i="18"/>
  <c r="I791" i="18"/>
  <c r="I792" i="18"/>
  <c r="I793" i="18"/>
  <c r="I795" i="18"/>
  <c r="I799" i="18"/>
  <c r="I800" i="18"/>
  <c r="I801" i="18"/>
  <c r="I803" i="18"/>
  <c r="I804" i="18"/>
  <c r="I805" i="18"/>
  <c r="I806" i="18"/>
  <c r="I807" i="18"/>
  <c r="I808" i="18"/>
  <c r="I809" i="18"/>
  <c r="I810" i="18"/>
  <c r="I811" i="18"/>
  <c r="I812" i="18"/>
  <c r="I814" i="18"/>
  <c r="I815" i="18"/>
  <c r="I816" i="18"/>
  <c r="I817" i="18"/>
  <c r="I818" i="18"/>
  <c r="I819" i="18"/>
  <c r="I820" i="18"/>
  <c r="I823" i="18"/>
  <c r="I824" i="18"/>
  <c r="I826" i="18"/>
  <c r="I830" i="18"/>
  <c r="I831" i="18"/>
  <c r="I832" i="18"/>
  <c r="I834" i="18"/>
  <c r="I835" i="18"/>
  <c r="I836" i="18"/>
  <c r="I837" i="18"/>
  <c r="I838" i="18"/>
  <c r="I839" i="18"/>
  <c r="I840" i="18"/>
  <c r="I841" i="18"/>
  <c r="I842" i="18"/>
  <c r="I843" i="18"/>
  <c r="I845" i="18"/>
  <c r="I846" i="18"/>
  <c r="I847" i="18"/>
  <c r="I848" i="18"/>
  <c r="I849" i="18"/>
  <c r="I850" i="18"/>
  <c r="I851" i="18"/>
  <c r="I852" i="18"/>
  <c r="I853" i="18"/>
  <c r="I854" i="18"/>
  <c r="I855" i="18"/>
  <c r="I857" i="18"/>
  <c r="I861" i="18"/>
  <c r="I862" i="18"/>
  <c r="I863" i="18"/>
  <c r="I865" i="18"/>
  <c r="I866" i="18"/>
  <c r="I867" i="18"/>
  <c r="I868" i="18"/>
  <c r="I869" i="18"/>
  <c r="I870" i="18"/>
  <c r="I871" i="18"/>
  <c r="I872" i="18"/>
  <c r="I873" i="18"/>
  <c r="I874" i="18"/>
  <c r="I876" i="18"/>
  <c r="I877" i="18"/>
  <c r="I878" i="18"/>
  <c r="I879" i="18"/>
  <c r="I880" i="18"/>
  <c r="I881" i="18"/>
  <c r="I882" i="18"/>
  <c r="I883" i="18"/>
  <c r="I884" i="18"/>
  <c r="I885" i="18"/>
  <c r="I886" i="18"/>
  <c r="I888" i="18"/>
  <c r="I890" i="18"/>
  <c r="I892" i="18"/>
  <c r="I893" i="18"/>
  <c r="I894" i="18"/>
  <c r="I896" i="18"/>
  <c r="I897" i="18"/>
  <c r="I898" i="18"/>
  <c r="I899" i="18"/>
  <c r="I900" i="18"/>
  <c r="I901" i="18"/>
  <c r="I902" i="18"/>
  <c r="I903" i="18"/>
  <c r="I904" i="18"/>
  <c r="I905" i="18"/>
  <c r="I907" i="18"/>
  <c r="I908" i="18"/>
  <c r="I909" i="18"/>
  <c r="I910" i="18"/>
  <c r="I911" i="18"/>
  <c r="I912" i="18"/>
  <c r="I913" i="18"/>
  <c r="I914" i="18"/>
  <c r="I915" i="18"/>
  <c r="I916" i="18"/>
  <c r="I917" i="18"/>
  <c r="I919" i="18"/>
  <c r="I923" i="18"/>
  <c r="I924" i="18"/>
  <c r="I925" i="18"/>
  <c r="I927" i="18"/>
  <c r="I928" i="18"/>
  <c r="I929" i="18"/>
  <c r="I930" i="18"/>
  <c r="I931" i="18"/>
  <c r="I932" i="18"/>
  <c r="I933" i="18"/>
  <c r="I934" i="18"/>
  <c r="I935" i="18"/>
  <c r="I936" i="18"/>
  <c r="I938" i="18"/>
  <c r="I939" i="18"/>
  <c r="I940" i="18"/>
  <c r="I941" i="18"/>
  <c r="I942" i="18"/>
  <c r="I943" i="18"/>
  <c r="I944" i="18"/>
  <c r="I945" i="18"/>
  <c r="I946" i="18"/>
  <c r="I947" i="18"/>
  <c r="I949" i="18"/>
  <c r="I953" i="18"/>
  <c r="I954" i="18"/>
  <c r="I955" i="18"/>
  <c r="I957" i="18"/>
  <c r="I958" i="18"/>
  <c r="I959" i="18"/>
  <c r="I960" i="18"/>
  <c r="I961" i="18"/>
  <c r="I962" i="18"/>
  <c r="I963" i="18"/>
  <c r="I964" i="18"/>
  <c r="I965" i="18"/>
  <c r="I966" i="18"/>
  <c r="I968" i="18"/>
  <c r="I969" i="18"/>
  <c r="I970" i="18"/>
  <c r="I971" i="18"/>
  <c r="I972" i="18"/>
  <c r="I973" i="18"/>
  <c r="I974" i="18"/>
  <c r="I975" i="18"/>
  <c r="I976" i="18"/>
  <c r="I977" i="18"/>
  <c r="I979" i="18"/>
  <c r="I983" i="18"/>
  <c r="I984" i="18"/>
  <c r="I985" i="18"/>
  <c r="I987" i="18"/>
  <c r="I988" i="18"/>
  <c r="I989" i="18"/>
  <c r="I990" i="18"/>
  <c r="I991" i="18"/>
  <c r="I992" i="18"/>
  <c r="I993" i="18"/>
  <c r="I994" i="18"/>
  <c r="I995" i="18"/>
  <c r="I996" i="18"/>
  <c r="I998" i="18"/>
  <c r="I999" i="18"/>
  <c r="I1000" i="18"/>
  <c r="I1001" i="18"/>
  <c r="I1002" i="18"/>
  <c r="I1003" i="18"/>
  <c r="I1004" i="18"/>
  <c r="I1005" i="18"/>
  <c r="I1006" i="18"/>
  <c r="I1007" i="18"/>
  <c r="I1009" i="18"/>
  <c r="I1013" i="18"/>
  <c r="I1014" i="18"/>
  <c r="I1015" i="18"/>
  <c r="I1017" i="18"/>
  <c r="I1018" i="18"/>
  <c r="I1019" i="18"/>
  <c r="I1020" i="18"/>
  <c r="I1021" i="18"/>
  <c r="I1022" i="18"/>
  <c r="I1023" i="18"/>
  <c r="I1024" i="18"/>
  <c r="I1025" i="18"/>
  <c r="I1026" i="18"/>
  <c r="I1028" i="18"/>
  <c r="I1029" i="18"/>
  <c r="I1030" i="18"/>
  <c r="I1031" i="18"/>
  <c r="I1032" i="18"/>
  <c r="I1033" i="18"/>
  <c r="I1034" i="18"/>
  <c r="I1035" i="18"/>
  <c r="I1036" i="18"/>
  <c r="I1037" i="18"/>
  <c r="I1039" i="18"/>
  <c r="I1043" i="18"/>
  <c r="I1044" i="18"/>
  <c r="I1045" i="18"/>
  <c r="I1047" i="18"/>
  <c r="I1048" i="18"/>
  <c r="I1049" i="18"/>
  <c r="I1050" i="18"/>
  <c r="I1051" i="18"/>
  <c r="I1052" i="18"/>
  <c r="I1053" i="18"/>
  <c r="I1054" i="18"/>
  <c r="I1055" i="18"/>
  <c r="I1056" i="18"/>
  <c r="I1058" i="18"/>
  <c r="I1059" i="18"/>
  <c r="I1060" i="18"/>
  <c r="I1061" i="18"/>
  <c r="I1062" i="18"/>
  <c r="I1063" i="18"/>
  <c r="I1064" i="18"/>
  <c r="I1065" i="18"/>
  <c r="I1066" i="18"/>
  <c r="I1067" i="18"/>
  <c r="I1069" i="18"/>
  <c r="I1073" i="18"/>
  <c r="I1074" i="18"/>
  <c r="I1075" i="18"/>
  <c r="I1077" i="18"/>
  <c r="I1078" i="18"/>
  <c r="I1079" i="18"/>
  <c r="I1080" i="18"/>
  <c r="I1081" i="18"/>
  <c r="I1082" i="18"/>
  <c r="I1083" i="18"/>
  <c r="I1084" i="18"/>
  <c r="I1085" i="18"/>
  <c r="I1086" i="18"/>
  <c r="I1088" i="18"/>
  <c r="I1089" i="18"/>
  <c r="I1090" i="18"/>
  <c r="I1091" i="18"/>
  <c r="I1092" i="18"/>
  <c r="I1093" i="18"/>
  <c r="I1094" i="18"/>
  <c r="I1095" i="18"/>
  <c r="I1096" i="18"/>
  <c r="J733" i="18"/>
  <c r="J737" i="18"/>
  <c r="J738" i="18"/>
  <c r="J739" i="18"/>
  <c r="J741" i="18"/>
  <c r="J742" i="18"/>
  <c r="J743" i="18"/>
  <c r="J744" i="18"/>
  <c r="J745" i="18"/>
  <c r="J746" i="18"/>
  <c r="J747" i="18"/>
  <c r="J748" i="18"/>
  <c r="J749" i="18"/>
  <c r="J750" i="18"/>
  <c r="J752" i="18"/>
  <c r="J753" i="18"/>
  <c r="J754" i="18"/>
  <c r="J755" i="18"/>
  <c r="J756" i="18"/>
  <c r="J757" i="18"/>
  <c r="J758" i="18"/>
  <c r="J760" i="18"/>
  <c r="J761" i="18"/>
  <c r="J762" i="18"/>
  <c r="J764" i="18"/>
  <c r="J768" i="18"/>
  <c r="J769" i="18"/>
  <c r="J770" i="18"/>
  <c r="J772" i="18"/>
  <c r="J773" i="18"/>
  <c r="J774" i="18"/>
  <c r="J775" i="18"/>
  <c r="J776" i="18"/>
  <c r="J777" i="18"/>
  <c r="J778" i="18"/>
  <c r="J779" i="18"/>
  <c r="J780" i="18"/>
  <c r="J781" i="18"/>
  <c r="J783" i="18"/>
  <c r="J784" i="18"/>
  <c r="J785" i="18"/>
  <c r="J786" i="18"/>
  <c r="J787" i="18"/>
  <c r="J788" i="18"/>
  <c r="J789" i="18"/>
  <c r="J791" i="18"/>
  <c r="J792" i="18"/>
  <c r="J793" i="18"/>
  <c r="J795" i="18"/>
  <c r="J799" i="18"/>
  <c r="J800" i="18"/>
  <c r="J801" i="18"/>
  <c r="J803" i="18"/>
  <c r="J804" i="18"/>
  <c r="J805" i="18"/>
  <c r="J806" i="18"/>
  <c r="J807" i="18"/>
  <c r="J808" i="18"/>
  <c r="J809" i="18"/>
  <c r="J810" i="18"/>
  <c r="J811" i="18"/>
  <c r="J812" i="18"/>
  <c r="J814" i="18"/>
  <c r="J815" i="18"/>
  <c r="J816" i="18"/>
  <c r="J817" i="18"/>
  <c r="J818" i="18"/>
  <c r="J819" i="18"/>
  <c r="J820" i="18"/>
  <c r="J823" i="18"/>
  <c r="J824" i="18"/>
  <c r="J826" i="18"/>
  <c r="J830" i="18"/>
  <c r="J831" i="18"/>
  <c r="J832" i="18"/>
  <c r="J834" i="18"/>
  <c r="J835" i="18"/>
  <c r="J836" i="18"/>
  <c r="J837" i="18"/>
  <c r="J838" i="18"/>
  <c r="J839" i="18"/>
  <c r="J840" i="18"/>
  <c r="J841" i="18"/>
  <c r="J842" i="18"/>
  <c r="J843" i="18"/>
  <c r="J845" i="18"/>
  <c r="J846" i="18"/>
  <c r="J847" i="18"/>
  <c r="J848" i="18"/>
  <c r="J849" i="18"/>
  <c r="J850" i="18"/>
  <c r="J851" i="18"/>
  <c r="J852" i="18"/>
  <c r="J853" i="18"/>
  <c r="J854" i="18"/>
  <c r="J855" i="18"/>
  <c r="J857" i="18"/>
  <c r="J861" i="18"/>
  <c r="J862" i="18"/>
  <c r="J863" i="18"/>
  <c r="J865" i="18"/>
  <c r="J866" i="18"/>
  <c r="J867" i="18"/>
  <c r="J868" i="18"/>
  <c r="J869" i="18"/>
  <c r="J870" i="18"/>
  <c r="J871" i="18"/>
  <c r="J872" i="18"/>
  <c r="J873" i="18"/>
  <c r="J874" i="18"/>
  <c r="J876" i="18"/>
  <c r="J877" i="18"/>
  <c r="J878" i="18"/>
  <c r="J879" i="18"/>
  <c r="J880" i="18"/>
  <c r="J881" i="18"/>
  <c r="J882" i="18"/>
  <c r="J883" i="18"/>
  <c r="J884" i="18"/>
  <c r="J885" i="18"/>
  <c r="J886" i="18"/>
  <c r="J888" i="18"/>
  <c r="J890" i="18"/>
  <c r="J892" i="18"/>
  <c r="J893" i="18"/>
  <c r="J894" i="18"/>
  <c r="J896" i="18"/>
  <c r="J897" i="18"/>
  <c r="J898" i="18"/>
  <c r="J899" i="18"/>
  <c r="J900" i="18"/>
  <c r="J901" i="18"/>
  <c r="J902" i="18"/>
  <c r="J903" i="18"/>
  <c r="J904" i="18"/>
  <c r="J905" i="18"/>
  <c r="J907" i="18"/>
  <c r="J908" i="18"/>
  <c r="J909" i="18"/>
  <c r="J910" i="18"/>
  <c r="J911" i="18"/>
  <c r="J912" i="18"/>
  <c r="J913" i="18"/>
  <c r="J914" i="18"/>
  <c r="J915" i="18"/>
  <c r="J916" i="18"/>
  <c r="J917" i="18"/>
  <c r="J919" i="18"/>
  <c r="J923" i="18"/>
  <c r="J924" i="18"/>
  <c r="J925" i="18"/>
  <c r="J927" i="18"/>
  <c r="J928" i="18"/>
  <c r="J929" i="18"/>
  <c r="J930" i="18"/>
  <c r="J931" i="18"/>
  <c r="J932" i="18"/>
  <c r="J933" i="18"/>
  <c r="J934" i="18"/>
  <c r="J935" i="18"/>
  <c r="J936" i="18"/>
  <c r="J938" i="18"/>
  <c r="J939" i="18"/>
  <c r="J940" i="18"/>
  <c r="J941" i="18"/>
  <c r="J942" i="18"/>
  <c r="J943" i="18"/>
  <c r="J944" i="18"/>
  <c r="J945" i="18"/>
  <c r="J946" i="18"/>
  <c r="J947" i="18"/>
  <c r="J949" i="18"/>
  <c r="J953" i="18"/>
  <c r="J954" i="18"/>
  <c r="J955" i="18"/>
  <c r="J957" i="18"/>
  <c r="J958" i="18"/>
  <c r="J959" i="18"/>
  <c r="J960" i="18"/>
  <c r="J961" i="18"/>
  <c r="J962" i="18"/>
  <c r="J963" i="18"/>
  <c r="J964" i="18"/>
  <c r="J965" i="18"/>
  <c r="J966" i="18"/>
  <c r="J968" i="18"/>
  <c r="J969" i="18"/>
  <c r="J970" i="18"/>
  <c r="J971" i="18"/>
  <c r="J972" i="18"/>
  <c r="J973" i="18"/>
  <c r="J974" i="18"/>
  <c r="J975" i="18"/>
  <c r="J976" i="18"/>
  <c r="J977" i="18"/>
  <c r="J979" i="18"/>
  <c r="J983" i="18"/>
  <c r="J984" i="18"/>
  <c r="J985" i="18"/>
  <c r="J987" i="18"/>
  <c r="J988" i="18"/>
  <c r="J989" i="18"/>
  <c r="J990" i="18"/>
  <c r="J991" i="18"/>
  <c r="J992" i="18"/>
  <c r="J993" i="18"/>
  <c r="J994" i="18"/>
  <c r="J995" i="18"/>
  <c r="J996" i="18"/>
  <c r="J998" i="18"/>
  <c r="J999" i="18"/>
  <c r="J1000" i="18"/>
  <c r="J1001" i="18"/>
  <c r="J1002" i="18"/>
  <c r="J1003" i="18"/>
  <c r="J1004" i="18"/>
  <c r="J1005" i="18"/>
  <c r="J1006" i="18"/>
  <c r="J1007" i="18"/>
  <c r="J1009" i="18"/>
  <c r="J1013" i="18"/>
  <c r="J1014" i="18"/>
  <c r="J1015" i="18"/>
  <c r="J1017" i="18"/>
  <c r="J1018" i="18"/>
  <c r="J1019" i="18"/>
  <c r="J1020" i="18"/>
  <c r="J1021" i="18"/>
  <c r="J1022" i="18"/>
  <c r="J1023" i="18"/>
  <c r="J1024" i="18"/>
  <c r="J1025" i="18"/>
  <c r="J1026" i="18"/>
  <c r="J1028" i="18"/>
  <c r="J1029" i="18"/>
  <c r="J1030" i="18"/>
  <c r="J1031" i="18"/>
  <c r="J1032" i="18"/>
  <c r="J1033" i="18"/>
  <c r="J1034" i="18"/>
  <c r="J1035" i="18"/>
  <c r="J1036" i="18"/>
  <c r="J1037" i="18"/>
  <c r="J1039" i="18"/>
  <c r="J1043" i="18"/>
  <c r="J1044" i="18"/>
  <c r="J1045" i="18"/>
  <c r="J1047" i="18"/>
  <c r="J1048" i="18"/>
  <c r="J1049" i="18"/>
  <c r="J1050" i="18"/>
  <c r="J1051" i="18"/>
  <c r="J1052" i="18"/>
  <c r="J1053" i="18"/>
  <c r="J1054" i="18"/>
  <c r="J1055" i="18"/>
  <c r="J1056" i="18"/>
  <c r="J1058" i="18"/>
  <c r="J1059" i="18"/>
  <c r="J1060" i="18"/>
  <c r="J1061" i="18"/>
  <c r="J1062" i="18"/>
  <c r="J1063" i="18"/>
  <c r="J1064" i="18"/>
  <c r="J1065" i="18"/>
  <c r="J1066" i="18"/>
  <c r="J1067" i="18"/>
  <c r="J1069" i="18"/>
  <c r="J1073" i="18"/>
  <c r="J1074" i="18"/>
  <c r="J1075" i="18"/>
  <c r="J1077" i="18"/>
  <c r="J1078" i="18"/>
  <c r="J1079" i="18"/>
  <c r="J1080" i="18"/>
  <c r="J1081" i="18"/>
  <c r="J1082" i="18"/>
  <c r="J1083" i="18"/>
  <c r="J1084" i="18"/>
  <c r="J1085" i="18"/>
  <c r="J1086" i="18"/>
  <c r="J1088" i="18"/>
  <c r="J1089" i="18"/>
  <c r="J1090" i="18"/>
  <c r="J1091" i="18"/>
  <c r="J1092" i="18"/>
  <c r="J1093" i="18"/>
  <c r="J1094" i="18"/>
  <c r="J1095" i="18"/>
  <c r="J1096" i="18"/>
  <c r="K733" i="18"/>
  <c r="K737" i="18"/>
  <c r="K738" i="18"/>
  <c r="K739" i="18"/>
  <c r="K741" i="18"/>
  <c r="K742" i="18"/>
  <c r="K743" i="18"/>
  <c r="K744" i="18"/>
  <c r="K745" i="18"/>
  <c r="K746" i="18"/>
  <c r="K747" i="18"/>
  <c r="K748" i="18"/>
  <c r="K749" i="18"/>
  <c r="K750" i="18"/>
  <c r="K752" i="18"/>
  <c r="K753" i="18"/>
  <c r="K754" i="18"/>
  <c r="K755" i="18"/>
  <c r="K756" i="18"/>
  <c r="K757" i="18"/>
  <c r="K758" i="18"/>
  <c r="K760" i="18"/>
  <c r="K761" i="18"/>
  <c r="K762" i="18"/>
  <c r="K764" i="18"/>
  <c r="K768" i="18"/>
  <c r="K769" i="18"/>
  <c r="K770" i="18"/>
  <c r="K772" i="18"/>
  <c r="K773" i="18"/>
  <c r="K774" i="18"/>
  <c r="K775" i="18"/>
  <c r="K776" i="18"/>
  <c r="K777" i="18"/>
  <c r="K778" i="18"/>
  <c r="K779" i="18"/>
  <c r="K780" i="18"/>
  <c r="K781" i="18"/>
  <c r="K783" i="18"/>
  <c r="K784" i="18"/>
  <c r="K785" i="18"/>
  <c r="K786" i="18"/>
  <c r="K787" i="18"/>
  <c r="K788" i="18"/>
  <c r="K789" i="18"/>
  <c r="K791" i="18"/>
  <c r="K792" i="18"/>
  <c r="K793" i="18"/>
  <c r="K795" i="18"/>
  <c r="K799" i="18"/>
  <c r="K800" i="18"/>
  <c r="K801" i="18"/>
  <c r="K803" i="18"/>
  <c r="K804" i="18"/>
  <c r="K805" i="18"/>
  <c r="K806" i="18"/>
  <c r="K807" i="18"/>
  <c r="K808" i="18"/>
  <c r="K809" i="18"/>
  <c r="K810" i="18"/>
  <c r="K811" i="18"/>
  <c r="K812" i="18"/>
  <c r="K814" i="18"/>
  <c r="K815" i="18"/>
  <c r="K816" i="18"/>
  <c r="K817" i="18"/>
  <c r="K818" i="18"/>
  <c r="K819" i="18"/>
  <c r="K820" i="18"/>
  <c r="K823" i="18"/>
  <c r="K824" i="18"/>
  <c r="K826" i="18"/>
  <c r="K830" i="18"/>
  <c r="K831" i="18"/>
  <c r="K832" i="18"/>
  <c r="K834" i="18"/>
  <c r="K835" i="18"/>
  <c r="K836" i="18"/>
  <c r="K837" i="18"/>
  <c r="K838" i="18"/>
  <c r="K839" i="18"/>
  <c r="K840" i="18"/>
  <c r="K841" i="18"/>
  <c r="K842" i="18"/>
  <c r="K843" i="18"/>
  <c r="K845" i="18"/>
  <c r="K846" i="18"/>
  <c r="K847" i="18"/>
  <c r="K848" i="18"/>
  <c r="K849" i="18"/>
  <c r="K850" i="18"/>
  <c r="K851" i="18"/>
  <c r="K852" i="18"/>
  <c r="K853" i="18"/>
  <c r="K854" i="18"/>
  <c r="K855" i="18"/>
  <c r="K857" i="18"/>
  <c r="K861" i="18"/>
  <c r="K862" i="18"/>
  <c r="K863" i="18"/>
  <c r="K865" i="18"/>
  <c r="K866" i="18"/>
  <c r="K867" i="18"/>
  <c r="K868" i="18"/>
  <c r="K869" i="18"/>
  <c r="K870" i="18"/>
  <c r="K871" i="18"/>
  <c r="K872" i="18"/>
  <c r="K873" i="18"/>
  <c r="K874" i="18"/>
  <c r="K876" i="18"/>
  <c r="K877" i="18"/>
  <c r="K878" i="18"/>
  <c r="K879" i="18"/>
  <c r="K880" i="18"/>
  <c r="K881" i="18"/>
  <c r="K882" i="18"/>
  <c r="K883" i="18"/>
  <c r="K884" i="18"/>
  <c r="K885" i="18"/>
  <c r="K886" i="18"/>
  <c r="K888" i="18"/>
  <c r="K892" i="18"/>
  <c r="K893" i="18"/>
  <c r="K894" i="18"/>
  <c r="K896" i="18"/>
  <c r="K897" i="18"/>
  <c r="K898" i="18"/>
  <c r="K899" i="18"/>
  <c r="K900" i="18"/>
  <c r="K901" i="18"/>
  <c r="K902" i="18"/>
  <c r="K903" i="18"/>
  <c r="K904" i="18"/>
  <c r="K905" i="18"/>
  <c r="K907" i="18"/>
  <c r="K908" i="18"/>
  <c r="K909" i="18"/>
  <c r="K910" i="18"/>
  <c r="K911" i="18"/>
  <c r="K912" i="18"/>
  <c r="K913" i="18"/>
  <c r="K914" i="18"/>
  <c r="K915" i="18"/>
  <c r="K916" i="18"/>
  <c r="K917" i="18"/>
  <c r="K919" i="18"/>
  <c r="K923" i="18"/>
  <c r="K924" i="18"/>
  <c r="K925" i="18"/>
  <c r="K927" i="18"/>
  <c r="K928" i="18"/>
  <c r="K929" i="18"/>
  <c r="K930" i="18"/>
  <c r="K931" i="18"/>
  <c r="K932" i="18"/>
  <c r="K933" i="18"/>
  <c r="K934" i="18"/>
  <c r="K935" i="18"/>
  <c r="K936" i="18"/>
  <c r="K938" i="18"/>
  <c r="K939" i="18"/>
  <c r="K940" i="18"/>
  <c r="K941" i="18"/>
  <c r="K942" i="18"/>
  <c r="K943" i="18"/>
  <c r="K944" i="18"/>
  <c r="K945" i="18"/>
  <c r="K946" i="18"/>
  <c r="K947" i="18"/>
  <c r="K949" i="18"/>
  <c r="K953" i="18"/>
  <c r="K954" i="18"/>
  <c r="K955" i="18"/>
  <c r="K957" i="18"/>
  <c r="K958" i="18"/>
  <c r="K959" i="18"/>
  <c r="K960" i="18"/>
  <c r="K961" i="18"/>
  <c r="K962" i="18"/>
  <c r="K963" i="18"/>
  <c r="K964" i="18"/>
  <c r="K965" i="18"/>
  <c r="K966" i="18"/>
  <c r="K968" i="18"/>
  <c r="K969" i="18"/>
  <c r="K970" i="18"/>
  <c r="K971" i="18"/>
  <c r="K972" i="18"/>
  <c r="K973" i="18"/>
  <c r="K974" i="18"/>
  <c r="K975" i="18"/>
  <c r="K976" i="18"/>
  <c r="K977" i="18"/>
  <c r="K979" i="18"/>
  <c r="K983" i="18"/>
  <c r="K984" i="18"/>
  <c r="K985" i="18"/>
  <c r="K987" i="18"/>
  <c r="K988" i="18"/>
  <c r="K989" i="18"/>
  <c r="K990" i="18"/>
  <c r="K991" i="18"/>
  <c r="K992" i="18"/>
  <c r="K993" i="18"/>
  <c r="K994" i="18"/>
  <c r="K995" i="18"/>
  <c r="K996" i="18"/>
  <c r="K998" i="18"/>
  <c r="K999" i="18"/>
  <c r="K1000" i="18"/>
  <c r="K1001" i="18"/>
  <c r="K1002" i="18"/>
  <c r="K1003" i="18"/>
  <c r="K1004" i="18"/>
  <c r="K1005" i="18"/>
  <c r="K1006" i="18"/>
  <c r="K1007" i="18"/>
  <c r="K1009" i="18"/>
  <c r="K1013" i="18"/>
  <c r="K1014" i="18"/>
  <c r="K1015" i="18"/>
  <c r="K1017" i="18"/>
  <c r="K1018" i="18"/>
  <c r="K1019" i="18"/>
  <c r="K1020" i="18"/>
  <c r="K1021" i="18"/>
  <c r="K1022" i="18"/>
  <c r="K1023" i="18"/>
  <c r="K1024" i="18"/>
  <c r="K1025" i="18"/>
  <c r="K1026" i="18"/>
  <c r="K1028" i="18"/>
  <c r="K1029" i="18"/>
  <c r="K1030" i="18"/>
  <c r="K1031" i="18"/>
  <c r="K1032" i="18"/>
  <c r="K1033" i="18"/>
  <c r="K1034" i="18"/>
  <c r="K1035" i="18"/>
  <c r="K1036" i="18"/>
  <c r="K1037" i="18"/>
  <c r="K1039" i="18"/>
  <c r="K1043" i="18"/>
  <c r="K1044" i="18"/>
  <c r="K1045" i="18"/>
  <c r="K1047" i="18"/>
  <c r="K1048" i="18"/>
  <c r="K1049" i="18"/>
  <c r="K1050" i="18"/>
  <c r="K1051" i="18"/>
  <c r="K1052" i="18"/>
  <c r="K1053" i="18"/>
  <c r="K1054" i="18"/>
  <c r="K1055" i="18"/>
  <c r="K1056" i="18"/>
  <c r="K1058" i="18"/>
  <c r="K1059" i="18"/>
  <c r="K1060" i="18"/>
  <c r="K1061" i="18"/>
  <c r="K1062" i="18"/>
  <c r="K1063" i="18"/>
  <c r="K1064" i="18"/>
  <c r="K1065" i="18"/>
  <c r="K1066" i="18"/>
  <c r="K1067" i="18"/>
  <c r="K1069" i="18"/>
  <c r="K1073" i="18"/>
  <c r="K1074" i="18"/>
  <c r="K1075" i="18"/>
  <c r="K1077" i="18"/>
  <c r="K1078" i="18"/>
  <c r="K1079" i="18"/>
  <c r="K1080" i="18"/>
  <c r="K1081" i="18"/>
  <c r="K1082" i="18"/>
  <c r="K1083" i="18"/>
  <c r="K1084" i="18"/>
  <c r="K1085" i="18"/>
  <c r="K1086" i="18"/>
  <c r="K1088" i="18"/>
  <c r="K1089" i="18"/>
  <c r="K1090" i="18"/>
  <c r="K1091" i="18"/>
  <c r="K1092" i="18"/>
  <c r="K1093" i="18"/>
  <c r="K1094" i="18"/>
  <c r="K1095" i="18"/>
  <c r="K1096" i="18"/>
  <c r="L733" i="18"/>
  <c r="L737" i="18"/>
  <c r="L738" i="18"/>
  <c r="L739" i="18"/>
  <c r="L741" i="18"/>
  <c r="L742" i="18"/>
  <c r="L743" i="18"/>
  <c r="L744" i="18"/>
  <c r="L745" i="18"/>
  <c r="L746" i="18"/>
  <c r="L747" i="18"/>
  <c r="L748" i="18"/>
  <c r="L749" i="18"/>
  <c r="L750" i="18"/>
  <c r="L752" i="18"/>
  <c r="L753" i="18"/>
  <c r="L754" i="18"/>
  <c r="L755" i="18"/>
  <c r="L756" i="18"/>
  <c r="L757" i="18"/>
  <c r="L758" i="18"/>
  <c r="L760" i="18"/>
  <c r="L761" i="18"/>
  <c r="L762" i="18"/>
  <c r="L764" i="18"/>
  <c r="L768" i="18"/>
  <c r="L769" i="18"/>
  <c r="L770" i="18"/>
  <c r="L772" i="18"/>
  <c r="L773" i="18"/>
  <c r="L774" i="18"/>
  <c r="L775" i="18"/>
  <c r="L776" i="18"/>
  <c r="L777" i="18"/>
  <c r="L778" i="18"/>
  <c r="L779" i="18"/>
  <c r="L780" i="18"/>
  <c r="L781" i="18"/>
  <c r="L783" i="18"/>
  <c r="L784" i="18"/>
  <c r="L785" i="18"/>
  <c r="L786" i="18"/>
  <c r="L787" i="18"/>
  <c r="L788" i="18"/>
  <c r="L789" i="18"/>
  <c r="L791" i="18"/>
  <c r="L792" i="18"/>
  <c r="L793" i="18"/>
  <c r="L795" i="18"/>
  <c r="L799" i="18"/>
  <c r="L800" i="18"/>
  <c r="L801" i="18"/>
  <c r="L803" i="18"/>
  <c r="L804" i="18"/>
  <c r="L805" i="18"/>
  <c r="L806" i="18"/>
  <c r="L807" i="18"/>
  <c r="L808" i="18"/>
  <c r="L809" i="18"/>
  <c r="L810" i="18"/>
  <c r="L811" i="18"/>
  <c r="L812" i="18"/>
  <c r="L814" i="18"/>
  <c r="L815" i="18"/>
  <c r="L816" i="18"/>
  <c r="L817" i="18"/>
  <c r="L818" i="18"/>
  <c r="L819" i="18"/>
  <c r="L820" i="18"/>
  <c r="L823" i="18"/>
  <c r="L824" i="18"/>
  <c r="L826" i="18"/>
  <c r="L830" i="18"/>
  <c r="L831" i="18"/>
  <c r="L832" i="18"/>
  <c r="L834" i="18"/>
  <c r="L835" i="18"/>
  <c r="L836" i="18"/>
  <c r="L837" i="18"/>
  <c r="L838" i="18"/>
  <c r="L839" i="18"/>
  <c r="L840" i="18"/>
  <c r="L841" i="18"/>
  <c r="L842" i="18"/>
  <c r="L843" i="18"/>
  <c r="L845" i="18"/>
  <c r="L846" i="18"/>
  <c r="L847" i="18"/>
  <c r="L848" i="18"/>
  <c r="L849" i="18"/>
  <c r="L850" i="18"/>
  <c r="L851" i="18"/>
  <c r="L852" i="18"/>
  <c r="L853" i="18"/>
  <c r="L854" i="18"/>
  <c r="L855" i="18"/>
  <c r="L857" i="18"/>
  <c r="L861" i="18"/>
  <c r="L862" i="18"/>
  <c r="L863" i="18"/>
  <c r="L865" i="18"/>
  <c r="L866" i="18"/>
  <c r="L867" i="18"/>
  <c r="L868" i="18"/>
  <c r="L869" i="18"/>
  <c r="L870" i="18"/>
  <c r="L871" i="18"/>
  <c r="L872" i="18"/>
  <c r="L873" i="18"/>
  <c r="L874" i="18"/>
  <c r="L876" i="18"/>
  <c r="L877" i="18"/>
  <c r="L878" i="18"/>
  <c r="L879" i="18"/>
  <c r="L880" i="18"/>
  <c r="L881" i="18"/>
  <c r="L882" i="18"/>
  <c r="L883" i="18"/>
  <c r="L884" i="18"/>
  <c r="L885" i="18"/>
  <c r="L886" i="18"/>
  <c r="L888" i="18"/>
  <c r="L892" i="18"/>
  <c r="L893" i="18"/>
  <c r="L894" i="18"/>
  <c r="L896" i="18"/>
  <c r="L897" i="18"/>
  <c r="L898" i="18"/>
  <c r="L899" i="18"/>
  <c r="L900" i="18"/>
  <c r="L901" i="18"/>
  <c r="L902" i="18"/>
  <c r="L903" i="18"/>
  <c r="L904" i="18"/>
  <c r="L905" i="18"/>
  <c r="L907" i="18"/>
  <c r="L908" i="18"/>
  <c r="L909" i="18"/>
  <c r="L910" i="18"/>
  <c r="L911" i="18"/>
  <c r="L912" i="18"/>
  <c r="L913" i="18"/>
  <c r="L914" i="18"/>
  <c r="L915" i="18"/>
  <c r="L916" i="18"/>
  <c r="L917" i="18"/>
  <c r="L919" i="18"/>
  <c r="L923" i="18"/>
  <c r="L924" i="18"/>
  <c r="L925" i="18"/>
  <c r="L927" i="18"/>
  <c r="L928" i="18"/>
  <c r="L929" i="18"/>
  <c r="L930" i="18"/>
  <c r="L931" i="18"/>
  <c r="L932" i="18"/>
  <c r="L933" i="18"/>
  <c r="L934" i="18"/>
  <c r="L935" i="18"/>
  <c r="L936" i="18"/>
  <c r="L938" i="18"/>
  <c r="L939" i="18"/>
  <c r="L940" i="18"/>
  <c r="L941" i="18"/>
  <c r="L942" i="18"/>
  <c r="L943" i="18"/>
  <c r="L944" i="18"/>
  <c r="L945" i="18"/>
  <c r="L946" i="18"/>
  <c r="L947" i="18"/>
  <c r="L949" i="18"/>
  <c r="L953" i="18"/>
  <c r="L954" i="18"/>
  <c r="L955" i="18"/>
  <c r="L957" i="18"/>
  <c r="L958" i="18"/>
  <c r="L959" i="18"/>
  <c r="L960" i="18"/>
  <c r="L961" i="18"/>
  <c r="L962" i="18"/>
  <c r="L963" i="18"/>
  <c r="L964" i="18"/>
  <c r="L965" i="18"/>
  <c r="L966" i="18"/>
  <c r="L968" i="18"/>
  <c r="L969" i="18"/>
  <c r="L970" i="18"/>
  <c r="L971" i="18"/>
  <c r="L972" i="18"/>
  <c r="L973" i="18"/>
  <c r="L974" i="18"/>
  <c r="L975" i="18"/>
  <c r="L976" i="18"/>
  <c r="L977" i="18"/>
  <c r="L979" i="18"/>
  <c r="L983" i="18"/>
  <c r="L984" i="18"/>
  <c r="L985" i="18"/>
  <c r="L987" i="18"/>
  <c r="L988" i="18"/>
  <c r="L989" i="18"/>
  <c r="L990" i="18"/>
  <c r="L991" i="18"/>
  <c r="L992" i="18"/>
  <c r="L993" i="18"/>
  <c r="L994" i="18"/>
  <c r="L995" i="18"/>
  <c r="L996" i="18"/>
  <c r="L998" i="18"/>
  <c r="L999" i="18"/>
  <c r="L1000" i="18"/>
  <c r="L1001" i="18"/>
  <c r="L1002" i="18"/>
  <c r="L1003" i="18"/>
  <c r="L1004" i="18"/>
  <c r="L1005" i="18"/>
  <c r="L1006" i="18"/>
  <c r="L1007" i="18"/>
  <c r="L1009" i="18"/>
  <c r="L1013" i="18"/>
  <c r="L1014" i="18"/>
  <c r="L1015" i="18"/>
  <c r="L1017" i="18"/>
  <c r="L1018" i="18"/>
  <c r="L1019" i="18"/>
  <c r="L1020" i="18"/>
  <c r="L1021" i="18"/>
  <c r="L1022" i="18"/>
  <c r="L1023" i="18"/>
  <c r="L1024" i="18"/>
  <c r="L1025" i="18"/>
  <c r="L1026" i="18"/>
  <c r="L1028" i="18"/>
  <c r="L1029" i="18"/>
  <c r="L1030" i="18"/>
  <c r="L1031" i="18"/>
  <c r="L1032" i="18"/>
  <c r="L1033" i="18"/>
  <c r="L1034" i="18"/>
  <c r="L1035" i="18"/>
  <c r="L1036" i="18"/>
  <c r="L1037" i="18"/>
  <c r="L1039" i="18"/>
  <c r="L1043" i="18"/>
  <c r="L1044" i="18"/>
  <c r="L1045" i="18"/>
  <c r="L1047" i="18"/>
  <c r="L1048" i="18"/>
  <c r="L1049" i="18"/>
  <c r="L1050" i="18"/>
  <c r="L1051" i="18"/>
  <c r="L1052" i="18"/>
  <c r="L1053" i="18"/>
  <c r="L1054" i="18"/>
  <c r="L1055" i="18"/>
  <c r="L1056" i="18"/>
  <c r="L1058" i="18"/>
  <c r="L1059" i="18"/>
  <c r="L1060" i="18"/>
  <c r="L1061" i="18"/>
  <c r="L1062" i="18"/>
  <c r="L1063" i="18"/>
  <c r="L1064" i="18"/>
  <c r="L1065" i="18"/>
  <c r="L1066" i="18"/>
  <c r="L1067" i="18"/>
  <c r="L1069" i="18"/>
  <c r="L1073" i="18"/>
  <c r="L1074" i="18"/>
  <c r="L1075" i="18"/>
  <c r="L1077" i="18"/>
  <c r="L1078" i="18"/>
  <c r="L1079" i="18"/>
  <c r="L1080" i="18"/>
  <c r="L1081" i="18"/>
  <c r="L1082" i="18"/>
  <c r="L1083" i="18"/>
  <c r="L1084" i="18"/>
  <c r="L1085" i="18"/>
  <c r="L1086" i="18"/>
  <c r="L1088" i="18"/>
  <c r="L1089" i="18"/>
  <c r="L1090" i="18"/>
  <c r="L1091" i="18"/>
  <c r="L1092" i="18"/>
  <c r="L1093" i="18"/>
  <c r="L1094" i="18"/>
  <c r="L1095" i="18"/>
  <c r="L1096" i="18"/>
  <c r="M733" i="18"/>
  <c r="M737" i="18"/>
  <c r="M738" i="18"/>
  <c r="M739" i="18"/>
  <c r="M741" i="18"/>
  <c r="M742" i="18"/>
  <c r="M743" i="18"/>
  <c r="M744" i="18"/>
  <c r="M745" i="18"/>
  <c r="M746" i="18"/>
  <c r="M747" i="18"/>
  <c r="M748" i="18"/>
  <c r="M749" i="18"/>
  <c r="M750" i="18"/>
  <c r="M752" i="18"/>
  <c r="M753" i="18"/>
  <c r="M754" i="18"/>
  <c r="M755" i="18"/>
  <c r="M756" i="18"/>
  <c r="M757" i="18"/>
  <c r="M758" i="18"/>
  <c r="M760" i="18"/>
  <c r="M761" i="18"/>
  <c r="M762" i="18"/>
  <c r="M764" i="18"/>
  <c r="M768" i="18"/>
  <c r="M769" i="18"/>
  <c r="M770" i="18"/>
  <c r="M772" i="18"/>
  <c r="M773" i="18"/>
  <c r="M774" i="18"/>
  <c r="M775" i="18"/>
  <c r="M776" i="18"/>
  <c r="M777" i="18"/>
  <c r="M778" i="18"/>
  <c r="M779" i="18"/>
  <c r="M780" i="18"/>
  <c r="M781" i="18"/>
  <c r="M783" i="18"/>
  <c r="M784" i="18"/>
  <c r="M785" i="18"/>
  <c r="M786" i="18"/>
  <c r="M787" i="18"/>
  <c r="M788" i="18"/>
  <c r="M789" i="18"/>
  <c r="M791" i="18"/>
  <c r="M792" i="18"/>
  <c r="M793" i="18"/>
  <c r="M795" i="18"/>
  <c r="M799" i="18"/>
  <c r="M800" i="18"/>
  <c r="M801" i="18"/>
  <c r="M803" i="18"/>
  <c r="M804" i="18"/>
  <c r="M805" i="18"/>
  <c r="M806" i="18"/>
  <c r="M807" i="18"/>
  <c r="M808" i="18"/>
  <c r="M809" i="18"/>
  <c r="M810" i="18"/>
  <c r="M811" i="18"/>
  <c r="M812" i="18"/>
  <c r="M814" i="18"/>
  <c r="M815" i="18"/>
  <c r="M816" i="18"/>
  <c r="M817" i="18"/>
  <c r="M818" i="18"/>
  <c r="M819" i="18"/>
  <c r="M820" i="18"/>
  <c r="M823" i="18"/>
  <c r="M824" i="18"/>
  <c r="M826" i="18"/>
  <c r="M830" i="18"/>
  <c r="M831" i="18"/>
  <c r="M832" i="18"/>
  <c r="M834" i="18"/>
  <c r="M835" i="18"/>
  <c r="M836" i="18"/>
  <c r="M837" i="18"/>
  <c r="M838" i="18"/>
  <c r="M839" i="18"/>
  <c r="M840" i="18"/>
  <c r="M841" i="18"/>
  <c r="M842" i="18"/>
  <c r="M843" i="18"/>
  <c r="M845" i="18"/>
  <c r="M846" i="18"/>
  <c r="M847" i="18"/>
  <c r="M848" i="18"/>
  <c r="M849" i="18"/>
  <c r="M850" i="18"/>
  <c r="M851" i="18"/>
  <c r="M852" i="18"/>
  <c r="M853" i="18"/>
  <c r="M854" i="18"/>
  <c r="M855" i="18"/>
  <c r="M857" i="18"/>
  <c r="M861" i="18"/>
  <c r="M862" i="18"/>
  <c r="M863" i="18"/>
  <c r="M865" i="18"/>
  <c r="M866" i="18"/>
  <c r="M867" i="18"/>
  <c r="M868" i="18"/>
  <c r="M869" i="18"/>
  <c r="M870" i="18"/>
  <c r="M871" i="18"/>
  <c r="M872" i="18"/>
  <c r="M873" i="18"/>
  <c r="M874" i="18"/>
  <c r="M876" i="18"/>
  <c r="M877" i="18"/>
  <c r="M878" i="18"/>
  <c r="M879" i="18"/>
  <c r="M880" i="18"/>
  <c r="M881" i="18"/>
  <c r="M882" i="18"/>
  <c r="M883" i="18"/>
  <c r="M884" i="18"/>
  <c r="M885" i="18"/>
  <c r="M886" i="18"/>
  <c r="M888" i="18"/>
  <c r="M892" i="18"/>
  <c r="M893" i="18"/>
  <c r="M894" i="18"/>
  <c r="M896" i="18"/>
  <c r="M897" i="18"/>
  <c r="M898" i="18"/>
  <c r="M899" i="18"/>
  <c r="M900" i="18"/>
  <c r="M901" i="18"/>
  <c r="M902" i="18"/>
  <c r="M903" i="18"/>
  <c r="M904" i="18"/>
  <c r="M905" i="18"/>
  <c r="M907" i="18"/>
  <c r="M908" i="18"/>
  <c r="M909" i="18"/>
  <c r="M910" i="18"/>
  <c r="M911" i="18"/>
  <c r="M912" i="18"/>
  <c r="M913" i="18"/>
  <c r="M914" i="18"/>
  <c r="M915" i="18"/>
  <c r="M916" i="18"/>
  <c r="M917" i="18"/>
  <c r="M919" i="18"/>
  <c r="M923" i="18"/>
  <c r="M924" i="18"/>
  <c r="M925" i="18"/>
  <c r="M927" i="18"/>
  <c r="M928" i="18"/>
  <c r="M929" i="18"/>
  <c r="M930" i="18"/>
  <c r="M931" i="18"/>
  <c r="M932" i="18"/>
  <c r="M933" i="18"/>
  <c r="M934" i="18"/>
  <c r="M935" i="18"/>
  <c r="M936" i="18"/>
  <c r="M938" i="18"/>
  <c r="M939" i="18"/>
  <c r="M940" i="18"/>
  <c r="M941" i="18"/>
  <c r="M942" i="18"/>
  <c r="M943" i="18"/>
  <c r="M944" i="18"/>
  <c r="M945" i="18"/>
  <c r="M946" i="18"/>
  <c r="M947" i="18"/>
  <c r="M949" i="18"/>
  <c r="M953" i="18"/>
  <c r="M954" i="18"/>
  <c r="M955" i="18"/>
  <c r="M957" i="18"/>
  <c r="M958" i="18"/>
  <c r="M959" i="18"/>
  <c r="M960" i="18"/>
  <c r="M961" i="18"/>
  <c r="M962" i="18"/>
  <c r="M963" i="18"/>
  <c r="M964" i="18"/>
  <c r="M965" i="18"/>
  <c r="M966" i="18"/>
  <c r="M968" i="18"/>
  <c r="M969" i="18"/>
  <c r="M970" i="18"/>
  <c r="M971" i="18"/>
  <c r="M972" i="18"/>
  <c r="M973" i="18"/>
  <c r="M974" i="18"/>
  <c r="M975" i="18"/>
  <c r="M976" i="18"/>
  <c r="M977" i="18"/>
  <c r="M979" i="18"/>
  <c r="M983" i="18"/>
  <c r="M984" i="18"/>
  <c r="M985" i="18"/>
  <c r="M987" i="18"/>
  <c r="M988" i="18"/>
  <c r="M989" i="18"/>
  <c r="M990" i="18"/>
  <c r="M991" i="18"/>
  <c r="M992" i="18"/>
  <c r="M993" i="18"/>
  <c r="M994" i="18"/>
  <c r="M995" i="18"/>
  <c r="M996" i="18"/>
  <c r="M998" i="18"/>
  <c r="M999" i="18"/>
  <c r="M1000" i="18"/>
  <c r="M1001" i="18"/>
  <c r="M1002" i="18"/>
  <c r="M1003" i="18"/>
  <c r="M1004" i="18"/>
  <c r="M1005" i="18"/>
  <c r="M1006" i="18"/>
  <c r="M1007" i="18"/>
  <c r="M1009" i="18"/>
  <c r="M1013" i="18"/>
  <c r="M1014" i="18"/>
  <c r="M1015" i="18"/>
  <c r="M1017" i="18"/>
  <c r="M1018" i="18"/>
  <c r="M1019" i="18"/>
  <c r="M1020" i="18"/>
  <c r="M1021" i="18"/>
  <c r="M1022" i="18"/>
  <c r="M1023" i="18"/>
  <c r="M1024" i="18"/>
  <c r="M1025" i="18"/>
  <c r="M1026" i="18"/>
  <c r="M1028" i="18"/>
  <c r="M1029" i="18"/>
  <c r="M1030" i="18"/>
  <c r="M1031" i="18"/>
  <c r="M1032" i="18"/>
  <c r="M1033" i="18"/>
  <c r="M1034" i="18"/>
  <c r="M1035" i="18"/>
  <c r="M1036" i="18"/>
  <c r="M1037" i="18"/>
  <c r="M1039" i="18"/>
  <c r="M1043" i="18"/>
  <c r="M1044" i="18"/>
  <c r="M1045" i="18"/>
  <c r="M1047" i="18"/>
  <c r="M1048" i="18"/>
  <c r="M1049" i="18"/>
  <c r="M1050" i="18"/>
  <c r="M1051" i="18"/>
  <c r="M1052" i="18"/>
  <c r="M1053" i="18"/>
  <c r="M1054" i="18"/>
  <c r="M1055" i="18"/>
  <c r="M1056" i="18"/>
  <c r="M1058" i="18"/>
  <c r="M1059" i="18"/>
  <c r="M1060" i="18"/>
  <c r="M1061" i="18"/>
  <c r="M1062" i="18"/>
  <c r="M1063" i="18"/>
  <c r="M1064" i="18"/>
  <c r="M1065" i="18"/>
  <c r="M1066" i="18"/>
  <c r="M1067" i="18"/>
  <c r="M1069" i="18"/>
  <c r="M1073" i="18"/>
  <c r="M1074" i="18"/>
  <c r="M1075" i="18"/>
  <c r="M1077" i="18"/>
  <c r="M1078" i="18"/>
  <c r="M1079" i="18"/>
  <c r="M1080" i="18"/>
  <c r="M1081" i="18"/>
  <c r="M1082" i="18"/>
  <c r="M1083" i="18"/>
  <c r="M1084" i="18"/>
  <c r="M1085" i="18"/>
  <c r="M1086" i="18"/>
  <c r="M1088" i="18"/>
  <c r="M1089" i="18"/>
  <c r="M1090" i="18"/>
  <c r="M1091" i="18"/>
  <c r="M1092" i="18"/>
  <c r="M1093" i="18"/>
  <c r="M1094" i="18"/>
  <c r="M1095" i="18"/>
  <c r="M1096" i="18"/>
  <c r="N733" i="18"/>
  <c r="N737" i="18"/>
  <c r="N738" i="18"/>
  <c r="N739" i="18"/>
  <c r="N741" i="18"/>
  <c r="N742" i="18"/>
  <c r="N743" i="18"/>
  <c r="N744" i="18"/>
  <c r="N745" i="18"/>
  <c r="N746" i="18"/>
  <c r="N747" i="18"/>
  <c r="N748" i="18"/>
  <c r="N749" i="18"/>
  <c r="N750" i="18"/>
  <c r="N752" i="18"/>
  <c r="N753" i="18"/>
  <c r="N754" i="18"/>
  <c r="N755" i="18"/>
  <c r="N756" i="18"/>
  <c r="N757" i="18"/>
  <c r="N758" i="18"/>
  <c r="N760" i="18"/>
  <c r="N761" i="18"/>
  <c r="N762" i="18"/>
  <c r="N764" i="18"/>
  <c r="N768" i="18"/>
  <c r="N769" i="18"/>
  <c r="N770" i="18"/>
  <c r="N772" i="18"/>
  <c r="N773" i="18"/>
  <c r="N774" i="18"/>
  <c r="N775" i="18"/>
  <c r="N776" i="18"/>
  <c r="N777" i="18"/>
  <c r="N778" i="18"/>
  <c r="N779" i="18"/>
  <c r="N780" i="18"/>
  <c r="N781" i="18"/>
  <c r="N783" i="18"/>
  <c r="N784" i="18"/>
  <c r="N785" i="18"/>
  <c r="N786" i="18"/>
  <c r="N787" i="18"/>
  <c r="N788" i="18"/>
  <c r="N789" i="18"/>
  <c r="N791" i="18"/>
  <c r="N792" i="18"/>
  <c r="N793" i="18"/>
  <c r="N795" i="18"/>
  <c r="N799" i="18"/>
  <c r="N800" i="18"/>
  <c r="N801" i="18"/>
  <c r="N803" i="18"/>
  <c r="N804" i="18"/>
  <c r="N805" i="18"/>
  <c r="N806" i="18"/>
  <c r="N807" i="18"/>
  <c r="N808" i="18"/>
  <c r="N809" i="18"/>
  <c r="N810" i="18"/>
  <c r="N811" i="18"/>
  <c r="N812" i="18"/>
  <c r="N814" i="18"/>
  <c r="N815" i="18"/>
  <c r="N816" i="18"/>
  <c r="N817" i="18"/>
  <c r="N818" i="18"/>
  <c r="N819" i="18"/>
  <c r="N820" i="18"/>
  <c r="N823" i="18"/>
  <c r="N824" i="18"/>
  <c r="N826" i="18"/>
  <c r="N830" i="18"/>
  <c r="N831" i="18"/>
  <c r="N832" i="18"/>
  <c r="N834" i="18"/>
  <c r="N835" i="18"/>
  <c r="N836" i="18"/>
  <c r="N837" i="18"/>
  <c r="N838" i="18"/>
  <c r="N839" i="18"/>
  <c r="N840" i="18"/>
  <c r="N841" i="18"/>
  <c r="N842" i="18"/>
  <c r="N843" i="18"/>
  <c r="N845" i="18"/>
  <c r="N846" i="18"/>
  <c r="N847" i="18"/>
  <c r="N848" i="18"/>
  <c r="N849" i="18"/>
  <c r="N850" i="18"/>
  <c r="N851" i="18"/>
  <c r="N852" i="18"/>
  <c r="N853" i="18"/>
  <c r="N854" i="18"/>
  <c r="N855" i="18"/>
  <c r="N857" i="18"/>
  <c r="N861" i="18"/>
  <c r="N862" i="18"/>
  <c r="N863" i="18"/>
  <c r="N865" i="18"/>
  <c r="N866" i="18"/>
  <c r="N867" i="18"/>
  <c r="N868" i="18"/>
  <c r="N869" i="18"/>
  <c r="N870" i="18"/>
  <c r="N871" i="18"/>
  <c r="N872" i="18"/>
  <c r="N873" i="18"/>
  <c r="N874" i="18"/>
  <c r="N876" i="18"/>
  <c r="N877" i="18"/>
  <c r="N878" i="18"/>
  <c r="N879" i="18"/>
  <c r="N880" i="18"/>
  <c r="N881" i="18"/>
  <c r="N882" i="18"/>
  <c r="N883" i="18"/>
  <c r="N884" i="18"/>
  <c r="N885" i="18"/>
  <c r="N886" i="18"/>
  <c r="N888" i="18"/>
  <c r="N892" i="18"/>
  <c r="N893" i="18"/>
  <c r="N894" i="18"/>
  <c r="N896" i="18"/>
  <c r="N897" i="18"/>
  <c r="N898" i="18"/>
  <c r="N899" i="18"/>
  <c r="N900" i="18"/>
  <c r="N901" i="18"/>
  <c r="N902" i="18"/>
  <c r="N903" i="18"/>
  <c r="N904" i="18"/>
  <c r="N905" i="18"/>
  <c r="N907" i="18"/>
  <c r="N908" i="18"/>
  <c r="N909" i="18"/>
  <c r="N910" i="18"/>
  <c r="N911" i="18"/>
  <c r="N912" i="18"/>
  <c r="N913" i="18"/>
  <c r="N914" i="18"/>
  <c r="N915" i="18"/>
  <c r="N916" i="18"/>
  <c r="N917" i="18"/>
  <c r="N919" i="18"/>
  <c r="N923" i="18"/>
  <c r="N924" i="18"/>
  <c r="N925" i="18"/>
  <c r="N927" i="18"/>
  <c r="N928" i="18"/>
  <c r="N929" i="18"/>
  <c r="N930" i="18"/>
  <c r="N931" i="18"/>
  <c r="N932" i="18"/>
  <c r="N933" i="18"/>
  <c r="N934" i="18"/>
  <c r="N935" i="18"/>
  <c r="N936" i="18"/>
  <c r="N938" i="18"/>
  <c r="N939" i="18"/>
  <c r="N940" i="18"/>
  <c r="N941" i="18"/>
  <c r="N942" i="18"/>
  <c r="N943" i="18"/>
  <c r="N944" i="18"/>
  <c r="N945" i="18"/>
  <c r="N946" i="18"/>
  <c r="N947" i="18"/>
  <c r="N949" i="18"/>
  <c r="N953" i="18"/>
  <c r="N954" i="18"/>
  <c r="N955" i="18"/>
  <c r="N957" i="18"/>
  <c r="N958" i="18"/>
  <c r="N959" i="18"/>
  <c r="N960" i="18"/>
  <c r="N961" i="18"/>
  <c r="N962" i="18"/>
  <c r="N963" i="18"/>
  <c r="N964" i="18"/>
  <c r="N965" i="18"/>
  <c r="N966" i="18"/>
  <c r="N968" i="18"/>
  <c r="N969" i="18"/>
  <c r="N970" i="18"/>
  <c r="N971" i="18"/>
  <c r="N972" i="18"/>
  <c r="N973" i="18"/>
  <c r="N974" i="18"/>
  <c r="N975" i="18"/>
  <c r="N976" i="18"/>
  <c r="N977" i="18"/>
  <c r="N979" i="18"/>
  <c r="N983" i="18"/>
  <c r="N984" i="18"/>
  <c r="N985" i="18"/>
  <c r="N987" i="18"/>
  <c r="N988" i="18"/>
  <c r="N989" i="18"/>
  <c r="N990" i="18"/>
  <c r="N991" i="18"/>
  <c r="N992" i="18"/>
  <c r="N993" i="18"/>
  <c r="N994" i="18"/>
  <c r="N995" i="18"/>
  <c r="N996" i="18"/>
  <c r="N998" i="18"/>
  <c r="N999" i="18"/>
  <c r="N1000" i="18"/>
  <c r="N1001" i="18"/>
  <c r="N1002" i="18"/>
  <c r="N1003" i="18"/>
  <c r="N1004" i="18"/>
  <c r="N1005" i="18"/>
  <c r="N1006" i="18"/>
  <c r="N1007" i="18"/>
  <c r="N1009" i="18"/>
  <c r="N1013" i="18"/>
  <c r="N1014" i="18"/>
  <c r="N1015" i="18"/>
  <c r="N1017" i="18"/>
  <c r="N1018" i="18"/>
  <c r="N1019" i="18"/>
  <c r="N1020" i="18"/>
  <c r="N1021" i="18"/>
  <c r="N1022" i="18"/>
  <c r="N1023" i="18"/>
  <c r="N1024" i="18"/>
  <c r="N1025" i="18"/>
  <c r="N1026" i="18"/>
  <c r="N1028" i="18"/>
  <c r="N1029" i="18"/>
  <c r="N1030" i="18"/>
  <c r="N1031" i="18"/>
  <c r="N1032" i="18"/>
  <c r="N1033" i="18"/>
  <c r="N1034" i="18"/>
  <c r="N1035" i="18"/>
  <c r="N1036" i="18"/>
  <c r="N1037" i="18"/>
  <c r="N1039" i="18"/>
  <c r="N1043" i="18"/>
  <c r="N1044" i="18"/>
  <c r="N1045" i="18"/>
  <c r="N1047" i="18"/>
  <c r="N1048" i="18"/>
  <c r="N1049" i="18"/>
  <c r="N1050" i="18"/>
  <c r="N1051" i="18"/>
  <c r="N1052" i="18"/>
  <c r="N1053" i="18"/>
  <c r="N1054" i="18"/>
  <c r="N1055" i="18"/>
  <c r="N1056" i="18"/>
  <c r="N1058" i="18"/>
  <c r="N1059" i="18"/>
  <c r="N1060" i="18"/>
  <c r="N1061" i="18"/>
  <c r="N1062" i="18"/>
  <c r="N1063" i="18"/>
  <c r="N1064" i="18"/>
  <c r="N1065" i="18"/>
  <c r="N1066" i="18"/>
  <c r="N1067" i="18"/>
  <c r="N1069" i="18"/>
  <c r="N1073" i="18"/>
  <c r="N1074" i="18"/>
  <c r="N1075" i="18"/>
  <c r="N1077" i="18"/>
  <c r="N1078" i="18"/>
  <c r="N1079" i="18"/>
  <c r="N1080" i="18"/>
  <c r="N1081" i="18"/>
  <c r="N1082" i="18"/>
  <c r="N1083" i="18"/>
  <c r="N1084" i="18"/>
  <c r="N1085" i="18"/>
  <c r="N1086" i="18"/>
  <c r="N1088" i="18"/>
  <c r="N1089" i="18"/>
  <c r="N1090" i="18"/>
  <c r="N1091" i="18"/>
  <c r="N1092" i="18"/>
  <c r="N1093" i="18"/>
  <c r="N1094" i="18"/>
  <c r="N1095" i="18"/>
  <c r="N1096" i="18"/>
  <c r="O733" i="18"/>
  <c r="O737" i="18"/>
  <c r="O738" i="18"/>
  <c r="O739" i="18"/>
  <c r="O741" i="18"/>
  <c r="O742" i="18"/>
  <c r="O743" i="18"/>
  <c r="O744" i="18"/>
  <c r="O745" i="18"/>
  <c r="O746" i="18"/>
  <c r="O747" i="18"/>
  <c r="O748" i="18"/>
  <c r="O749" i="18"/>
  <c r="O750" i="18"/>
  <c r="O752" i="18"/>
  <c r="O753" i="18"/>
  <c r="O754" i="18"/>
  <c r="O755" i="18"/>
  <c r="O756" i="18"/>
  <c r="O757" i="18"/>
  <c r="O758" i="18"/>
  <c r="O760" i="18"/>
  <c r="O761" i="18"/>
  <c r="O762" i="18"/>
  <c r="O764" i="18"/>
  <c r="O768" i="18"/>
  <c r="O769" i="18"/>
  <c r="O770" i="18"/>
  <c r="O772" i="18"/>
  <c r="O773" i="18"/>
  <c r="O774" i="18"/>
  <c r="O775" i="18"/>
  <c r="O776" i="18"/>
  <c r="O777" i="18"/>
  <c r="O778" i="18"/>
  <c r="O779" i="18"/>
  <c r="O780" i="18"/>
  <c r="O781" i="18"/>
  <c r="O783" i="18"/>
  <c r="O784" i="18"/>
  <c r="O785" i="18"/>
  <c r="O786" i="18"/>
  <c r="O787" i="18"/>
  <c r="O788" i="18"/>
  <c r="O789" i="18"/>
  <c r="O791" i="18"/>
  <c r="O792" i="18"/>
  <c r="O793" i="18"/>
  <c r="O795" i="18"/>
  <c r="O799" i="18"/>
  <c r="O800" i="18"/>
  <c r="O801" i="18"/>
  <c r="O803" i="18"/>
  <c r="O804" i="18"/>
  <c r="O805" i="18"/>
  <c r="O806" i="18"/>
  <c r="O807" i="18"/>
  <c r="O808" i="18"/>
  <c r="O809" i="18"/>
  <c r="O810" i="18"/>
  <c r="O811" i="18"/>
  <c r="O812" i="18"/>
  <c r="O814" i="18"/>
  <c r="O815" i="18"/>
  <c r="O816" i="18"/>
  <c r="O817" i="18"/>
  <c r="O818" i="18"/>
  <c r="O819" i="18"/>
  <c r="O820" i="18"/>
  <c r="O823" i="18"/>
  <c r="O824" i="18"/>
  <c r="O826" i="18"/>
  <c r="O830" i="18"/>
  <c r="O831" i="18"/>
  <c r="O832" i="18"/>
  <c r="O834" i="18"/>
  <c r="O835" i="18"/>
  <c r="O836" i="18"/>
  <c r="O837" i="18"/>
  <c r="O838" i="18"/>
  <c r="O839" i="18"/>
  <c r="O840" i="18"/>
  <c r="O841" i="18"/>
  <c r="O842" i="18"/>
  <c r="O843" i="18"/>
  <c r="O845" i="18"/>
  <c r="O846" i="18"/>
  <c r="O847" i="18"/>
  <c r="O848" i="18"/>
  <c r="O849" i="18"/>
  <c r="O850" i="18"/>
  <c r="O851" i="18"/>
  <c r="O852" i="18"/>
  <c r="O853" i="18"/>
  <c r="O854" i="18"/>
  <c r="O855" i="18"/>
  <c r="O857" i="18"/>
  <c r="O861" i="18"/>
  <c r="O862" i="18"/>
  <c r="O863" i="18"/>
  <c r="O865" i="18"/>
  <c r="O866" i="18"/>
  <c r="O867" i="18"/>
  <c r="O868" i="18"/>
  <c r="O869" i="18"/>
  <c r="O870" i="18"/>
  <c r="O871" i="18"/>
  <c r="O872" i="18"/>
  <c r="O873" i="18"/>
  <c r="O874" i="18"/>
  <c r="O876" i="18"/>
  <c r="O877" i="18"/>
  <c r="O878" i="18"/>
  <c r="O879" i="18"/>
  <c r="O880" i="18"/>
  <c r="O881" i="18"/>
  <c r="O882" i="18"/>
  <c r="O883" i="18"/>
  <c r="O884" i="18"/>
  <c r="O885" i="18"/>
  <c r="O886" i="18"/>
  <c r="O888" i="18"/>
  <c r="O892" i="18"/>
  <c r="O893" i="18"/>
  <c r="O894" i="18"/>
  <c r="O896" i="18"/>
  <c r="O897" i="18"/>
  <c r="O898" i="18"/>
  <c r="O899" i="18"/>
  <c r="O900" i="18"/>
  <c r="O901" i="18"/>
  <c r="O902" i="18"/>
  <c r="O903" i="18"/>
  <c r="O904" i="18"/>
  <c r="O905" i="18"/>
  <c r="O907" i="18"/>
  <c r="O908" i="18"/>
  <c r="O909" i="18"/>
  <c r="O910" i="18"/>
  <c r="O911" i="18"/>
  <c r="O912" i="18"/>
  <c r="O913" i="18"/>
  <c r="O914" i="18"/>
  <c r="O915" i="18"/>
  <c r="O916" i="18"/>
  <c r="O917" i="18"/>
  <c r="O919" i="18"/>
  <c r="O923" i="18"/>
  <c r="O924" i="18"/>
  <c r="O925" i="18"/>
  <c r="O927" i="18"/>
  <c r="O928" i="18"/>
  <c r="O929" i="18"/>
  <c r="O930" i="18"/>
  <c r="O931" i="18"/>
  <c r="O932" i="18"/>
  <c r="O933" i="18"/>
  <c r="O934" i="18"/>
  <c r="O935" i="18"/>
  <c r="O936" i="18"/>
  <c r="O938" i="18"/>
  <c r="O939" i="18"/>
  <c r="O940" i="18"/>
  <c r="O941" i="18"/>
  <c r="O942" i="18"/>
  <c r="O943" i="18"/>
  <c r="O944" i="18"/>
  <c r="O945" i="18"/>
  <c r="O946" i="18"/>
  <c r="O947" i="18"/>
  <c r="O949" i="18"/>
  <c r="O953" i="18"/>
  <c r="O954" i="18"/>
  <c r="O955" i="18"/>
  <c r="O957" i="18"/>
  <c r="O958" i="18"/>
  <c r="O959" i="18"/>
  <c r="O960" i="18"/>
  <c r="O961" i="18"/>
  <c r="O962" i="18"/>
  <c r="O963" i="18"/>
  <c r="O964" i="18"/>
  <c r="O965" i="18"/>
  <c r="O966" i="18"/>
  <c r="O968" i="18"/>
  <c r="O969" i="18"/>
  <c r="O970" i="18"/>
  <c r="O971" i="18"/>
  <c r="O972" i="18"/>
  <c r="O973" i="18"/>
  <c r="O974" i="18"/>
  <c r="O975" i="18"/>
  <c r="O976" i="18"/>
  <c r="O977" i="18"/>
  <c r="O979" i="18"/>
  <c r="O983" i="18"/>
  <c r="O984" i="18"/>
  <c r="O985" i="18"/>
  <c r="O987" i="18"/>
  <c r="O988" i="18"/>
  <c r="O989" i="18"/>
  <c r="O990" i="18"/>
  <c r="O991" i="18"/>
  <c r="O992" i="18"/>
  <c r="O993" i="18"/>
  <c r="O994" i="18"/>
  <c r="O995" i="18"/>
  <c r="O996" i="18"/>
  <c r="O998" i="18"/>
  <c r="O999" i="18"/>
  <c r="O1000" i="18"/>
  <c r="O1001" i="18"/>
  <c r="O1002" i="18"/>
  <c r="O1003" i="18"/>
  <c r="O1004" i="18"/>
  <c r="O1005" i="18"/>
  <c r="O1006" i="18"/>
  <c r="O1007" i="18"/>
  <c r="O1009" i="18"/>
  <c r="O1013" i="18"/>
  <c r="O1014" i="18"/>
  <c r="O1015" i="18"/>
  <c r="O1017" i="18"/>
  <c r="O1018" i="18"/>
  <c r="O1019" i="18"/>
  <c r="O1020" i="18"/>
  <c r="O1021" i="18"/>
  <c r="O1022" i="18"/>
  <c r="O1023" i="18"/>
  <c r="O1024" i="18"/>
  <c r="O1025" i="18"/>
  <c r="O1026" i="18"/>
  <c r="O1028" i="18"/>
  <c r="O1029" i="18"/>
  <c r="O1030" i="18"/>
  <c r="O1031" i="18"/>
  <c r="O1032" i="18"/>
  <c r="O1033" i="18"/>
  <c r="O1034" i="18"/>
  <c r="O1035" i="18"/>
  <c r="O1036" i="18"/>
  <c r="O1037" i="18"/>
  <c r="O1039" i="18"/>
  <c r="O1043" i="18"/>
  <c r="O1044" i="18"/>
  <c r="O1045" i="18"/>
  <c r="O1047" i="18"/>
  <c r="O1048" i="18"/>
  <c r="O1049" i="18"/>
  <c r="O1050" i="18"/>
  <c r="O1051" i="18"/>
  <c r="O1052" i="18"/>
  <c r="O1053" i="18"/>
  <c r="O1054" i="18"/>
  <c r="O1055" i="18"/>
  <c r="O1056" i="18"/>
  <c r="O1058" i="18"/>
  <c r="O1059" i="18"/>
  <c r="O1060" i="18"/>
  <c r="O1061" i="18"/>
  <c r="O1062" i="18"/>
  <c r="O1063" i="18"/>
  <c r="O1064" i="18"/>
  <c r="O1065" i="18"/>
  <c r="O1066" i="18"/>
  <c r="O1067" i="18"/>
  <c r="O1069" i="18"/>
  <c r="O1073" i="18"/>
  <c r="O1074" i="18"/>
  <c r="O1075" i="18"/>
  <c r="O1077" i="18"/>
  <c r="O1078" i="18"/>
  <c r="O1079" i="18"/>
  <c r="O1080" i="18"/>
  <c r="O1081" i="18"/>
  <c r="O1082" i="18"/>
  <c r="O1083" i="18"/>
  <c r="O1084" i="18"/>
  <c r="O1085" i="18"/>
  <c r="O1086" i="18"/>
  <c r="O1088" i="18"/>
  <c r="O1089" i="18"/>
  <c r="O1090" i="18"/>
  <c r="O1091" i="18"/>
  <c r="O1092" i="18"/>
  <c r="O1093" i="18"/>
  <c r="O1094" i="18"/>
  <c r="O1095" i="18"/>
  <c r="O1096" i="18"/>
  <c r="Q733" i="18"/>
  <c r="Q737" i="18"/>
  <c r="Q738" i="18"/>
  <c r="Q739" i="18"/>
  <c r="Q741" i="18"/>
  <c r="Q742" i="18"/>
  <c r="Q743" i="18"/>
  <c r="Q744" i="18"/>
  <c r="Q745" i="18"/>
  <c r="Q746" i="18"/>
  <c r="Q747" i="18"/>
  <c r="Q748" i="18"/>
  <c r="Q749" i="18"/>
  <c r="Q750" i="18"/>
  <c r="Q752" i="18"/>
  <c r="Q753" i="18"/>
  <c r="Q754" i="18"/>
  <c r="Q755" i="18"/>
  <c r="Q756" i="18"/>
  <c r="Q757" i="18"/>
  <c r="Q758" i="18"/>
  <c r="Q760" i="18"/>
  <c r="Q761" i="18"/>
  <c r="Q762" i="18"/>
  <c r="Q764" i="18"/>
  <c r="Q768" i="18"/>
  <c r="Q769" i="18"/>
  <c r="Q770" i="18"/>
  <c r="Q772" i="18"/>
  <c r="Q773" i="18"/>
  <c r="Q774" i="18"/>
  <c r="Q775" i="18"/>
  <c r="Q776" i="18"/>
  <c r="Q777" i="18"/>
  <c r="Q778" i="18"/>
  <c r="Q779" i="18"/>
  <c r="Q780" i="18"/>
  <c r="Q781" i="18"/>
  <c r="Q783" i="18"/>
  <c r="Q784" i="18"/>
  <c r="Q785" i="18"/>
  <c r="Q786" i="18"/>
  <c r="Q787" i="18"/>
  <c r="Q788" i="18"/>
  <c r="Q789" i="18"/>
  <c r="Q791" i="18"/>
  <c r="Q792" i="18"/>
  <c r="Q793" i="18"/>
  <c r="Q795" i="18"/>
  <c r="Q799" i="18"/>
  <c r="Q800" i="18"/>
  <c r="Q801" i="18"/>
  <c r="Q803" i="18"/>
  <c r="Q804" i="18"/>
  <c r="Q805" i="18"/>
  <c r="Q806" i="18"/>
  <c r="Q807" i="18"/>
  <c r="Q808" i="18"/>
  <c r="Q809" i="18"/>
  <c r="Q810" i="18"/>
  <c r="Q811" i="18"/>
  <c r="Q812" i="18"/>
  <c r="Q814" i="18"/>
  <c r="Q815" i="18"/>
  <c r="Q816" i="18"/>
  <c r="Q817" i="18"/>
  <c r="Q818" i="18"/>
  <c r="Q819" i="18"/>
  <c r="Q820" i="18"/>
  <c r="Q823" i="18"/>
  <c r="Q824" i="18"/>
  <c r="Q826" i="18"/>
  <c r="Q830" i="18"/>
  <c r="Q831" i="18"/>
  <c r="Q832" i="18"/>
  <c r="Q834" i="18"/>
  <c r="Q835" i="18"/>
  <c r="Q836" i="18"/>
  <c r="Q837" i="18"/>
  <c r="Q838" i="18"/>
  <c r="Q839" i="18"/>
  <c r="Q840" i="18"/>
  <c r="Q841" i="18"/>
  <c r="Q842" i="18"/>
  <c r="Q843" i="18"/>
  <c r="Q845" i="18"/>
  <c r="Q846" i="18"/>
  <c r="Q847" i="18"/>
  <c r="Q848" i="18"/>
  <c r="Q849" i="18"/>
  <c r="Q850" i="18"/>
  <c r="Q851" i="18"/>
  <c r="Q852" i="18"/>
  <c r="Q853" i="18"/>
  <c r="Q854" i="18"/>
  <c r="Q855" i="18"/>
  <c r="Q857" i="18"/>
  <c r="Q861" i="18"/>
  <c r="Q862" i="18"/>
  <c r="Q863" i="18"/>
  <c r="Q865" i="18"/>
  <c r="Q866" i="18"/>
  <c r="Q867" i="18"/>
  <c r="Q868" i="18"/>
  <c r="Q869" i="18"/>
  <c r="Q870" i="18"/>
  <c r="Q871" i="18"/>
  <c r="Q872" i="18"/>
  <c r="Q873" i="18"/>
  <c r="Q874" i="18"/>
  <c r="Q876" i="18"/>
  <c r="Q877" i="18"/>
  <c r="Q878" i="18"/>
  <c r="Q879" i="18"/>
  <c r="Q880" i="18"/>
  <c r="Q881" i="18"/>
  <c r="Q882" i="18"/>
  <c r="Q883" i="18"/>
  <c r="Q884" i="18"/>
  <c r="Q885" i="18"/>
  <c r="Q886" i="18"/>
  <c r="Q888" i="18"/>
  <c r="Q892" i="18"/>
  <c r="Q893" i="18"/>
  <c r="Q894" i="18"/>
  <c r="Q896" i="18"/>
  <c r="Q897" i="18"/>
  <c r="Q898" i="18"/>
  <c r="Q899" i="18"/>
  <c r="Q900" i="18"/>
  <c r="Q901" i="18"/>
  <c r="Q902" i="18"/>
  <c r="Q903" i="18"/>
  <c r="Q904" i="18"/>
  <c r="Q905" i="18"/>
  <c r="Q907" i="18"/>
  <c r="Q908" i="18"/>
  <c r="Q909" i="18"/>
  <c r="Q910" i="18"/>
  <c r="Q911" i="18"/>
  <c r="Q912" i="18"/>
  <c r="Q913" i="18"/>
  <c r="Q914" i="18"/>
  <c r="Q915" i="18"/>
  <c r="Q916" i="18"/>
  <c r="Q917" i="18"/>
  <c r="Q919" i="18"/>
  <c r="Q923" i="18"/>
  <c r="Q924" i="18"/>
  <c r="Q925" i="18"/>
  <c r="Q927" i="18"/>
  <c r="Q928" i="18"/>
  <c r="Q929" i="18"/>
  <c r="Q930" i="18"/>
  <c r="Q931" i="18"/>
  <c r="Q932" i="18"/>
  <c r="Q933" i="18"/>
  <c r="Q934" i="18"/>
  <c r="Q935" i="18"/>
  <c r="Q936" i="18"/>
  <c r="Q938" i="18"/>
  <c r="Q939" i="18"/>
  <c r="Q940" i="18"/>
  <c r="Q941" i="18"/>
  <c r="Q942" i="18"/>
  <c r="Q943" i="18"/>
  <c r="Q944" i="18"/>
  <c r="Q945" i="18"/>
  <c r="Q946" i="18"/>
  <c r="Q947" i="18"/>
  <c r="Q949" i="18"/>
  <c r="Q953" i="18"/>
  <c r="Q954" i="18"/>
  <c r="Q955" i="18"/>
  <c r="Q957" i="18"/>
  <c r="Q958" i="18"/>
  <c r="Q959" i="18"/>
  <c r="Q960" i="18"/>
  <c r="Q961" i="18"/>
  <c r="Q962" i="18"/>
  <c r="Q963" i="18"/>
  <c r="Q964" i="18"/>
  <c r="Q965" i="18"/>
  <c r="Q966" i="18"/>
  <c r="Q968" i="18"/>
  <c r="Q969" i="18"/>
  <c r="Q970" i="18"/>
  <c r="Q971" i="18"/>
  <c r="Q972" i="18"/>
  <c r="Q973" i="18"/>
  <c r="Q974" i="18"/>
  <c r="Q975" i="18"/>
  <c r="Q976" i="18"/>
  <c r="Q977" i="18"/>
  <c r="Q979" i="18"/>
  <c r="Q983" i="18"/>
  <c r="Q984" i="18"/>
  <c r="Q985" i="18"/>
  <c r="Q987" i="18"/>
  <c r="Q988" i="18"/>
  <c r="Q989" i="18"/>
  <c r="Q990" i="18"/>
  <c r="Q991" i="18"/>
  <c r="Q992" i="18"/>
  <c r="Q993" i="18"/>
  <c r="Q994" i="18"/>
  <c r="Q995" i="18"/>
  <c r="Q996" i="18"/>
  <c r="Q998" i="18"/>
  <c r="Q999" i="18"/>
  <c r="Q1000" i="18"/>
  <c r="Q1001" i="18"/>
  <c r="Q1002" i="18"/>
  <c r="Q1003" i="18"/>
  <c r="Q1004" i="18"/>
  <c r="Q1005" i="18"/>
  <c r="Q1006" i="18"/>
  <c r="Q1007" i="18"/>
  <c r="Q1009" i="18"/>
  <c r="Q1013" i="18"/>
  <c r="Q1014" i="18"/>
  <c r="Q1015" i="18"/>
  <c r="Q1017" i="18"/>
  <c r="Q1018" i="18"/>
  <c r="Q1019" i="18"/>
  <c r="Q1020" i="18"/>
  <c r="Q1021" i="18"/>
  <c r="Q1022" i="18"/>
  <c r="Q1023" i="18"/>
  <c r="Q1024" i="18"/>
  <c r="Q1025" i="18"/>
  <c r="Q1026" i="18"/>
  <c r="Q1028" i="18"/>
  <c r="Q1029" i="18"/>
  <c r="Q1030" i="18"/>
  <c r="Q1031" i="18"/>
  <c r="Q1032" i="18"/>
  <c r="Q1033" i="18"/>
  <c r="Q1034" i="18"/>
  <c r="Q1035" i="18"/>
  <c r="Q1036" i="18"/>
  <c r="Q1037" i="18"/>
  <c r="Q1039" i="18"/>
  <c r="Q1043" i="18"/>
  <c r="Q1044" i="18"/>
  <c r="Q1045" i="18"/>
  <c r="Q1047" i="18"/>
  <c r="Q1048" i="18"/>
  <c r="Q1049" i="18"/>
  <c r="Q1050" i="18"/>
  <c r="Q1051" i="18"/>
  <c r="Q1052" i="18"/>
  <c r="Q1053" i="18"/>
  <c r="Q1054" i="18"/>
  <c r="Q1055" i="18"/>
  <c r="Q1056" i="18"/>
  <c r="Q1058" i="18"/>
  <c r="Q1059" i="18"/>
  <c r="Q1060" i="18"/>
  <c r="Q1061" i="18"/>
  <c r="Q1062" i="18"/>
  <c r="Q1063" i="18"/>
  <c r="Q1064" i="18"/>
  <c r="Q1065" i="18"/>
  <c r="Q1066" i="18"/>
  <c r="Q1067" i="18"/>
  <c r="Q1069" i="18"/>
  <c r="Q1073" i="18"/>
  <c r="Q1074" i="18"/>
  <c r="Q1075" i="18"/>
  <c r="Q1077" i="18"/>
  <c r="Q1078" i="18"/>
  <c r="Q1079" i="18"/>
  <c r="Q1080" i="18"/>
  <c r="Q1081" i="18"/>
  <c r="Q1082" i="18"/>
  <c r="Q1083" i="18"/>
  <c r="Q1084" i="18"/>
  <c r="Q1085" i="18"/>
  <c r="Q1086" i="18"/>
  <c r="Q1088" i="18"/>
  <c r="Q1089" i="18"/>
  <c r="Q1090" i="18"/>
  <c r="Q1091" i="18"/>
  <c r="Q1092" i="18"/>
  <c r="Q1093" i="18"/>
  <c r="Q1094" i="18"/>
  <c r="Q1095" i="18"/>
  <c r="Q1096" i="18"/>
  <c r="B26" i="19"/>
  <c r="B27" i="19"/>
  <c r="B28" i="19"/>
  <c r="B29" i="19"/>
  <c r="B30" i="19"/>
  <c r="B31" i="19"/>
  <c r="B32" i="19"/>
  <c r="B33" i="19"/>
  <c r="B34" i="19"/>
  <c r="B35" i="19"/>
  <c r="B36" i="19"/>
  <c r="B37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O326" i="15"/>
  <c r="O369" i="15"/>
  <c r="B369" i="15"/>
  <c r="B384" i="15"/>
  <c r="B696" i="15"/>
  <c r="B702" i="15"/>
  <c r="B516" i="15"/>
  <c r="B517" i="15"/>
  <c r="B424" i="15"/>
  <c r="B437" i="15"/>
  <c r="B318" i="15"/>
  <c r="B319" i="15"/>
  <c r="B534" i="15"/>
  <c r="B541" i="15"/>
  <c r="B535" i="15"/>
  <c r="B542" i="15"/>
  <c r="B569" i="15"/>
  <c r="B570" i="15"/>
  <c r="B616" i="15"/>
  <c r="B617" i="15"/>
  <c r="B14" i="15"/>
  <c r="B15" i="15"/>
  <c r="B31" i="15"/>
  <c r="B32" i="15"/>
  <c r="B89" i="15"/>
  <c r="B90" i="15"/>
  <c r="B91" i="15"/>
  <c r="B92" i="15"/>
  <c r="B110" i="15"/>
  <c r="B111" i="15"/>
  <c r="B139" i="15"/>
  <c r="B140" i="15"/>
  <c r="B161" i="15"/>
  <c r="B162" i="15"/>
  <c r="B200" i="15"/>
  <c r="B201" i="15"/>
  <c r="B210" i="15"/>
  <c r="B211" i="15"/>
  <c r="B212" i="15"/>
  <c r="B213" i="15"/>
  <c r="B242" i="15"/>
  <c r="B243" i="15"/>
  <c r="B244" i="15"/>
  <c r="B245" i="15"/>
  <c r="B304" i="15"/>
  <c r="B305" i="15"/>
  <c r="B334" i="15"/>
  <c r="B335" i="15"/>
  <c r="B353" i="15"/>
  <c r="B354" i="15"/>
  <c r="B367" i="15"/>
  <c r="B368" i="15"/>
  <c r="B382" i="15"/>
  <c r="B383" i="15"/>
  <c r="B395" i="15"/>
  <c r="B396" i="15"/>
  <c r="B408" i="15"/>
  <c r="B409" i="15"/>
  <c r="B420" i="15"/>
  <c r="B421" i="15"/>
  <c r="B432" i="15"/>
  <c r="B433" i="15"/>
  <c r="B445" i="15"/>
  <c r="B446" i="15"/>
  <c r="B457" i="15"/>
  <c r="B458" i="15"/>
  <c r="B468" i="15"/>
  <c r="B469" i="15"/>
  <c r="B480" i="15"/>
  <c r="B481" i="15"/>
  <c r="B489" i="15"/>
  <c r="B490" i="15"/>
  <c r="B498" i="15"/>
  <c r="B499" i="15"/>
  <c r="B500" i="15"/>
  <c r="B501" i="15"/>
  <c r="B381" i="15"/>
  <c r="B394" i="15"/>
  <c r="B405" i="15"/>
  <c r="B418" i="15"/>
  <c r="B578" i="15"/>
  <c r="B571" i="15"/>
  <c r="B572" i="15"/>
  <c r="B626" i="15"/>
  <c r="B559" i="15"/>
  <c r="B560" i="15"/>
  <c r="B561" i="15"/>
  <c r="B562" i="15"/>
  <c r="B563" i="15"/>
  <c r="B564" i="15"/>
  <c r="B573" i="15"/>
  <c r="B574" i="15"/>
  <c r="B580" i="15"/>
  <c r="B581" i="15"/>
  <c r="B582" i="15"/>
  <c r="B583" i="15"/>
  <c r="B532" i="15"/>
  <c r="B553" i="15"/>
  <c r="B533" i="15"/>
  <c r="B586" i="15"/>
  <c r="B589" i="15"/>
  <c r="B590" i="15"/>
  <c r="B591" i="15"/>
  <c r="B592" i="15"/>
  <c r="B593" i="15"/>
  <c r="B594" i="15"/>
  <c r="B596" i="15"/>
  <c r="B597" i="15"/>
  <c r="B602" i="15"/>
  <c r="B603" i="15"/>
  <c r="B598" i="15"/>
  <c r="B599" i="15"/>
  <c r="B600" i="15"/>
  <c r="B601" i="15"/>
  <c r="B605" i="15"/>
  <c r="B606" i="15"/>
  <c r="B607" i="15"/>
  <c r="B608" i="15"/>
  <c r="B612" i="15"/>
  <c r="B609" i="15"/>
  <c r="B604" i="15"/>
  <c r="B614" i="15"/>
  <c r="B618" i="15"/>
  <c r="B660" i="15"/>
  <c r="B631" i="15"/>
  <c r="B632" i="15"/>
  <c r="B633" i="15"/>
  <c r="B274" i="15"/>
  <c r="B634" i="15"/>
  <c r="B635" i="15"/>
  <c r="B636" i="15"/>
  <c r="B637" i="15"/>
  <c r="B267" i="15"/>
  <c r="B790" i="15"/>
  <c r="B782" i="15"/>
  <c r="B783" i="15"/>
  <c r="B784" i="15"/>
  <c r="B785" i="15"/>
  <c r="B786" i="15"/>
  <c r="B787" i="15"/>
  <c r="B800" i="15"/>
  <c r="B198" i="15"/>
  <c r="B46" i="15"/>
  <c r="B99" i="15"/>
  <c r="B148" i="15"/>
  <c r="B147" i="15"/>
  <c r="C489" i="15"/>
  <c r="C490" i="15"/>
  <c r="C498" i="15"/>
  <c r="C499" i="15"/>
  <c r="L369" i="15"/>
  <c r="L384" i="15"/>
  <c r="L696" i="15"/>
  <c r="L702" i="15"/>
  <c r="L516" i="15"/>
  <c r="L517" i="15"/>
  <c r="L424" i="15"/>
  <c r="L437" i="15"/>
  <c r="L318" i="15"/>
  <c r="L319" i="15"/>
  <c r="L534" i="15"/>
  <c r="L541" i="15"/>
  <c r="L535" i="15"/>
  <c r="L542" i="15"/>
  <c r="L569" i="15"/>
  <c r="L570" i="15"/>
  <c r="L616" i="15"/>
  <c r="L617" i="15"/>
  <c r="L14" i="15"/>
  <c r="L15" i="15"/>
  <c r="L31" i="15"/>
  <c r="L32" i="15"/>
  <c r="L89" i="15"/>
  <c r="L90" i="15"/>
  <c r="L91" i="15"/>
  <c r="L92" i="15"/>
  <c r="L110" i="15"/>
  <c r="L111" i="15"/>
  <c r="L139" i="15"/>
  <c r="L140" i="15"/>
  <c r="L161" i="15"/>
  <c r="L162" i="15"/>
  <c r="L200" i="15"/>
  <c r="L201" i="15"/>
  <c r="L210" i="15"/>
  <c r="L211" i="15"/>
  <c r="L212" i="15"/>
  <c r="L213" i="15"/>
  <c r="L242" i="15"/>
  <c r="L243" i="15"/>
  <c r="L244" i="15"/>
  <c r="L245" i="15"/>
  <c r="L304" i="15"/>
  <c r="L305" i="15"/>
  <c r="L334" i="15"/>
  <c r="L335" i="15"/>
  <c r="L353" i="15"/>
  <c r="L354" i="15"/>
  <c r="L367" i="15"/>
  <c r="L368" i="15"/>
  <c r="L382" i="15"/>
  <c r="L383" i="15"/>
  <c r="L395" i="15"/>
  <c r="L396" i="15"/>
  <c r="L408" i="15"/>
  <c r="L409" i="15"/>
  <c r="L420" i="15"/>
  <c r="L421" i="15"/>
  <c r="L432" i="15"/>
  <c r="L433" i="15"/>
  <c r="L445" i="15"/>
  <c r="L446" i="15"/>
  <c r="L457" i="15"/>
  <c r="L458" i="15"/>
  <c r="L468" i="15"/>
  <c r="L469" i="15"/>
  <c r="L480" i="15"/>
  <c r="L481" i="15"/>
  <c r="L489" i="15"/>
  <c r="L490" i="15"/>
  <c r="L498" i="15"/>
  <c r="L499" i="15"/>
  <c r="L500" i="15"/>
  <c r="L501" i="15"/>
  <c r="L381" i="15"/>
  <c r="L394" i="15"/>
  <c r="L405" i="15"/>
  <c r="L418" i="15"/>
  <c r="L578" i="15"/>
  <c r="L571" i="15"/>
  <c r="L572" i="15"/>
  <c r="L626" i="15"/>
  <c r="L559" i="15"/>
  <c r="L560" i="15"/>
  <c r="L561" i="15"/>
  <c r="L562" i="15"/>
  <c r="L563" i="15"/>
  <c r="L564" i="15"/>
  <c r="L573" i="15"/>
  <c r="L574" i="15"/>
  <c r="L580" i="15"/>
  <c r="L581" i="15"/>
  <c r="L582" i="15"/>
  <c r="L583" i="15"/>
  <c r="L532" i="15"/>
  <c r="L553" i="15"/>
  <c r="L533" i="15"/>
  <c r="L586" i="15"/>
  <c r="L589" i="15"/>
  <c r="L590" i="15"/>
  <c r="L591" i="15"/>
  <c r="L592" i="15"/>
  <c r="L593" i="15"/>
  <c r="L594" i="15"/>
  <c r="L596" i="15"/>
  <c r="L597" i="15"/>
  <c r="L602" i="15"/>
  <c r="L603" i="15"/>
  <c r="L598" i="15"/>
  <c r="L599" i="15"/>
  <c r="L600" i="15"/>
  <c r="L601" i="15"/>
  <c r="L605" i="15"/>
  <c r="L606" i="15"/>
  <c r="L607" i="15"/>
  <c r="L608" i="15"/>
  <c r="L612" i="15"/>
  <c r="L609" i="15"/>
  <c r="L604" i="15"/>
  <c r="L614" i="15"/>
  <c r="L618" i="15"/>
  <c r="L660" i="15"/>
  <c r="L407" i="15"/>
  <c r="L631" i="15"/>
  <c r="L632" i="15"/>
  <c r="L633" i="15"/>
  <c r="L274" i="15"/>
  <c r="L634" i="15"/>
  <c r="L635" i="15"/>
  <c r="L636" i="15"/>
  <c r="L637" i="15"/>
  <c r="L267" i="15"/>
  <c r="L790" i="15"/>
  <c r="L782" i="15"/>
  <c r="L783" i="15"/>
  <c r="L784" i="15"/>
  <c r="L785" i="15"/>
  <c r="L786" i="15"/>
  <c r="L787" i="15"/>
  <c r="L800" i="15"/>
  <c r="L198" i="15"/>
  <c r="L46" i="15"/>
  <c r="L99" i="15"/>
  <c r="L148" i="15"/>
  <c r="L147" i="15"/>
  <c r="N369" i="15"/>
  <c r="N384" i="15"/>
  <c r="N696" i="15"/>
  <c r="N702" i="15"/>
  <c r="N516" i="15"/>
  <c r="N517" i="15"/>
  <c r="N424" i="15"/>
  <c r="N437" i="15"/>
  <c r="N318" i="15"/>
  <c r="N319" i="15"/>
  <c r="N534" i="15"/>
  <c r="N541" i="15"/>
  <c r="N535" i="15"/>
  <c r="N542" i="15"/>
  <c r="N569" i="15"/>
  <c r="N570" i="15"/>
  <c r="N616" i="15"/>
  <c r="N617" i="15"/>
  <c r="N14" i="15"/>
  <c r="N15" i="15"/>
  <c r="N31" i="15"/>
  <c r="N32" i="15"/>
  <c r="N89" i="15"/>
  <c r="N90" i="15"/>
  <c r="N91" i="15"/>
  <c r="N92" i="15"/>
  <c r="N110" i="15"/>
  <c r="N111" i="15"/>
  <c r="N139" i="15"/>
  <c r="N140" i="15"/>
  <c r="N161" i="15"/>
  <c r="N162" i="15"/>
  <c r="N200" i="15"/>
  <c r="N201" i="15"/>
  <c r="N210" i="15"/>
  <c r="N211" i="15"/>
  <c r="N212" i="15"/>
  <c r="N213" i="15"/>
  <c r="N242" i="15"/>
  <c r="N243" i="15"/>
  <c r="N244" i="15"/>
  <c r="N245" i="15"/>
  <c r="N304" i="15"/>
  <c r="N305" i="15"/>
  <c r="N334" i="15"/>
  <c r="N335" i="15"/>
  <c r="N353" i="15"/>
  <c r="N354" i="15"/>
  <c r="N367" i="15"/>
  <c r="N368" i="15"/>
  <c r="N382" i="15"/>
  <c r="N383" i="15"/>
  <c r="N395" i="15"/>
  <c r="N396" i="15"/>
  <c r="N408" i="15"/>
  <c r="N409" i="15"/>
  <c r="N420" i="15"/>
  <c r="N421" i="15"/>
  <c r="N432" i="15"/>
  <c r="N433" i="15"/>
  <c r="N445" i="15"/>
  <c r="N446" i="15"/>
  <c r="N457" i="15"/>
  <c r="N458" i="15"/>
  <c r="N468" i="15"/>
  <c r="N469" i="15"/>
  <c r="N480" i="15"/>
  <c r="N481" i="15"/>
  <c r="N489" i="15"/>
  <c r="N490" i="15"/>
  <c r="N498" i="15"/>
  <c r="N499" i="15"/>
  <c r="N500" i="15"/>
  <c r="N501" i="15"/>
  <c r="N381" i="15"/>
  <c r="N394" i="15"/>
  <c r="N405" i="15"/>
  <c r="N418" i="15"/>
  <c r="N578" i="15"/>
  <c r="N571" i="15"/>
  <c r="N572" i="15"/>
  <c r="N626" i="15"/>
  <c r="N559" i="15"/>
  <c r="N560" i="15"/>
  <c r="N561" i="15"/>
  <c r="N562" i="15"/>
  <c r="N563" i="15"/>
  <c r="N564" i="15"/>
  <c r="N573" i="15"/>
  <c r="N574" i="15"/>
  <c r="N580" i="15"/>
  <c r="N581" i="15"/>
  <c r="N582" i="15"/>
  <c r="N583" i="15"/>
  <c r="N532" i="15"/>
  <c r="N553" i="15"/>
  <c r="N533" i="15"/>
  <c r="N586" i="15"/>
  <c r="N589" i="15"/>
  <c r="N590" i="15"/>
  <c r="N591" i="15"/>
  <c r="N592" i="15"/>
  <c r="N593" i="15"/>
  <c r="N594" i="15"/>
  <c r="N596" i="15"/>
  <c r="N597" i="15"/>
  <c r="N602" i="15"/>
  <c r="N603" i="15"/>
  <c r="N598" i="15"/>
  <c r="N599" i="15"/>
  <c r="N600" i="15"/>
  <c r="N601" i="15"/>
  <c r="N605" i="15"/>
  <c r="N606" i="15"/>
  <c r="N607" i="15"/>
  <c r="N608" i="15"/>
  <c r="N612" i="15"/>
  <c r="N609" i="15"/>
  <c r="N604" i="15"/>
  <c r="N614" i="15"/>
  <c r="N618" i="15"/>
  <c r="N660" i="15"/>
  <c r="N407" i="15"/>
  <c r="N631" i="15"/>
  <c r="N632" i="15"/>
  <c r="N633" i="15"/>
  <c r="N274" i="15"/>
  <c r="N634" i="15"/>
  <c r="N635" i="15"/>
  <c r="N636" i="15"/>
  <c r="N637" i="15"/>
  <c r="N267" i="15"/>
  <c r="N790" i="15"/>
  <c r="N782" i="15"/>
  <c r="N783" i="15"/>
  <c r="N784" i="15"/>
  <c r="N785" i="15"/>
  <c r="N786" i="15"/>
  <c r="N787" i="15"/>
  <c r="N800" i="15"/>
  <c r="N198" i="15"/>
  <c r="N46" i="15"/>
  <c r="N99" i="15"/>
  <c r="N148" i="15"/>
  <c r="N147" i="15"/>
  <c r="O384" i="15"/>
  <c r="O696" i="15"/>
  <c r="O702" i="15"/>
  <c r="O516" i="15"/>
  <c r="O517" i="15"/>
  <c r="O424" i="15"/>
  <c r="O437" i="15"/>
  <c r="O318" i="15"/>
  <c r="O319" i="15"/>
  <c r="O534" i="15"/>
  <c r="O541" i="15"/>
  <c r="O535" i="15"/>
  <c r="O542" i="15"/>
  <c r="O569" i="15"/>
  <c r="O570" i="15"/>
  <c r="O616" i="15"/>
  <c r="O617" i="15"/>
  <c r="O14" i="15"/>
  <c r="O15" i="15"/>
  <c r="O31" i="15"/>
  <c r="O32" i="15"/>
  <c r="O89" i="15"/>
  <c r="O90" i="15"/>
  <c r="O91" i="15"/>
  <c r="O92" i="15"/>
  <c r="O110" i="15"/>
  <c r="O111" i="15"/>
  <c r="O139" i="15"/>
  <c r="O140" i="15"/>
  <c r="O161" i="15"/>
  <c r="O162" i="15"/>
  <c r="O200" i="15"/>
  <c r="O201" i="15"/>
  <c r="O210" i="15"/>
  <c r="O211" i="15"/>
  <c r="O212" i="15"/>
  <c r="O213" i="15"/>
  <c r="O242" i="15"/>
  <c r="O243" i="15"/>
  <c r="O244" i="15"/>
  <c r="O245" i="15"/>
  <c r="O304" i="15"/>
  <c r="O305" i="15"/>
  <c r="O334" i="15"/>
  <c r="O335" i="15"/>
  <c r="O353" i="15"/>
  <c r="O354" i="15"/>
  <c r="O367" i="15"/>
  <c r="O368" i="15"/>
  <c r="O382" i="15"/>
  <c r="O383" i="15"/>
  <c r="O395" i="15"/>
  <c r="O396" i="15"/>
  <c r="O408" i="15"/>
  <c r="O409" i="15"/>
  <c r="O420" i="15"/>
  <c r="O421" i="15"/>
  <c r="O432" i="15"/>
  <c r="O433" i="15"/>
  <c r="O445" i="15"/>
  <c r="O446" i="15"/>
  <c r="O457" i="15"/>
  <c r="O458" i="15"/>
  <c r="O468" i="15"/>
  <c r="O469" i="15"/>
  <c r="O480" i="15"/>
  <c r="O481" i="15"/>
  <c r="O489" i="15"/>
  <c r="O490" i="15"/>
  <c r="O498" i="15"/>
  <c r="O499" i="15"/>
  <c r="O500" i="15"/>
  <c r="O501" i="15"/>
  <c r="O381" i="15"/>
  <c r="O394" i="15"/>
  <c r="O405" i="15"/>
  <c r="O418" i="15"/>
  <c r="O578" i="15"/>
  <c r="O571" i="15"/>
  <c r="O572" i="15"/>
  <c r="O626" i="15"/>
  <c r="O559" i="15"/>
  <c r="O560" i="15"/>
  <c r="O561" i="15"/>
  <c r="O562" i="15"/>
  <c r="O563" i="15"/>
  <c r="O564" i="15"/>
  <c r="O573" i="15"/>
  <c r="O574" i="15"/>
  <c r="O580" i="15"/>
  <c r="O581" i="15"/>
  <c r="O582" i="15"/>
  <c r="O583" i="15"/>
  <c r="O532" i="15"/>
  <c r="O553" i="15"/>
  <c r="O533" i="15"/>
  <c r="O586" i="15"/>
  <c r="O589" i="15"/>
  <c r="O590" i="15"/>
  <c r="O591" i="15"/>
  <c r="O592" i="15"/>
  <c r="O593" i="15"/>
  <c r="O594" i="15"/>
  <c r="O596" i="15"/>
  <c r="O597" i="15"/>
  <c r="O602" i="15"/>
  <c r="O603" i="15"/>
  <c r="O598" i="15"/>
  <c r="O599" i="15"/>
  <c r="O600" i="15"/>
  <c r="O601" i="15"/>
  <c r="O605" i="15"/>
  <c r="O607" i="15"/>
  <c r="O608" i="15"/>
  <c r="O612" i="15"/>
  <c r="O609" i="15"/>
  <c r="O604" i="15"/>
  <c r="O614" i="15"/>
  <c r="O618" i="15"/>
  <c r="O660" i="15"/>
  <c r="O407" i="15"/>
  <c r="O631" i="15"/>
  <c r="O632" i="15"/>
  <c r="O633" i="15"/>
  <c r="O274" i="15"/>
  <c r="O634" i="15"/>
  <c r="O635" i="15"/>
  <c r="O636" i="15"/>
  <c r="O637" i="15"/>
  <c r="O267" i="15"/>
  <c r="O790" i="15"/>
  <c r="O782" i="15"/>
  <c r="O783" i="15"/>
  <c r="O784" i="15"/>
  <c r="O786" i="15"/>
  <c r="O787" i="15"/>
  <c r="O800" i="15"/>
  <c r="O198" i="15"/>
  <c r="O46" i="15"/>
  <c r="O99" i="15"/>
  <c r="O148" i="15"/>
  <c r="O147" i="15"/>
  <c r="P369" i="15"/>
  <c r="P384" i="15"/>
  <c r="P696" i="15"/>
  <c r="P702" i="15"/>
  <c r="P516" i="15"/>
  <c r="P517" i="15"/>
  <c r="P424" i="15"/>
  <c r="P437" i="15"/>
  <c r="P318" i="15"/>
  <c r="P319" i="15"/>
  <c r="P534" i="15"/>
  <c r="P541" i="15"/>
  <c r="P535" i="15"/>
  <c r="P542" i="15"/>
  <c r="P569" i="15"/>
  <c r="P570" i="15"/>
  <c r="P616" i="15"/>
  <c r="P617" i="15"/>
  <c r="P14" i="15"/>
  <c r="P15" i="15"/>
  <c r="P31" i="15"/>
  <c r="P32" i="15"/>
  <c r="P89" i="15"/>
  <c r="P90" i="15"/>
  <c r="P91" i="15"/>
  <c r="P92" i="15"/>
  <c r="P110" i="15"/>
  <c r="P111" i="15"/>
  <c r="P139" i="15"/>
  <c r="P140" i="15"/>
  <c r="P161" i="15"/>
  <c r="P162" i="15"/>
  <c r="P200" i="15"/>
  <c r="P201" i="15"/>
  <c r="P210" i="15"/>
  <c r="P211" i="15"/>
  <c r="P212" i="15"/>
  <c r="P213" i="15"/>
  <c r="P242" i="15"/>
  <c r="P243" i="15"/>
  <c r="P244" i="15"/>
  <c r="P245" i="15"/>
  <c r="P304" i="15"/>
  <c r="P305" i="15"/>
  <c r="P334" i="15"/>
  <c r="P335" i="15"/>
  <c r="P353" i="15"/>
  <c r="P354" i="15"/>
  <c r="P367" i="15"/>
  <c r="P368" i="15"/>
  <c r="P382" i="15"/>
  <c r="P383" i="15"/>
  <c r="P395" i="15"/>
  <c r="P396" i="15"/>
  <c r="P408" i="15"/>
  <c r="P409" i="15"/>
  <c r="P420" i="15"/>
  <c r="P421" i="15"/>
  <c r="P432" i="15"/>
  <c r="P433" i="15"/>
  <c r="P445" i="15"/>
  <c r="P446" i="15"/>
  <c r="P457" i="15"/>
  <c r="P458" i="15"/>
  <c r="P468" i="15"/>
  <c r="P469" i="15"/>
  <c r="P480" i="15"/>
  <c r="P481" i="15"/>
  <c r="P489" i="15"/>
  <c r="P490" i="15"/>
  <c r="P498" i="15"/>
  <c r="P499" i="15"/>
  <c r="P500" i="15"/>
  <c r="P501" i="15"/>
  <c r="P381" i="15"/>
  <c r="P394" i="15"/>
  <c r="P405" i="15"/>
  <c r="P418" i="15"/>
  <c r="P578" i="15"/>
  <c r="P571" i="15"/>
  <c r="P572" i="15"/>
  <c r="P626" i="15"/>
  <c r="P559" i="15"/>
  <c r="P560" i="15"/>
  <c r="P561" i="15"/>
  <c r="P562" i="15"/>
  <c r="P563" i="15"/>
  <c r="P564" i="15"/>
  <c r="P573" i="15"/>
  <c r="P574" i="15"/>
  <c r="P580" i="15"/>
  <c r="P581" i="15"/>
  <c r="P582" i="15"/>
  <c r="P583" i="15"/>
  <c r="P532" i="15"/>
  <c r="P553" i="15"/>
  <c r="P533" i="15"/>
  <c r="P586" i="15"/>
  <c r="P589" i="15"/>
  <c r="P590" i="15"/>
  <c r="P591" i="15"/>
  <c r="P592" i="15"/>
  <c r="P593" i="15"/>
  <c r="P594" i="15"/>
  <c r="P596" i="15"/>
  <c r="P597" i="15"/>
  <c r="P602" i="15"/>
  <c r="P603" i="15"/>
  <c r="P598" i="15"/>
  <c r="P599" i="15"/>
  <c r="P600" i="15"/>
  <c r="P601" i="15"/>
  <c r="P605" i="15"/>
  <c r="P606" i="15"/>
  <c r="P607" i="15"/>
  <c r="P608" i="15"/>
  <c r="P612" i="15"/>
  <c r="P609" i="15"/>
  <c r="P604" i="15"/>
  <c r="P614" i="15"/>
  <c r="P618" i="15"/>
  <c r="P660" i="15"/>
  <c r="P407" i="15"/>
  <c r="P631" i="15"/>
  <c r="P632" i="15"/>
  <c r="P633" i="15"/>
  <c r="P274" i="15"/>
  <c r="P634" i="15"/>
  <c r="P635" i="15"/>
  <c r="P636" i="15"/>
  <c r="P637" i="15"/>
  <c r="P267" i="15"/>
  <c r="P790" i="15"/>
  <c r="P782" i="15"/>
  <c r="P783" i="15"/>
  <c r="P784" i="15"/>
  <c r="P785" i="15"/>
  <c r="P786" i="15"/>
  <c r="P787" i="15"/>
  <c r="P800" i="15"/>
  <c r="P198" i="15"/>
  <c r="P46" i="15"/>
  <c r="P99" i="15"/>
  <c r="P148" i="15"/>
  <c r="P147" i="15"/>
  <c r="R369" i="15"/>
  <c r="R384" i="15"/>
  <c r="R696" i="15"/>
  <c r="R702" i="15"/>
  <c r="R516" i="15"/>
  <c r="R517" i="15"/>
  <c r="R424" i="15"/>
  <c r="R437" i="15"/>
  <c r="R318" i="15"/>
  <c r="R319" i="15"/>
  <c r="R534" i="15"/>
  <c r="R541" i="15"/>
  <c r="R535" i="15"/>
  <c r="R542" i="15"/>
  <c r="R569" i="15"/>
  <c r="R570" i="15"/>
  <c r="R616" i="15"/>
  <c r="R617" i="15"/>
  <c r="R14" i="15"/>
  <c r="R15" i="15"/>
  <c r="R31" i="15"/>
  <c r="R32" i="15"/>
  <c r="R89" i="15"/>
  <c r="R90" i="15"/>
  <c r="R91" i="15"/>
  <c r="R92" i="15"/>
  <c r="R110" i="15"/>
  <c r="R111" i="15"/>
  <c r="R139" i="15"/>
  <c r="R140" i="15"/>
  <c r="R161" i="15"/>
  <c r="R162" i="15"/>
  <c r="R200" i="15"/>
  <c r="R201" i="15"/>
  <c r="R210" i="15"/>
  <c r="R211" i="15"/>
  <c r="R212" i="15"/>
  <c r="R213" i="15"/>
  <c r="R242" i="15"/>
  <c r="R243" i="15"/>
  <c r="R244" i="15"/>
  <c r="R245" i="15"/>
  <c r="R304" i="15"/>
  <c r="R305" i="15"/>
  <c r="R334" i="15"/>
  <c r="R335" i="15"/>
  <c r="R353" i="15"/>
  <c r="R354" i="15"/>
  <c r="R367" i="15"/>
  <c r="R368" i="15"/>
  <c r="R382" i="15"/>
  <c r="R383" i="15"/>
  <c r="R395" i="15"/>
  <c r="R396" i="15"/>
  <c r="R408" i="15"/>
  <c r="R409" i="15"/>
  <c r="R420" i="15"/>
  <c r="R421" i="15"/>
  <c r="R432" i="15"/>
  <c r="R433" i="15"/>
  <c r="R445" i="15"/>
  <c r="R446" i="15"/>
  <c r="R457" i="15"/>
  <c r="R458" i="15"/>
  <c r="R468" i="15"/>
  <c r="R469" i="15"/>
  <c r="R480" i="15"/>
  <c r="R481" i="15"/>
  <c r="R489" i="15"/>
  <c r="R490" i="15"/>
  <c r="R498" i="15"/>
  <c r="R499" i="15"/>
  <c r="R500" i="15"/>
  <c r="R501" i="15"/>
  <c r="R381" i="15"/>
  <c r="R394" i="15"/>
  <c r="R405" i="15"/>
  <c r="R418" i="15"/>
  <c r="R578" i="15"/>
  <c r="R571" i="15"/>
  <c r="R572" i="15"/>
  <c r="R626" i="15"/>
  <c r="R559" i="15"/>
  <c r="R560" i="15"/>
  <c r="R561" i="15"/>
  <c r="R562" i="15"/>
  <c r="R563" i="15"/>
  <c r="R564" i="15"/>
  <c r="R573" i="15"/>
  <c r="R574" i="15"/>
  <c r="R580" i="15"/>
  <c r="R581" i="15"/>
  <c r="R582" i="15"/>
  <c r="R583" i="15"/>
  <c r="R532" i="15"/>
  <c r="R553" i="15"/>
  <c r="R533" i="15"/>
  <c r="R586" i="15"/>
  <c r="R589" i="15"/>
  <c r="R590" i="15"/>
  <c r="R591" i="15"/>
  <c r="R592" i="15"/>
  <c r="R593" i="15"/>
  <c r="R594" i="15"/>
  <c r="R596" i="15"/>
  <c r="R597" i="15"/>
  <c r="R602" i="15"/>
  <c r="R603" i="15"/>
  <c r="R598" i="15"/>
  <c r="R599" i="15"/>
  <c r="R600" i="15"/>
  <c r="R601" i="15"/>
  <c r="R605" i="15"/>
  <c r="R606" i="15"/>
  <c r="R607" i="15"/>
  <c r="R608" i="15"/>
  <c r="R612" i="15"/>
  <c r="R609" i="15"/>
  <c r="R604" i="15"/>
  <c r="R614" i="15"/>
  <c r="R618" i="15"/>
  <c r="R660" i="15"/>
  <c r="R407" i="15"/>
  <c r="R631" i="15"/>
  <c r="R632" i="15"/>
  <c r="R633" i="15"/>
  <c r="R274" i="15"/>
  <c r="R634" i="15"/>
  <c r="R635" i="15"/>
  <c r="R636" i="15"/>
  <c r="R637" i="15"/>
  <c r="R267" i="15"/>
  <c r="R790" i="15"/>
  <c r="R782" i="15"/>
  <c r="R783" i="15"/>
  <c r="R784" i="15"/>
  <c r="R785" i="15"/>
  <c r="R786" i="15"/>
  <c r="R787" i="15"/>
  <c r="R800" i="15"/>
  <c r="R198" i="15"/>
  <c r="R46" i="15"/>
  <c r="R99" i="15"/>
  <c r="R148" i="15"/>
  <c r="R147" i="15"/>
  <c r="S369" i="15"/>
  <c r="S384" i="15"/>
  <c r="S696" i="15"/>
  <c r="S702" i="15"/>
  <c r="S516" i="15"/>
  <c r="S517" i="15"/>
  <c r="S424" i="15"/>
  <c r="S437" i="15"/>
  <c r="S318" i="15"/>
  <c r="S319" i="15"/>
  <c r="S534" i="15"/>
  <c r="S541" i="15"/>
  <c r="S535" i="15"/>
  <c r="S542" i="15"/>
  <c r="S569" i="15"/>
  <c r="S570" i="15"/>
  <c r="S616" i="15"/>
  <c r="S617" i="15"/>
  <c r="S14" i="15"/>
  <c r="S15" i="15"/>
  <c r="S31" i="15"/>
  <c r="S32" i="15"/>
  <c r="S89" i="15"/>
  <c r="S90" i="15"/>
  <c r="S91" i="15"/>
  <c r="S92" i="15"/>
  <c r="S110" i="15"/>
  <c r="S111" i="15"/>
  <c r="S139" i="15"/>
  <c r="S140" i="15"/>
  <c r="S161" i="15"/>
  <c r="S162" i="15"/>
  <c r="S200" i="15"/>
  <c r="S201" i="15"/>
  <c r="S210" i="15"/>
  <c r="S211" i="15"/>
  <c r="S212" i="15"/>
  <c r="S213" i="15"/>
  <c r="S242" i="15"/>
  <c r="S243" i="15"/>
  <c r="S244" i="15"/>
  <c r="S245" i="15"/>
  <c r="S304" i="15"/>
  <c r="S305" i="15"/>
  <c r="S334" i="15"/>
  <c r="S335" i="15"/>
  <c r="S353" i="15"/>
  <c r="S354" i="15"/>
  <c r="S367" i="15"/>
  <c r="S368" i="15"/>
  <c r="S382" i="15"/>
  <c r="S383" i="15"/>
  <c r="S395" i="15"/>
  <c r="S396" i="15"/>
  <c r="S408" i="15"/>
  <c r="S409" i="15"/>
  <c r="S420" i="15"/>
  <c r="S421" i="15"/>
  <c r="S432" i="15"/>
  <c r="S433" i="15"/>
  <c r="S445" i="15"/>
  <c r="S446" i="15"/>
  <c r="S457" i="15"/>
  <c r="S458" i="15"/>
  <c r="S468" i="15"/>
  <c r="S469" i="15"/>
  <c r="S480" i="15"/>
  <c r="S481" i="15"/>
  <c r="S489" i="15"/>
  <c r="S490" i="15"/>
  <c r="S498" i="15"/>
  <c r="S499" i="15"/>
  <c r="S500" i="15"/>
  <c r="S501" i="15"/>
  <c r="S381" i="15"/>
  <c r="S394" i="15"/>
  <c r="S405" i="15"/>
  <c r="S418" i="15"/>
  <c r="S578" i="15"/>
  <c r="S571" i="15"/>
  <c r="S572" i="15"/>
  <c r="S626" i="15"/>
  <c r="S559" i="15"/>
  <c r="S560" i="15"/>
  <c r="S561" i="15"/>
  <c r="S562" i="15"/>
  <c r="S563" i="15"/>
  <c r="S564" i="15"/>
  <c r="S573" i="15"/>
  <c r="S574" i="15"/>
  <c r="S580" i="15"/>
  <c r="S581" i="15"/>
  <c r="S582" i="15"/>
  <c r="S583" i="15"/>
  <c r="S532" i="15"/>
  <c r="S553" i="15"/>
  <c r="S533" i="15"/>
  <c r="S586" i="15"/>
  <c r="S589" i="15"/>
  <c r="S590" i="15"/>
  <c r="S591" i="15"/>
  <c r="S592" i="15"/>
  <c r="S593" i="15"/>
  <c r="S594" i="15"/>
  <c r="S596" i="15"/>
  <c r="S597" i="15"/>
  <c r="S602" i="15"/>
  <c r="S603" i="15"/>
  <c r="S598" i="15"/>
  <c r="S599" i="15"/>
  <c r="S600" i="15"/>
  <c r="S601" i="15"/>
  <c r="S605" i="15"/>
  <c r="S606" i="15"/>
  <c r="S607" i="15"/>
  <c r="S608" i="15"/>
  <c r="S612" i="15"/>
  <c r="S609" i="15"/>
  <c r="S604" i="15"/>
  <c r="S614" i="15"/>
  <c r="S618" i="15"/>
  <c r="S660" i="15"/>
  <c r="S407" i="15"/>
  <c r="S631" i="15"/>
  <c r="S632" i="15"/>
  <c r="S633" i="15"/>
  <c r="S274" i="15"/>
  <c r="S634" i="15"/>
  <c r="S635" i="15"/>
  <c r="S636" i="15"/>
  <c r="S637" i="15"/>
  <c r="S267" i="15"/>
  <c r="S790" i="15"/>
  <c r="S782" i="15"/>
  <c r="S783" i="15"/>
  <c r="S784" i="15"/>
  <c r="S785" i="15"/>
  <c r="S786" i="15"/>
  <c r="S787" i="15"/>
  <c r="S800" i="15"/>
  <c r="S198" i="15"/>
  <c r="S46" i="15"/>
  <c r="S99" i="15"/>
  <c r="S148" i="15"/>
  <c r="S147" i="15"/>
  <c r="W369" i="15"/>
  <c r="W384" i="15"/>
  <c r="W696" i="15"/>
  <c r="W702" i="15"/>
  <c r="W516" i="15"/>
  <c r="W517" i="15"/>
  <c r="W424" i="15"/>
  <c r="W437" i="15"/>
  <c r="W318" i="15"/>
  <c r="W319" i="15"/>
  <c r="W534" i="15"/>
  <c r="W541" i="15"/>
  <c r="W535" i="15"/>
  <c r="W542" i="15"/>
  <c r="W569" i="15"/>
  <c r="W570" i="15"/>
  <c r="W616" i="15"/>
  <c r="W617" i="15"/>
  <c r="W14" i="15"/>
  <c r="W15" i="15"/>
  <c r="W31" i="15"/>
  <c r="W32" i="15"/>
  <c r="W89" i="15"/>
  <c r="W90" i="15"/>
  <c r="W91" i="15"/>
  <c r="W92" i="15"/>
  <c r="W110" i="15"/>
  <c r="W111" i="15"/>
  <c r="W139" i="15"/>
  <c r="W140" i="15"/>
  <c r="W161" i="15"/>
  <c r="W162" i="15"/>
  <c r="W200" i="15"/>
  <c r="W201" i="15"/>
  <c r="W210" i="15"/>
  <c r="W211" i="15"/>
  <c r="W212" i="15"/>
  <c r="W213" i="15"/>
  <c r="W242" i="15"/>
  <c r="W243" i="15"/>
  <c r="W244" i="15"/>
  <c r="W245" i="15"/>
  <c r="W304" i="15"/>
  <c r="W305" i="15"/>
  <c r="W334" i="15"/>
  <c r="W335" i="15"/>
  <c r="W353" i="15"/>
  <c r="W354" i="15"/>
  <c r="W367" i="15"/>
  <c r="W368" i="15"/>
  <c r="W382" i="15"/>
  <c r="W383" i="15"/>
  <c r="W395" i="15"/>
  <c r="W396" i="15"/>
  <c r="W408" i="15"/>
  <c r="W409" i="15"/>
  <c r="W420" i="15"/>
  <c r="W421" i="15"/>
  <c r="W432" i="15"/>
  <c r="W433" i="15"/>
  <c r="W445" i="15"/>
  <c r="W446" i="15"/>
  <c r="W457" i="15"/>
  <c r="W458" i="15"/>
  <c r="W468" i="15"/>
  <c r="W469" i="15"/>
  <c r="W480" i="15"/>
  <c r="W481" i="15"/>
  <c r="W489" i="15"/>
  <c r="W490" i="15"/>
  <c r="W498" i="15"/>
  <c r="W499" i="15"/>
  <c r="W500" i="15"/>
  <c r="W501" i="15"/>
  <c r="W381" i="15"/>
  <c r="W394" i="15"/>
  <c r="W405" i="15"/>
  <c r="W418" i="15"/>
  <c r="W578" i="15"/>
  <c r="W571" i="15"/>
  <c r="W572" i="15"/>
  <c r="W626" i="15"/>
  <c r="W559" i="15"/>
  <c r="W560" i="15"/>
  <c r="W561" i="15"/>
  <c r="W562" i="15"/>
  <c r="W563" i="15"/>
  <c r="W564" i="15"/>
  <c r="W573" i="15"/>
  <c r="W574" i="15"/>
  <c r="W580" i="15"/>
  <c r="W581" i="15"/>
  <c r="W582" i="15"/>
  <c r="W583" i="15"/>
  <c r="W532" i="15"/>
  <c r="W553" i="15"/>
  <c r="W533" i="15"/>
  <c r="W586" i="15"/>
  <c r="W589" i="15"/>
  <c r="W590" i="15"/>
  <c r="W591" i="15"/>
  <c r="W592" i="15"/>
  <c r="W593" i="15"/>
  <c r="W594" i="15"/>
  <c r="W596" i="15"/>
  <c r="W597" i="15"/>
  <c r="W602" i="15"/>
  <c r="W603" i="15"/>
  <c r="W598" i="15"/>
  <c r="W599" i="15"/>
  <c r="W600" i="15"/>
  <c r="W601" i="15"/>
  <c r="W605" i="15"/>
  <c r="W606" i="15"/>
  <c r="W607" i="15"/>
  <c r="W608" i="15"/>
  <c r="W612" i="15"/>
  <c r="W609" i="15"/>
  <c r="W604" i="15"/>
  <c r="W614" i="15"/>
  <c r="W618" i="15"/>
  <c r="W660" i="15"/>
  <c r="W407" i="15"/>
  <c r="W631" i="15"/>
  <c r="W632" i="15"/>
  <c r="W633" i="15"/>
  <c r="W274" i="15"/>
  <c r="W634" i="15"/>
  <c r="W635" i="15"/>
  <c r="W636" i="15"/>
  <c r="W637" i="15"/>
  <c r="W267" i="15"/>
  <c r="W790" i="15"/>
  <c r="W782" i="15"/>
  <c r="W783" i="15"/>
  <c r="W784" i="15"/>
  <c r="W785" i="15"/>
  <c r="W786" i="15"/>
  <c r="W787" i="15"/>
  <c r="W800" i="15"/>
  <c r="W198" i="15"/>
  <c r="W46" i="15"/>
  <c r="W99" i="15"/>
  <c r="W148" i="15"/>
  <c r="W147" i="15"/>
  <c r="X369" i="15"/>
  <c r="X384" i="15"/>
  <c r="X696" i="15"/>
  <c r="X702" i="15"/>
  <c r="X516" i="15"/>
  <c r="X517" i="15"/>
  <c r="X424" i="15"/>
  <c r="X437" i="15"/>
  <c r="X318" i="15"/>
  <c r="X319" i="15"/>
  <c r="X534" i="15"/>
  <c r="X541" i="15"/>
  <c r="X535" i="15"/>
  <c r="X542" i="15"/>
  <c r="X569" i="15"/>
  <c r="X570" i="15"/>
  <c r="X616" i="15"/>
  <c r="X617" i="15"/>
  <c r="X14" i="15"/>
  <c r="X15" i="15"/>
  <c r="X31" i="15"/>
  <c r="X32" i="15"/>
  <c r="X89" i="15"/>
  <c r="X90" i="15"/>
  <c r="X91" i="15"/>
  <c r="X92" i="15"/>
  <c r="X110" i="15"/>
  <c r="X111" i="15"/>
  <c r="X139" i="15"/>
  <c r="X140" i="15"/>
  <c r="X161" i="15"/>
  <c r="X162" i="15"/>
  <c r="X200" i="15"/>
  <c r="X201" i="15"/>
  <c r="X210" i="15"/>
  <c r="X211" i="15"/>
  <c r="X212" i="15"/>
  <c r="X213" i="15"/>
  <c r="X242" i="15"/>
  <c r="X243" i="15"/>
  <c r="X244" i="15"/>
  <c r="X245" i="15"/>
  <c r="X304" i="15"/>
  <c r="X305" i="15"/>
  <c r="X334" i="15"/>
  <c r="X335" i="15"/>
  <c r="X353" i="15"/>
  <c r="X354" i="15"/>
  <c r="X367" i="15"/>
  <c r="X368" i="15"/>
  <c r="X382" i="15"/>
  <c r="X383" i="15"/>
  <c r="X395" i="15"/>
  <c r="X396" i="15"/>
  <c r="X408" i="15"/>
  <c r="X409" i="15"/>
  <c r="X420" i="15"/>
  <c r="X421" i="15"/>
  <c r="X432" i="15"/>
  <c r="X433" i="15"/>
  <c r="X445" i="15"/>
  <c r="X446" i="15"/>
  <c r="X457" i="15"/>
  <c r="X458" i="15"/>
  <c r="X468" i="15"/>
  <c r="X469" i="15"/>
  <c r="X480" i="15"/>
  <c r="X481" i="15"/>
  <c r="X489" i="15"/>
  <c r="X490" i="15"/>
  <c r="X498" i="15"/>
  <c r="X499" i="15"/>
  <c r="X500" i="15"/>
  <c r="X501" i="15"/>
  <c r="X381" i="15"/>
  <c r="X394" i="15"/>
  <c r="X405" i="15"/>
  <c r="X418" i="15"/>
  <c r="X578" i="15"/>
  <c r="X571" i="15"/>
  <c r="X572" i="15"/>
  <c r="X626" i="15"/>
  <c r="X559" i="15"/>
  <c r="X560" i="15"/>
  <c r="X561" i="15"/>
  <c r="X562" i="15"/>
  <c r="X563" i="15"/>
  <c r="X564" i="15"/>
  <c r="X573" i="15"/>
  <c r="X574" i="15"/>
  <c r="X580" i="15"/>
  <c r="X581" i="15"/>
  <c r="X582" i="15"/>
  <c r="X583" i="15"/>
  <c r="X532" i="15"/>
  <c r="X553" i="15"/>
  <c r="X533" i="15"/>
  <c r="X586" i="15"/>
  <c r="X589" i="15"/>
  <c r="X590" i="15"/>
  <c r="X591" i="15"/>
  <c r="X592" i="15"/>
  <c r="X593" i="15"/>
  <c r="X594" i="15"/>
  <c r="X596" i="15"/>
  <c r="X597" i="15"/>
  <c r="X602" i="15"/>
  <c r="X603" i="15"/>
  <c r="X598" i="15"/>
  <c r="X599" i="15"/>
  <c r="X600" i="15"/>
  <c r="X601" i="15"/>
  <c r="X605" i="15"/>
  <c r="X606" i="15"/>
  <c r="X607" i="15"/>
  <c r="X608" i="15"/>
  <c r="X612" i="15"/>
  <c r="X609" i="15"/>
  <c r="X604" i="15"/>
  <c r="X614" i="15"/>
  <c r="X618" i="15"/>
  <c r="X660" i="15"/>
  <c r="X407" i="15"/>
  <c r="X631" i="15"/>
  <c r="X632" i="15"/>
  <c r="X633" i="15"/>
  <c r="X274" i="15"/>
  <c r="X634" i="15"/>
  <c r="X635" i="15"/>
  <c r="X636" i="15"/>
  <c r="X637" i="15"/>
  <c r="X267" i="15"/>
  <c r="X790" i="15"/>
  <c r="X782" i="15"/>
  <c r="X783" i="15"/>
  <c r="X784" i="15"/>
  <c r="X785" i="15"/>
  <c r="X786" i="15"/>
  <c r="X787" i="15"/>
  <c r="X800" i="15"/>
  <c r="X198" i="15"/>
  <c r="X46" i="15"/>
  <c r="X99" i="15"/>
  <c r="X148" i="15"/>
  <c r="X147" i="15"/>
  <c r="Z369" i="15"/>
  <c r="Z384" i="15"/>
  <c r="Z696" i="15"/>
  <c r="Z702" i="15"/>
  <c r="Z516" i="15"/>
  <c r="Z517" i="15"/>
  <c r="Z424" i="15"/>
  <c r="Z437" i="15"/>
  <c r="Z318" i="15"/>
  <c r="Z319" i="15"/>
  <c r="Z534" i="15"/>
  <c r="Z541" i="15"/>
  <c r="Z535" i="15"/>
  <c r="Z542" i="15"/>
  <c r="Z569" i="15"/>
  <c r="Z570" i="15"/>
  <c r="Z616" i="15"/>
  <c r="Z617" i="15"/>
  <c r="Z14" i="15"/>
  <c r="Z15" i="15"/>
  <c r="Z31" i="15"/>
  <c r="Z32" i="15"/>
  <c r="Z89" i="15"/>
  <c r="Z90" i="15"/>
  <c r="Z91" i="15"/>
  <c r="Z92" i="15"/>
  <c r="Z110" i="15"/>
  <c r="Z111" i="15"/>
  <c r="Z139" i="15"/>
  <c r="Z140" i="15"/>
  <c r="Z161" i="15"/>
  <c r="Z162" i="15"/>
  <c r="Z200" i="15"/>
  <c r="Z201" i="15"/>
  <c r="Z210" i="15"/>
  <c r="Z211" i="15"/>
  <c r="Z212" i="15"/>
  <c r="Z213" i="15"/>
  <c r="Z242" i="15"/>
  <c r="Z243" i="15"/>
  <c r="Z244" i="15"/>
  <c r="Z245" i="15"/>
  <c r="Z304" i="15"/>
  <c r="Z305" i="15"/>
  <c r="Z334" i="15"/>
  <c r="Z335" i="15"/>
  <c r="Z353" i="15"/>
  <c r="Z354" i="15"/>
  <c r="Z367" i="15"/>
  <c r="Z368" i="15"/>
  <c r="Z382" i="15"/>
  <c r="Z383" i="15"/>
  <c r="Z395" i="15"/>
  <c r="Z396" i="15"/>
  <c r="Z408" i="15"/>
  <c r="Z409" i="15"/>
  <c r="Z420" i="15"/>
  <c r="Z421" i="15"/>
  <c r="Z432" i="15"/>
  <c r="Z433" i="15"/>
  <c r="Z445" i="15"/>
  <c r="Z446" i="15"/>
  <c r="Z457" i="15"/>
  <c r="Z458" i="15"/>
  <c r="Z468" i="15"/>
  <c r="Z469" i="15"/>
  <c r="Z480" i="15"/>
  <c r="Z481" i="15"/>
  <c r="Z489" i="15"/>
  <c r="Z490" i="15"/>
  <c r="Z498" i="15"/>
  <c r="Z499" i="15"/>
  <c r="Z500" i="15"/>
  <c r="Z501" i="15"/>
  <c r="Z381" i="15"/>
  <c r="Z394" i="15"/>
  <c r="Z405" i="15"/>
  <c r="Z418" i="15"/>
  <c r="Z578" i="15"/>
  <c r="Z571" i="15"/>
  <c r="Z572" i="15"/>
  <c r="Z626" i="15"/>
  <c r="Z559" i="15"/>
  <c r="Z560" i="15"/>
  <c r="Z561" i="15"/>
  <c r="Z562" i="15"/>
  <c r="Z563" i="15"/>
  <c r="Z564" i="15"/>
  <c r="Z573" i="15"/>
  <c r="Z574" i="15"/>
  <c r="Z580" i="15"/>
  <c r="Z581" i="15"/>
  <c r="Z582" i="15"/>
  <c r="Z583" i="15"/>
  <c r="Z532" i="15"/>
  <c r="Z553" i="15"/>
  <c r="Z533" i="15"/>
  <c r="Z586" i="15"/>
  <c r="Z589" i="15"/>
  <c r="Z590" i="15"/>
  <c r="Z591" i="15"/>
  <c r="Z592" i="15"/>
  <c r="Z593" i="15"/>
  <c r="Z594" i="15"/>
  <c r="Z596" i="15"/>
  <c r="Z597" i="15"/>
  <c r="Z602" i="15"/>
  <c r="Z603" i="15"/>
  <c r="Z598" i="15"/>
  <c r="Z599" i="15"/>
  <c r="Z600" i="15"/>
  <c r="Z601" i="15"/>
  <c r="Z605" i="15"/>
  <c r="Z606" i="15"/>
  <c r="Z607" i="15"/>
  <c r="Z608" i="15"/>
  <c r="Z612" i="15"/>
  <c r="Z609" i="15"/>
  <c r="Z604" i="15"/>
  <c r="Z614" i="15"/>
  <c r="Z618" i="15"/>
  <c r="Z660" i="15"/>
  <c r="Z407" i="15"/>
  <c r="Z631" i="15"/>
  <c r="Z632" i="15"/>
  <c r="Z633" i="15"/>
  <c r="Z274" i="15"/>
  <c r="Z634" i="15"/>
  <c r="Z635" i="15"/>
  <c r="Z636" i="15"/>
  <c r="Z637" i="15"/>
  <c r="Z267" i="15"/>
  <c r="Z790" i="15"/>
  <c r="Z782" i="15"/>
  <c r="Z783" i="15"/>
  <c r="Z784" i="15"/>
  <c r="Z785" i="15"/>
  <c r="Z786" i="15"/>
  <c r="Z787" i="15"/>
  <c r="Z800" i="15"/>
  <c r="Z198" i="15"/>
  <c r="Z46" i="15"/>
  <c r="Z99" i="15"/>
  <c r="Z148" i="15"/>
  <c r="Z147" i="15"/>
  <c r="AA369" i="15"/>
  <c r="AA384" i="15"/>
  <c r="AA696" i="15"/>
  <c r="AA702" i="15"/>
  <c r="AA516" i="15"/>
  <c r="AA517" i="15"/>
  <c r="AA424" i="15"/>
  <c r="AA437" i="15"/>
  <c r="AA318" i="15"/>
  <c r="AA319" i="15"/>
  <c r="AA534" i="15"/>
  <c r="AA541" i="15"/>
  <c r="AA535" i="15"/>
  <c r="AA542" i="15"/>
  <c r="AA569" i="15"/>
  <c r="AA570" i="15"/>
  <c r="AA616" i="15"/>
  <c r="AA617" i="15"/>
  <c r="AA14" i="15"/>
  <c r="AA15" i="15"/>
  <c r="AA31" i="15"/>
  <c r="AA32" i="15"/>
  <c r="AA89" i="15"/>
  <c r="AA90" i="15"/>
  <c r="AA91" i="15"/>
  <c r="AA92" i="15"/>
  <c r="AA110" i="15"/>
  <c r="AA111" i="15"/>
  <c r="AA139" i="15"/>
  <c r="AA140" i="15"/>
  <c r="AA161" i="15"/>
  <c r="AA162" i="15"/>
  <c r="AA200" i="15"/>
  <c r="AA201" i="15"/>
  <c r="AA210" i="15"/>
  <c r="AA211" i="15"/>
  <c r="AA212" i="15"/>
  <c r="AA213" i="15"/>
  <c r="AA242" i="15"/>
  <c r="AA243" i="15"/>
  <c r="AA244" i="15"/>
  <c r="AA245" i="15"/>
  <c r="AA304" i="15"/>
  <c r="AA305" i="15"/>
  <c r="AA334" i="15"/>
  <c r="AA335" i="15"/>
  <c r="AA353" i="15"/>
  <c r="AA354" i="15"/>
  <c r="AA367" i="15"/>
  <c r="AA368" i="15"/>
  <c r="AA382" i="15"/>
  <c r="AA383" i="15"/>
  <c r="AA395" i="15"/>
  <c r="AA396" i="15"/>
  <c r="AA408" i="15"/>
  <c r="AA409" i="15"/>
  <c r="AA420" i="15"/>
  <c r="AA421" i="15"/>
  <c r="AA432" i="15"/>
  <c r="AA433" i="15"/>
  <c r="AA445" i="15"/>
  <c r="AA446" i="15"/>
  <c r="AA457" i="15"/>
  <c r="AA458" i="15"/>
  <c r="AA468" i="15"/>
  <c r="AA469" i="15"/>
  <c r="AA480" i="15"/>
  <c r="AA481" i="15"/>
  <c r="AA489" i="15"/>
  <c r="AA490" i="15"/>
  <c r="AA498" i="15"/>
  <c r="AA499" i="15"/>
  <c r="AA500" i="15"/>
  <c r="AA501" i="15"/>
  <c r="AA381" i="15"/>
  <c r="AA394" i="15"/>
  <c r="AA405" i="15"/>
  <c r="AA418" i="15"/>
  <c r="AA578" i="15"/>
  <c r="AA571" i="15"/>
  <c r="AA572" i="15"/>
  <c r="AA626" i="15"/>
  <c r="AA559" i="15"/>
  <c r="AA560" i="15"/>
  <c r="AA561" i="15"/>
  <c r="AA562" i="15"/>
  <c r="AA563" i="15"/>
  <c r="AA564" i="15"/>
  <c r="AA573" i="15"/>
  <c r="AA574" i="15"/>
  <c r="AA580" i="15"/>
  <c r="AA581" i="15"/>
  <c r="AA582" i="15"/>
  <c r="AA583" i="15"/>
  <c r="AA532" i="15"/>
  <c r="AA553" i="15"/>
  <c r="AA533" i="15"/>
  <c r="AA586" i="15"/>
  <c r="AA589" i="15"/>
  <c r="AA590" i="15"/>
  <c r="AA591" i="15"/>
  <c r="AA592" i="15"/>
  <c r="AA593" i="15"/>
  <c r="AA594" i="15"/>
  <c r="AA596" i="15"/>
  <c r="AA597" i="15"/>
  <c r="AA602" i="15"/>
  <c r="AA603" i="15"/>
  <c r="AA598" i="15"/>
  <c r="AA599" i="15"/>
  <c r="AA600" i="15"/>
  <c r="AA601" i="15"/>
  <c r="AA605" i="15"/>
  <c r="AA606" i="15"/>
  <c r="AA607" i="15"/>
  <c r="AA608" i="15"/>
  <c r="AA612" i="15"/>
  <c r="AA609" i="15"/>
  <c r="AA604" i="15"/>
  <c r="AA614" i="15"/>
  <c r="AA618" i="15"/>
  <c r="AA660" i="15"/>
  <c r="AA407" i="15"/>
  <c r="AA631" i="15"/>
  <c r="AA632" i="15"/>
  <c r="AA633" i="15"/>
  <c r="AA274" i="15"/>
  <c r="AA634" i="15"/>
  <c r="AA635" i="15"/>
  <c r="AA636" i="15"/>
  <c r="AA637" i="15"/>
  <c r="AA267" i="15"/>
  <c r="AA790" i="15"/>
  <c r="AA782" i="15"/>
  <c r="AA783" i="15"/>
  <c r="AA784" i="15"/>
  <c r="AA785" i="15"/>
  <c r="AA786" i="15"/>
  <c r="AA787" i="15"/>
  <c r="AA800" i="15"/>
  <c r="AA198" i="15"/>
  <c r="AA46" i="15"/>
  <c r="AA99" i="15"/>
  <c r="AA148" i="15"/>
  <c r="AA147" i="15"/>
  <c r="AB369" i="15"/>
  <c r="AB384" i="15"/>
  <c r="AB696" i="15"/>
  <c r="AB702" i="15"/>
  <c r="AB516" i="15"/>
  <c r="AB517" i="15"/>
  <c r="AB424" i="15"/>
  <c r="AB437" i="15"/>
  <c r="AB318" i="15"/>
  <c r="AB319" i="15"/>
  <c r="AB534" i="15"/>
  <c r="AB541" i="15"/>
  <c r="AB535" i="15"/>
  <c r="AB542" i="15"/>
  <c r="AB569" i="15"/>
  <c r="AB570" i="15"/>
  <c r="AB616" i="15"/>
  <c r="AB617" i="15"/>
  <c r="AB14" i="15"/>
  <c r="AB15" i="15"/>
  <c r="AB31" i="15"/>
  <c r="AB32" i="15"/>
  <c r="AB89" i="15"/>
  <c r="AB90" i="15"/>
  <c r="AB91" i="15"/>
  <c r="AB92" i="15"/>
  <c r="AB110" i="15"/>
  <c r="AB111" i="15"/>
  <c r="AB139" i="15"/>
  <c r="AB140" i="15"/>
  <c r="AB161" i="15"/>
  <c r="AB162" i="15"/>
  <c r="AB200" i="15"/>
  <c r="AB201" i="15"/>
  <c r="AB210" i="15"/>
  <c r="AB211" i="15"/>
  <c r="AB212" i="15"/>
  <c r="AB213" i="15"/>
  <c r="AB242" i="15"/>
  <c r="AB243" i="15"/>
  <c r="AB244" i="15"/>
  <c r="AB245" i="15"/>
  <c r="AB304" i="15"/>
  <c r="AB305" i="15"/>
  <c r="AB334" i="15"/>
  <c r="AB335" i="15"/>
  <c r="AB353" i="15"/>
  <c r="AB354" i="15"/>
  <c r="AB367" i="15"/>
  <c r="AB368" i="15"/>
  <c r="AB382" i="15"/>
  <c r="AB383" i="15"/>
  <c r="AB395" i="15"/>
  <c r="AB396" i="15"/>
  <c r="AB408" i="15"/>
  <c r="AB409" i="15"/>
  <c r="AB420" i="15"/>
  <c r="AB421" i="15"/>
  <c r="AB432" i="15"/>
  <c r="AB433" i="15"/>
  <c r="AB445" i="15"/>
  <c r="AB446" i="15"/>
  <c r="AB457" i="15"/>
  <c r="AB458" i="15"/>
  <c r="AB468" i="15"/>
  <c r="AB469" i="15"/>
  <c r="AB480" i="15"/>
  <c r="AB481" i="15"/>
  <c r="AB489" i="15"/>
  <c r="AB490" i="15"/>
  <c r="AB498" i="15"/>
  <c r="AB499" i="15"/>
  <c r="AB500" i="15"/>
  <c r="AB501" i="15"/>
  <c r="AB381" i="15"/>
  <c r="AB394" i="15"/>
  <c r="AB405" i="15"/>
  <c r="AB418" i="15"/>
  <c r="AB578" i="15"/>
  <c r="AB571" i="15"/>
  <c r="AB572" i="15"/>
  <c r="AB626" i="15"/>
  <c r="AB559" i="15"/>
  <c r="AB560" i="15"/>
  <c r="AB561" i="15"/>
  <c r="AB562" i="15"/>
  <c r="AB563" i="15"/>
  <c r="AB564" i="15"/>
  <c r="AB573" i="15"/>
  <c r="AB574" i="15"/>
  <c r="AB580" i="15"/>
  <c r="AB581" i="15"/>
  <c r="AB582" i="15"/>
  <c r="AB583" i="15"/>
  <c r="AB532" i="15"/>
  <c r="AB553" i="15"/>
  <c r="AB533" i="15"/>
  <c r="AB586" i="15"/>
  <c r="AB589" i="15"/>
  <c r="AB590" i="15"/>
  <c r="AB591" i="15"/>
  <c r="AB592" i="15"/>
  <c r="AB593" i="15"/>
  <c r="AB594" i="15"/>
  <c r="AB596" i="15"/>
  <c r="AB597" i="15"/>
  <c r="AB602" i="15"/>
  <c r="AB603" i="15"/>
  <c r="AB598" i="15"/>
  <c r="AB599" i="15"/>
  <c r="AB600" i="15"/>
  <c r="AB601" i="15"/>
  <c r="AB605" i="15"/>
  <c r="AB606" i="15"/>
  <c r="AB607" i="15"/>
  <c r="AB608" i="15"/>
  <c r="AB612" i="15"/>
  <c r="AB609" i="15"/>
  <c r="AB604" i="15"/>
  <c r="AB614" i="15"/>
  <c r="AB618" i="15"/>
  <c r="AB660" i="15"/>
  <c r="AB407" i="15"/>
  <c r="AB631" i="15"/>
  <c r="AB632" i="15"/>
  <c r="AB633" i="15"/>
  <c r="AB274" i="15"/>
  <c r="AB634" i="15"/>
  <c r="AB635" i="15"/>
  <c r="AB636" i="15"/>
  <c r="AB637" i="15"/>
  <c r="AB267" i="15"/>
  <c r="AB790" i="15"/>
  <c r="AB782" i="15"/>
  <c r="AB783" i="15"/>
  <c r="AB784" i="15"/>
  <c r="AB785" i="15"/>
  <c r="AB786" i="15"/>
  <c r="AB787" i="15"/>
  <c r="AB800" i="15"/>
  <c r="AB198" i="15"/>
  <c r="AB46" i="15"/>
  <c r="AB99" i="15"/>
  <c r="AB148" i="15"/>
  <c r="AB147" i="15"/>
  <c r="AD369" i="15"/>
  <c r="AD384" i="15"/>
  <c r="AD696" i="15"/>
  <c r="I981" i="18" s="1"/>
  <c r="AD702" i="15"/>
  <c r="I1011" i="18" s="1"/>
  <c r="AD516" i="15"/>
  <c r="AD517" i="15"/>
  <c r="AD424" i="15"/>
  <c r="AD437" i="15"/>
  <c r="AD318" i="15"/>
  <c r="AD319" i="15"/>
  <c r="AD534" i="15"/>
  <c r="AD541" i="15"/>
  <c r="AD535" i="15"/>
  <c r="AD542" i="15"/>
  <c r="AD569" i="15"/>
  <c r="AD570" i="15"/>
  <c r="AD616" i="15"/>
  <c r="AD617" i="15"/>
  <c r="AD14" i="15"/>
  <c r="AD15" i="15"/>
  <c r="AD31" i="15"/>
  <c r="AD32" i="15"/>
  <c r="AD89" i="15"/>
  <c r="AD90" i="15"/>
  <c r="AD91" i="15"/>
  <c r="AD92" i="15"/>
  <c r="AD110" i="15"/>
  <c r="AD111" i="15"/>
  <c r="AD139" i="15"/>
  <c r="AD140" i="15"/>
  <c r="AD161" i="15"/>
  <c r="AD162" i="15"/>
  <c r="AD200" i="15"/>
  <c r="AD201" i="15"/>
  <c r="AD210" i="15"/>
  <c r="AD211" i="15"/>
  <c r="AD212" i="15"/>
  <c r="AD213" i="15"/>
  <c r="AD242" i="15"/>
  <c r="AD243" i="15"/>
  <c r="AD244" i="15"/>
  <c r="AD245" i="15"/>
  <c r="AD304" i="15"/>
  <c r="AD305" i="15"/>
  <c r="AD334" i="15"/>
  <c r="AD335" i="15"/>
  <c r="AD353" i="15"/>
  <c r="AD354" i="15"/>
  <c r="AD367" i="15"/>
  <c r="AD368" i="15"/>
  <c r="AD382" i="15"/>
  <c r="AD383" i="15"/>
  <c r="AD395" i="15"/>
  <c r="AD396" i="15"/>
  <c r="AD408" i="15"/>
  <c r="AD409" i="15"/>
  <c r="AD420" i="15"/>
  <c r="AD421" i="15"/>
  <c r="AD432" i="15"/>
  <c r="AD433" i="15"/>
  <c r="AD445" i="15"/>
  <c r="AD446" i="15"/>
  <c r="AD457" i="15"/>
  <c r="AD458" i="15"/>
  <c r="AD468" i="15"/>
  <c r="AD469" i="15"/>
  <c r="AD480" i="15"/>
  <c r="AD481" i="15"/>
  <c r="AD489" i="15"/>
  <c r="AD490" i="15"/>
  <c r="AD498" i="15"/>
  <c r="AD499" i="15"/>
  <c r="AD500" i="15"/>
  <c r="AD501" i="15"/>
  <c r="AD381" i="15"/>
  <c r="AD394" i="15"/>
  <c r="AD405" i="15"/>
  <c r="AD418" i="15"/>
  <c r="AD578" i="15"/>
  <c r="AD571" i="15"/>
  <c r="AD572" i="15"/>
  <c r="AD626" i="15"/>
  <c r="AD559" i="15"/>
  <c r="AD560" i="15"/>
  <c r="AD561" i="15"/>
  <c r="AD562" i="15"/>
  <c r="AD563" i="15"/>
  <c r="AD564" i="15"/>
  <c r="AD573" i="15"/>
  <c r="AD574" i="15"/>
  <c r="AD580" i="15"/>
  <c r="AD581" i="15"/>
  <c r="AD582" i="15"/>
  <c r="AD583" i="15"/>
  <c r="AD532" i="15"/>
  <c r="AD553" i="15"/>
  <c r="AD533" i="15"/>
  <c r="AD586" i="15"/>
  <c r="AD589" i="15"/>
  <c r="AD590" i="15"/>
  <c r="AD591" i="15"/>
  <c r="AD592" i="15"/>
  <c r="AD593" i="15"/>
  <c r="AD594" i="15"/>
  <c r="AD596" i="15"/>
  <c r="AD597" i="15"/>
  <c r="AD602" i="15"/>
  <c r="AD603" i="15"/>
  <c r="AD598" i="15"/>
  <c r="AD599" i="15"/>
  <c r="AD600" i="15"/>
  <c r="AD601" i="15"/>
  <c r="AD605" i="15"/>
  <c r="AD606" i="15"/>
  <c r="AD607" i="15"/>
  <c r="AD608" i="15"/>
  <c r="AD612" i="15"/>
  <c r="AD609" i="15"/>
  <c r="AD604" i="15"/>
  <c r="AD614" i="15"/>
  <c r="AD618" i="15"/>
  <c r="AD660" i="15"/>
  <c r="AD407" i="15"/>
  <c r="AD631" i="15"/>
  <c r="AD632" i="15"/>
  <c r="AD633" i="15"/>
  <c r="AD274" i="15"/>
  <c r="AD634" i="15"/>
  <c r="AD635" i="15"/>
  <c r="AD636" i="15"/>
  <c r="AD637" i="15"/>
  <c r="AD267" i="15"/>
  <c r="AD790" i="15"/>
  <c r="AD782" i="15"/>
  <c r="I1650" i="18" s="1"/>
  <c r="AD783" i="15"/>
  <c r="I1680" i="18" s="1"/>
  <c r="AD784" i="15"/>
  <c r="I1710" i="18" s="1"/>
  <c r="AD785" i="15"/>
  <c r="I1740" i="18" s="1"/>
  <c r="AD786" i="15"/>
  <c r="I1770" i="18" s="1"/>
  <c r="AD787" i="15"/>
  <c r="AD800" i="15"/>
  <c r="AD198" i="15"/>
  <c r="AD46" i="15"/>
  <c r="AD99" i="15"/>
  <c r="AD148" i="15"/>
  <c r="AD147" i="15"/>
  <c r="AE369" i="15"/>
  <c r="AE384" i="15"/>
  <c r="AE696" i="15"/>
  <c r="J981" i="18" s="1"/>
  <c r="AE702" i="15"/>
  <c r="J1011" i="18" s="1"/>
  <c r="AE516" i="15"/>
  <c r="AE517" i="15"/>
  <c r="AE424" i="15"/>
  <c r="AE437" i="15"/>
  <c r="AE318" i="15"/>
  <c r="AE319" i="15"/>
  <c r="AE534" i="15"/>
  <c r="AE541" i="15"/>
  <c r="AE535" i="15"/>
  <c r="AE542" i="15"/>
  <c r="AE569" i="15"/>
  <c r="AE570" i="15"/>
  <c r="AE616" i="15"/>
  <c r="AE617" i="15"/>
  <c r="AE14" i="15"/>
  <c r="AE15" i="15"/>
  <c r="AE31" i="15"/>
  <c r="AE32" i="15"/>
  <c r="AE89" i="15"/>
  <c r="AE90" i="15"/>
  <c r="AE91" i="15"/>
  <c r="AE92" i="15"/>
  <c r="AE110" i="15"/>
  <c r="AE111" i="15"/>
  <c r="AE139" i="15"/>
  <c r="AE140" i="15"/>
  <c r="AE161" i="15"/>
  <c r="AE162" i="15"/>
  <c r="AE200" i="15"/>
  <c r="AE201" i="15"/>
  <c r="AE210" i="15"/>
  <c r="AE211" i="15"/>
  <c r="AE212" i="15"/>
  <c r="AE213" i="15"/>
  <c r="AE242" i="15"/>
  <c r="AE243" i="15"/>
  <c r="AE244" i="15"/>
  <c r="AE245" i="15"/>
  <c r="AE304" i="15"/>
  <c r="AE305" i="15"/>
  <c r="AE334" i="15"/>
  <c r="AE335" i="15"/>
  <c r="AE353" i="15"/>
  <c r="AE354" i="15"/>
  <c r="AE367" i="15"/>
  <c r="AE368" i="15"/>
  <c r="AE382" i="15"/>
  <c r="AE383" i="15"/>
  <c r="AE395" i="15"/>
  <c r="AE396" i="15"/>
  <c r="AE408" i="15"/>
  <c r="AE409" i="15"/>
  <c r="AE420" i="15"/>
  <c r="AE421" i="15"/>
  <c r="AE432" i="15"/>
  <c r="AE433" i="15"/>
  <c r="AE445" i="15"/>
  <c r="AE446" i="15"/>
  <c r="AE457" i="15"/>
  <c r="AE458" i="15"/>
  <c r="AE468" i="15"/>
  <c r="AE469" i="15"/>
  <c r="AE480" i="15"/>
  <c r="AE481" i="15"/>
  <c r="AE489" i="15"/>
  <c r="AE490" i="15"/>
  <c r="AE498" i="15"/>
  <c r="AE499" i="15"/>
  <c r="AE500" i="15"/>
  <c r="AE501" i="15"/>
  <c r="AE381" i="15"/>
  <c r="AE394" i="15"/>
  <c r="AE405" i="15"/>
  <c r="AE418" i="15"/>
  <c r="AE578" i="15"/>
  <c r="AE571" i="15"/>
  <c r="AE572" i="15"/>
  <c r="AE626" i="15"/>
  <c r="AE559" i="15"/>
  <c r="AE560" i="15"/>
  <c r="AE561" i="15"/>
  <c r="AE562" i="15"/>
  <c r="AE563" i="15"/>
  <c r="AE564" i="15"/>
  <c r="AE573" i="15"/>
  <c r="AE574" i="15"/>
  <c r="AE580" i="15"/>
  <c r="AE581" i="15"/>
  <c r="AE582" i="15"/>
  <c r="AE583" i="15"/>
  <c r="AE532" i="15"/>
  <c r="AE553" i="15"/>
  <c r="AE533" i="15"/>
  <c r="AE586" i="15"/>
  <c r="AE589" i="15"/>
  <c r="AE590" i="15"/>
  <c r="AE591" i="15"/>
  <c r="AE592" i="15"/>
  <c r="AE593" i="15"/>
  <c r="AE594" i="15"/>
  <c r="AE596" i="15"/>
  <c r="AE597" i="15"/>
  <c r="AE602" i="15"/>
  <c r="AE603" i="15"/>
  <c r="AE598" i="15"/>
  <c r="AE599" i="15"/>
  <c r="AE600" i="15"/>
  <c r="AE601" i="15"/>
  <c r="AE605" i="15"/>
  <c r="AE606" i="15"/>
  <c r="AE607" i="15"/>
  <c r="AE608" i="15"/>
  <c r="AE612" i="15"/>
  <c r="AE609" i="15"/>
  <c r="AE604" i="15"/>
  <c r="AE614" i="15"/>
  <c r="AE618" i="15"/>
  <c r="AE660" i="15"/>
  <c r="AE407" i="15"/>
  <c r="AE631" i="15"/>
  <c r="AE632" i="15"/>
  <c r="AE633" i="15"/>
  <c r="AE274" i="15"/>
  <c r="AE634" i="15"/>
  <c r="AE635" i="15"/>
  <c r="AE636" i="15"/>
  <c r="AE637" i="15"/>
  <c r="AE267" i="15"/>
  <c r="AE790" i="15"/>
  <c r="AE782" i="15"/>
  <c r="J1650" i="18" s="1"/>
  <c r="AE783" i="15"/>
  <c r="J1680" i="18" s="1"/>
  <c r="AE784" i="15"/>
  <c r="AE785" i="15"/>
  <c r="J1740" i="18" s="1"/>
  <c r="AE786" i="15"/>
  <c r="J1770" i="18" s="1"/>
  <c r="AE787" i="15"/>
  <c r="AE800" i="15"/>
  <c r="AE198" i="15"/>
  <c r="AE46" i="15"/>
  <c r="AE99" i="15"/>
  <c r="AE148" i="15"/>
  <c r="AE147" i="15"/>
  <c r="AF369" i="15"/>
  <c r="AF384" i="15"/>
  <c r="AF696" i="15"/>
  <c r="K981" i="18" s="1"/>
  <c r="AF702" i="15"/>
  <c r="K1011" i="18" s="1"/>
  <c r="AF516" i="15"/>
  <c r="AF517" i="15"/>
  <c r="AF424" i="15"/>
  <c r="AF437" i="15"/>
  <c r="AF318" i="15"/>
  <c r="AF319" i="15"/>
  <c r="AF534" i="15"/>
  <c r="AF541" i="15"/>
  <c r="AF535" i="15"/>
  <c r="AF542" i="15"/>
  <c r="AF569" i="15"/>
  <c r="AF570" i="15"/>
  <c r="AF616" i="15"/>
  <c r="AF617" i="15"/>
  <c r="AF14" i="15"/>
  <c r="AF15" i="15"/>
  <c r="AF31" i="15"/>
  <c r="AF32" i="15"/>
  <c r="AF89" i="15"/>
  <c r="AF90" i="15"/>
  <c r="AF91" i="15"/>
  <c r="AF92" i="15"/>
  <c r="AF110" i="15"/>
  <c r="AF111" i="15"/>
  <c r="AF139" i="15"/>
  <c r="AF140" i="15"/>
  <c r="AF161" i="15"/>
  <c r="AF162" i="15"/>
  <c r="AF200" i="15"/>
  <c r="AF201" i="15"/>
  <c r="AF210" i="15"/>
  <c r="AF211" i="15"/>
  <c r="AF212" i="15"/>
  <c r="AF213" i="15"/>
  <c r="AF242" i="15"/>
  <c r="AF243" i="15"/>
  <c r="AF244" i="15"/>
  <c r="AF245" i="15"/>
  <c r="AF304" i="15"/>
  <c r="AF305" i="15"/>
  <c r="AF334" i="15"/>
  <c r="AF335" i="15"/>
  <c r="AF353" i="15"/>
  <c r="AF354" i="15"/>
  <c r="AF367" i="15"/>
  <c r="AF368" i="15"/>
  <c r="AF382" i="15"/>
  <c r="AF383" i="15"/>
  <c r="AF395" i="15"/>
  <c r="AF396" i="15"/>
  <c r="AF408" i="15"/>
  <c r="AF409" i="15"/>
  <c r="AF420" i="15"/>
  <c r="AF421" i="15"/>
  <c r="AF432" i="15"/>
  <c r="AF433" i="15"/>
  <c r="AF445" i="15"/>
  <c r="AF446" i="15"/>
  <c r="AF457" i="15"/>
  <c r="AF458" i="15"/>
  <c r="AF468" i="15"/>
  <c r="AF469" i="15"/>
  <c r="AF480" i="15"/>
  <c r="AF481" i="15"/>
  <c r="AF489" i="15"/>
  <c r="AF490" i="15"/>
  <c r="AF498" i="15"/>
  <c r="AF499" i="15"/>
  <c r="AF500" i="15"/>
  <c r="AF501" i="15"/>
  <c r="AF381" i="15"/>
  <c r="AF394" i="15"/>
  <c r="AF405" i="15"/>
  <c r="AF418" i="15"/>
  <c r="AF578" i="15"/>
  <c r="AF571" i="15"/>
  <c r="AF572" i="15"/>
  <c r="AF626" i="15"/>
  <c r="AF559" i="15"/>
  <c r="AF560" i="15"/>
  <c r="AF561" i="15"/>
  <c r="AF562" i="15"/>
  <c r="AF563" i="15"/>
  <c r="AF564" i="15"/>
  <c r="AF573" i="15"/>
  <c r="AF574" i="15"/>
  <c r="AF580" i="15"/>
  <c r="AF581" i="15"/>
  <c r="AF582" i="15"/>
  <c r="AF583" i="15"/>
  <c r="AF532" i="15"/>
  <c r="AF553" i="15"/>
  <c r="AF533" i="15"/>
  <c r="AF586" i="15"/>
  <c r="AF589" i="15"/>
  <c r="AF590" i="15"/>
  <c r="AF591" i="15"/>
  <c r="AF592" i="15"/>
  <c r="AF593" i="15"/>
  <c r="AF594" i="15"/>
  <c r="AF596" i="15"/>
  <c r="AF597" i="15"/>
  <c r="AF602" i="15"/>
  <c r="AF603" i="15"/>
  <c r="AF598" i="15"/>
  <c r="AF599" i="15"/>
  <c r="AF600" i="15"/>
  <c r="AF601" i="15"/>
  <c r="AF605" i="15"/>
  <c r="AF606" i="15"/>
  <c r="AF607" i="15"/>
  <c r="AF608" i="15"/>
  <c r="AF612" i="15"/>
  <c r="AF609" i="15"/>
  <c r="AF604" i="15"/>
  <c r="AF614" i="15"/>
  <c r="AF618" i="15"/>
  <c r="AF660" i="15"/>
  <c r="AF407" i="15"/>
  <c r="AF631" i="15"/>
  <c r="AF632" i="15"/>
  <c r="AF633" i="15"/>
  <c r="AF274" i="15"/>
  <c r="AF634" i="15"/>
  <c r="AF635" i="15"/>
  <c r="AF636" i="15"/>
  <c r="AF637" i="15"/>
  <c r="AF267" i="15"/>
  <c r="AF790" i="15"/>
  <c r="AF782" i="15"/>
  <c r="K1650" i="18" s="1"/>
  <c r="AF783" i="15"/>
  <c r="K1680" i="18" s="1"/>
  <c r="AF784" i="15"/>
  <c r="AF785" i="15"/>
  <c r="K1740" i="18" s="1"/>
  <c r="AF786" i="15"/>
  <c r="K1770" i="18" s="1"/>
  <c r="AF787" i="15"/>
  <c r="AF800" i="15"/>
  <c r="K2166" i="18" s="1"/>
  <c r="G73" i="19" s="1"/>
  <c r="AF198" i="15"/>
  <c r="AF46" i="15"/>
  <c r="AF99" i="15"/>
  <c r="AF148" i="15"/>
  <c r="AF147" i="15"/>
  <c r="AG369" i="15"/>
  <c r="AG384" i="15"/>
  <c r="AG696" i="15"/>
  <c r="L981" i="18" s="1"/>
  <c r="AG702" i="15"/>
  <c r="L1011" i="18" s="1"/>
  <c r="AG516" i="15"/>
  <c r="AG517" i="15"/>
  <c r="AG424" i="15"/>
  <c r="AG437" i="15"/>
  <c r="AG318" i="15"/>
  <c r="AG319" i="15"/>
  <c r="AG534" i="15"/>
  <c r="AG541" i="15"/>
  <c r="AG535" i="15"/>
  <c r="AG542" i="15"/>
  <c r="AG569" i="15"/>
  <c r="AG570" i="15"/>
  <c r="AG616" i="15"/>
  <c r="AG617" i="15"/>
  <c r="AG14" i="15"/>
  <c r="AG15" i="15"/>
  <c r="AG31" i="15"/>
  <c r="AG32" i="15"/>
  <c r="AG89" i="15"/>
  <c r="AG90" i="15"/>
  <c r="AG91" i="15"/>
  <c r="AG92" i="15"/>
  <c r="AG110" i="15"/>
  <c r="AG111" i="15"/>
  <c r="AG139" i="15"/>
  <c r="AG140" i="15"/>
  <c r="AG161" i="15"/>
  <c r="AG162" i="15"/>
  <c r="AG200" i="15"/>
  <c r="AG201" i="15"/>
  <c r="AG210" i="15"/>
  <c r="AG211" i="15"/>
  <c r="AG212" i="15"/>
  <c r="AG213" i="15"/>
  <c r="AG242" i="15"/>
  <c r="AG243" i="15"/>
  <c r="AG244" i="15"/>
  <c r="AG245" i="15"/>
  <c r="AG304" i="15"/>
  <c r="AG305" i="15"/>
  <c r="AG334" i="15"/>
  <c r="AG335" i="15"/>
  <c r="AG353" i="15"/>
  <c r="AG354" i="15"/>
  <c r="AG367" i="15"/>
  <c r="AG368" i="15"/>
  <c r="AG382" i="15"/>
  <c r="AG383" i="15"/>
  <c r="AG395" i="15"/>
  <c r="AG396" i="15"/>
  <c r="AG408" i="15"/>
  <c r="AG409" i="15"/>
  <c r="AG420" i="15"/>
  <c r="AG421" i="15"/>
  <c r="AG432" i="15"/>
  <c r="AG433" i="15"/>
  <c r="AG445" i="15"/>
  <c r="AG446" i="15"/>
  <c r="AG457" i="15"/>
  <c r="AG458" i="15"/>
  <c r="AG468" i="15"/>
  <c r="AG469" i="15"/>
  <c r="AG480" i="15"/>
  <c r="AG481" i="15"/>
  <c r="AG489" i="15"/>
  <c r="AG490" i="15"/>
  <c r="AG498" i="15"/>
  <c r="AG499" i="15"/>
  <c r="AG500" i="15"/>
  <c r="AG501" i="15"/>
  <c r="AG381" i="15"/>
  <c r="AG394" i="15"/>
  <c r="AG405" i="15"/>
  <c r="AG418" i="15"/>
  <c r="AG578" i="15"/>
  <c r="AG571" i="15"/>
  <c r="AG572" i="15"/>
  <c r="AG626" i="15"/>
  <c r="AG559" i="15"/>
  <c r="AG560" i="15"/>
  <c r="AG561" i="15"/>
  <c r="AG562" i="15"/>
  <c r="AG563" i="15"/>
  <c r="AG564" i="15"/>
  <c r="AG573" i="15"/>
  <c r="AG574" i="15"/>
  <c r="AG580" i="15"/>
  <c r="AG581" i="15"/>
  <c r="AG582" i="15"/>
  <c r="AG583" i="15"/>
  <c r="AG532" i="15"/>
  <c r="AG553" i="15"/>
  <c r="AG533" i="15"/>
  <c r="AG586" i="15"/>
  <c r="AG589" i="15"/>
  <c r="AG590" i="15"/>
  <c r="AG591" i="15"/>
  <c r="AG592" i="15"/>
  <c r="AG593" i="15"/>
  <c r="AG594" i="15"/>
  <c r="AG596" i="15"/>
  <c r="AG597" i="15"/>
  <c r="AG602" i="15"/>
  <c r="AG603" i="15"/>
  <c r="AG598" i="15"/>
  <c r="AG599" i="15"/>
  <c r="AG600" i="15"/>
  <c r="AG601" i="15"/>
  <c r="AG605" i="15"/>
  <c r="AG606" i="15"/>
  <c r="AG607" i="15"/>
  <c r="AG608" i="15"/>
  <c r="AG612" i="15"/>
  <c r="AG609" i="15"/>
  <c r="AG604" i="15"/>
  <c r="AG614" i="15"/>
  <c r="AG618" i="15"/>
  <c r="AG660" i="15"/>
  <c r="AG407" i="15"/>
  <c r="AG631" i="15"/>
  <c r="AG632" i="15"/>
  <c r="AG633" i="15"/>
  <c r="AG274" i="15"/>
  <c r="AG634" i="15"/>
  <c r="AG635" i="15"/>
  <c r="AG636" i="15"/>
  <c r="AG637" i="15"/>
  <c r="AG267" i="15"/>
  <c r="AG790" i="15"/>
  <c r="AG782" i="15"/>
  <c r="L1650" i="18" s="1"/>
  <c r="AG783" i="15"/>
  <c r="L1680" i="18" s="1"/>
  <c r="AG784" i="15"/>
  <c r="AG785" i="15"/>
  <c r="L1740" i="18" s="1"/>
  <c r="AG786" i="15"/>
  <c r="L1770" i="18" s="1"/>
  <c r="AG787" i="15"/>
  <c r="AG800" i="15"/>
  <c r="AG198" i="15"/>
  <c r="AG46" i="15"/>
  <c r="AG99" i="15"/>
  <c r="AG148" i="15"/>
  <c r="AG147" i="15"/>
  <c r="AH369" i="15"/>
  <c r="AH384" i="15"/>
  <c r="AH696" i="15"/>
  <c r="N981" i="18" s="1"/>
  <c r="AH702" i="15"/>
  <c r="N1011" i="18" s="1"/>
  <c r="AH516" i="15"/>
  <c r="AH517" i="15"/>
  <c r="AH424" i="15"/>
  <c r="AH437" i="15"/>
  <c r="AH318" i="15"/>
  <c r="AH319" i="15"/>
  <c r="AH534" i="15"/>
  <c r="AH541" i="15"/>
  <c r="AH535" i="15"/>
  <c r="AH542" i="15"/>
  <c r="AH569" i="15"/>
  <c r="AH570" i="15"/>
  <c r="AH616" i="15"/>
  <c r="AH617" i="15"/>
  <c r="AH14" i="15"/>
  <c r="AH15" i="15"/>
  <c r="AH31" i="15"/>
  <c r="AH32" i="15"/>
  <c r="AH89" i="15"/>
  <c r="AH90" i="15"/>
  <c r="AH91" i="15"/>
  <c r="AH92" i="15"/>
  <c r="AH110" i="15"/>
  <c r="AH111" i="15"/>
  <c r="AH139" i="15"/>
  <c r="AH140" i="15"/>
  <c r="AH161" i="15"/>
  <c r="AH162" i="15"/>
  <c r="AH200" i="15"/>
  <c r="AH201" i="15"/>
  <c r="AH210" i="15"/>
  <c r="AH211" i="15"/>
  <c r="AH212" i="15"/>
  <c r="AH213" i="15"/>
  <c r="AH242" i="15"/>
  <c r="AH243" i="15"/>
  <c r="AH244" i="15"/>
  <c r="AH245" i="15"/>
  <c r="AH304" i="15"/>
  <c r="AH305" i="15"/>
  <c r="AH334" i="15"/>
  <c r="AH335" i="15"/>
  <c r="AH353" i="15"/>
  <c r="AH354" i="15"/>
  <c r="AH367" i="15"/>
  <c r="AH368" i="15"/>
  <c r="AH382" i="15"/>
  <c r="AH383" i="15"/>
  <c r="AH395" i="15"/>
  <c r="AH396" i="15"/>
  <c r="AH408" i="15"/>
  <c r="AH409" i="15"/>
  <c r="AH420" i="15"/>
  <c r="AH421" i="15"/>
  <c r="AH432" i="15"/>
  <c r="AH433" i="15"/>
  <c r="AH445" i="15"/>
  <c r="AH446" i="15"/>
  <c r="AH457" i="15"/>
  <c r="AH458" i="15"/>
  <c r="AH468" i="15"/>
  <c r="AH469" i="15"/>
  <c r="AH480" i="15"/>
  <c r="AH481" i="15"/>
  <c r="AH489" i="15"/>
  <c r="AH490" i="15"/>
  <c r="AH498" i="15"/>
  <c r="AH499" i="15"/>
  <c r="AH500" i="15"/>
  <c r="AH501" i="15"/>
  <c r="AH381" i="15"/>
  <c r="AH394" i="15"/>
  <c r="AH405" i="15"/>
  <c r="AH418" i="15"/>
  <c r="AH578" i="15"/>
  <c r="AH571" i="15"/>
  <c r="AH572" i="15"/>
  <c r="AH626" i="15"/>
  <c r="AH559" i="15"/>
  <c r="AH560" i="15"/>
  <c r="AH561" i="15"/>
  <c r="AH562" i="15"/>
  <c r="AH563" i="15"/>
  <c r="AH564" i="15"/>
  <c r="AH573" i="15"/>
  <c r="AH574" i="15"/>
  <c r="AH580" i="15"/>
  <c r="AH581" i="15"/>
  <c r="AH582" i="15"/>
  <c r="AH583" i="15"/>
  <c r="AH532" i="15"/>
  <c r="AH553" i="15"/>
  <c r="AH533" i="15"/>
  <c r="AH586" i="15"/>
  <c r="AH589" i="15"/>
  <c r="AH590" i="15"/>
  <c r="AH591" i="15"/>
  <c r="AH592" i="15"/>
  <c r="AH593" i="15"/>
  <c r="AH594" i="15"/>
  <c r="AH596" i="15"/>
  <c r="AH597" i="15"/>
  <c r="AH602" i="15"/>
  <c r="AH603" i="15"/>
  <c r="AH598" i="15"/>
  <c r="AH599" i="15"/>
  <c r="AH600" i="15"/>
  <c r="AH601" i="15"/>
  <c r="AH605" i="15"/>
  <c r="AH606" i="15"/>
  <c r="AH607" i="15"/>
  <c r="AH608" i="15"/>
  <c r="AH612" i="15"/>
  <c r="AH609" i="15"/>
  <c r="AH604" i="15"/>
  <c r="AH614" i="15"/>
  <c r="AH618" i="15"/>
  <c r="AH660" i="15"/>
  <c r="AH407" i="15"/>
  <c r="AH631" i="15"/>
  <c r="AH632" i="15"/>
  <c r="AH633" i="15"/>
  <c r="AH274" i="15"/>
  <c r="AH634" i="15"/>
  <c r="AH635" i="15"/>
  <c r="AH636" i="15"/>
  <c r="AH637" i="15"/>
  <c r="AH267" i="15"/>
  <c r="AH790" i="15"/>
  <c r="AH782" i="15"/>
  <c r="N1650" i="18" s="1"/>
  <c r="AH783" i="15"/>
  <c r="N1680" i="18" s="1"/>
  <c r="AH784" i="15"/>
  <c r="AH785" i="15"/>
  <c r="N1740" i="18" s="1"/>
  <c r="AH786" i="15"/>
  <c r="N1770" i="18" s="1"/>
  <c r="AH787" i="15"/>
  <c r="AH800" i="15"/>
  <c r="AH198" i="15"/>
  <c r="AH46" i="15"/>
  <c r="AH99" i="15"/>
  <c r="AH148" i="15"/>
  <c r="AH147" i="15"/>
  <c r="AI369" i="15"/>
  <c r="AI384" i="15"/>
  <c r="AI696" i="15"/>
  <c r="M981" i="18" s="1"/>
  <c r="AI702" i="15"/>
  <c r="M1011" i="18" s="1"/>
  <c r="AI516" i="15"/>
  <c r="AI517" i="15"/>
  <c r="AI424" i="15"/>
  <c r="AI437" i="15"/>
  <c r="AI318" i="15"/>
  <c r="AI319" i="15"/>
  <c r="AI534" i="15"/>
  <c r="AI541" i="15"/>
  <c r="AI535" i="15"/>
  <c r="AI542" i="15"/>
  <c r="AI569" i="15"/>
  <c r="AI570" i="15"/>
  <c r="AI616" i="15"/>
  <c r="AI617" i="15"/>
  <c r="AI14" i="15"/>
  <c r="AI15" i="15"/>
  <c r="AI31" i="15"/>
  <c r="AI32" i="15"/>
  <c r="AI89" i="15"/>
  <c r="AI90" i="15"/>
  <c r="AI91" i="15"/>
  <c r="AI92" i="15"/>
  <c r="AI110" i="15"/>
  <c r="AI111" i="15"/>
  <c r="AI139" i="15"/>
  <c r="AI140" i="15"/>
  <c r="AI161" i="15"/>
  <c r="AI162" i="15"/>
  <c r="AI200" i="15"/>
  <c r="AI201" i="15"/>
  <c r="AI210" i="15"/>
  <c r="AI211" i="15"/>
  <c r="AI212" i="15"/>
  <c r="AI213" i="15"/>
  <c r="AI242" i="15"/>
  <c r="AI243" i="15"/>
  <c r="AI244" i="15"/>
  <c r="AI245" i="15"/>
  <c r="AI304" i="15"/>
  <c r="AI305" i="15"/>
  <c r="AI334" i="15"/>
  <c r="AI335" i="15"/>
  <c r="AI353" i="15"/>
  <c r="AI354" i="15"/>
  <c r="AI367" i="15"/>
  <c r="AI368" i="15"/>
  <c r="AI382" i="15"/>
  <c r="AI383" i="15"/>
  <c r="AI395" i="15"/>
  <c r="AI396" i="15"/>
  <c r="AI408" i="15"/>
  <c r="AI409" i="15"/>
  <c r="AI420" i="15"/>
  <c r="AI421" i="15"/>
  <c r="AI432" i="15"/>
  <c r="AI433" i="15"/>
  <c r="AI445" i="15"/>
  <c r="AI446" i="15"/>
  <c r="AI457" i="15"/>
  <c r="AI458" i="15"/>
  <c r="AI468" i="15"/>
  <c r="AI469" i="15"/>
  <c r="AI480" i="15"/>
  <c r="AI481" i="15"/>
  <c r="AI489" i="15"/>
  <c r="AI490" i="15"/>
  <c r="AI498" i="15"/>
  <c r="AI499" i="15"/>
  <c r="AI500" i="15"/>
  <c r="AI501" i="15"/>
  <c r="AI381" i="15"/>
  <c r="AI394" i="15"/>
  <c r="AI405" i="15"/>
  <c r="AI418" i="15"/>
  <c r="AI578" i="15"/>
  <c r="AI571" i="15"/>
  <c r="AI572" i="15"/>
  <c r="AI626" i="15"/>
  <c r="AI559" i="15"/>
  <c r="AI560" i="15"/>
  <c r="AI561" i="15"/>
  <c r="AI562" i="15"/>
  <c r="AI563" i="15"/>
  <c r="AI564" i="15"/>
  <c r="AI573" i="15"/>
  <c r="AI574" i="15"/>
  <c r="AI580" i="15"/>
  <c r="AI581" i="15"/>
  <c r="AI582" i="15"/>
  <c r="AI583" i="15"/>
  <c r="AI532" i="15"/>
  <c r="AI553" i="15"/>
  <c r="AI533" i="15"/>
  <c r="AI586" i="15"/>
  <c r="AI589" i="15"/>
  <c r="AI590" i="15"/>
  <c r="AI591" i="15"/>
  <c r="AI592" i="15"/>
  <c r="AI593" i="15"/>
  <c r="AI594" i="15"/>
  <c r="AI596" i="15"/>
  <c r="AI597" i="15"/>
  <c r="AI602" i="15"/>
  <c r="AI603" i="15"/>
  <c r="AI598" i="15"/>
  <c r="AI599" i="15"/>
  <c r="AI600" i="15"/>
  <c r="AI601" i="15"/>
  <c r="AI605" i="15"/>
  <c r="AI606" i="15"/>
  <c r="AI607" i="15"/>
  <c r="AI608" i="15"/>
  <c r="AI612" i="15"/>
  <c r="AI609" i="15"/>
  <c r="AI604" i="15"/>
  <c r="AI614" i="15"/>
  <c r="AI618" i="15"/>
  <c r="AI660" i="15"/>
  <c r="AI407" i="15"/>
  <c r="AI631" i="15"/>
  <c r="AI632" i="15"/>
  <c r="AI633" i="15"/>
  <c r="AI274" i="15"/>
  <c r="AI634" i="15"/>
  <c r="AI635" i="15"/>
  <c r="AI636" i="15"/>
  <c r="AI637" i="15"/>
  <c r="AI267" i="15"/>
  <c r="AI790" i="15"/>
  <c r="AI782" i="15"/>
  <c r="M1650" i="18" s="1"/>
  <c r="AI783" i="15"/>
  <c r="M1680" i="18" s="1"/>
  <c r="AI784" i="15"/>
  <c r="AI785" i="15"/>
  <c r="M1740" i="18" s="1"/>
  <c r="AI786" i="15"/>
  <c r="M1770" i="18" s="1"/>
  <c r="AI787" i="15"/>
  <c r="AI800" i="15"/>
  <c r="AI198" i="15"/>
  <c r="AI46" i="15"/>
  <c r="AI99" i="15"/>
  <c r="AI148" i="15"/>
  <c r="AI147" i="15"/>
  <c r="AJ369" i="15"/>
  <c r="AJ384" i="15"/>
  <c r="AJ696" i="15"/>
  <c r="O981" i="18" s="1"/>
  <c r="AJ702" i="15"/>
  <c r="O1011" i="18" s="1"/>
  <c r="AJ516" i="15"/>
  <c r="AJ517" i="15"/>
  <c r="AJ424" i="15"/>
  <c r="AJ437" i="15"/>
  <c r="AJ318" i="15"/>
  <c r="AJ319" i="15"/>
  <c r="AJ534" i="15"/>
  <c r="AJ541" i="15"/>
  <c r="AJ535" i="15"/>
  <c r="AJ542" i="15"/>
  <c r="AJ569" i="15"/>
  <c r="AJ570" i="15"/>
  <c r="AJ616" i="15"/>
  <c r="AJ617" i="15"/>
  <c r="AJ14" i="15"/>
  <c r="AJ15" i="15"/>
  <c r="AJ31" i="15"/>
  <c r="AJ32" i="15"/>
  <c r="AJ89" i="15"/>
  <c r="AJ90" i="15"/>
  <c r="AJ91" i="15"/>
  <c r="AJ92" i="15"/>
  <c r="AJ110" i="15"/>
  <c r="AJ111" i="15"/>
  <c r="AJ139" i="15"/>
  <c r="AJ140" i="15"/>
  <c r="AJ161" i="15"/>
  <c r="AJ162" i="15"/>
  <c r="AJ200" i="15"/>
  <c r="AJ201" i="15"/>
  <c r="AJ210" i="15"/>
  <c r="AJ211" i="15"/>
  <c r="AJ212" i="15"/>
  <c r="AJ213" i="15"/>
  <c r="AJ242" i="15"/>
  <c r="AJ243" i="15"/>
  <c r="AJ244" i="15"/>
  <c r="AJ245" i="15"/>
  <c r="AJ304" i="15"/>
  <c r="AJ305" i="15"/>
  <c r="AJ334" i="15"/>
  <c r="AJ335" i="15"/>
  <c r="AJ353" i="15"/>
  <c r="AJ354" i="15"/>
  <c r="AJ367" i="15"/>
  <c r="AJ368" i="15"/>
  <c r="AJ382" i="15"/>
  <c r="AJ383" i="15"/>
  <c r="AJ395" i="15"/>
  <c r="AJ396" i="15"/>
  <c r="AJ408" i="15"/>
  <c r="AJ409" i="15"/>
  <c r="AJ420" i="15"/>
  <c r="AJ421" i="15"/>
  <c r="AJ432" i="15"/>
  <c r="AJ433" i="15"/>
  <c r="AJ445" i="15"/>
  <c r="AJ446" i="15"/>
  <c r="AJ457" i="15"/>
  <c r="AJ458" i="15"/>
  <c r="AJ468" i="15"/>
  <c r="AJ469" i="15"/>
  <c r="AJ480" i="15"/>
  <c r="AJ481" i="15"/>
  <c r="AJ489" i="15"/>
  <c r="AJ490" i="15"/>
  <c r="AJ498" i="15"/>
  <c r="AJ499" i="15"/>
  <c r="AJ500" i="15"/>
  <c r="AJ501" i="15"/>
  <c r="AJ381" i="15"/>
  <c r="AJ394" i="15"/>
  <c r="AJ405" i="15"/>
  <c r="AJ418" i="15"/>
  <c r="AJ578" i="15"/>
  <c r="AJ571" i="15"/>
  <c r="AJ572" i="15"/>
  <c r="AJ626" i="15"/>
  <c r="AJ559" i="15"/>
  <c r="AJ560" i="15"/>
  <c r="AJ561" i="15"/>
  <c r="AJ562" i="15"/>
  <c r="AJ563" i="15"/>
  <c r="AJ564" i="15"/>
  <c r="AJ573" i="15"/>
  <c r="AJ574" i="15"/>
  <c r="AJ580" i="15"/>
  <c r="AJ581" i="15"/>
  <c r="AJ582" i="15"/>
  <c r="AJ583" i="15"/>
  <c r="AJ532" i="15"/>
  <c r="AJ553" i="15"/>
  <c r="AJ533" i="15"/>
  <c r="AJ586" i="15"/>
  <c r="AJ589" i="15"/>
  <c r="AJ590" i="15"/>
  <c r="AJ591" i="15"/>
  <c r="AJ592" i="15"/>
  <c r="AJ593" i="15"/>
  <c r="AJ594" i="15"/>
  <c r="AJ596" i="15"/>
  <c r="AJ597" i="15"/>
  <c r="AJ602" i="15"/>
  <c r="AJ603" i="15"/>
  <c r="AJ598" i="15"/>
  <c r="AJ599" i="15"/>
  <c r="AJ600" i="15"/>
  <c r="AJ601" i="15"/>
  <c r="AJ605" i="15"/>
  <c r="AJ606" i="15"/>
  <c r="AJ607" i="15"/>
  <c r="AJ608" i="15"/>
  <c r="AJ612" i="15"/>
  <c r="AJ609" i="15"/>
  <c r="AJ604" i="15"/>
  <c r="AJ614" i="15"/>
  <c r="AJ618" i="15"/>
  <c r="AJ660" i="15"/>
  <c r="AJ407" i="15"/>
  <c r="AJ631" i="15"/>
  <c r="AJ632" i="15"/>
  <c r="AJ633" i="15"/>
  <c r="AJ274" i="15"/>
  <c r="AJ634" i="15"/>
  <c r="AJ635" i="15"/>
  <c r="AJ636" i="15"/>
  <c r="AJ637" i="15"/>
  <c r="AJ267" i="15"/>
  <c r="AJ790" i="15"/>
  <c r="O1891" i="18" s="1"/>
  <c r="K64" i="19" s="1"/>
  <c r="AJ782" i="15"/>
  <c r="O1650" i="18" s="1"/>
  <c r="AJ783" i="15"/>
  <c r="O1680" i="18" s="1"/>
  <c r="AJ784" i="15"/>
  <c r="O1710" i="18" s="1"/>
  <c r="AJ785" i="15"/>
  <c r="O1740" i="18" s="1"/>
  <c r="AJ786" i="15"/>
  <c r="O1770" i="18" s="1"/>
  <c r="AJ787" i="15"/>
  <c r="O1800" i="18" s="1"/>
  <c r="AJ800" i="15"/>
  <c r="AJ198" i="15"/>
  <c r="AJ46" i="15"/>
  <c r="AJ99" i="15"/>
  <c r="AJ148" i="15"/>
  <c r="AJ147" i="15"/>
  <c r="AK369" i="15"/>
  <c r="AK384" i="15"/>
  <c r="AK696" i="15"/>
  <c r="Q981" i="18" s="1"/>
  <c r="AK702" i="15"/>
  <c r="Q1011" i="18" s="1"/>
  <c r="AK516" i="15"/>
  <c r="AK517" i="15"/>
  <c r="AK424" i="15"/>
  <c r="AK437" i="15"/>
  <c r="AK318" i="15"/>
  <c r="AK319" i="15"/>
  <c r="AK534" i="15"/>
  <c r="AK541" i="15"/>
  <c r="AK535" i="15"/>
  <c r="AK542" i="15"/>
  <c r="AK569" i="15"/>
  <c r="AK570" i="15"/>
  <c r="AK616" i="15"/>
  <c r="AK617" i="15"/>
  <c r="AK14" i="15"/>
  <c r="AK15" i="15"/>
  <c r="AK31" i="15"/>
  <c r="AK32" i="15"/>
  <c r="AK89" i="15"/>
  <c r="AK90" i="15"/>
  <c r="AK91" i="15"/>
  <c r="AK92" i="15"/>
  <c r="AK110" i="15"/>
  <c r="AK111" i="15"/>
  <c r="AK139" i="15"/>
  <c r="AK140" i="15"/>
  <c r="AK161" i="15"/>
  <c r="AK162" i="15"/>
  <c r="AK200" i="15"/>
  <c r="AK201" i="15"/>
  <c r="AK210" i="15"/>
  <c r="AK211" i="15"/>
  <c r="AK212" i="15"/>
  <c r="AK213" i="15"/>
  <c r="AK242" i="15"/>
  <c r="AK243" i="15"/>
  <c r="AK244" i="15"/>
  <c r="AK245" i="15"/>
  <c r="AK304" i="15"/>
  <c r="AK305" i="15"/>
  <c r="AK334" i="15"/>
  <c r="AK335" i="15"/>
  <c r="AK353" i="15"/>
  <c r="AK354" i="15"/>
  <c r="AK367" i="15"/>
  <c r="AK368" i="15"/>
  <c r="AK382" i="15"/>
  <c r="AK383" i="15"/>
  <c r="AK395" i="15"/>
  <c r="AK396" i="15"/>
  <c r="AK408" i="15"/>
  <c r="AK409" i="15"/>
  <c r="AK420" i="15"/>
  <c r="AK421" i="15"/>
  <c r="AK432" i="15"/>
  <c r="AK433" i="15"/>
  <c r="AK445" i="15"/>
  <c r="AK446" i="15"/>
  <c r="AK457" i="15"/>
  <c r="AK458" i="15"/>
  <c r="AK468" i="15"/>
  <c r="AK469" i="15"/>
  <c r="AK480" i="15"/>
  <c r="AK481" i="15"/>
  <c r="AK489" i="15"/>
  <c r="AK490" i="15"/>
  <c r="AK498" i="15"/>
  <c r="AK499" i="15"/>
  <c r="AK500" i="15"/>
  <c r="AK501" i="15"/>
  <c r="AK381" i="15"/>
  <c r="AK394" i="15"/>
  <c r="AK405" i="15"/>
  <c r="AK418" i="15"/>
  <c r="AK578" i="15"/>
  <c r="AK571" i="15"/>
  <c r="AK572" i="15"/>
  <c r="AK626" i="15"/>
  <c r="AK559" i="15"/>
  <c r="AK560" i="15"/>
  <c r="AK561" i="15"/>
  <c r="AK562" i="15"/>
  <c r="AK563" i="15"/>
  <c r="AK564" i="15"/>
  <c r="AK573" i="15"/>
  <c r="AK574" i="15"/>
  <c r="AK580" i="15"/>
  <c r="AK581" i="15"/>
  <c r="AK582" i="15"/>
  <c r="AK583" i="15"/>
  <c r="AK532" i="15"/>
  <c r="AK553" i="15"/>
  <c r="AK533" i="15"/>
  <c r="AK586" i="15"/>
  <c r="AK589" i="15"/>
  <c r="AK590" i="15"/>
  <c r="AK591" i="15"/>
  <c r="AK592" i="15"/>
  <c r="AK593" i="15"/>
  <c r="AK594" i="15"/>
  <c r="AK596" i="15"/>
  <c r="AK597" i="15"/>
  <c r="AK602" i="15"/>
  <c r="AK603" i="15"/>
  <c r="AK598" i="15"/>
  <c r="AK599" i="15"/>
  <c r="AK600" i="15"/>
  <c r="AK601" i="15"/>
  <c r="AK605" i="15"/>
  <c r="AK606" i="15"/>
  <c r="AK607" i="15"/>
  <c r="AK608" i="15"/>
  <c r="AK612" i="15"/>
  <c r="AK609" i="15"/>
  <c r="AK604" i="15"/>
  <c r="AK614" i="15"/>
  <c r="AK618" i="15"/>
  <c r="AK660" i="15"/>
  <c r="AK407" i="15"/>
  <c r="AK631" i="15"/>
  <c r="AK632" i="15"/>
  <c r="AK633" i="15"/>
  <c r="AK274" i="15"/>
  <c r="AK634" i="15"/>
  <c r="AK635" i="15"/>
  <c r="AK636" i="15"/>
  <c r="AK637" i="15"/>
  <c r="AK267" i="15"/>
  <c r="AK790" i="15"/>
  <c r="AK782" i="15"/>
  <c r="Q1650" i="18" s="1"/>
  <c r="AK783" i="15"/>
  <c r="Q1680" i="18" s="1"/>
  <c r="AK784" i="15"/>
  <c r="Q1710" i="18" s="1"/>
  <c r="AK785" i="15"/>
  <c r="Q1740" i="18" s="1"/>
  <c r="AK786" i="15"/>
  <c r="Q1770" i="18" s="1"/>
  <c r="AK787" i="15"/>
  <c r="Q1800" i="18" s="1"/>
  <c r="AK800" i="15"/>
  <c r="AK198" i="15"/>
  <c r="AK46" i="15"/>
  <c r="AK99" i="15"/>
  <c r="AK148" i="15"/>
  <c r="AK147" i="15"/>
  <c r="AM369" i="15"/>
  <c r="AM384" i="15"/>
  <c r="AM696" i="15"/>
  <c r="AM702" i="15"/>
  <c r="AM516" i="15"/>
  <c r="AM517" i="15"/>
  <c r="AM424" i="15"/>
  <c r="AM437" i="15"/>
  <c r="AM534" i="15"/>
  <c r="AM541" i="15"/>
  <c r="AM535" i="15"/>
  <c r="AM542" i="15"/>
  <c r="AM569" i="15"/>
  <c r="AM570" i="15"/>
  <c r="AM616" i="15"/>
  <c r="AM617" i="15"/>
  <c r="AM14" i="15"/>
  <c r="AM15" i="15"/>
  <c r="AM31" i="15"/>
  <c r="AM32" i="15"/>
  <c r="AM89" i="15"/>
  <c r="AM90" i="15"/>
  <c r="AM91" i="15"/>
  <c r="AM92" i="15"/>
  <c r="AM110" i="15"/>
  <c r="AM111" i="15"/>
  <c r="AM139" i="15"/>
  <c r="AM140" i="15"/>
  <c r="AM161" i="15"/>
  <c r="AM162" i="15"/>
  <c r="AM200" i="15"/>
  <c r="AM201" i="15"/>
  <c r="AM210" i="15"/>
  <c r="AM211" i="15"/>
  <c r="AM212" i="15"/>
  <c r="AM213" i="15"/>
  <c r="AM242" i="15"/>
  <c r="AM243" i="15"/>
  <c r="AM244" i="15"/>
  <c r="AM245" i="15"/>
  <c r="AM304" i="15"/>
  <c r="AM305" i="15"/>
  <c r="AM334" i="15"/>
  <c r="AM335" i="15"/>
  <c r="AM353" i="15"/>
  <c r="AM354" i="15"/>
  <c r="AM367" i="15"/>
  <c r="AM368" i="15"/>
  <c r="AM382" i="15"/>
  <c r="AM383" i="15"/>
  <c r="AM395" i="15"/>
  <c r="AM396" i="15"/>
  <c r="AM408" i="15"/>
  <c r="AM409" i="15"/>
  <c r="AM420" i="15"/>
  <c r="AM421" i="15"/>
  <c r="AM432" i="15"/>
  <c r="AM433" i="15"/>
  <c r="AM445" i="15"/>
  <c r="AM446" i="15"/>
  <c r="AM457" i="15"/>
  <c r="AM458" i="15"/>
  <c r="AM468" i="15"/>
  <c r="AM469" i="15"/>
  <c r="AM480" i="15"/>
  <c r="AM481" i="15"/>
  <c r="AM489" i="15"/>
  <c r="AM490" i="15"/>
  <c r="AM498" i="15"/>
  <c r="AM499" i="15"/>
  <c r="AM500" i="15"/>
  <c r="AM501" i="15"/>
  <c r="AM381" i="15"/>
  <c r="AM394" i="15"/>
  <c r="AM405" i="15"/>
  <c r="AM418" i="15"/>
  <c r="AM578" i="15"/>
  <c r="AM571" i="15"/>
  <c r="AM572" i="15"/>
  <c r="AM626" i="15"/>
  <c r="AM559" i="15"/>
  <c r="AM560" i="15"/>
  <c r="AM561" i="15"/>
  <c r="AM562" i="15"/>
  <c r="AM563" i="15"/>
  <c r="AM564" i="15"/>
  <c r="AM573" i="15"/>
  <c r="AM574" i="15"/>
  <c r="AM580" i="15"/>
  <c r="AM581" i="15"/>
  <c r="AM582" i="15"/>
  <c r="AM583" i="15"/>
  <c r="AM532" i="15"/>
  <c r="AM553" i="15"/>
  <c r="AM533" i="15"/>
  <c r="AM586" i="15"/>
  <c r="AM589" i="15"/>
  <c r="AM590" i="15"/>
  <c r="AM591" i="15"/>
  <c r="AM592" i="15"/>
  <c r="AM593" i="15"/>
  <c r="AM594" i="15"/>
  <c r="AM596" i="15"/>
  <c r="AM597" i="15"/>
  <c r="AM602" i="15"/>
  <c r="AM603" i="15"/>
  <c r="AM598" i="15"/>
  <c r="AM599" i="15"/>
  <c r="AM600" i="15"/>
  <c r="AM601" i="15"/>
  <c r="AM605" i="15"/>
  <c r="AM606" i="15"/>
  <c r="AM607" i="15"/>
  <c r="AM608" i="15"/>
  <c r="AM612" i="15"/>
  <c r="AM609" i="15"/>
  <c r="AM604" i="15"/>
  <c r="AM614" i="15"/>
  <c r="AM618" i="15"/>
  <c r="AM660" i="15"/>
  <c r="AM407" i="15"/>
  <c r="AM631" i="15"/>
  <c r="AM632" i="15"/>
  <c r="AM633" i="15"/>
  <c r="AM274" i="15"/>
  <c r="AM634" i="15"/>
  <c r="AM635" i="15"/>
  <c r="AM636" i="15"/>
  <c r="AM637" i="15"/>
  <c r="AM267" i="15"/>
  <c r="AM790" i="15"/>
  <c r="AM782" i="15"/>
  <c r="AM783" i="15"/>
  <c r="AM784" i="15"/>
  <c r="AM785" i="15"/>
  <c r="AM786" i="15"/>
  <c r="AM787" i="15"/>
  <c r="AM800" i="15"/>
  <c r="AM198" i="15"/>
  <c r="AM46" i="15"/>
  <c r="AM99" i="15"/>
  <c r="AM148" i="15"/>
  <c r="AM147" i="15"/>
  <c r="O606" i="15"/>
  <c r="I22" i="17"/>
  <c r="B747" i="15"/>
  <c r="C63" i="9"/>
  <c r="D63" i="9"/>
  <c r="C62" i="9"/>
  <c r="D62" i="9"/>
  <c r="C61" i="9"/>
  <c r="D61" i="9"/>
  <c r="C59" i="9"/>
  <c r="D59" i="9"/>
  <c r="E28" i="16"/>
  <c r="F28" i="16"/>
  <c r="E6" i="16"/>
  <c r="F6" i="16"/>
  <c r="E20" i="16"/>
  <c r="F20" i="16"/>
  <c r="E10" i="16"/>
  <c r="F10" i="16"/>
  <c r="I25" i="17"/>
  <c r="I24" i="17"/>
  <c r="L2015" i="18" l="1"/>
  <c r="H68" i="19" s="1"/>
  <c r="L2166" i="18"/>
  <c r="H73" i="19" s="1"/>
  <c r="J2015" i="18"/>
  <c r="F68" i="19" s="1"/>
  <c r="J2166" i="18"/>
  <c r="F73" i="19" s="1"/>
  <c r="I2015" i="18"/>
  <c r="E68" i="19" s="1"/>
  <c r="I2166" i="18"/>
  <c r="E73" i="19" s="1"/>
  <c r="Q2015" i="18"/>
  <c r="L68" i="19" s="1"/>
  <c r="Q2166" i="18"/>
  <c r="L73" i="19" s="1"/>
  <c r="O2015" i="18"/>
  <c r="K68" i="19" s="1"/>
  <c r="O2166" i="18"/>
  <c r="K73" i="19" s="1"/>
  <c r="M2015" i="18"/>
  <c r="I68" i="19" s="1"/>
  <c r="M2166" i="18"/>
  <c r="I73" i="19" s="1"/>
  <c r="N2015" i="18"/>
  <c r="J68" i="19" s="1"/>
  <c r="N2166" i="18"/>
  <c r="J73" i="19" s="1"/>
  <c r="G16" i="9"/>
  <c r="K1800" i="18"/>
  <c r="K2015" i="18"/>
  <c r="G68" i="19" s="1"/>
  <c r="Q1891" i="18"/>
  <c r="L64" i="19" s="1"/>
  <c r="M1800" i="18"/>
  <c r="L1800" i="18"/>
  <c r="N1710" i="18"/>
  <c r="L1710" i="18"/>
  <c r="K1710" i="18"/>
  <c r="N1800" i="18"/>
  <c r="M1710" i="18"/>
  <c r="J1800" i="18"/>
  <c r="I1800" i="18"/>
  <c r="J1710" i="18"/>
  <c r="P787" i="18"/>
  <c r="P775" i="18"/>
  <c r="P763" i="18"/>
  <c r="P751" i="18"/>
  <c r="P739" i="18"/>
  <c r="P735" i="18"/>
  <c r="H1098" i="18"/>
  <c r="H1099" i="18" s="1"/>
  <c r="H1100" i="18" s="1"/>
  <c r="H1101" i="18" s="1"/>
  <c r="H1102" i="18" s="1"/>
  <c r="H1103" i="18" s="1"/>
  <c r="H1104" i="18" s="1"/>
  <c r="H1105" i="18" s="1"/>
  <c r="H1106" i="18" s="1"/>
  <c r="H1107" i="18" s="1"/>
  <c r="H1108" i="18" s="1"/>
  <c r="H1109" i="18" s="1"/>
  <c r="H1110" i="18" s="1"/>
  <c r="H1111" i="18" s="1"/>
  <c r="H1112" i="18" s="1"/>
  <c r="H1113" i="18" s="1"/>
  <c r="H1114" i="18" s="1"/>
  <c r="H1115" i="18" s="1"/>
  <c r="H1116" i="18" s="1"/>
  <c r="H1117" i="18" s="1"/>
  <c r="H1118" i="18" s="1"/>
  <c r="H1119" i="18" s="1"/>
  <c r="H1120" i="18" s="1"/>
  <c r="H1121" i="18" s="1"/>
  <c r="H1122" i="18" s="1"/>
  <c r="H1123" i="18" s="1"/>
  <c r="H1124" i="18" s="1"/>
  <c r="H1125" i="18" s="1"/>
  <c r="H1126" i="18" s="1"/>
  <c r="H1127" i="18" s="1"/>
  <c r="H1128" i="18" s="1"/>
  <c r="P1092" i="18"/>
  <c r="P1088" i="18"/>
  <c r="P1080" i="18"/>
  <c r="P1076" i="18"/>
  <c r="P1068" i="18"/>
  <c r="P1064" i="18"/>
  <c r="P1056" i="18"/>
  <c r="P1052" i="18"/>
  <c r="P1044" i="18"/>
  <c r="P1040" i="18"/>
  <c r="P1032" i="18"/>
  <c r="P1028" i="18"/>
  <c r="P1020" i="18"/>
  <c r="P1016" i="18"/>
  <c r="P1008" i="18"/>
  <c r="P1004" i="18"/>
  <c r="P996" i="18"/>
  <c r="P992" i="18"/>
  <c r="P984" i="18"/>
  <c r="P980" i="18"/>
  <c r="P972" i="18"/>
  <c r="P968" i="18"/>
  <c r="P960" i="18"/>
  <c r="P956" i="18"/>
  <c r="P948" i="18"/>
  <c r="P944" i="18"/>
  <c r="P936" i="18"/>
  <c r="P932" i="18"/>
  <c r="P924" i="18"/>
  <c r="P920" i="18"/>
  <c r="P912" i="18"/>
  <c r="P908" i="18"/>
  <c r="P900" i="18"/>
  <c r="P896" i="18"/>
  <c r="P888" i="18"/>
  <c r="P884" i="18"/>
  <c r="P876" i="18"/>
  <c r="P872" i="18"/>
  <c r="P864" i="18"/>
  <c r="P860" i="18"/>
  <c r="P852" i="18"/>
  <c r="P848" i="18"/>
  <c r="P840" i="18"/>
  <c r="P836" i="18"/>
  <c r="P828" i="18"/>
  <c r="P824" i="18"/>
  <c r="P816" i="18"/>
  <c r="P812" i="18"/>
  <c r="P804" i="18"/>
  <c r="P800" i="18"/>
  <c r="P792" i="18"/>
  <c r="P788" i="18"/>
  <c r="P780" i="18"/>
  <c r="P776" i="18"/>
  <c r="P768" i="18"/>
  <c r="P764" i="18"/>
  <c r="P756" i="18"/>
  <c r="P752" i="18"/>
  <c r="P744" i="18"/>
  <c r="P740" i="18"/>
  <c r="P732" i="18"/>
  <c r="P1096" i="18"/>
  <c r="P1084" i="18"/>
  <c r="P1072" i="18"/>
  <c r="P1060" i="18"/>
  <c r="P1048" i="18"/>
  <c r="P1036" i="18"/>
  <c r="P1024" i="18"/>
  <c r="P1012" i="18"/>
  <c r="P1000" i="18"/>
  <c r="P988" i="18"/>
  <c r="P976" i="18"/>
  <c r="P964" i="18"/>
  <c r="P952" i="18"/>
  <c r="P940" i="18"/>
  <c r="P928" i="18"/>
  <c r="P916" i="18"/>
  <c r="P904" i="18"/>
  <c r="P892" i="18"/>
  <c r="P880" i="18"/>
  <c r="P868" i="18"/>
  <c r="P856" i="18"/>
  <c r="P844" i="18"/>
  <c r="P832" i="18"/>
  <c r="P820" i="18"/>
  <c r="P808" i="18"/>
  <c r="P796" i="18"/>
  <c r="P784" i="18"/>
  <c r="P772" i="18"/>
  <c r="P760" i="18"/>
  <c r="P748" i="18"/>
  <c r="P736" i="18"/>
  <c r="H825" i="18"/>
  <c r="P1094" i="18"/>
  <c r="P1090" i="18"/>
  <c r="P1086" i="18"/>
  <c r="P1082" i="18"/>
  <c r="P1078" i="18"/>
  <c r="P1074" i="18"/>
  <c r="P1070" i="18"/>
  <c r="P1066" i="18"/>
  <c r="P1062" i="18"/>
  <c r="P1058" i="18"/>
  <c r="P1054" i="18"/>
  <c r="P1050" i="18"/>
  <c r="P1046" i="18"/>
  <c r="P1042" i="18"/>
  <c r="P1038" i="18"/>
  <c r="P1034" i="18"/>
  <c r="P1030" i="18"/>
  <c r="P1026" i="18"/>
  <c r="P1022" i="18"/>
  <c r="P1018" i="18"/>
  <c r="P1014" i="18"/>
  <c r="P1010" i="18"/>
  <c r="P1006" i="18"/>
  <c r="P1002" i="18"/>
  <c r="P998" i="18"/>
  <c r="P994" i="18"/>
  <c r="P990" i="18"/>
  <c r="P986" i="18"/>
  <c r="P982" i="18"/>
  <c r="P978" i="18"/>
  <c r="P974" i="18"/>
  <c r="P970" i="18"/>
  <c r="P966" i="18"/>
  <c r="P962" i="18"/>
  <c r="P958" i="18"/>
  <c r="P954" i="18"/>
  <c r="P950" i="18"/>
  <c r="P946" i="18"/>
  <c r="P942" i="18"/>
  <c r="P938" i="18"/>
  <c r="P934" i="18"/>
  <c r="P930" i="18"/>
  <c r="P926" i="18"/>
  <c r="P922" i="18"/>
  <c r="P918" i="18"/>
  <c r="P914" i="18"/>
  <c r="P910" i="18"/>
  <c r="P906" i="18"/>
  <c r="P902" i="18"/>
  <c r="P898" i="18"/>
  <c r="P894" i="18"/>
  <c r="P890" i="18"/>
  <c r="P886" i="18"/>
  <c r="P882" i="18"/>
  <c r="P878" i="18"/>
  <c r="P874" i="18"/>
  <c r="P870" i="18"/>
  <c r="P866" i="18"/>
  <c r="P862" i="18"/>
  <c r="P858" i="18"/>
  <c r="P854" i="18"/>
  <c r="P850" i="18"/>
  <c r="P846" i="18"/>
  <c r="P842" i="18"/>
  <c r="P838" i="18"/>
  <c r="P834" i="18"/>
  <c r="P830" i="18"/>
  <c r="P826" i="18"/>
  <c r="P822" i="18"/>
  <c r="P818" i="18"/>
  <c r="P814" i="18"/>
  <c r="P810" i="18"/>
  <c r="P806" i="18"/>
  <c r="P802" i="18"/>
  <c r="P798" i="18"/>
  <c r="P794" i="18"/>
  <c r="P790" i="18"/>
  <c r="P786" i="18"/>
  <c r="P782" i="18"/>
  <c r="P778" i="18"/>
  <c r="P774" i="18"/>
  <c r="P770" i="18"/>
  <c r="P766" i="18"/>
  <c r="P762" i="18"/>
  <c r="P758" i="18"/>
  <c r="P754" i="18"/>
  <c r="P750" i="18"/>
  <c r="P746" i="18"/>
  <c r="P742" i="18"/>
  <c r="P738" i="18"/>
  <c r="P734" i="18"/>
  <c r="AC62" i="15"/>
  <c r="AL62" i="15" s="1"/>
  <c r="AC82" i="15"/>
  <c r="AL82" i="15" s="1"/>
  <c r="AC43" i="15"/>
  <c r="AL43" i="15" s="1"/>
  <c r="P1093" i="18"/>
  <c r="P1089" i="18"/>
  <c r="P1085" i="18"/>
  <c r="P1081" i="18"/>
  <c r="P1077" i="18"/>
  <c r="P1073" i="18"/>
  <c r="P1069" i="18"/>
  <c r="P1065" i="18"/>
  <c r="P1061" i="18"/>
  <c r="P1057" i="18"/>
  <c r="P1053" i="18"/>
  <c r="P1049" i="18"/>
  <c r="P1045" i="18"/>
  <c r="P1041" i="18"/>
  <c r="P1037" i="18"/>
  <c r="P1033" i="18"/>
  <c r="P1029" i="18"/>
  <c r="P1025" i="18"/>
  <c r="P1021" i="18"/>
  <c r="P1017" i="18"/>
  <c r="P1013" i="18"/>
  <c r="P1009" i="18"/>
  <c r="P1005" i="18"/>
  <c r="P1001" i="18"/>
  <c r="P997" i="18"/>
  <c r="P993" i="18"/>
  <c r="P989" i="18"/>
  <c r="P985" i="18"/>
  <c r="P981" i="18"/>
  <c r="P977" i="18"/>
  <c r="P973" i="18"/>
  <c r="P969" i="18"/>
  <c r="P965" i="18"/>
  <c r="P961" i="18"/>
  <c r="P957" i="18"/>
  <c r="P953" i="18"/>
  <c r="P949" i="18"/>
  <c r="P945" i="18"/>
  <c r="P941" i="18"/>
  <c r="P937" i="18"/>
  <c r="P933" i="18"/>
  <c r="P929" i="18"/>
  <c r="P925" i="18"/>
  <c r="P921" i="18"/>
  <c r="P917" i="18"/>
  <c r="P913" i="18"/>
  <c r="P909" i="18"/>
  <c r="P905" i="18"/>
  <c r="P901" i="18"/>
  <c r="P897" i="18"/>
  <c r="P893" i="18"/>
  <c r="P889" i="18"/>
  <c r="P885" i="18"/>
  <c r="P881" i="18"/>
  <c r="P877" i="18"/>
  <c r="P873" i="18"/>
  <c r="P869" i="18"/>
  <c r="P865" i="18"/>
  <c r="P861" i="18"/>
  <c r="P857" i="18"/>
  <c r="P853" i="18"/>
  <c r="P849" i="18"/>
  <c r="P845" i="18"/>
  <c r="P841" i="18"/>
  <c r="P837" i="18"/>
  <c r="P833" i="18"/>
  <c r="P829" i="18"/>
  <c r="P825" i="18"/>
  <c r="P821" i="18"/>
  <c r="P817" i="18"/>
  <c r="P813" i="18"/>
  <c r="P809" i="18"/>
  <c r="P805" i="18"/>
  <c r="P801" i="18"/>
  <c r="P797" i="18"/>
  <c r="P793" i="18"/>
  <c r="P789" i="18"/>
  <c r="P785" i="18"/>
  <c r="P781" i="18"/>
  <c r="P777" i="18"/>
  <c r="P773" i="18"/>
  <c r="P769" i="18"/>
  <c r="P765" i="18"/>
  <c r="P761" i="18"/>
  <c r="P757" i="18"/>
  <c r="P753" i="18"/>
  <c r="P749" i="18"/>
  <c r="P745" i="18"/>
  <c r="P741" i="18"/>
  <c r="P737" i="18"/>
  <c r="P733" i="18"/>
  <c r="Q793" i="15"/>
  <c r="Q650" i="15"/>
  <c r="Q638" i="15"/>
  <c r="Q643" i="15"/>
  <c r="Q658" i="15"/>
  <c r="Q661" i="15"/>
  <c r="Q645" i="15"/>
  <c r="Q794" i="15"/>
  <c r="Q649" i="15"/>
  <c r="Q659" i="15"/>
  <c r="Q641" i="15"/>
  <c r="Q796" i="15"/>
  <c r="Q662" i="15"/>
  <c r="Q646" i="15"/>
  <c r="Q798" i="15"/>
  <c r="Q791" i="15"/>
  <c r="Q795" i="15"/>
  <c r="Q644" i="15"/>
  <c r="Q642" i="15"/>
  <c r="Q654" i="15"/>
  <c r="Q655" i="15"/>
  <c r="Q799" i="15"/>
  <c r="Q792" i="15"/>
  <c r="Q797" i="15"/>
  <c r="Q639" i="15"/>
  <c r="Q651" i="15"/>
  <c r="Q640" i="15"/>
  <c r="Q652" i="15"/>
  <c r="Q656" i="15"/>
  <c r="H978" i="18"/>
  <c r="H979" i="18" s="1"/>
  <c r="H980" i="18" s="1"/>
  <c r="H981" i="18" s="1"/>
  <c r="H982" i="18" s="1"/>
  <c r="H983" i="18" s="1"/>
  <c r="H984" i="18" s="1"/>
  <c r="H985" i="18" s="1"/>
  <c r="H986" i="18" s="1"/>
  <c r="H987" i="18" s="1"/>
  <c r="H988" i="18" s="1"/>
  <c r="H989" i="18" s="1"/>
  <c r="H990" i="18" s="1"/>
  <c r="H991" i="18" s="1"/>
  <c r="H992" i="18" s="1"/>
  <c r="H993" i="18" s="1"/>
  <c r="H994" i="18" s="1"/>
  <c r="H995" i="18" s="1"/>
  <c r="H996" i="18" s="1"/>
  <c r="H997" i="18" s="1"/>
  <c r="H998" i="18" s="1"/>
  <c r="H999" i="18" s="1"/>
  <c r="H1000" i="18" s="1"/>
  <c r="H1001" i="18" s="1"/>
  <c r="H1002" i="18" s="1"/>
  <c r="H1003" i="18" s="1"/>
  <c r="H1004" i="18" s="1"/>
  <c r="H1005" i="18" s="1"/>
  <c r="H1006" i="18" s="1"/>
  <c r="H1007" i="18" s="1"/>
  <c r="H826" i="18"/>
  <c r="C480" i="15"/>
  <c r="C793" i="15"/>
  <c r="C650" i="15"/>
  <c r="C638" i="15"/>
  <c r="C643" i="15"/>
  <c r="C658" i="15"/>
  <c r="C661" i="15"/>
  <c r="C645" i="15"/>
  <c r="C794" i="15"/>
  <c r="C649" i="15"/>
  <c r="C659" i="15"/>
  <c r="C641" i="15"/>
  <c r="C796" i="15"/>
  <c r="C662" i="15"/>
  <c r="C646" i="15"/>
  <c r="C798" i="15"/>
  <c r="C791" i="15"/>
  <c r="C795" i="15"/>
  <c r="C644" i="15"/>
  <c r="C642" i="15"/>
  <c r="C654" i="15"/>
  <c r="C655" i="15"/>
  <c r="C799" i="15"/>
  <c r="C792" i="15"/>
  <c r="C797" i="15"/>
  <c r="C639" i="15"/>
  <c r="C651" i="15"/>
  <c r="C640" i="15"/>
  <c r="C652" i="15"/>
  <c r="C656" i="15"/>
  <c r="O785" i="15"/>
  <c r="H1038" i="18"/>
  <c r="H1039" i="18" s="1"/>
  <c r="H1040" i="18" s="1"/>
  <c r="H1041" i="18" s="1"/>
  <c r="H1042" i="18" s="1"/>
  <c r="H1043" i="18" s="1"/>
  <c r="H1044" i="18" s="1"/>
  <c r="H1045" i="18" s="1"/>
  <c r="H1046" i="18" s="1"/>
  <c r="H1047" i="18" s="1"/>
  <c r="H1048" i="18" s="1"/>
  <c r="H1049" i="18" s="1"/>
  <c r="H1050" i="18" s="1"/>
  <c r="H1051" i="18" s="1"/>
  <c r="H1052" i="18" s="1"/>
  <c r="H1053" i="18" s="1"/>
  <c r="H1054" i="18" s="1"/>
  <c r="H1055" i="18" s="1"/>
  <c r="H1056" i="18" s="1"/>
  <c r="H1057" i="18" s="1"/>
  <c r="H1058" i="18" s="1"/>
  <c r="H1059" i="18" s="1"/>
  <c r="H1060" i="18" s="1"/>
  <c r="H1061" i="18" s="1"/>
  <c r="H1062" i="18" s="1"/>
  <c r="H1063" i="18" s="1"/>
  <c r="H1064" i="18" s="1"/>
  <c r="H1065" i="18" s="1"/>
  <c r="H1066" i="18" s="1"/>
  <c r="H1067" i="18" s="1"/>
  <c r="H918" i="18"/>
  <c r="H919" i="18" s="1"/>
  <c r="H920" i="18" s="1"/>
  <c r="H921" i="18" s="1"/>
  <c r="H922" i="18" s="1"/>
  <c r="H923" i="18" s="1"/>
  <c r="H924" i="18" s="1"/>
  <c r="H925" i="18" s="1"/>
  <c r="H926" i="18" s="1"/>
  <c r="H927" i="18" s="1"/>
  <c r="H928" i="18" s="1"/>
  <c r="H929" i="18" s="1"/>
  <c r="H930" i="18" s="1"/>
  <c r="H931" i="18" s="1"/>
  <c r="H932" i="18" s="1"/>
  <c r="H933" i="18" s="1"/>
  <c r="H934" i="18" s="1"/>
  <c r="H935" i="18" s="1"/>
  <c r="H936" i="18" s="1"/>
  <c r="H937" i="18" s="1"/>
  <c r="H938" i="18" s="1"/>
  <c r="H939" i="18" s="1"/>
  <c r="H940" i="18" s="1"/>
  <c r="H941" i="18" s="1"/>
  <c r="H942" i="18" s="1"/>
  <c r="H943" i="18" s="1"/>
  <c r="H944" i="18" s="1"/>
  <c r="H945" i="18" s="1"/>
  <c r="H946" i="18" s="1"/>
  <c r="H947" i="18" s="1"/>
  <c r="H40" i="16"/>
  <c r="F22" i="16"/>
  <c r="E24" i="16"/>
  <c r="E22" i="16"/>
  <c r="F24" i="16"/>
  <c r="H1068" i="18"/>
  <c r="H1069" i="18" s="1"/>
  <c r="H1070" i="18" s="1"/>
  <c r="H1071" i="18" s="1"/>
  <c r="H1072" i="18" s="1"/>
  <c r="H1073" i="18" s="1"/>
  <c r="H1074" i="18" s="1"/>
  <c r="H1075" i="18" s="1"/>
  <c r="H1076" i="18" s="1"/>
  <c r="H1077" i="18" s="1"/>
  <c r="H1078" i="18" s="1"/>
  <c r="H1079" i="18" s="1"/>
  <c r="H1080" i="18" s="1"/>
  <c r="H1081" i="18" s="1"/>
  <c r="H1082" i="18" s="1"/>
  <c r="H1083" i="18" s="1"/>
  <c r="H1084" i="18" s="1"/>
  <c r="H1085" i="18" s="1"/>
  <c r="H1086" i="18" s="1"/>
  <c r="H1087" i="18" s="1"/>
  <c r="H1088" i="18" s="1"/>
  <c r="H1089" i="18" s="1"/>
  <c r="H1090" i="18" s="1"/>
  <c r="H1091" i="18" s="1"/>
  <c r="H1092" i="18" s="1"/>
  <c r="H1093" i="18" s="1"/>
  <c r="H1094" i="18" s="1"/>
  <c r="H1095" i="18" s="1"/>
  <c r="H1096" i="18" s="1"/>
  <c r="H1097" i="18" s="1"/>
  <c r="H1008" i="18"/>
  <c r="H1009" i="18" s="1"/>
  <c r="H1010" i="18" s="1"/>
  <c r="H1011" i="18" s="1"/>
  <c r="H1012" i="18" s="1"/>
  <c r="H1013" i="18" s="1"/>
  <c r="H1014" i="18" s="1"/>
  <c r="H1015" i="18" s="1"/>
  <c r="H1016" i="18" s="1"/>
  <c r="H1017" i="18" s="1"/>
  <c r="H1018" i="18" s="1"/>
  <c r="H1019" i="18" s="1"/>
  <c r="H1020" i="18" s="1"/>
  <c r="H1021" i="18" s="1"/>
  <c r="H1022" i="18" s="1"/>
  <c r="H1023" i="18" s="1"/>
  <c r="H1024" i="18" s="1"/>
  <c r="H1025" i="18" s="1"/>
  <c r="H1026" i="18" s="1"/>
  <c r="H1027" i="18" s="1"/>
  <c r="H1028" i="18" s="1"/>
  <c r="H1029" i="18" s="1"/>
  <c r="H1030" i="18" s="1"/>
  <c r="H1031" i="18" s="1"/>
  <c r="H1032" i="18" s="1"/>
  <c r="H1033" i="18" s="1"/>
  <c r="H1034" i="18" s="1"/>
  <c r="H1035" i="18" s="1"/>
  <c r="H1036" i="18" s="1"/>
  <c r="H1037" i="18" s="1"/>
  <c r="H948" i="18"/>
  <c r="H949" i="18" s="1"/>
  <c r="H950" i="18" s="1"/>
  <c r="H951" i="18" s="1"/>
  <c r="H952" i="18" s="1"/>
  <c r="H953" i="18" s="1"/>
  <c r="H954" i="18" s="1"/>
  <c r="H955" i="18" s="1"/>
  <c r="H956" i="18" s="1"/>
  <c r="H957" i="18" s="1"/>
  <c r="H958" i="18" s="1"/>
  <c r="H959" i="18" s="1"/>
  <c r="H960" i="18" s="1"/>
  <c r="H961" i="18" s="1"/>
  <c r="H962" i="18" s="1"/>
  <c r="H963" i="18" s="1"/>
  <c r="H964" i="18" s="1"/>
  <c r="H965" i="18" s="1"/>
  <c r="H966" i="18" s="1"/>
  <c r="H967" i="18" s="1"/>
  <c r="H968" i="18" s="1"/>
  <c r="H969" i="18" s="1"/>
  <c r="H970" i="18" s="1"/>
  <c r="H971" i="18" s="1"/>
  <c r="H972" i="18" s="1"/>
  <c r="H973" i="18" s="1"/>
  <c r="H974" i="18" s="1"/>
  <c r="H975" i="18" s="1"/>
  <c r="H976" i="18" s="1"/>
  <c r="H977" i="18" s="1"/>
  <c r="H887" i="18"/>
  <c r="H888" i="18" s="1"/>
  <c r="H889" i="18" s="1"/>
  <c r="H890" i="18" s="1"/>
  <c r="H891" i="18" s="1"/>
  <c r="H892" i="18" s="1"/>
  <c r="H893" i="18" s="1"/>
  <c r="H894" i="18" s="1"/>
  <c r="H895" i="18" s="1"/>
  <c r="H896" i="18" s="1"/>
  <c r="H897" i="18" s="1"/>
  <c r="H898" i="18" s="1"/>
  <c r="H899" i="18" s="1"/>
  <c r="H900" i="18" s="1"/>
  <c r="H901" i="18" s="1"/>
  <c r="H902" i="18" s="1"/>
  <c r="H903" i="18" s="1"/>
  <c r="H904" i="18" s="1"/>
  <c r="H905" i="18" s="1"/>
  <c r="H906" i="18" s="1"/>
  <c r="H907" i="18" s="1"/>
  <c r="H908" i="18" s="1"/>
  <c r="H909" i="18" s="1"/>
  <c r="H910" i="18" s="1"/>
  <c r="H911" i="18" s="1"/>
  <c r="H912" i="18" s="1"/>
  <c r="H913" i="18" s="1"/>
  <c r="H914" i="18" s="1"/>
  <c r="H915" i="18" s="1"/>
  <c r="H916" i="18" s="1"/>
  <c r="H917" i="18" s="1"/>
  <c r="H856" i="18"/>
  <c r="H857" i="18" s="1"/>
  <c r="H858" i="18" s="1"/>
  <c r="H859" i="18" s="1"/>
  <c r="H860" i="18" s="1"/>
  <c r="H861" i="18" s="1"/>
  <c r="H862" i="18" s="1"/>
  <c r="H863" i="18" s="1"/>
  <c r="H864" i="18" s="1"/>
  <c r="H865" i="18" s="1"/>
  <c r="H866" i="18" s="1"/>
  <c r="H867" i="18" s="1"/>
  <c r="H868" i="18" s="1"/>
  <c r="H869" i="18" s="1"/>
  <c r="H870" i="18" s="1"/>
  <c r="H871" i="18" s="1"/>
  <c r="H872" i="18" s="1"/>
  <c r="H873" i="18" s="1"/>
  <c r="H874" i="18" s="1"/>
  <c r="H875" i="18" s="1"/>
  <c r="H876" i="18" s="1"/>
  <c r="H877" i="18" s="1"/>
  <c r="H878" i="18" s="1"/>
  <c r="H879" i="18" s="1"/>
  <c r="H880" i="18" s="1"/>
  <c r="H881" i="18" s="1"/>
  <c r="H882" i="18" s="1"/>
  <c r="H883" i="18" s="1"/>
  <c r="H884" i="18" s="1"/>
  <c r="H885" i="18" s="1"/>
  <c r="H886" i="18" s="1"/>
  <c r="H827" i="18"/>
  <c r="H828" i="18" s="1"/>
  <c r="H829" i="18" s="1"/>
  <c r="H830" i="18" s="1"/>
  <c r="H831" i="18" s="1"/>
  <c r="H832" i="18" s="1"/>
  <c r="H833" i="18" s="1"/>
  <c r="H834" i="18" s="1"/>
  <c r="H835" i="18" s="1"/>
  <c r="H836" i="18" s="1"/>
  <c r="H837" i="18" s="1"/>
  <c r="H838" i="18" s="1"/>
  <c r="H839" i="18" s="1"/>
  <c r="H840" i="18" s="1"/>
  <c r="H841" i="18" s="1"/>
  <c r="H842" i="18" s="1"/>
  <c r="H843" i="18" s="1"/>
  <c r="H844" i="18" s="1"/>
  <c r="H845" i="18" s="1"/>
  <c r="H846" i="18" s="1"/>
  <c r="H847" i="18" s="1"/>
  <c r="H848" i="18" s="1"/>
  <c r="H849" i="18" s="1"/>
  <c r="H850" i="18" s="1"/>
  <c r="H851" i="18" s="1"/>
  <c r="H852" i="18" s="1"/>
  <c r="H853" i="18" s="1"/>
  <c r="H854" i="18" s="1"/>
  <c r="H855" i="18" s="1"/>
  <c r="H795" i="18"/>
  <c r="H796" i="18" s="1"/>
  <c r="H797" i="18" s="1"/>
  <c r="H798" i="18" s="1"/>
  <c r="H799" i="18" s="1"/>
  <c r="H800" i="18" s="1"/>
  <c r="H801" i="18" s="1"/>
  <c r="H802" i="18" s="1"/>
  <c r="H803" i="18" s="1"/>
  <c r="H804" i="18" s="1"/>
  <c r="H805" i="18" s="1"/>
  <c r="H806" i="18" s="1"/>
  <c r="H807" i="18" s="1"/>
  <c r="H808" i="18" s="1"/>
  <c r="H809" i="18" s="1"/>
  <c r="H810" i="18" s="1"/>
  <c r="H811" i="18" s="1"/>
  <c r="H812" i="18" s="1"/>
  <c r="H813" i="18" s="1"/>
  <c r="H814" i="18" s="1"/>
  <c r="H815" i="18" s="1"/>
  <c r="H816" i="18" s="1"/>
  <c r="H817" i="18" s="1"/>
  <c r="H818" i="18" s="1"/>
  <c r="H819" i="18" s="1"/>
  <c r="H820" i="18" s="1"/>
  <c r="H821" i="18" s="1"/>
  <c r="H822" i="18" s="1"/>
  <c r="H823" i="18" s="1"/>
  <c r="H824" i="18" s="1"/>
  <c r="H763" i="18"/>
  <c r="H764" i="18" s="1"/>
  <c r="H765" i="18" s="1"/>
  <c r="H766" i="18" s="1"/>
  <c r="H767" i="18" s="1"/>
  <c r="H768" i="18" s="1"/>
  <c r="H769" i="18" s="1"/>
  <c r="H770" i="18" s="1"/>
  <c r="H771" i="18" s="1"/>
  <c r="H772" i="18" s="1"/>
  <c r="H773" i="18" s="1"/>
  <c r="H774" i="18" s="1"/>
  <c r="H775" i="18" s="1"/>
  <c r="H776" i="18" s="1"/>
  <c r="H777" i="18" s="1"/>
  <c r="H778" i="18" s="1"/>
  <c r="H779" i="18" s="1"/>
  <c r="H780" i="18" s="1"/>
  <c r="H781" i="18" s="1"/>
  <c r="H782" i="18" s="1"/>
  <c r="H783" i="18" s="1"/>
  <c r="H784" i="18" s="1"/>
  <c r="H785" i="18" s="1"/>
  <c r="H786" i="18" s="1"/>
  <c r="H787" i="18" s="1"/>
  <c r="H788" i="18" s="1"/>
  <c r="H789" i="18" s="1"/>
  <c r="H790" i="18" s="1"/>
  <c r="H791" i="18" s="1"/>
  <c r="H792" i="18" s="1"/>
  <c r="H793" i="18" s="1"/>
  <c r="H28" i="16"/>
  <c r="C28" i="16" s="1"/>
  <c r="H20" i="16"/>
  <c r="C20" i="16" s="1"/>
  <c r="H6" i="16"/>
  <c r="C6" i="16" s="1"/>
  <c r="H10" i="16"/>
  <c r="C10" i="16" s="1"/>
  <c r="C43" i="9"/>
  <c r="D43" i="9"/>
  <c r="O715" i="15"/>
  <c r="C9" i="9"/>
  <c r="D9" i="9"/>
  <c r="AM507" i="15"/>
  <c r="AM508" i="15"/>
  <c r="AM312" i="15"/>
  <c r="AM340" i="15"/>
  <c r="AM269" i="15"/>
  <c r="AM254" i="15"/>
  <c r="AM307" i="15"/>
  <c r="AM240" i="15"/>
  <c r="AM757" i="15"/>
  <c r="AM429" i="15"/>
  <c r="AM425" i="15"/>
  <c r="AM454" i="15"/>
  <c r="AM709" i="15"/>
  <c r="AM486" i="15"/>
  <c r="AM338" i="15"/>
  <c r="AM356" i="15"/>
  <c r="AM263" i="15"/>
  <c r="AM246" i="15"/>
  <c r="AM247" i="15"/>
  <c r="AM249" i="15"/>
  <c r="AM250" i="15"/>
  <c r="AM251" i="15"/>
  <c r="AM386" i="15"/>
  <c r="AM399" i="15"/>
  <c r="AM411" i="15"/>
  <c r="AM363" i="15"/>
  <c r="AM760" i="15"/>
  <c r="AM755" i="15"/>
  <c r="AM404" i="15"/>
  <c r="AM417" i="15"/>
  <c r="AM166" i="15"/>
  <c r="AM691" i="15"/>
  <c r="AM376" i="15"/>
  <c r="AM745" i="15"/>
  <c r="AM302" i="15"/>
  <c r="AM750" i="15"/>
  <c r="AM698" i="15"/>
  <c r="AM768" i="15"/>
  <c r="AM465" i="15"/>
  <c r="AM477" i="15"/>
  <c r="AM475" i="15"/>
  <c r="AM681" i="15"/>
  <c r="AM444" i="15"/>
  <c r="AM473" i="15"/>
  <c r="AM711" i="15"/>
  <c r="AM722" i="15"/>
  <c r="AM705" i="15"/>
  <c r="AM419" i="15"/>
  <c r="AM292" i="15"/>
  <c r="AM291" i="15"/>
  <c r="AM333" i="15"/>
  <c r="AM352" i="15"/>
  <c r="AM712" i="15"/>
  <c r="AM718" i="15"/>
  <c r="AM314" i="15"/>
  <c r="AM706" i="15"/>
  <c r="AM344" i="15"/>
  <c r="AM686" i="15"/>
  <c r="AM773" i="15"/>
  <c r="AM727" i="15"/>
  <c r="AM732" i="15"/>
  <c r="AM751" i="15"/>
  <c r="AM430" i="15"/>
  <c r="AM700" i="15"/>
  <c r="AM431" i="15"/>
  <c r="AM467" i="15"/>
  <c r="AM488" i="15"/>
  <c r="AM665" i="15"/>
  <c r="AM744" i="15"/>
  <c r="AM482" i="15"/>
  <c r="AM285" i="15"/>
  <c r="AM283" i="15"/>
  <c r="AM359" i="15"/>
  <c r="AM497" i="15"/>
  <c r="AM370" i="15"/>
  <c r="AM385" i="15"/>
  <c r="AM703" i="15"/>
  <c r="AM279" i="15"/>
  <c r="AM260" i="15"/>
  <c r="AM674" i="15"/>
  <c r="AM351" i="15"/>
  <c r="AM749" i="15"/>
  <c r="AM491" i="15"/>
  <c r="AM286" i="15"/>
  <c r="AM284" i="15"/>
  <c r="AM257" i="15"/>
  <c r="AM373" i="15"/>
  <c r="AM688" i="15"/>
  <c r="AM694" i="15"/>
  <c r="AM455" i="15"/>
  <c r="AM478" i="15"/>
  <c r="AM496" i="15"/>
  <c r="AM670" i="15"/>
  <c r="AM682" i="15"/>
  <c r="AM297" i="15"/>
  <c r="AM544" i="15"/>
  <c r="AM546" i="15"/>
  <c r="AM576" i="15"/>
  <c r="AM621" i="15"/>
  <c r="AM623" i="15"/>
  <c r="AM625" i="15"/>
  <c r="AM628" i="15"/>
  <c r="AM630" i="15"/>
  <c r="AM37" i="15"/>
  <c r="AM79" i="15"/>
  <c r="AM113" i="15"/>
  <c r="AM216" i="15"/>
  <c r="AM158" i="15"/>
  <c r="AM183" i="15"/>
  <c r="AM316" i="15"/>
  <c r="AM217" i="15"/>
  <c r="AM199" i="15"/>
  <c r="AM218" i="15"/>
  <c r="AM224" i="15"/>
  <c r="AM234" i="15"/>
  <c r="AM208" i="15"/>
  <c r="AM222" i="15"/>
  <c r="AM360" i="15"/>
  <c r="AM375" i="15"/>
  <c r="AM34" i="15"/>
  <c r="AM704" i="15"/>
  <c r="AM63" i="15"/>
  <c r="AM241" i="15"/>
  <c r="AM767" i="15"/>
  <c r="AM435" i="15"/>
  <c r="AM448" i="15"/>
  <c r="AM460" i="15"/>
  <c r="AM483" i="15"/>
  <c r="AM492" i="15"/>
  <c r="AM472" i="15"/>
  <c r="AM503" i="15"/>
  <c r="AM667" i="15"/>
  <c r="AM679" i="15"/>
  <c r="AM685" i="15"/>
  <c r="AM673" i="15"/>
  <c r="AM777" i="15"/>
  <c r="AM336" i="15"/>
  <c r="AM337" i="15"/>
  <c r="AM708" i="15"/>
  <c r="AM714" i="15"/>
  <c r="AM511" i="15"/>
  <c r="AM512" i="15"/>
  <c r="AM400" i="15"/>
  <c r="AM317" i="15"/>
  <c r="AM513" i="15"/>
  <c r="AM549" i="15"/>
  <c r="AM271" i="15"/>
  <c r="AM595" i="15"/>
  <c r="AM648" i="15"/>
  <c r="AM393" i="15"/>
  <c r="AM50" i="15"/>
  <c r="AM73" i="15"/>
  <c r="AM114" i="15"/>
  <c r="AM137" i="15"/>
  <c r="AM165" i="15"/>
  <c r="AM252" i="15"/>
  <c r="AM12" i="15"/>
  <c r="AM295" i="15"/>
  <c r="AM153" i="15"/>
  <c r="AM306" i="15"/>
  <c r="AM746" i="15"/>
  <c r="AM770" i="15"/>
  <c r="AM697" i="15"/>
  <c r="AM730" i="15"/>
  <c r="AM735" i="15"/>
  <c r="AM332" i="15"/>
  <c r="AM740" i="15"/>
  <c r="AM725" i="15"/>
  <c r="AM509" i="15"/>
  <c r="AM423" i="15"/>
  <c r="AM765" i="15"/>
  <c r="AM361" i="15"/>
  <c r="AM270" i="15"/>
  <c r="AM775" i="15"/>
  <c r="AM272" i="15"/>
  <c r="AM748" i="15"/>
  <c r="AM248" i="15"/>
  <c r="AM259" i="15"/>
  <c r="AM371" i="15"/>
  <c r="AM357" i="15"/>
  <c r="AM355" i="15"/>
  <c r="AM471" i="15"/>
  <c r="AM365" i="15"/>
  <c r="AM350" i="15"/>
  <c r="AM277" i="15"/>
  <c r="AM380" i="15"/>
  <c r="AM442" i="15"/>
  <c r="AM495" i="15"/>
  <c r="AM772" i="15"/>
  <c r="AM687" i="15"/>
  <c r="AM763" i="15"/>
  <c r="AM510" i="15"/>
  <c r="AM462" i="15"/>
  <c r="AM436" i="15"/>
  <c r="AM397" i="15"/>
  <c r="AM410" i="15"/>
  <c r="AM422" i="15"/>
  <c r="AM296" i="15"/>
  <c r="AM672" i="15"/>
  <c r="AM742" i="15"/>
  <c r="AM752" i="15"/>
  <c r="AM514" i="15"/>
  <c r="AM692" i="15"/>
  <c r="AM550" i="15"/>
  <c r="AM389" i="15"/>
  <c r="AM401" i="15"/>
  <c r="AM413" i="15"/>
  <c r="AM762" i="15"/>
  <c r="AM438" i="15"/>
  <c r="AM684" i="15"/>
  <c r="AM663" i="15"/>
  <c r="AM675" i="15"/>
  <c r="AM669" i="15"/>
  <c r="AM693" i="15"/>
  <c r="AM699" i="15"/>
  <c r="AM717" i="15"/>
  <c r="AM456" i="15"/>
  <c r="AM753" i="15"/>
  <c r="AM398" i="15"/>
  <c r="AM565" i="15"/>
  <c r="AM619" i="15"/>
  <c r="AM747" i="15"/>
  <c r="AM258" i="15"/>
  <c r="AM171" i="15"/>
  <c r="AM463" i="15"/>
  <c r="AM170" i="15"/>
  <c r="AM484" i="15"/>
  <c r="AM493" i="15"/>
  <c r="AM504" i="15"/>
  <c r="AM668" i="15"/>
  <c r="AM680" i="15"/>
  <c r="AM339" i="15"/>
  <c r="AM615" i="15"/>
  <c r="AM739" i="15"/>
  <c r="AM678" i="15"/>
  <c r="AM262" i="15"/>
  <c r="AM311" i="15"/>
  <c r="AM301" i="15"/>
  <c r="AM325" i="15"/>
  <c r="AM524" i="15"/>
  <c r="AM568" i="15"/>
  <c r="AM610" i="15"/>
  <c r="AM647" i="15"/>
  <c r="AM13" i="15"/>
  <c r="AM74" i="15"/>
  <c r="AM83" i="15"/>
  <c r="AM98" i="15"/>
  <c r="AM112" i="15"/>
  <c r="AM276" i="15"/>
  <c r="AM278" i="15"/>
  <c r="AM771" i="15"/>
  <c r="AM710" i="15"/>
  <c r="AM716" i="15"/>
  <c r="AM721" i="15"/>
  <c r="AM282" i="15"/>
  <c r="AM543" i="15"/>
  <c r="AM287" i="15"/>
  <c r="AM288" i="15"/>
  <c r="AM729" i="15"/>
  <c r="AM677" i="15"/>
  <c r="AM289" i="15"/>
  <c r="AM299" i="15"/>
  <c r="AM293" i="15"/>
  <c r="AM300" i="15"/>
  <c r="AM545" i="15"/>
  <c r="AM343" i="15"/>
  <c r="AM388" i="15"/>
  <c r="AM683" i="15"/>
  <c r="AM689" i="15"/>
  <c r="AM450" i="15"/>
  <c r="AM474" i="15"/>
  <c r="AM294" i="15"/>
  <c r="AM298" i="15"/>
  <c r="AM575" i="15"/>
  <c r="AM695" i="15"/>
  <c r="AM701" i="15"/>
  <c r="AM322" i="15"/>
  <c r="AM323" i="15"/>
  <c r="AM324" i="15"/>
  <c r="AM620" i="15"/>
  <c r="AM707" i="15"/>
  <c r="AM719" i="15"/>
  <c r="AM327" i="15"/>
  <c r="AM328" i="15"/>
  <c r="AM329" i="15"/>
  <c r="AM521" i="15"/>
  <c r="AM622" i="15"/>
  <c r="AM764" i="15"/>
  <c r="AM734" i="15"/>
  <c r="AM724" i="15"/>
  <c r="AM713" i="15"/>
  <c r="AM769" i="15"/>
  <c r="AM690" i="15"/>
  <c r="AM313" i="15"/>
  <c r="AM412" i="15"/>
  <c r="AM537" i="15"/>
  <c r="AM754" i="15"/>
  <c r="AM774" i="15"/>
  <c r="AM726" i="15"/>
  <c r="AM731" i="15"/>
  <c r="AM736" i="15"/>
  <c r="AM741" i="15"/>
  <c r="AM766" i="15"/>
  <c r="AM728" i="15"/>
  <c r="AM733" i="15"/>
  <c r="AM738" i="15"/>
  <c r="AM264" i="15"/>
  <c r="AM759" i="15"/>
  <c r="AM776" i="15"/>
  <c r="AM758" i="15"/>
  <c r="AM778" i="15"/>
  <c r="AM779" i="15"/>
  <c r="AM780" i="15"/>
  <c r="AM366" i="15"/>
  <c r="AM781" i="15"/>
  <c r="AM406" i="15"/>
  <c r="AM671" i="15"/>
  <c r="AM280" i="15"/>
  <c r="AM281" i="15"/>
  <c r="AM743" i="15"/>
  <c r="AM756" i="15"/>
  <c r="AM761" i="15"/>
  <c r="AM479" i="15"/>
  <c r="AM434" i="15"/>
  <c r="AM447" i="15"/>
  <c r="AM502" i="15"/>
  <c r="AM666" i="15"/>
  <c r="AM476" i="15"/>
  <c r="AM485" i="15"/>
  <c r="AM494" i="15"/>
  <c r="AM505" i="15"/>
  <c r="AM547" i="15"/>
  <c r="AM506" i="15"/>
  <c r="AM522" i="15"/>
  <c r="AM548" i="15"/>
  <c r="AM519" i="15"/>
  <c r="AM30" i="15"/>
  <c r="AM51" i="15"/>
  <c r="AM104" i="15"/>
  <c r="AM551" i="15"/>
  <c r="AM470" i="15"/>
  <c r="AM236" i="15"/>
  <c r="AM238" i="15"/>
  <c r="AM523" i="15"/>
  <c r="AM577" i="15"/>
  <c r="AM611" i="15"/>
  <c r="AM103" i="15"/>
  <c r="AM273" i="15"/>
  <c r="AM290" i="15"/>
  <c r="AM321" i="15"/>
  <c r="AM520" i="15"/>
  <c r="AM303" i="15"/>
  <c r="AM16" i="15"/>
  <c r="AM390" i="15"/>
  <c r="AM426" i="15"/>
  <c r="AM138" i="15"/>
  <c r="AM191" i="15"/>
  <c r="AM189" i="15"/>
  <c r="AM214" i="15"/>
  <c r="AM225" i="15"/>
  <c r="AM239" i="15"/>
  <c r="AM624" i="15"/>
  <c r="AM275" i="15"/>
  <c r="AM737" i="15"/>
  <c r="AM459" i="15"/>
  <c r="AM515" i="15"/>
  <c r="AM331" i="15"/>
  <c r="AM315" i="15"/>
  <c r="AM309" i="15"/>
  <c r="AM310" i="15"/>
  <c r="AM579" i="15"/>
  <c r="AM35" i="15"/>
  <c r="AM57" i="15"/>
  <c r="AM341" i="15"/>
  <c r="AM345" i="15"/>
  <c r="AM362" i="15"/>
  <c r="AM377" i="15"/>
  <c r="AM24" i="15"/>
  <c r="AM566" i="15"/>
  <c r="AM587" i="15"/>
  <c r="AM588" i="15"/>
  <c r="AM584" i="15"/>
  <c r="AM627" i="15"/>
  <c r="AM402" i="15"/>
  <c r="AM414" i="15"/>
  <c r="AM613" i="15"/>
  <c r="AM265" i="15"/>
  <c r="AM268" i="15"/>
  <c r="AM789" i="15"/>
  <c r="AM629" i="15"/>
  <c r="AM653" i="15"/>
  <c r="AM26" i="15"/>
  <c r="AM41" i="15"/>
  <c r="AM88" i="15"/>
  <c r="AM657" i="15"/>
  <c r="AM134" i="15"/>
  <c r="AM157" i="15"/>
  <c r="AM174" i="15"/>
  <c r="AM188" i="15"/>
  <c r="AM205" i="15"/>
  <c r="AM223" i="15"/>
  <c r="AM237" i="15"/>
  <c r="AM439" i="15"/>
  <c r="AM449" i="15"/>
  <c r="AM461" i="15"/>
  <c r="AM723" i="15"/>
  <c r="AM585" i="15"/>
  <c r="AM452" i="15"/>
  <c r="AM464" i="15"/>
  <c r="AM17" i="15"/>
  <c r="AM18" i="15"/>
  <c r="AM6" i="15"/>
  <c r="AM29" i="15"/>
  <c r="AM38" i="15"/>
  <c r="AM39" i="15"/>
  <c r="AM48" i="15"/>
  <c r="AM49" i="15"/>
  <c r="AM40" i="15"/>
  <c r="AM61" i="15"/>
  <c r="AM65" i="15"/>
  <c r="AM66" i="15"/>
  <c r="AM67" i="15"/>
  <c r="AM68" i="15"/>
  <c r="AM69" i="15"/>
  <c r="AM95" i="15"/>
  <c r="AM531" i="15"/>
  <c r="AM536" i="15"/>
  <c r="AM96" i="15"/>
  <c r="AM97" i="15"/>
  <c r="AM101" i="15"/>
  <c r="AM118" i="15"/>
  <c r="AM528" i="15"/>
  <c r="AM529" i="15"/>
  <c r="AM116" i="15"/>
  <c r="AM117" i="15"/>
  <c r="AM125" i="15"/>
  <c r="AM144" i="15"/>
  <c r="AM525" i="15"/>
  <c r="AM526" i="15"/>
  <c r="AM149" i="15"/>
  <c r="AM150" i="15"/>
  <c r="AM151" i="15"/>
  <c r="AM145" i="15"/>
  <c r="AM527" i="15"/>
  <c r="AM530" i="15"/>
  <c r="AM178" i="15"/>
  <c r="AM179" i="15"/>
  <c r="AM167" i="15"/>
  <c r="AM192" i="15"/>
  <c r="AM554" i="15"/>
  <c r="AM538" i="15"/>
  <c r="AM193" i="15"/>
  <c r="AM194" i="15"/>
  <c r="AM186" i="15"/>
  <c r="AM190" i="15"/>
  <c r="AM539" i="15"/>
  <c r="AM540" i="15"/>
  <c r="AM255" i="15"/>
  <c r="AM256" i="15"/>
  <c r="AM202" i="15"/>
  <c r="AM346" i="15"/>
  <c r="AM555" i="15"/>
  <c r="AM552" i="15"/>
  <c r="AM220" i="15"/>
  <c r="AM347" i="15"/>
  <c r="AM556" i="15"/>
  <c r="AM567" i="15"/>
  <c r="AM232" i="15"/>
  <c r="AM348" i="15"/>
  <c r="AM557" i="15"/>
  <c r="AM558" i="15"/>
  <c r="AM261" i="15"/>
  <c r="AM349" i="15"/>
  <c r="AM164" i="15"/>
  <c r="AM207" i="15"/>
  <c r="AM308" i="15"/>
  <c r="AM209" i="15"/>
  <c r="AM226" i="15"/>
  <c r="AM227" i="15"/>
  <c r="AM342" i="15"/>
  <c r="AM204" i="15"/>
  <c r="AM229" i="15"/>
  <c r="AM230" i="15"/>
  <c r="AM358" i="15"/>
  <c r="AM235" i="15"/>
  <c r="AM788" i="15"/>
  <c r="AM364" i="15"/>
  <c r="AM372" i="15"/>
  <c r="AM374" i="15"/>
  <c r="AM378" i="15"/>
  <c r="AM379" i="15"/>
  <c r="AM387" i="15"/>
  <c r="AM391" i="15"/>
  <c r="AM392" i="15"/>
  <c r="AM443" i="15"/>
  <c r="AM451" i="15"/>
  <c r="AM403" i="15"/>
  <c r="AM466" i="15"/>
  <c r="AM415" i="15"/>
  <c r="AM416" i="15"/>
  <c r="AM487" i="15"/>
  <c r="AM427" i="15"/>
  <c r="AM428" i="15"/>
  <c r="AM664" i="15"/>
  <c r="AM440" i="15"/>
  <c r="AM441" i="15"/>
  <c r="AM676" i="15"/>
  <c r="AM330" i="15"/>
  <c r="AM453" i="15"/>
  <c r="AM518" i="15"/>
  <c r="AM326" i="15"/>
  <c r="AM720" i="15"/>
  <c r="AM715" i="15"/>
  <c r="C60" i="9"/>
  <c r="D60" i="9"/>
  <c r="O760" i="15"/>
  <c r="Q498" i="15" l="1"/>
  <c r="Q499" i="15"/>
  <c r="Q480" i="15"/>
  <c r="Q481" i="15"/>
  <c r="Q490" i="15"/>
  <c r="Q489" i="15"/>
  <c r="H22" i="16"/>
  <c r="C22" i="16" s="1"/>
  <c r="H24" i="16"/>
  <c r="C24" i="16" s="1"/>
  <c r="D28" i="16"/>
  <c r="D20" i="16"/>
  <c r="D6" i="16"/>
  <c r="D10" i="16"/>
  <c r="O734" i="15"/>
  <c r="D24" i="16" l="1"/>
  <c r="D22" i="16"/>
  <c r="C78" i="9"/>
  <c r="D78" i="9"/>
  <c r="O25" i="16" l="1"/>
  <c r="I26" i="17" l="1"/>
  <c r="N166" i="15" l="1"/>
  <c r="N710" i="15"/>
  <c r="N352" i="15"/>
  <c r="N413" i="15"/>
  <c r="N742" i="15"/>
  <c r="N752" i="15"/>
  <c r="N288" i="15"/>
  <c r="N692" i="15"/>
  <c r="N684" i="15"/>
  <c r="N550" i="15"/>
  <c r="N389" i="15"/>
  <c r="N401" i="15"/>
  <c r="N762" i="15"/>
  <c r="N438" i="15"/>
  <c r="N663" i="15"/>
  <c r="N675" i="15"/>
  <c r="N669" i="15"/>
  <c r="N693" i="15"/>
  <c r="N699" i="15"/>
  <c r="N333" i="15"/>
  <c r="N722" i="15"/>
  <c r="N717" i="15"/>
  <c r="N456" i="15"/>
  <c r="N753" i="15"/>
  <c r="N398" i="15"/>
  <c r="N577" i="15"/>
  <c r="N291" i="15"/>
  <c r="N238" i="15"/>
  <c r="N523" i="15"/>
  <c r="N711" i="15"/>
  <c r="N747" i="15"/>
  <c r="N171" i="15"/>
  <c r="N463" i="15"/>
  <c r="N170" i="15"/>
  <c r="N484" i="15"/>
  <c r="N615" i="15"/>
  <c r="N83" i="15"/>
  <c r="N98" i="15"/>
  <c r="N296" i="15"/>
  <c r="N112" i="15"/>
  <c r="N543" i="15"/>
  <c r="N771" i="15"/>
  <c r="N716" i="15"/>
  <c r="N721" i="15"/>
  <c r="N545" i="15"/>
  <c r="N686" i="15"/>
  <c r="N514" i="15"/>
  <c r="N575" i="15"/>
  <c r="N303" i="15"/>
  <c r="N275" i="15"/>
  <c r="N620" i="15"/>
  <c r="N705" i="15"/>
  <c r="N343" i="15"/>
  <c r="N611" i="15"/>
  <c r="N103" i="15"/>
  <c r="N273" i="15"/>
  <c r="N290" i="15"/>
  <c r="N520" i="15"/>
  <c r="N16" i="15"/>
  <c r="N459" i="15"/>
  <c r="N331" i="15"/>
  <c r="N310" i="15"/>
  <c r="N57" i="15"/>
  <c r="N339" i="15"/>
  <c r="N726" i="15"/>
  <c r="N731" i="15"/>
  <c r="N736" i="15"/>
  <c r="N766" i="15"/>
  <c r="N754" i="15"/>
  <c r="N741" i="15"/>
  <c r="N738" i="15"/>
  <c r="N778" i="15"/>
  <c r="N494" i="15"/>
  <c r="N505" i="15"/>
  <c r="N522" i="15"/>
  <c r="N519" i="15"/>
  <c r="N51" i="15"/>
  <c r="N470" i="15"/>
  <c r="N321" i="15"/>
  <c r="N426" i="15"/>
  <c r="N191" i="15"/>
  <c r="N189" i="15"/>
  <c r="N225" i="15"/>
  <c r="N737" i="15"/>
  <c r="N315" i="15"/>
  <c r="N579" i="15"/>
  <c r="N341" i="15"/>
  <c r="N174" i="15"/>
  <c r="N205" i="15"/>
  <c r="N698" i="15"/>
  <c r="N764" i="15"/>
  <c r="N734" i="15"/>
  <c r="N769" i="15"/>
  <c r="N690" i="15"/>
  <c r="N313" i="15"/>
  <c r="N412" i="15"/>
  <c r="N774" i="15"/>
  <c r="N728" i="15"/>
  <c r="N733" i="15"/>
  <c r="N264" i="15"/>
  <c r="N759" i="15"/>
  <c r="N776" i="15"/>
  <c r="N758" i="15"/>
  <c r="N263" i="15"/>
  <c r="N246" i="15"/>
  <c r="N506" i="15"/>
  <c r="N30" i="15"/>
  <c r="N104" i="15"/>
  <c r="N236" i="15"/>
  <c r="N390" i="15"/>
  <c r="N138" i="15"/>
  <c r="N214" i="15"/>
  <c r="N239" i="15"/>
  <c r="N515" i="15"/>
  <c r="N309" i="15"/>
  <c r="N345" i="15"/>
  <c r="N134" i="15"/>
  <c r="N356" i="15"/>
  <c r="N223" i="15"/>
  <c r="N653" i="15"/>
  <c r="N363" i="15"/>
  <c r="N760" i="15"/>
  <c r="N24" i="15"/>
  <c r="N439" i="15"/>
  <c r="N449" i="15"/>
  <c r="N461" i="15"/>
  <c r="N723" i="15"/>
  <c r="N585" i="15"/>
  <c r="N247" i="15"/>
  <c r="N249" i="15"/>
  <c r="N376" i="15"/>
  <c r="N473" i="15"/>
  <c r="N287" i="15"/>
  <c r="N41" i="15"/>
  <c r="N88" i="15"/>
  <c r="N657" i="15"/>
  <c r="N338" i="15"/>
  <c r="N157" i="15"/>
  <c r="N188" i="15"/>
  <c r="N237" i="15"/>
  <c r="N750" i="15"/>
  <c r="N26" i="15"/>
  <c r="N755" i="15"/>
  <c r="N419" i="15"/>
  <c r="N302" i="15"/>
  <c r="N269" i="15"/>
  <c r="N706" i="15"/>
  <c r="N240" i="15"/>
  <c r="N250" i="15"/>
  <c r="N251" i="15"/>
  <c r="N475" i="15"/>
  <c r="N454" i="15"/>
  <c r="N757" i="15"/>
  <c r="N429" i="15"/>
  <c r="N681" i="15"/>
  <c r="N292" i="15"/>
  <c r="N425" i="15"/>
  <c r="N709" i="15"/>
  <c r="N486" i="15"/>
  <c r="N254" i="15"/>
  <c r="N431" i="15"/>
  <c r="N307" i="15"/>
  <c r="N404" i="15"/>
  <c r="N417" i="15"/>
  <c r="N691" i="15"/>
  <c r="N745" i="15"/>
  <c r="N465" i="15"/>
  <c r="N477" i="15"/>
  <c r="N712" i="15"/>
  <c r="N718" i="15"/>
  <c r="N314" i="15"/>
  <c r="N344" i="15"/>
  <c r="N727" i="15"/>
  <c r="N732" i="15"/>
  <c r="N751" i="15"/>
  <c r="N430" i="15"/>
  <c r="N355" i="15"/>
  <c r="N467" i="15"/>
  <c r="N488" i="15"/>
  <c r="N258" i="15"/>
  <c r="N622" i="15"/>
  <c r="N624" i="15"/>
  <c r="N627" i="15"/>
  <c r="N629" i="15"/>
  <c r="N665" i="15"/>
  <c r="N29" i="15"/>
  <c r="N61" i="15"/>
  <c r="N95" i="15"/>
  <c r="N118" i="15"/>
  <c r="N144" i="15"/>
  <c r="N145" i="15"/>
  <c r="N192" i="15"/>
  <c r="N190" i="15"/>
  <c r="N346" i="15"/>
  <c r="N347" i="15"/>
  <c r="N348" i="15"/>
  <c r="N349" i="15"/>
  <c r="N209" i="15"/>
  <c r="N204" i="15"/>
  <c r="N235" i="15"/>
  <c r="N374" i="15"/>
  <c r="N289" i="15"/>
  <c r="N450" i="15"/>
  <c r="N320" i="15"/>
  <c r="N327" i="15"/>
  <c r="N537" i="15"/>
  <c r="N566" i="15"/>
  <c r="N613" i="15"/>
  <c r="N700" i="15"/>
  <c r="N444" i="15"/>
  <c r="N497" i="15"/>
  <c r="N388" i="15"/>
  <c r="N279" i="15"/>
  <c r="N386" i="15"/>
  <c r="N399" i="15"/>
  <c r="N411" i="15"/>
  <c r="N768" i="15"/>
  <c r="N773" i="15"/>
  <c r="N316" i="15"/>
  <c r="N370" i="15"/>
  <c r="N385" i="15"/>
  <c r="N703" i="15"/>
  <c r="N260" i="15"/>
  <c r="N674" i="15"/>
  <c r="N351" i="15"/>
  <c r="N749" i="15"/>
  <c r="N491" i="15"/>
  <c r="N286" i="15"/>
  <c r="N284" i="15"/>
  <c r="N257" i="15"/>
  <c r="N373" i="15"/>
  <c r="N688" i="15"/>
  <c r="N694" i="15"/>
  <c r="N455" i="15"/>
  <c r="N478" i="15"/>
  <c r="N496" i="15"/>
  <c r="N670" i="15"/>
  <c r="N682" i="15"/>
  <c r="N297" i="15"/>
  <c r="N544" i="15"/>
  <c r="N546" i="15"/>
  <c r="N576" i="15"/>
  <c r="N621" i="15"/>
  <c r="N623" i="15"/>
  <c r="N625" i="15"/>
  <c r="N628" i="15"/>
  <c r="N630" i="15"/>
  <c r="N37" i="15"/>
  <c r="N79" i="15"/>
  <c r="N113" i="15"/>
  <c r="N216" i="15"/>
  <c r="N158" i="15"/>
  <c r="N183" i="15"/>
  <c r="N217" i="15"/>
  <c r="N199" i="15"/>
  <c r="N218" i="15"/>
  <c r="N224" i="15"/>
  <c r="N234" i="15"/>
  <c r="N208" i="15"/>
  <c r="N222" i="15"/>
  <c r="N360" i="15"/>
  <c r="N375" i="15"/>
  <c r="N34" i="15"/>
  <c r="N704" i="15"/>
  <c r="N63" i="15"/>
  <c r="N241" i="15"/>
  <c r="N767" i="15"/>
  <c r="N435" i="15"/>
  <c r="N448" i="15"/>
  <c r="N460" i="15"/>
  <c r="N483" i="15"/>
  <c r="N492" i="15"/>
  <c r="N472" i="15"/>
  <c r="N503" i="15"/>
  <c r="N667" i="15"/>
  <c r="N679" i="15"/>
  <c r="N685" i="15"/>
  <c r="N673" i="15"/>
  <c r="N777" i="15"/>
  <c r="N336" i="15"/>
  <c r="N337" i="15"/>
  <c r="N708" i="15"/>
  <c r="N714" i="15"/>
  <c r="N511" i="15"/>
  <c r="N400" i="15"/>
  <c r="N317" i="15"/>
  <c r="N512" i="15"/>
  <c r="N513" i="15"/>
  <c r="N549" i="15"/>
  <c r="N271" i="15"/>
  <c r="N595" i="15"/>
  <c r="N648" i="15"/>
  <c r="N393" i="15"/>
  <c r="N50" i="15"/>
  <c r="N73" i="15"/>
  <c r="N114" i="15"/>
  <c r="N137" i="15"/>
  <c r="N165" i="15"/>
  <c r="N252" i="15"/>
  <c r="N12" i="15"/>
  <c r="N295" i="15"/>
  <c r="N153" i="15"/>
  <c r="N306" i="15"/>
  <c r="N746" i="15"/>
  <c r="N770" i="15"/>
  <c r="N697" i="15"/>
  <c r="N730" i="15"/>
  <c r="N735" i="15"/>
  <c r="N332" i="15"/>
  <c r="N740" i="15"/>
  <c r="N725" i="15"/>
  <c r="N509" i="15"/>
  <c r="N423" i="15"/>
  <c r="N765" i="15"/>
  <c r="N361" i="15"/>
  <c r="N270" i="15"/>
  <c r="N775" i="15"/>
  <c r="N272" i="15"/>
  <c r="N748" i="15"/>
  <c r="N248" i="15"/>
  <c r="N259" i="15"/>
  <c r="N371" i="15"/>
  <c r="N357" i="15"/>
  <c r="N471" i="15"/>
  <c r="N365" i="15"/>
  <c r="N350" i="15"/>
  <c r="N277" i="15"/>
  <c r="N380" i="15"/>
  <c r="N442" i="15"/>
  <c r="N495" i="15"/>
  <c r="N772" i="15"/>
  <c r="N687" i="15"/>
  <c r="N763" i="15"/>
  <c r="N510" i="15"/>
  <c r="N462" i="15"/>
  <c r="N436" i="15"/>
  <c r="N397" i="15"/>
  <c r="N410" i="15"/>
  <c r="N422" i="15"/>
  <c r="N672" i="15"/>
  <c r="N565" i="15"/>
  <c r="N619" i="15"/>
  <c r="N493" i="15"/>
  <c r="N504" i="15"/>
  <c r="N668" i="15"/>
  <c r="N680" i="15"/>
  <c r="N739" i="15"/>
  <c r="N678" i="15"/>
  <c r="N262" i="15"/>
  <c r="N311" i="15"/>
  <c r="N301" i="15"/>
  <c r="N325" i="15"/>
  <c r="N524" i="15"/>
  <c r="N568" i="15"/>
  <c r="N610" i="15"/>
  <c r="N647" i="15"/>
  <c r="N13" i="15"/>
  <c r="N74" i="15"/>
  <c r="N779" i="15"/>
  <c r="N780" i="15"/>
  <c r="N366" i="15"/>
  <c r="N781" i="15"/>
  <c r="N406" i="15"/>
  <c r="N671" i="15"/>
  <c r="N280" i="15"/>
  <c r="N507" i="15"/>
  <c r="N508" i="15"/>
  <c r="N312" i="15"/>
  <c r="N443" i="15"/>
  <c r="N466" i="15"/>
  <c r="N487" i="15"/>
  <c r="N664" i="15"/>
  <c r="N676" i="15"/>
  <c r="N340" i="15"/>
  <c r="N744" i="15"/>
  <c r="N482" i="15"/>
  <c r="N285" i="15"/>
  <c r="N283" i="15"/>
  <c r="N359" i="15"/>
  <c r="N281" i="15"/>
  <c r="N743" i="15"/>
  <c r="N756" i="15"/>
  <c r="N761" i="15"/>
  <c r="N479" i="15"/>
  <c r="N434" i="15"/>
  <c r="N447" i="15"/>
  <c r="N502" i="15"/>
  <c r="N666" i="15"/>
  <c r="N476" i="15"/>
  <c r="N485" i="15"/>
  <c r="N276" i="15"/>
  <c r="N278" i="15"/>
  <c r="N282" i="15"/>
  <c r="N729" i="15"/>
  <c r="N677" i="15"/>
  <c r="N299" i="15"/>
  <c r="N293" i="15"/>
  <c r="N300" i="15"/>
  <c r="N683" i="15"/>
  <c r="N689" i="15"/>
  <c r="N474" i="15"/>
  <c r="N294" i="15"/>
  <c r="N298" i="15"/>
  <c r="N695" i="15"/>
  <c r="N701" i="15"/>
  <c r="N322" i="15"/>
  <c r="N323" i="15"/>
  <c r="N324" i="15"/>
  <c r="N707" i="15"/>
  <c r="N719" i="15"/>
  <c r="N328" i="15"/>
  <c r="N329" i="15"/>
  <c r="N521" i="15"/>
  <c r="N724" i="15"/>
  <c r="N713" i="15"/>
  <c r="N547" i="15"/>
  <c r="N548" i="15"/>
  <c r="N551" i="15"/>
  <c r="N362" i="15"/>
  <c r="N377" i="15"/>
  <c r="N587" i="15"/>
  <c r="N588" i="15"/>
  <c r="N584" i="15"/>
  <c r="N402" i="15"/>
  <c r="N414" i="15"/>
  <c r="N265" i="15"/>
  <c r="N268" i="15"/>
  <c r="N789" i="15"/>
  <c r="N452" i="15"/>
  <c r="N464" i="15"/>
  <c r="N17" i="15"/>
  <c r="N18" i="15"/>
  <c r="N6" i="15"/>
  <c r="N38" i="15"/>
  <c r="N39" i="15"/>
  <c r="N48" i="15"/>
  <c r="N49" i="15"/>
  <c r="N40" i="15"/>
  <c r="N65" i="15"/>
  <c r="N66" i="15"/>
  <c r="N67" i="15"/>
  <c r="N68" i="15"/>
  <c r="N69" i="15"/>
  <c r="N531" i="15"/>
  <c r="N536" i="15"/>
  <c r="N96" i="15"/>
  <c r="N97" i="15"/>
  <c r="N101" i="15"/>
  <c r="N528" i="15"/>
  <c r="N529" i="15"/>
  <c r="N116" i="15"/>
  <c r="N117" i="15"/>
  <c r="N125" i="15"/>
  <c r="N525" i="15"/>
  <c r="N526" i="15"/>
  <c r="N149" i="15"/>
  <c r="N150" i="15"/>
  <c r="N151" i="15"/>
  <c r="N527" i="15"/>
  <c r="N530" i="15"/>
  <c r="N178" i="15"/>
  <c r="N179" i="15"/>
  <c r="N167" i="15"/>
  <c r="N554" i="15"/>
  <c r="N538" i="15"/>
  <c r="N193" i="15"/>
  <c r="N194" i="15"/>
  <c r="N186" i="15"/>
  <c r="N539" i="15"/>
  <c r="N540" i="15"/>
  <c r="N255" i="15"/>
  <c r="N256" i="15"/>
  <c r="N202" i="15"/>
  <c r="N555" i="15"/>
  <c r="N552" i="15"/>
  <c r="N220" i="15"/>
  <c r="N556" i="15"/>
  <c r="N567" i="15"/>
  <c r="N232" i="15"/>
  <c r="N557" i="15"/>
  <c r="N558" i="15"/>
  <c r="N261" i="15"/>
  <c r="N164" i="15"/>
  <c r="N207" i="15"/>
  <c r="N308" i="15"/>
  <c r="N226" i="15"/>
  <c r="N227" i="15"/>
  <c r="N342" i="15"/>
  <c r="N229" i="15"/>
  <c r="N230" i="15"/>
  <c r="N358" i="15"/>
  <c r="N788" i="15"/>
  <c r="N364" i="15"/>
  <c r="N372" i="15"/>
  <c r="N378" i="15"/>
  <c r="N379" i="15"/>
  <c r="N387" i="15"/>
  <c r="N391" i="15"/>
  <c r="N392" i="15"/>
  <c r="N451" i="15"/>
  <c r="N403" i="15"/>
  <c r="N415" i="15"/>
  <c r="N416" i="15"/>
  <c r="N427" i="15"/>
  <c r="N428" i="15"/>
  <c r="N440" i="15"/>
  <c r="N441" i="15"/>
  <c r="N330" i="15"/>
  <c r="N453" i="15"/>
  <c r="N518" i="15"/>
  <c r="N326" i="15"/>
  <c r="N720" i="15"/>
  <c r="N715" i="15"/>
  <c r="I23" i="17" l="1"/>
  <c r="AC156" i="15" l="1"/>
  <c r="AL156" i="15" s="1"/>
  <c r="AC136" i="15"/>
  <c r="AL136" i="15" s="1"/>
  <c r="AC122" i="15"/>
  <c r="AL122" i="15" s="1"/>
  <c r="AC59" i="15"/>
  <c r="AL59" i="15" s="1"/>
  <c r="AC58" i="15"/>
  <c r="AL58" i="15" s="1"/>
  <c r="AC76" i="15"/>
  <c r="AL76" i="15" s="1"/>
  <c r="C22" i="9"/>
  <c r="D22" i="9"/>
  <c r="S11" i="9" l="1"/>
  <c r="I21" i="17" l="1"/>
  <c r="I20" i="17" l="1"/>
  <c r="I19" i="17" l="1"/>
  <c r="O307" i="15" l="1"/>
  <c r="O431" i="15"/>
  <c r="O254" i="15"/>
  <c r="O486" i="15"/>
  <c r="O709" i="15"/>
  <c r="O425" i="15"/>
  <c r="O292" i="15"/>
  <c r="O681" i="15"/>
  <c r="O429" i="15"/>
  <c r="O757" i="15"/>
  <c r="O454" i="15"/>
  <c r="O475" i="15"/>
  <c r="O251" i="15"/>
  <c r="O250" i="15"/>
  <c r="O240" i="15"/>
  <c r="O706" i="15"/>
  <c r="O269" i="15"/>
  <c r="O419" i="15"/>
  <c r="O755" i="15"/>
  <c r="O26" i="15"/>
  <c r="O750" i="15"/>
  <c r="O237" i="15"/>
  <c r="O188" i="15"/>
  <c r="O157" i="15"/>
  <c r="O338" i="15"/>
  <c r="O657" i="15"/>
  <c r="O88" i="15"/>
  <c r="O41" i="15"/>
  <c r="O473" i="15"/>
  <c r="O376" i="15"/>
  <c r="O249" i="15"/>
  <c r="O247" i="15"/>
  <c r="O585" i="15"/>
  <c r="O723" i="15"/>
  <c r="O461" i="15"/>
  <c r="O449" i="15"/>
  <c r="O439" i="15"/>
  <c r="O24" i="15"/>
  <c r="O363" i="15"/>
  <c r="O653" i="15"/>
  <c r="O223" i="15"/>
  <c r="O356" i="15"/>
  <c r="O134" i="15"/>
  <c r="O345" i="15"/>
  <c r="O35" i="15"/>
  <c r="O309" i="15"/>
  <c r="O515" i="15"/>
  <c r="O239" i="15"/>
  <c r="O214" i="15"/>
  <c r="O138" i="15"/>
  <c r="O390" i="15"/>
  <c r="O236" i="15"/>
  <c r="O104" i="15"/>
  <c r="O30" i="15"/>
  <c r="O246" i="15"/>
  <c r="O263" i="15"/>
  <c r="O774" i="15"/>
  <c r="O412" i="15"/>
  <c r="O313" i="15"/>
  <c r="O690" i="15"/>
  <c r="O769" i="15"/>
  <c r="O103" i="15"/>
  <c r="B137" i="15"/>
  <c r="B295" i="15"/>
  <c r="B740" i="15"/>
  <c r="B259" i="15"/>
  <c r="B436" i="15"/>
  <c r="B668" i="15"/>
  <c r="B666" i="15"/>
  <c r="B83" i="15"/>
  <c r="B430" i="15"/>
  <c r="B627" i="15"/>
  <c r="B95" i="15"/>
  <c r="B192" i="15"/>
  <c r="B348" i="15"/>
  <c r="B235" i="15"/>
  <c r="B320" i="15"/>
  <c r="B700" i="15"/>
  <c r="B674" i="15"/>
  <c r="B286" i="15"/>
  <c r="B297" i="15"/>
  <c r="B37" i="15"/>
  <c r="B158" i="15"/>
  <c r="B483" i="15"/>
  <c r="B336" i="15"/>
  <c r="B511" i="15"/>
  <c r="L137" i="15"/>
  <c r="L295" i="15"/>
  <c r="L740" i="15"/>
  <c r="L259" i="15"/>
  <c r="L436" i="15"/>
  <c r="L668" i="15"/>
  <c r="L666" i="15"/>
  <c r="L83" i="15"/>
  <c r="L430" i="15"/>
  <c r="L627" i="15"/>
  <c r="L95" i="15"/>
  <c r="L192" i="15"/>
  <c r="L348" i="15"/>
  <c r="L235" i="15"/>
  <c r="L320" i="15"/>
  <c r="L700" i="15"/>
  <c r="L674" i="15"/>
  <c r="L286" i="15"/>
  <c r="L297" i="15"/>
  <c r="L37" i="15"/>
  <c r="L158" i="15"/>
  <c r="L483" i="15"/>
  <c r="L336" i="15"/>
  <c r="L511" i="15"/>
  <c r="O436" i="15"/>
  <c r="O668" i="15"/>
  <c r="O666" i="15"/>
  <c r="O83" i="15"/>
  <c r="O430" i="15"/>
  <c r="O674" i="15"/>
  <c r="P137" i="15"/>
  <c r="P295" i="15"/>
  <c r="P740" i="15"/>
  <c r="P259" i="15"/>
  <c r="P436" i="15"/>
  <c r="P668" i="15"/>
  <c r="P666" i="15"/>
  <c r="P83" i="15"/>
  <c r="P430" i="15"/>
  <c r="P627" i="15"/>
  <c r="P95" i="15"/>
  <c r="P192" i="15"/>
  <c r="P348" i="15"/>
  <c r="P235" i="15"/>
  <c r="P320" i="15"/>
  <c r="P700" i="15"/>
  <c r="P674" i="15"/>
  <c r="P286" i="15"/>
  <c r="P297" i="15"/>
  <c r="P37" i="15"/>
  <c r="P158" i="15"/>
  <c r="P483" i="15"/>
  <c r="P336" i="15"/>
  <c r="P511" i="15"/>
  <c r="R137" i="15"/>
  <c r="R295" i="15"/>
  <c r="R740" i="15"/>
  <c r="R259" i="15"/>
  <c r="R436" i="15"/>
  <c r="R668" i="15"/>
  <c r="R666" i="15"/>
  <c r="R83" i="15"/>
  <c r="R430" i="15"/>
  <c r="R627" i="15"/>
  <c r="R95" i="15"/>
  <c r="R192" i="15"/>
  <c r="R348" i="15"/>
  <c r="R235" i="15"/>
  <c r="R320" i="15"/>
  <c r="R700" i="15"/>
  <c r="R674" i="15"/>
  <c r="R286" i="15"/>
  <c r="R297" i="15"/>
  <c r="R37" i="15"/>
  <c r="R158" i="15"/>
  <c r="R483" i="15"/>
  <c r="R336" i="15"/>
  <c r="R511" i="15"/>
  <c r="S137" i="15"/>
  <c r="S295" i="15"/>
  <c r="S740" i="15"/>
  <c r="S259" i="15"/>
  <c r="S436" i="15"/>
  <c r="S668" i="15"/>
  <c r="S666" i="15"/>
  <c r="S83" i="15"/>
  <c r="S430" i="15"/>
  <c r="S627" i="15"/>
  <c r="S95" i="15"/>
  <c r="S192" i="15"/>
  <c r="S348" i="15"/>
  <c r="S235" i="15"/>
  <c r="S320" i="15"/>
  <c r="S700" i="15"/>
  <c r="S674" i="15"/>
  <c r="S286" i="15"/>
  <c r="S297" i="15"/>
  <c r="S37" i="15"/>
  <c r="S158" i="15"/>
  <c r="S483" i="15"/>
  <c r="S336" i="15"/>
  <c r="S511" i="15"/>
  <c r="W137" i="15"/>
  <c r="W295" i="15"/>
  <c r="W740" i="15"/>
  <c r="W259" i="15"/>
  <c r="W436" i="15"/>
  <c r="W668" i="15"/>
  <c r="W666" i="15"/>
  <c r="W83" i="15"/>
  <c r="W430" i="15"/>
  <c r="W627" i="15"/>
  <c r="W95" i="15"/>
  <c r="W192" i="15"/>
  <c r="W348" i="15"/>
  <c r="W235" i="15"/>
  <c r="W320" i="15"/>
  <c r="W700" i="15"/>
  <c r="W674" i="15"/>
  <c r="W286" i="15"/>
  <c r="W297" i="15"/>
  <c r="W37" i="15"/>
  <c r="W158" i="15"/>
  <c r="W483" i="15"/>
  <c r="W336" i="15"/>
  <c r="W511" i="15"/>
  <c r="X137" i="15"/>
  <c r="X295" i="15"/>
  <c r="X740" i="15"/>
  <c r="X259" i="15"/>
  <c r="X436" i="15"/>
  <c r="X668" i="15"/>
  <c r="X666" i="15"/>
  <c r="X83" i="15"/>
  <c r="X430" i="15"/>
  <c r="X627" i="15"/>
  <c r="X95" i="15"/>
  <c r="X192" i="15"/>
  <c r="X348" i="15"/>
  <c r="X235" i="15"/>
  <c r="X320" i="15"/>
  <c r="X700" i="15"/>
  <c r="X674" i="15"/>
  <c r="X286" i="15"/>
  <c r="X297" i="15"/>
  <c r="X37" i="15"/>
  <c r="X158" i="15"/>
  <c r="X483" i="15"/>
  <c r="X336" i="15"/>
  <c r="X511" i="15"/>
  <c r="Z137" i="15"/>
  <c r="Z295" i="15"/>
  <c r="Z740" i="15"/>
  <c r="Z259" i="15"/>
  <c r="Z436" i="15"/>
  <c r="Z668" i="15"/>
  <c r="Z666" i="15"/>
  <c r="Z83" i="15"/>
  <c r="Z430" i="15"/>
  <c r="Z627" i="15"/>
  <c r="Z95" i="15"/>
  <c r="Z192" i="15"/>
  <c r="Z348" i="15"/>
  <c r="Z235" i="15"/>
  <c r="Z320" i="15"/>
  <c r="Z700" i="15"/>
  <c r="Z674" i="15"/>
  <c r="Z286" i="15"/>
  <c r="Z297" i="15"/>
  <c r="Z37" i="15"/>
  <c r="Z158" i="15"/>
  <c r="Z483" i="15"/>
  <c r="Z336" i="15"/>
  <c r="Z511" i="15"/>
  <c r="AA137" i="15"/>
  <c r="AA295" i="15"/>
  <c r="AA740" i="15"/>
  <c r="AA259" i="15"/>
  <c r="AA436" i="15"/>
  <c r="AA668" i="15"/>
  <c r="AA666" i="15"/>
  <c r="AA83" i="15"/>
  <c r="AA430" i="15"/>
  <c r="AA627" i="15"/>
  <c r="AA95" i="15"/>
  <c r="AA192" i="15"/>
  <c r="AA348" i="15"/>
  <c r="AA235" i="15"/>
  <c r="AA320" i="15"/>
  <c r="AA700" i="15"/>
  <c r="AA674" i="15"/>
  <c r="AA286" i="15"/>
  <c r="AA297" i="15"/>
  <c r="AA37" i="15"/>
  <c r="AA158" i="15"/>
  <c r="AA483" i="15"/>
  <c r="AA336" i="15"/>
  <c r="AA511" i="15"/>
  <c r="AB137" i="15"/>
  <c r="AB295" i="15"/>
  <c r="AB740" i="15"/>
  <c r="AB259" i="15"/>
  <c r="AB436" i="15"/>
  <c r="AB668" i="15"/>
  <c r="AB666" i="15"/>
  <c r="AB83" i="15"/>
  <c r="AB430" i="15"/>
  <c r="AB627" i="15"/>
  <c r="AB95" i="15"/>
  <c r="AB192" i="15"/>
  <c r="AB348" i="15"/>
  <c r="AB235" i="15"/>
  <c r="AB320" i="15"/>
  <c r="AB700" i="15"/>
  <c r="AB674" i="15"/>
  <c r="AB286" i="15"/>
  <c r="AB297" i="15"/>
  <c r="AB37" i="15"/>
  <c r="AB158" i="15"/>
  <c r="AB483" i="15"/>
  <c r="AB336" i="15"/>
  <c r="AB511" i="15"/>
  <c r="AD137" i="15"/>
  <c r="AD295" i="15"/>
  <c r="AD740" i="15"/>
  <c r="I1230" i="18" s="1"/>
  <c r="AD259" i="15"/>
  <c r="AD436" i="15"/>
  <c r="AD668" i="15"/>
  <c r="I844" i="18" s="1"/>
  <c r="AD666" i="15"/>
  <c r="I828" i="18" s="1"/>
  <c r="AD83" i="15"/>
  <c r="AD430" i="15"/>
  <c r="AD627" i="15"/>
  <c r="AD95" i="15"/>
  <c r="AD192" i="15"/>
  <c r="AD348" i="15"/>
  <c r="AD235" i="15"/>
  <c r="AD320" i="15"/>
  <c r="AD700" i="15"/>
  <c r="AD674" i="15"/>
  <c r="I875" i="18" s="1"/>
  <c r="AD286" i="15"/>
  <c r="AD297" i="15"/>
  <c r="AD37" i="15"/>
  <c r="AD158" i="15"/>
  <c r="AD483" i="15"/>
  <c r="I740" i="18" s="1"/>
  <c r="AD336" i="15"/>
  <c r="AD511" i="15"/>
  <c r="AE137" i="15"/>
  <c r="AE295" i="15"/>
  <c r="AE740" i="15"/>
  <c r="J1230" i="18" s="1"/>
  <c r="AE259" i="15"/>
  <c r="AE436" i="15"/>
  <c r="AE668" i="15"/>
  <c r="J844" i="18" s="1"/>
  <c r="AE666" i="15"/>
  <c r="J828" i="18" s="1"/>
  <c r="AE83" i="15"/>
  <c r="AE430" i="15"/>
  <c r="AE627" i="15"/>
  <c r="AE95" i="15"/>
  <c r="AE192" i="15"/>
  <c r="AE348" i="15"/>
  <c r="AE235" i="15"/>
  <c r="AE320" i="15"/>
  <c r="AE700" i="15"/>
  <c r="AE674" i="15"/>
  <c r="J875" i="18" s="1"/>
  <c r="AE286" i="15"/>
  <c r="AE297" i="15"/>
  <c r="AE37" i="15"/>
  <c r="AE158" i="15"/>
  <c r="AE483" i="15"/>
  <c r="J740" i="18" s="1"/>
  <c r="AE336" i="15"/>
  <c r="AE511" i="15"/>
  <c r="AF137" i="15"/>
  <c r="AF295" i="15"/>
  <c r="AF740" i="15"/>
  <c r="K1230" i="18" s="1"/>
  <c r="AF259" i="15"/>
  <c r="AF436" i="15"/>
  <c r="AF668" i="15"/>
  <c r="K844" i="18" s="1"/>
  <c r="AF666" i="15"/>
  <c r="K828" i="18" s="1"/>
  <c r="AF83" i="15"/>
  <c r="AF430" i="15"/>
  <c r="AF627" i="15"/>
  <c r="AF95" i="15"/>
  <c r="AF192" i="15"/>
  <c r="AF348" i="15"/>
  <c r="AF235" i="15"/>
  <c r="AF320" i="15"/>
  <c r="AF700" i="15"/>
  <c r="AF674" i="15"/>
  <c r="K875" i="18" s="1"/>
  <c r="AF286" i="15"/>
  <c r="AF297" i="15"/>
  <c r="AF37" i="15"/>
  <c r="AF158" i="15"/>
  <c r="AF483" i="15"/>
  <c r="K740" i="18" s="1"/>
  <c r="AF336" i="15"/>
  <c r="AF511" i="15"/>
  <c r="AG137" i="15"/>
  <c r="AG295" i="15"/>
  <c r="AG740" i="15"/>
  <c r="L1230" i="18" s="1"/>
  <c r="AG259" i="15"/>
  <c r="AG436" i="15"/>
  <c r="AG668" i="15"/>
  <c r="L844" i="18" s="1"/>
  <c r="AG666" i="15"/>
  <c r="L828" i="18" s="1"/>
  <c r="AG83" i="15"/>
  <c r="AG430" i="15"/>
  <c r="AG627" i="15"/>
  <c r="AG95" i="15"/>
  <c r="AG192" i="15"/>
  <c r="AG348" i="15"/>
  <c r="AG235" i="15"/>
  <c r="AG320" i="15"/>
  <c r="AG700" i="15"/>
  <c r="AG674" i="15"/>
  <c r="L875" i="18" s="1"/>
  <c r="AG286" i="15"/>
  <c r="AG297" i="15"/>
  <c r="AG37" i="15"/>
  <c r="AG158" i="15"/>
  <c r="AG483" i="15"/>
  <c r="L740" i="18" s="1"/>
  <c r="AG336" i="15"/>
  <c r="AG511" i="15"/>
  <c r="AH137" i="15"/>
  <c r="AH295" i="15"/>
  <c r="AH740" i="15"/>
  <c r="N1230" i="18" s="1"/>
  <c r="AH259" i="15"/>
  <c r="AH436" i="15"/>
  <c r="AH668" i="15"/>
  <c r="N844" i="18" s="1"/>
  <c r="AH666" i="15"/>
  <c r="N828" i="18" s="1"/>
  <c r="AH83" i="15"/>
  <c r="AH430" i="15"/>
  <c r="AH627" i="15"/>
  <c r="AH95" i="15"/>
  <c r="AH192" i="15"/>
  <c r="AH348" i="15"/>
  <c r="AH235" i="15"/>
  <c r="AH320" i="15"/>
  <c r="AH700" i="15"/>
  <c r="AH674" i="15"/>
  <c r="N875" i="18" s="1"/>
  <c r="AH286" i="15"/>
  <c r="AH297" i="15"/>
  <c r="AH37" i="15"/>
  <c r="AH158" i="15"/>
  <c r="AH483" i="15"/>
  <c r="N740" i="18" s="1"/>
  <c r="AH336" i="15"/>
  <c r="AH511" i="15"/>
  <c r="AI137" i="15"/>
  <c r="AI295" i="15"/>
  <c r="AI740" i="15"/>
  <c r="M1230" i="18" s="1"/>
  <c r="AI259" i="15"/>
  <c r="AI436" i="15"/>
  <c r="AI668" i="15"/>
  <c r="M844" i="18" s="1"/>
  <c r="AI666" i="15"/>
  <c r="M828" i="18" s="1"/>
  <c r="AI83" i="15"/>
  <c r="AI430" i="15"/>
  <c r="AI627" i="15"/>
  <c r="AI95" i="15"/>
  <c r="AI192" i="15"/>
  <c r="AI348" i="15"/>
  <c r="AI235" i="15"/>
  <c r="AI320" i="15"/>
  <c r="AI700" i="15"/>
  <c r="AI674" i="15"/>
  <c r="M875" i="18" s="1"/>
  <c r="AI286" i="15"/>
  <c r="AI297" i="15"/>
  <c r="AI37" i="15"/>
  <c r="AI158" i="15"/>
  <c r="AI483" i="15"/>
  <c r="M740" i="18" s="1"/>
  <c r="AI336" i="15"/>
  <c r="AI511" i="15"/>
  <c r="AJ137" i="15"/>
  <c r="AJ295" i="15"/>
  <c r="AJ740" i="15"/>
  <c r="O1230" i="18" s="1"/>
  <c r="AJ259" i="15"/>
  <c r="AJ436" i="15"/>
  <c r="AJ668" i="15"/>
  <c r="O844" i="18" s="1"/>
  <c r="AJ666" i="15"/>
  <c r="O828" i="18" s="1"/>
  <c r="AJ83" i="15"/>
  <c r="AJ430" i="15"/>
  <c r="AJ627" i="15"/>
  <c r="AJ95" i="15"/>
  <c r="AJ192" i="15"/>
  <c r="AJ348" i="15"/>
  <c r="AJ235" i="15"/>
  <c r="AJ320" i="15"/>
  <c r="AJ700" i="15"/>
  <c r="AJ674" i="15"/>
  <c r="O875" i="18" s="1"/>
  <c r="AJ286" i="15"/>
  <c r="AJ297" i="15"/>
  <c r="AJ37" i="15"/>
  <c r="AJ158" i="15"/>
  <c r="AJ483" i="15"/>
  <c r="O740" i="18" s="1"/>
  <c r="AJ336" i="15"/>
  <c r="AJ511" i="15"/>
  <c r="AK137" i="15"/>
  <c r="AK295" i="15"/>
  <c r="AK740" i="15"/>
  <c r="Q1230" i="18" s="1"/>
  <c r="AK259" i="15"/>
  <c r="AK436" i="15"/>
  <c r="AK668" i="15"/>
  <c r="Q844" i="18" s="1"/>
  <c r="AK666" i="15"/>
  <c r="Q828" i="18" s="1"/>
  <c r="AK83" i="15"/>
  <c r="AK430" i="15"/>
  <c r="AK627" i="15"/>
  <c r="AK95" i="15"/>
  <c r="AK192" i="15"/>
  <c r="AK348" i="15"/>
  <c r="AK235" i="15"/>
  <c r="AK320" i="15"/>
  <c r="AK700" i="15"/>
  <c r="AK674" i="15"/>
  <c r="Q875" i="18" s="1"/>
  <c r="AK286" i="15"/>
  <c r="AK297" i="15"/>
  <c r="AK37" i="15"/>
  <c r="AK158" i="15"/>
  <c r="AK483" i="15"/>
  <c r="Q740" i="18" s="1"/>
  <c r="AK336" i="15"/>
  <c r="AK511" i="15"/>
  <c r="B755" i="15"/>
  <c r="B419" i="15"/>
  <c r="B269" i="15"/>
  <c r="B706" i="15"/>
  <c r="B240" i="15"/>
  <c r="B475" i="15"/>
  <c r="B454" i="15"/>
  <c r="B757" i="15"/>
  <c r="B429" i="15"/>
  <c r="B681" i="15"/>
  <c r="B292" i="15"/>
  <c r="B425" i="15"/>
  <c r="B709" i="15"/>
  <c r="B486" i="15"/>
  <c r="B254" i="15"/>
  <c r="B307" i="15"/>
  <c r="L755" i="15"/>
  <c r="L419" i="15"/>
  <c r="L269" i="15"/>
  <c r="L706" i="15"/>
  <c r="L240" i="15"/>
  <c r="L475" i="15"/>
  <c r="L454" i="15"/>
  <c r="L757" i="15"/>
  <c r="L429" i="15"/>
  <c r="L681" i="15"/>
  <c r="L292" i="15"/>
  <c r="L425" i="15"/>
  <c r="L709" i="15"/>
  <c r="L486" i="15"/>
  <c r="L254" i="15"/>
  <c r="L307" i="15"/>
  <c r="P755" i="15"/>
  <c r="P419" i="15"/>
  <c r="P269" i="15"/>
  <c r="P706" i="15"/>
  <c r="P240" i="15"/>
  <c r="P475" i="15"/>
  <c r="P454" i="15"/>
  <c r="P757" i="15"/>
  <c r="P429" i="15"/>
  <c r="P681" i="15"/>
  <c r="P292" i="15"/>
  <c r="P425" i="15"/>
  <c r="P709" i="15"/>
  <c r="P486" i="15"/>
  <c r="P254" i="15"/>
  <c r="P307" i="15"/>
  <c r="R755" i="15"/>
  <c r="R419" i="15"/>
  <c r="R269" i="15"/>
  <c r="R706" i="15"/>
  <c r="R240" i="15"/>
  <c r="R475" i="15"/>
  <c r="R454" i="15"/>
  <c r="R757" i="15"/>
  <c r="R429" i="15"/>
  <c r="R681" i="15"/>
  <c r="R292" i="15"/>
  <c r="R425" i="15"/>
  <c r="R709" i="15"/>
  <c r="R486" i="15"/>
  <c r="R254" i="15"/>
  <c r="R307" i="15"/>
  <c r="S755" i="15"/>
  <c r="S419" i="15"/>
  <c r="S269" i="15"/>
  <c r="S706" i="15"/>
  <c r="S240" i="15"/>
  <c r="S475" i="15"/>
  <c r="S454" i="15"/>
  <c r="S757" i="15"/>
  <c r="S429" i="15"/>
  <c r="S681" i="15"/>
  <c r="S292" i="15"/>
  <c r="S425" i="15"/>
  <c r="S709" i="15"/>
  <c r="S486" i="15"/>
  <c r="S254" i="15"/>
  <c r="S307" i="15"/>
  <c r="W755" i="15"/>
  <c r="W419" i="15"/>
  <c r="W269" i="15"/>
  <c r="W706" i="15"/>
  <c r="W240" i="15"/>
  <c r="W475" i="15"/>
  <c r="W454" i="15"/>
  <c r="W757" i="15"/>
  <c r="W429" i="15"/>
  <c r="W681" i="15"/>
  <c r="W292" i="15"/>
  <c r="W425" i="15"/>
  <c r="W709" i="15"/>
  <c r="W486" i="15"/>
  <c r="W254" i="15"/>
  <c r="W307" i="15"/>
  <c r="X755" i="15"/>
  <c r="X419" i="15"/>
  <c r="X269" i="15"/>
  <c r="X706" i="15"/>
  <c r="X240" i="15"/>
  <c r="X475" i="15"/>
  <c r="X454" i="15"/>
  <c r="X757" i="15"/>
  <c r="X429" i="15"/>
  <c r="X681" i="15"/>
  <c r="X292" i="15"/>
  <c r="X425" i="15"/>
  <c r="X709" i="15"/>
  <c r="X486" i="15"/>
  <c r="X254" i="15"/>
  <c r="X307" i="15"/>
  <c r="Z755" i="15"/>
  <c r="Z419" i="15"/>
  <c r="Z269" i="15"/>
  <c r="Z706" i="15"/>
  <c r="Z240" i="15"/>
  <c r="Z475" i="15"/>
  <c r="Z454" i="15"/>
  <c r="Z757" i="15"/>
  <c r="Z429" i="15"/>
  <c r="Z681" i="15"/>
  <c r="Z292" i="15"/>
  <c r="Z425" i="15"/>
  <c r="Z709" i="15"/>
  <c r="Z486" i="15"/>
  <c r="Z254" i="15"/>
  <c r="Z307" i="15"/>
  <c r="AA755" i="15"/>
  <c r="AA419" i="15"/>
  <c r="AA269" i="15"/>
  <c r="AA706" i="15"/>
  <c r="AA240" i="15"/>
  <c r="AA475" i="15"/>
  <c r="AA454" i="15"/>
  <c r="AA757" i="15"/>
  <c r="AA429" i="15"/>
  <c r="AA681" i="15"/>
  <c r="AA292" i="15"/>
  <c r="AA425" i="15"/>
  <c r="AA709" i="15"/>
  <c r="AA486" i="15"/>
  <c r="AA254" i="15"/>
  <c r="AA307" i="15"/>
  <c r="AB755" i="15"/>
  <c r="AB419" i="15"/>
  <c r="AB269" i="15"/>
  <c r="AB706" i="15"/>
  <c r="AB240" i="15"/>
  <c r="AB475" i="15"/>
  <c r="AB454" i="15"/>
  <c r="AB757" i="15"/>
  <c r="AB429" i="15"/>
  <c r="AB681" i="15"/>
  <c r="AB292" i="15"/>
  <c r="AB425" i="15"/>
  <c r="AB709" i="15"/>
  <c r="AB486" i="15"/>
  <c r="AB254" i="15"/>
  <c r="AB307" i="15"/>
  <c r="AD755" i="15"/>
  <c r="I1322" i="18" s="1"/>
  <c r="AD419" i="15"/>
  <c r="AD269" i="15"/>
  <c r="AD706" i="15"/>
  <c r="AD240" i="15"/>
  <c r="AD475" i="15"/>
  <c r="AD454" i="15"/>
  <c r="AD757" i="15"/>
  <c r="AD429" i="15"/>
  <c r="AD681" i="15"/>
  <c r="AD292" i="15"/>
  <c r="AD425" i="15"/>
  <c r="AD709" i="15"/>
  <c r="I1046" i="18" s="1"/>
  <c r="AD486" i="15"/>
  <c r="AD254" i="15"/>
  <c r="AD307" i="15"/>
  <c r="AE755" i="15"/>
  <c r="J1322" i="18" s="1"/>
  <c r="AE419" i="15"/>
  <c r="AE269" i="15"/>
  <c r="AE706" i="15"/>
  <c r="AE240" i="15"/>
  <c r="AE475" i="15"/>
  <c r="AE454" i="15"/>
  <c r="AE757" i="15"/>
  <c r="AE429" i="15"/>
  <c r="AE681" i="15"/>
  <c r="AE292" i="15"/>
  <c r="AE425" i="15"/>
  <c r="AE709" i="15"/>
  <c r="J1046" i="18" s="1"/>
  <c r="AE486" i="15"/>
  <c r="AE254" i="15"/>
  <c r="AE307" i="15"/>
  <c r="AF755" i="15"/>
  <c r="K1322" i="18" s="1"/>
  <c r="AF419" i="15"/>
  <c r="AF269" i="15"/>
  <c r="AF706" i="15"/>
  <c r="AF240" i="15"/>
  <c r="AF475" i="15"/>
  <c r="AF454" i="15"/>
  <c r="AF757" i="15"/>
  <c r="AF429" i="15"/>
  <c r="AF681" i="15"/>
  <c r="AF292" i="15"/>
  <c r="AF425" i="15"/>
  <c r="AF709" i="15"/>
  <c r="K1046" i="18" s="1"/>
  <c r="AF486" i="15"/>
  <c r="AF254" i="15"/>
  <c r="AF307" i="15"/>
  <c r="AG755" i="15"/>
  <c r="L1322" i="18" s="1"/>
  <c r="AG419" i="15"/>
  <c r="AG269" i="15"/>
  <c r="AG706" i="15"/>
  <c r="AG240" i="15"/>
  <c r="AG475" i="15"/>
  <c r="AG454" i="15"/>
  <c r="AG757" i="15"/>
  <c r="AG429" i="15"/>
  <c r="AG681" i="15"/>
  <c r="AG292" i="15"/>
  <c r="AG425" i="15"/>
  <c r="AG709" i="15"/>
  <c r="L1046" i="18" s="1"/>
  <c r="AG486" i="15"/>
  <c r="AG254" i="15"/>
  <c r="AG307" i="15"/>
  <c r="AH755" i="15"/>
  <c r="N1322" i="18" s="1"/>
  <c r="AH419" i="15"/>
  <c r="AH269" i="15"/>
  <c r="AH706" i="15"/>
  <c r="AH240" i="15"/>
  <c r="AH475" i="15"/>
  <c r="AH454" i="15"/>
  <c r="AH757" i="15"/>
  <c r="AH429" i="15"/>
  <c r="AH681" i="15"/>
  <c r="AH292" i="15"/>
  <c r="AH425" i="15"/>
  <c r="AH709" i="15"/>
  <c r="N1046" i="18" s="1"/>
  <c r="AH486" i="15"/>
  <c r="AH254" i="15"/>
  <c r="AH307" i="15"/>
  <c r="AI755" i="15"/>
  <c r="M1322" i="18" s="1"/>
  <c r="AI419" i="15"/>
  <c r="AI269" i="15"/>
  <c r="AI706" i="15"/>
  <c r="AI240" i="15"/>
  <c r="AI475" i="15"/>
  <c r="AI454" i="15"/>
  <c r="AI757" i="15"/>
  <c r="AI429" i="15"/>
  <c r="AI681" i="15"/>
  <c r="AI292" i="15"/>
  <c r="AI425" i="15"/>
  <c r="AI709" i="15"/>
  <c r="M1046" i="18" s="1"/>
  <c r="AI486" i="15"/>
  <c r="AI254" i="15"/>
  <c r="AI307" i="15"/>
  <c r="AJ755" i="15"/>
  <c r="O1322" i="18" s="1"/>
  <c r="AJ419" i="15"/>
  <c r="AJ269" i="15"/>
  <c r="AJ706" i="15"/>
  <c r="AJ240" i="15"/>
  <c r="AJ475" i="15"/>
  <c r="AJ454" i="15"/>
  <c r="AJ757" i="15"/>
  <c r="AJ429" i="15"/>
  <c r="AJ681" i="15"/>
  <c r="AJ292" i="15"/>
  <c r="AJ425" i="15"/>
  <c r="AJ709" i="15"/>
  <c r="O1046" i="18" s="1"/>
  <c r="AJ486" i="15"/>
  <c r="AJ254" i="15"/>
  <c r="AJ307" i="15"/>
  <c r="AK755" i="15"/>
  <c r="Q1322" i="18" s="1"/>
  <c r="AK419" i="15"/>
  <c r="AK269" i="15"/>
  <c r="AK706" i="15"/>
  <c r="AK240" i="15"/>
  <c r="AK475" i="15"/>
  <c r="AK454" i="15"/>
  <c r="AK757" i="15"/>
  <c r="AK429" i="15"/>
  <c r="AK681" i="15"/>
  <c r="AK292" i="15"/>
  <c r="AK425" i="15"/>
  <c r="AK709" i="15"/>
  <c r="Q1046" i="18" s="1"/>
  <c r="AK486" i="15"/>
  <c r="AK254" i="15"/>
  <c r="AK307" i="15"/>
  <c r="B24" i="15"/>
  <c r="B439" i="15"/>
  <c r="B449" i="15"/>
  <c r="B461" i="15"/>
  <c r="B723" i="15"/>
  <c r="B585" i="15"/>
  <c r="B376" i="15"/>
  <c r="B473" i="15"/>
  <c r="B41" i="15"/>
  <c r="B88" i="15"/>
  <c r="B657" i="15"/>
  <c r="B338" i="15"/>
  <c r="B157" i="15"/>
  <c r="B188" i="15"/>
  <c r="B237" i="15"/>
  <c r="B750" i="15"/>
  <c r="B26" i="15"/>
  <c r="L24" i="15"/>
  <c r="L439" i="15"/>
  <c r="L449" i="15"/>
  <c r="L461" i="15"/>
  <c r="L723" i="15"/>
  <c r="L585" i="15"/>
  <c r="L376" i="15"/>
  <c r="L473" i="15"/>
  <c r="L41" i="15"/>
  <c r="L88" i="15"/>
  <c r="L657" i="15"/>
  <c r="L338" i="15"/>
  <c r="L157" i="15"/>
  <c r="L188" i="15"/>
  <c r="L237" i="15"/>
  <c r="L750" i="15"/>
  <c r="L26" i="15"/>
  <c r="P24" i="15"/>
  <c r="P439" i="15"/>
  <c r="P449" i="15"/>
  <c r="P461" i="15"/>
  <c r="P723" i="15"/>
  <c r="P585" i="15"/>
  <c r="P376" i="15"/>
  <c r="P473" i="15"/>
  <c r="P41" i="15"/>
  <c r="P88" i="15"/>
  <c r="P657" i="15"/>
  <c r="P338" i="15"/>
  <c r="P157" i="15"/>
  <c r="P188" i="15"/>
  <c r="P237" i="15"/>
  <c r="P750" i="15"/>
  <c r="P26" i="15"/>
  <c r="R24" i="15"/>
  <c r="R439" i="15"/>
  <c r="R449" i="15"/>
  <c r="R461" i="15"/>
  <c r="R723" i="15"/>
  <c r="R585" i="15"/>
  <c r="R376" i="15"/>
  <c r="R473" i="15"/>
  <c r="R41" i="15"/>
  <c r="R88" i="15"/>
  <c r="R657" i="15"/>
  <c r="R338" i="15"/>
  <c r="R157" i="15"/>
  <c r="R188" i="15"/>
  <c r="R237" i="15"/>
  <c r="R750" i="15"/>
  <c r="R26" i="15"/>
  <c r="S24" i="15"/>
  <c r="S439" i="15"/>
  <c r="S449" i="15"/>
  <c r="S461" i="15"/>
  <c r="S723" i="15"/>
  <c r="S585" i="15"/>
  <c r="S376" i="15"/>
  <c r="S473" i="15"/>
  <c r="S41" i="15"/>
  <c r="S88" i="15"/>
  <c r="S657" i="15"/>
  <c r="S338" i="15"/>
  <c r="S157" i="15"/>
  <c r="S188" i="15"/>
  <c r="S237" i="15"/>
  <c r="S750" i="15"/>
  <c r="S26" i="15"/>
  <c r="W24" i="15"/>
  <c r="W439" i="15"/>
  <c r="W449" i="15"/>
  <c r="W461" i="15"/>
  <c r="W723" i="15"/>
  <c r="W585" i="15"/>
  <c r="W376" i="15"/>
  <c r="W473" i="15"/>
  <c r="W41" i="15"/>
  <c r="W88" i="15"/>
  <c r="W657" i="15"/>
  <c r="W338" i="15"/>
  <c r="W157" i="15"/>
  <c r="W188" i="15"/>
  <c r="W237" i="15"/>
  <c r="W750" i="15"/>
  <c r="W26" i="15"/>
  <c r="X24" i="15"/>
  <c r="X439" i="15"/>
  <c r="X449" i="15"/>
  <c r="X461" i="15"/>
  <c r="X723" i="15"/>
  <c r="X585" i="15"/>
  <c r="X376" i="15"/>
  <c r="X473" i="15"/>
  <c r="X41" i="15"/>
  <c r="X88" i="15"/>
  <c r="X657" i="15"/>
  <c r="X338" i="15"/>
  <c r="X157" i="15"/>
  <c r="X188" i="15"/>
  <c r="X237" i="15"/>
  <c r="X750" i="15"/>
  <c r="X26" i="15"/>
  <c r="Z24" i="15"/>
  <c r="Z439" i="15"/>
  <c r="Z449" i="15"/>
  <c r="Z461" i="15"/>
  <c r="Z723" i="15"/>
  <c r="Z585" i="15"/>
  <c r="Z376" i="15"/>
  <c r="Z473" i="15"/>
  <c r="Z41" i="15"/>
  <c r="Z88" i="15"/>
  <c r="Z657" i="15"/>
  <c r="Z338" i="15"/>
  <c r="Z157" i="15"/>
  <c r="Z188" i="15"/>
  <c r="Z237" i="15"/>
  <c r="Z750" i="15"/>
  <c r="Z26" i="15"/>
  <c r="AA24" i="15"/>
  <c r="AA439" i="15"/>
  <c r="AA449" i="15"/>
  <c r="AA461" i="15"/>
  <c r="AA723" i="15"/>
  <c r="AA585" i="15"/>
  <c r="AA376" i="15"/>
  <c r="AA473" i="15"/>
  <c r="AA41" i="15"/>
  <c r="AA88" i="15"/>
  <c r="AA657" i="15"/>
  <c r="AA338" i="15"/>
  <c r="AA157" i="15"/>
  <c r="AA188" i="15"/>
  <c r="AA237" i="15"/>
  <c r="AA750" i="15"/>
  <c r="AA26" i="15"/>
  <c r="AB24" i="15"/>
  <c r="AB439" i="15"/>
  <c r="AB449" i="15"/>
  <c r="AB461" i="15"/>
  <c r="AB723" i="15"/>
  <c r="AB585" i="15"/>
  <c r="AB376" i="15"/>
  <c r="AB473" i="15"/>
  <c r="AB41" i="15"/>
  <c r="AB88" i="15"/>
  <c r="AB657" i="15"/>
  <c r="AB338" i="15"/>
  <c r="AB157" i="15"/>
  <c r="AB188" i="15"/>
  <c r="AB237" i="15"/>
  <c r="AB750" i="15"/>
  <c r="AB26" i="15"/>
  <c r="AD24" i="15"/>
  <c r="AD439" i="15"/>
  <c r="AD449" i="15"/>
  <c r="AD461" i="15"/>
  <c r="AD723" i="15"/>
  <c r="AD585" i="15"/>
  <c r="AD376" i="15"/>
  <c r="AD473" i="15"/>
  <c r="AD41" i="15"/>
  <c r="AD88" i="15"/>
  <c r="AD657" i="15"/>
  <c r="AD338" i="15"/>
  <c r="AD157" i="15"/>
  <c r="AD188" i="15"/>
  <c r="AD237" i="15"/>
  <c r="AD750" i="15"/>
  <c r="I1292" i="18" s="1"/>
  <c r="AD26" i="15"/>
  <c r="AE24" i="15"/>
  <c r="AE439" i="15"/>
  <c r="AE449" i="15"/>
  <c r="AE461" i="15"/>
  <c r="AE723" i="15"/>
  <c r="AE585" i="15"/>
  <c r="AE376" i="15"/>
  <c r="AE473" i="15"/>
  <c r="AE41" i="15"/>
  <c r="AE88" i="15"/>
  <c r="AE657" i="15"/>
  <c r="AE338" i="15"/>
  <c r="AE157" i="15"/>
  <c r="AE188" i="15"/>
  <c r="AE237" i="15"/>
  <c r="AE750" i="15"/>
  <c r="J1292" i="18" s="1"/>
  <c r="AE26" i="15"/>
  <c r="AF24" i="15"/>
  <c r="AF439" i="15"/>
  <c r="AF449" i="15"/>
  <c r="AF461" i="15"/>
  <c r="AF723" i="15"/>
  <c r="AF585" i="15"/>
  <c r="AF376" i="15"/>
  <c r="AF473" i="15"/>
  <c r="AF41" i="15"/>
  <c r="AF88" i="15"/>
  <c r="AF657" i="15"/>
  <c r="AF338" i="15"/>
  <c r="AF157" i="15"/>
  <c r="AF188" i="15"/>
  <c r="AF237" i="15"/>
  <c r="AF750" i="15"/>
  <c r="K1292" i="18" s="1"/>
  <c r="AF26" i="15"/>
  <c r="AG24" i="15"/>
  <c r="AG439" i="15"/>
  <c r="AG449" i="15"/>
  <c r="AG461" i="15"/>
  <c r="AG723" i="15"/>
  <c r="AG585" i="15"/>
  <c r="AG376" i="15"/>
  <c r="AG473" i="15"/>
  <c r="AG41" i="15"/>
  <c r="AG88" i="15"/>
  <c r="AG657" i="15"/>
  <c r="AG338" i="15"/>
  <c r="AG157" i="15"/>
  <c r="AG188" i="15"/>
  <c r="AG237" i="15"/>
  <c r="AG750" i="15"/>
  <c r="L1292" i="18" s="1"/>
  <c r="AG26" i="15"/>
  <c r="AH24" i="15"/>
  <c r="AH439" i="15"/>
  <c r="AH449" i="15"/>
  <c r="AH461" i="15"/>
  <c r="AH723" i="15"/>
  <c r="AH585" i="15"/>
  <c r="AH376" i="15"/>
  <c r="AH473" i="15"/>
  <c r="AH41" i="15"/>
  <c r="AH88" i="15"/>
  <c r="AH657" i="15"/>
  <c r="AH338" i="15"/>
  <c r="AH157" i="15"/>
  <c r="AH188" i="15"/>
  <c r="AH237" i="15"/>
  <c r="AH750" i="15"/>
  <c r="N1292" i="18" s="1"/>
  <c r="AH26" i="15"/>
  <c r="AI24" i="15"/>
  <c r="AI439" i="15"/>
  <c r="AI449" i="15"/>
  <c r="AI461" i="15"/>
  <c r="AI723" i="15"/>
  <c r="AI585" i="15"/>
  <c r="AI376" i="15"/>
  <c r="AI473" i="15"/>
  <c r="AI41" i="15"/>
  <c r="AI88" i="15"/>
  <c r="AI657" i="15"/>
  <c r="AI338" i="15"/>
  <c r="AI157" i="15"/>
  <c r="AI188" i="15"/>
  <c r="AI237" i="15"/>
  <c r="AI750" i="15"/>
  <c r="M1292" i="18" s="1"/>
  <c r="AI26" i="15"/>
  <c r="AJ24" i="15"/>
  <c r="AJ439" i="15"/>
  <c r="AJ449" i="15"/>
  <c r="AJ461" i="15"/>
  <c r="AJ723" i="15"/>
  <c r="AJ585" i="15"/>
  <c r="AJ376" i="15"/>
  <c r="AJ473" i="15"/>
  <c r="AJ41" i="15"/>
  <c r="AJ88" i="15"/>
  <c r="AJ657" i="15"/>
  <c r="AJ338" i="15"/>
  <c r="AJ157" i="15"/>
  <c r="AJ188" i="15"/>
  <c r="AJ237" i="15"/>
  <c r="AJ750" i="15"/>
  <c r="O1292" i="18" s="1"/>
  <c r="AJ26" i="15"/>
  <c r="AK24" i="15"/>
  <c r="AK439" i="15"/>
  <c r="AK449" i="15"/>
  <c r="AK461" i="15"/>
  <c r="AK723" i="15"/>
  <c r="AK585" i="15"/>
  <c r="AK376" i="15"/>
  <c r="AK473" i="15"/>
  <c r="AK41" i="15"/>
  <c r="AK88" i="15"/>
  <c r="AK657" i="15"/>
  <c r="AK338" i="15"/>
  <c r="AK157" i="15"/>
  <c r="AK188" i="15"/>
  <c r="AK237" i="15"/>
  <c r="AK750" i="15"/>
  <c r="Q1292" i="18" s="1"/>
  <c r="AK26" i="15"/>
  <c r="B769" i="15"/>
  <c r="B690" i="15"/>
  <c r="B313" i="15"/>
  <c r="B412" i="15"/>
  <c r="B774" i="15"/>
  <c r="B728" i="15"/>
  <c r="B733" i="15"/>
  <c r="B264" i="15"/>
  <c r="B759" i="15"/>
  <c r="B758" i="15"/>
  <c r="B506" i="15"/>
  <c r="B30" i="15"/>
  <c r="B104" i="15"/>
  <c r="B236" i="15"/>
  <c r="B390" i="15"/>
  <c r="B138" i="15"/>
  <c r="B214" i="15"/>
  <c r="B239" i="15"/>
  <c r="B515" i="15"/>
  <c r="B309" i="15"/>
  <c r="B35" i="15"/>
  <c r="B345" i="15"/>
  <c r="B134" i="15"/>
  <c r="B356" i="15"/>
  <c r="B223" i="15"/>
  <c r="B653" i="15"/>
  <c r="B760" i="15"/>
  <c r="L769" i="15"/>
  <c r="L690" i="15"/>
  <c r="L313" i="15"/>
  <c r="L412" i="15"/>
  <c r="L774" i="15"/>
  <c r="L728" i="15"/>
  <c r="L733" i="15"/>
  <c r="L264" i="15"/>
  <c r="L759" i="15"/>
  <c r="L758" i="15"/>
  <c r="L506" i="15"/>
  <c r="L30" i="15"/>
  <c r="L104" i="15"/>
  <c r="L236" i="15"/>
  <c r="L390" i="15"/>
  <c r="L138" i="15"/>
  <c r="L214" i="15"/>
  <c r="L239" i="15"/>
  <c r="L515" i="15"/>
  <c r="L309" i="15"/>
  <c r="L35" i="15"/>
  <c r="L345" i="15"/>
  <c r="L134" i="15"/>
  <c r="L356" i="15"/>
  <c r="L223" i="15"/>
  <c r="L653" i="15"/>
  <c r="L760" i="15"/>
  <c r="P769" i="15"/>
  <c r="P690" i="15"/>
  <c r="P313" i="15"/>
  <c r="P412" i="15"/>
  <c r="P774" i="15"/>
  <c r="P728" i="15"/>
  <c r="P733" i="15"/>
  <c r="P264" i="15"/>
  <c r="P759" i="15"/>
  <c r="P758" i="15"/>
  <c r="P506" i="15"/>
  <c r="P30" i="15"/>
  <c r="P104" i="15"/>
  <c r="P236" i="15"/>
  <c r="P390" i="15"/>
  <c r="P138" i="15"/>
  <c r="P214" i="15"/>
  <c r="P239" i="15"/>
  <c r="P515" i="15"/>
  <c r="P309" i="15"/>
  <c r="P35" i="15"/>
  <c r="P345" i="15"/>
  <c r="P134" i="15"/>
  <c r="P356" i="15"/>
  <c r="P223" i="15"/>
  <c r="P653" i="15"/>
  <c r="P760" i="15"/>
  <c r="R769" i="15"/>
  <c r="R690" i="15"/>
  <c r="R313" i="15"/>
  <c r="R412" i="15"/>
  <c r="R774" i="15"/>
  <c r="R728" i="15"/>
  <c r="R733" i="15"/>
  <c r="R264" i="15"/>
  <c r="R759" i="15"/>
  <c r="R758" i="15"/>
  <c r="R506" i="15"/>
  <c r="R30" i="15"/>
  <c r="R104" i="15"/>
  <c r="R236" i="15"/>
  <c r="R390" i="15"/>
  <c r="R138" i="15"/>
  <c r="R214" i="15"/>
  <c r="R239" i="15"/>
  <c r="R515" i="15"/>
  <c r="R309" i="15"/>
  <c r="R35" i="15"/>
  <c r="R345" i="15"/>
  <c r="R134" i="15"/>
  <c r="R356" i="15"/>
  <c r="R223" i="15"/>
  <c r="R653" i="15"/>
  <c r="R760" i="15"/>
  <c r="S769" i="15"/>
  <c r="S690" i="15"/>
  <c r="S313" i="15"/>
  <c r="S412" i="15"/>
  <c r="S774" i="15"/>
  <c r="S728" i="15"/>
  <c r="S733" i="15"/>
  <c r="S264" i="15"/>
  <c r="S759" i="15"/>
  <c r="S758" i="15"/>
  <c r="S506" i="15"/>
  <c r="S30" i="15"/>
  <c r="S104" i="15"/>
  <c r="S236" i="15"/>
  <c r="S390" i="15"/>
  <c r="S138" i="15"/>
  <c r="S214" i="15"/>
  <c r="S239" i="15"/>
  <c r="S515" i="15"/>
  <c r="S309" i="15"/>
  <c r="S35" i="15"/>
  <c r="S345" i="15"/>
  <c r="S134" i="15"/>
  <c r="S356" i="15"/>
  <c r="S223" i="15"/>
  <c r="S653" i="15"/>
  <c r="S760" i="15"/>
  <c r="W769" i="15"/>
  <c r="W690" i="15"/>
  <c r="W313" i="15"/>
  <c r="W412" i="15"/>
  <c r="W774" i="15"/>
  <c r="W728" i="15"/>
  <c r="W733" i="15"/>
  <c r="W264" i="15"/>
  <c r="W759" i="15"/>
  <c r="W758" i="15"/>
  <c r="W506" i="15"/>
  <c r="W30" i="15"/>
  <c r="W104" i="15"/>
  <c r="W236" i="15"/>
  <c r="W390" i="15"/>
  <c r="W138" i="15"/>
  <c r="W214" i="15"/>
  <c r="W239" i="15"/>
  <c r="W515" i="15"/>
  <c r="W309" i="15"/>
  <c r="W35" i="15"/>
  <c r="W345" i="15"/>
  <c r="W134" i="15"/>
  <c r="W356" i="15"/>
  <c r="W223" i="15"/>
  <c r="W653" i="15"/>
  <c r="W760" i="15"/>
  <c r="X769" i="15"/>
  <c r="X690" i="15"/>
  <c r="X313" i="15"/>
  <c r="X412" i="15"/>
  <c r="X774" i="15"/>
  <c r="X728" i="15"/>
  <c r="X733" i="15"/>
  <c r="X264" i="15"/>
  <c r="X759" i="15"/>
  <c r="X758" i="15"/>
  <c r="X506" i="15"/>
  <c r="X30" i="15"/>
  <c r="X104" i="15"/>
  <c r="X236" i="15"/>
  <c r="X390" i="15"/>
  <c r="X138" i="15"/>
  <c r="X214" i="15"/>
  <c r="X239" i="15"/>
  <c r="X515" i="15"/>
  <c r="X309" i="15"/>
  <c r="X35" i="15"/>
  <c r="X345" i="15"/>
  <c r="X134" i="15"/>
  <c r="X356" i="15"/>
  <c r="X223" i="15"/>
  <c r="X653" i="15"/>
  <c r="X760" i="15"/>
  <c r="Z769" i="15"/>
  <c r="Z690" i="15"/>
  <c r="Z313" i="15"/>
  <c r="Z412" i="15"/>
  <c r="Z774" i="15"/>
  <c r="Z728" i="15"/>
  <c r="Z733" i="15"/>
  <c r="Z264" i="15"/>
  <c r="Z759" i="15"/>
  <c r="Z758" i="15"/>
  <c r="Z506" i="15"/>
  <c r="Z30" i="15"/>
  <c r="Z104" i="15"/>
  <c r="Z236" i="15"/>
  <c r="Z390" i="15"/>
  <c r="Z138" i="15"/>
  <c r="Z214" i="15"/>
  <c r="Z239" i="15"/>
  <c r="Z515" i="15"/>
  <c r="Z309" i="15"/>
  <c r="Z35" i="15"/>
  <c r="Z345" i="15"/>
  <c r="Z134" i="15"/>
  <c r="Z356" i="15"/>
  <c r="Z223" i="15"/>
  <c r="Z653" i="15"/>
  <c r="Z760" i="15"/>
  <c r="AA769" i="15"/>
  <c r="AA690" i="15"/>
  <c r="AA313" i="15"/>
  <c r="AA412" i="15"/>
  <c r="AA774" i="15"/>
  <c r="AA728" i="15"/>
  <c r="AA733" i="15"/>
  <c r="AA264" i="15"/>
  <c r="AA759" i="15"/>
  <c r="AA758" i="15"/>
  <c r="AA506" i="15"/>
  <c r="AA30" i="15"/>
  <c r="AA104" i="15"/>
  <c r="AA236" i="15"/>
  <c r="AA390" i="15"/>
  <c r="AA138" i="15"/>
  <c r="AA214" i="15"/>
  <c r="AA239" i="15"/>
  <c r="AA515" i="15"/>
  <c r="AA309" i="15"/>
  <c r="AA35" i="15"/>
  <c r="AA345" i="15"/>
  <c r="AA134" i="15"/>
  <c r="AA356" i="15"/>
  <c r="AA223" i="15"/>
  <c r="AA653" i="15"/>
  <c r="AA760" i="15"/>
  <c r="AB769" i="15"/>
  <c r="AB690" i="15"/>
  <c r="AB313" i="15"/>
  <c r="AB412" i="15"/>
  <c r="AB774" i="15"/>
  <c r="AB728" i="15"/>
  <c r="AB733" i="15"/>
  <c r="AB264" i="15"/>
  <c r="AB759" i="15"/>
  <c r="AB758" i="15"/>
  <c r="AB506" i="15"/>
  <c r="AB30" i="15"/>
  <c r="AB104" i="15"/>
  <c r="AB236" i="15"/>
  <c r="AB390" i="15"/>
  <c r="AB138" i="15"/>
  <c r="AB214" i="15"/>
  <c r="AB239" i="15"/>
  <c r="AB515" i="15"/>
  <c r="AB309" i="15"/>
  <c r="AB35" i="15"/>
  <c r="AB345" i="15"/>
  <c r="AB134" i="15"/>
  <c r="AB356" i="15"/>
  <c r="AB223" i="15"/>
  <c r="AB653" i="15"/>
  <c r="AB760" i="15"/>
  <c r="AD769" i="15"/>
  <c r="AD690" i="15"/>
  <c r="I951" i="18" s="1"/>
  <c r="AD313" i="15"/>
  <c r="AD412" i="15"/>
  <c r="AD774" i="15"/>
  <c r="AD728" i="15"/>
  <c r="AD733" i="15"/>
  <c r="AD264" i="15"/>
  <c r="AD759" i="15"/>
  <c r="AD758" i="15"/>
  <c r="AD506" i="15"/>
  <c r="AD30" i="15"/>
  <c r="AD104" i="15"/>
  <c r="AD236" i="15"/>
  <c r="AD390" i="15"/>
  <c r="AD138" i="15"/>
  <c r="AD214" i="15"/>
  <c r="AD239" i="15"/>
  <c r="AD515" i="15"/>
  <c r="AD309" i="15"/>
  <c r="AD35" i="15"/>
  <c r="AD345" i="15"/>
  <c r="AD134" i="15"/>
  <c r="AD356" i="15"/>
  <c r="AD223" i="15"/>
  <c r="AD653" i="15"/>
  <c r="AD760" i="15"/>
  <c r="I1352" i="18" s="1"/>
  <c r="AE769" i="15"/>
  <c r="AE690" i="15"/>
  <c r="J951" i="18" s="1"/>
  <c r="AE313" i="15"/>
  <c r="AE412" i="15"/>
  <c r="AE774" i="15"/>
  <c r="AE728" i="15"/>
  <c r="AE733" i="15"/>
  <c r="AE264" i="15"/>
  <c r="AE759" i="15"/>
  <c r="AE758" i="15"/>
  <c r="AE506" i="15"/>
  <c r="AE30" i="15"/>
  <c r="AE104" i="15"/>
  <c r="AE236" i="15"/>
  <c r="AE390" i="15"/>
  <c r="AE138" i="15"/>
  <c r="AE214" i="15"/>
  <c r="AE239" i="15"/>
  <c r="AE515" i="15"/>
  <c r="AE309" i="15"/>
  <c r="AE35" i="15"/>
  <c r="AE345" i="15"/>
  <c r="AE134" i="15"/>
  <c r="AE356" i="15"/>
  <c r="AE223" i="15"/>
  <c r="AE653" i="15"/>
  <c r="AE760" i="15"/>
  <c r="J1352" i="18" s="1"/>
  <c r="AF769" i="15"/>
  <c r="AF690" i="15"/>
  <c r="K951" i="18" s="1"/>
  <c r="AF313" i="15"/>
  <c r="AF412" i="15"/>
  <c r="AF774" i="15"/>
  <c r="AF728" i="15"/>
  <c r="AF733" i="15"/>
  <c r="AF264" i="15"/>
  <c r="AF759" i="15"/>
  <c r="AF758" i="15"/>
  <c r="AF506" i="15"/>
  <c r="AF30" i="15"/>
  <c r="AF104" i="15"/>
  <c r="AF236" i="15"/>
  <c r="AF390" i="15"/>
  <c r="AF138" i="15"/>
  <c r="AF214" i="15"/>
  <c r="AF239" i="15"/>
  <c r="AF515" i="15"/>
  <c r="AF309" i="15"/>
  <c r="AF35" i="15"/>
  <c r="AF345" i="15"/>
  <c r="AF134" i="15"/>
  <c r="AF356" i="15"/>
  <c r="AF223" i="15"/>
  <c r="AF653" i="15"/>
  <c r="AF760" i="15"/>
  <c r="K1352" i="18" s="1"/>
  <c r="AG769" i="15"/>
  <c r="AG690" i="15"/>
  <c r="L951" i="18" s="1"/>
  <c r="AG313" i="15"/>
  <c r="AG412" i="15"/>
  <c r="AG774" i="15"/>
  <c r="AG728" i="15"/>
  <c r="AG733" i="15"/>
  <c r="AG264" i="15"/>
  <c r="AG759" i="15"/>
  <c r="AG758" i="15"/>
  <c r="AG506" i="15"/>
  <c r="AG30" i="15"/>
  <c r="AG104" i="15"/>
  <c r="AG236" i="15"/>
  <c r="AG390" i="15"/>
  <c r="AG138" i="15"/>
  <c r="AG214" i="15"/>
  <c r="AG239" i="15"/>
  <c r="AG515" i="15"/>
  <c r="AG309" i="15"/>
  <c r="AG35" i="15"/>
  <c r="AG345" i="15"/>
  <c r="AG134" i="15"/>
  <c r="AG356" i="15"/>
  <c r="AG223" i="15"/>
  <c r="AG653" i="15"/>
  <c r="AG760" i="15"/>
  <c r="L1352" i="18" s="1"/>
  <c r="AH769" i="15"/>
  <c r="AH690" i="15"/>
  <c r="N951" i="18" s="1"/>
  <c r="AH313" i="15"/>
  <c r="AH412" i="15"/>
  <c r="AH774" i="15"/>
  <c r="AH728" i="15"/>
  <c r="AH733" i="15"/>
  <c r="AH264" i="15"/>
  <c r="AH759" i="15"/>
  <c r="AH758" i="15"/>
  <c r="AH506" i="15"/>
  <c r="AH30" i="15"/>
  <c r="AH104" i="15"/>
  <c r="AH236" i="15"/>
  <c r="AH390" i="15"/>
  <c r="AH138" i="15"/>
  <c r="AH214" i="15"/>
  <c r="AH239" i="15"/>
  <c r="AH515" i="15"/>
  <c r="AH309" i="15"/>
  <c r="AH35" i="15"/>
  <c r="AH345" i="15"/>
  <c r="AH134" i="15"/>
  <c r="AH356" i="15"/>
  <c r="AH223" i="15"/>
  <c r="AH653" i="15"/>
  <c r="AH760" i="15"/>
  <c r="N1352" i="18" s="1"/>
  <c r="AI769" i="15"/>
  <c r="AI690" i="15"/>
  <c r="M951" i="18" s="1"/>
  <c r="AI313" i="15"/>
  <c r="AI412" i="15"/>
  <c r="AI774" i="15"/>
  <c r="AI728" i="15"/>
  <c r="AI733" i="15"/>
  <c r="AI264" i="15"/>
  <c r="AI759" i="15"/>
  <c r="AI758" i="15"/>
  <c r="AI506" i="15"/>
  <c r="AI30" i="15"/>
  <c r="AI104" i="15"/>
  <c r="AI236" i="15"/>
  <c r="AI390" i="15"/>
  <c r="AI138" i="15"/>
  <c r="AI214" i="15"/>
  <c r="AI239" i="15"/>
  <c r="AI515" i="15"/>
  <c r="AI309" i="15"/>
  <c r="AI35" i="15"/>
  <c r="AI345" i="15"/>
  <c r="AI134" i="15"/>
  <c r="AI356" i="15"/>
  <c r="AI223" i="15"/>
  <c r="AI653" i="15"/>
  <c r="AI760" i="15"/>
  <c r="M1352" i="18" s="1"/>
  <c r="AJ769" i="15"/>
  <c r="AJ690" i="15"/>
  <c r="O951" i="18" s="1"/>
  <c r="AJ313" i="15"/>
  <c r="AJ412" i="15"/>
  <c r="AJ774" i="15"/>
  <c r="AJ728" i="15"/>
  <c r="AJ733" i="15"/>
  <c r="AJ264" i="15"/>
  <c r="AJ759" i="15"/>
  <c r="AJ758" i="15"/>
  <c r="AJ506" i="15"/>
  <c r="AJ30" i="15"/>
  <c r="AJ104" i="15"/>
  <c r="AJ236" i="15"/>
  <c r="AJ390" i="15"/>
  <c r="AJ138" i="15"/>
  <c r="AJ214" i="15"/>
  <c r="AJ239" i="15"/>
  <c r="AJ515" i="15"/>
  <c r="AJ309" i="15"/>
  <c r="AJ35" i="15"/>
  <c r="AJ345" i="15"/>
  <c r="AJ134" i="15"/>
  <c r="AJ356" i="15"/>
  <c r="AJ223" i="15"/>
  <c r="AJ653" i="15"/>
  <c r="AJ760" i="15"/>
  <c r="O1352" i="18" s="1"/>
  <c r="AK769" i="15"/>
  <c r="AK690" i="15"/>
  <c r="Q951" i="18" s="1"/>
  <c r="AK313" i="15"/>
  <c r="AK412" i="15"/>
  <c r="AK774" i="15"/>
  <c r="AK728" i="15"/>
  <c r="AK733" i="15"/>
  <c r="AK264" i="15"/>
  <c r="AK759" i="15"/>
  <c r="AK758" i="15"/>
  <c r="AK506" i="15"/>
  <c r="AK30" i="15"/>
  <c r="AK104" i="15"/>
  <c r="AK236" i="15"/>
  <c r="AK390" i="15"/>
  <c r="AK138" i="15"/>
  <c r="AK214" i="15"/>
  <c r="AK239" i="15"/>
  <c r="AK515" i="15"/>
  <c r="AK309" i="15"/>
  <c r="AK35" i="15"/>
  <c r="AK345" i="15"/>
  <c r="AK134" i="15"/>
  <c r="AK356" i="15"/>
  <c r="AK223" i="15"/>
  <c r="AK653" i="15"/>
  <c r="AK760" i="15"/>
  <c r="Q1352" i="18" s="1"/>
  <c r="B754" i="15"/>
  <c r="B741" i="15"/>
  <c r="B738" i="15"/>
  <c r="B778" i="15"/>
  <c r="B505" i="15"/>
  <c r="B522" i="15"/>
  <c r="B519" i="15"/>
  <c r="B51" i="15"/>
  <c r="B470" i="15"/>
  <c r="B321" i="15"/>
  <c r="B426" i="15"/>
  <c r="B191" i="15"/>
  <c r="B189" i="15"/>
  <c r="B225" i="15"/>
  <c r="B737" i="15"/>
  <c r="B315" i="15"/>
  <c r="B579" i="15"/>
  <c r="B341" i="15"/>
  <c r="B174" i="15"/>
  <c r="B205" i="15"/>
  <c r="B698" i="15"/>
  <c r="B734" i="15"/>
  <c r="L754" i="15"/>
  <c r="L741" i="15"/>
  <c r="L738" i="15"/>
  <c r="L778" i="15"/>
  <c r="L505" i="15"/>
  <c r="L522" i="15"/>
  <c r="L519" i="15"/>
  <c r="L51" i="15"/>
  <c r="L470" i="15"/>
  <c r="L321" i="15"/>
  <c r="L426" i="15"/>
  <c r="L191" i="15"/>
  <c r="L189" i="15"/>
  <c r="L225" i="15"/>
  <c r="L737" i="15"/>
  <c r="L315" i="15"/>
  <c r="L579" i="15"/>
  <c r="L341" i="15"/>
  <c r="L174" i="15"/>
  <c r="L205" i="15"/>
  <c r="L698" i="15"/>
  <c r="L734" i="15"/>
  <c r="O754" i="15"/>
  <c r="O741" i="15"/>
  <c r="O505" i="15"/>
  <c r="O522" i="15"/>
  <c r="O519" i="15"/>
  <c r="O51" i="15"/>
  <c r="O470" i="15"/>
  <c r="O321" i="15"/>
  <c r="O426" i="15"/>
  <c r="O191" i="15"/>
  <c r="O189" i="15"/>
  <c r="O225" i="15"/>
  <c r="O737" i="15"/>
  <c r="O315" i="15"/>
  <c r="O579" i="15"/>
  <c r="O341" i="15"/>
  <c r="O174" i="15"/>
  <c r="O205" i="15"/>
  <c r="O698" i="15"/>
  <c r="P754" i="15"/>
  <c r="P741" i="15"/>
  <c r="P738" i="15"/>
  <c r="P778" i="15"/>
  <c r="P505" i="15"/>
  <c r="P522" i="15"/>
  <c r="P519" i="15"/>
  <c r="P51" i="15"/>
  <c r="P470" i="15"/>
  <c r="P321" i="15"/>
  <c r="P426" i="15"/>
  <c r="P191" i="15"/>
  <c r="P189" i="15"/>
  <c r="P225" i="15"/>
  <c r="P737" i="15"/>
  <c r="P315" i="15"/>
  <c r="P579" i="15"/>
  <c r="P341" i="15"/>
  <c r="P174" i="15"/>
  <c r="P205" i="15"/>
  <c r="P698" i="15"/>
  <c r="P734" i="15"/>
  <c r="R754" i="15"/>
  <c r="R741" i="15"/>
  <c r="R738" i="15"/>
  <c r="R778" i="15"/>
  <c r="R505" i="15"/>
  <c r="R522" i="15"/>
  <c r="R519" i="15"/>
  <c r="R51" i="15"/>
  <c r="R470" i="15"/>
  <c r="R321" i="15"/>
  <c r="R426" i="15"/>
  <c r="R191" i="15"/>
  <c r="R189" i="15"/>
  <c r="R225" i="15"/>
  <c r="R737" i="15"/>
  <c r="R315" i="15"/>
  <c r="R579" i="15"/>
  <c r="R341" i="15"/>
  <c r="R174" i="15"/>
  <c r="R205" i="15"/>
  <c r="R698" i="15"/>
  <c r="R734" i="15"/>
  <c r="S754" i="15"/>
  <c r="S741" i="15"/>
  <c r="S738" i="15"/>
  <c r="S778" i="15"/>
  <c r="S505" i="15"/>
  <c r="S522" i="15"/>
  <c r="S519" i="15"/>
  <c r="S51" i="15"/>
  <c r="S470" i="15"/>
  <c r="S321" i="15"/>
  <c r="S426" i="15"/>
  <c r="S191" i="15"/>
  <c r="S189" i="15"/>
  <c r="S225" i="15"/>
  <c r="S737" i="15"/>
  <c r="S315" i="15"/>
  <c r="S579" i="15"/>
  <c r="S341" i="15"/>
  <c r="S174" i="15"/>
  <c r="S205" i="15"/>
  <c r="S698" i="15"/>
  <c r="S734" i="15"/>
  <c r="W754" i="15"/>
  <c r="G44" i="9" s="1"/>
  <c r="W741" i="15"/>
  <c r="W738" i="15"/>
  <c r="W778" i="15"/>
  <c r="W505" i="15"/>
  <c r="W522" i="15"/>
  <c r="W519" i="15"/>
  <c r="W51" i="15"/>
  <c r="W470" i="15"/>
  <c r="W321" i="15"/>
  <c r="W426" i="15"/>
  <c r="W191" i="15"/>
  <c r="W189" i="15"/>
  <c r="W225" i="15"/>
  <c r="W737" i="15"/>
  <c r="W315" i="15"/>
  <c r="W579" i="15"/>
  <c r="W341" i="15"/>
  <c r="W174" i="15"/>
  <c r="W205" i="15"/>
  <c r="W698" i="15"/>
  <c r="W734" i="15"/>
  <c r="X754" i="15"/>
  <c r="X741" i="15"/>
  <c r="X738" i="15"/>
  <c r="X778" i="15"/>
  <c r="X505" i="15"/>
  <c r="X522" i="15"/>
  <c r="X519" i="15"/>
  <c r="X51" i="15"/>
  <c r="X470" i="15"/>
  <c r="X321" i="15"/>
  <c r="X426" i="15"/>
  <c r="X191" i="15"/>
  <c r="X189" i="15"/>
  <c r="X225" i="15"/>
  <c r="X737" i="15"/>
  <c r="X315" i="15"/>
  <c r="X579" i="15"/>
  <c r="X341" i="15"/>
  <c r="X174" i="15"/>
  <c r="X205" i="15"/>
  <c r="X698" i="15"/>
  <c r="X734" i="15"/>
  <c r="Z754" i="15"/>
  <c r="Z741" i="15"/>
  <c r="Z738" i="15"/>
  <c r="Z778" i="15"/>
  <c r="Z505" i="15"/>
  <c r="Z522" i="15"/>
  <c r="Z519" i="15"/>
  <c r="Z51" i="15"/>
  <c r="Z470" i="15"/>
  <c r="Z321" i="15"/>
  <c r="Z426" i="15"/>
  <c r="Z191" i="15"/>
  <c r="Z189" i="15"/>
  <c r="Z225" i="15"/>
  <c r="Z737" i="15"/>
  <c r="Z315" i="15"/>
  <c r="Z579" i="15"/>
  <c r="Z341" i="15"/>
  <c r="Z174" i="15"/>
  <c r="Z205" i="15"/>
  <c r="Z698" i="15"/>
  <c r="Z734" i="15"/>
  <c r="AA754" i="15"/>
  <c r="AA741" i="15"/>
  <c r="AA738" i="15"/>
  <c r="AA778" i="15"/>
  <c r="AA505" i="15"/>
  <c r="AA522" i="15"/>
  <c r="AA519" i="15"/>
  <c r="AA51" i="15"/>
  <c r="AA470" i="15"/>
  <c r="AA321" i="15"/>
  <c r="AA426" i="15"/>
  <c r="AA191" i="15"/>
  <c r="AA189" i="15"/>
  <c r="AA225" i="15"/>
  <c r="AA737" i="15"/>
  <c r="AA315" i="15"/>
  <c r="AA579" i="15"/>
  <c r="AA341" i="15"/>
  <c r="AA174" i="15"/>
  <c r="AA205" i="15"/>
  <c r="AA698" i="15"/>
  <c r="AA734" i="15"/>
  <c r="AB754" i="15"/>
  <c r="AB741" i="15"/>
  <c r="AB738" i="15"/>
  <c r="AB778" i="15"/>
  <c r="AB505" i="15"/>
  <c r="AB522" i="15"/>
  <c r="AB519" i="15"/>
  <c r="AB51" i="15"/>
  <c r="AB470" i="15"/>
  <c r="AB321" i="15"/>
  <c r="AB426" i="15"/>
  <c r="AB191" i="15"/>
  <c r="AB189" i="15"/>
  <c r="AB225" i="15"/>
  <c r="AB737" i="15"/>
  <c r="AB315" i="15"/>
  <c r="AB579" i="15"/>
  <c r="AB341" i="15"/>
  <c r="AB174" i="15"/>
  <c r="AB205" i="15"/>
  <c r="AB698" i="15"/>
  <c r="AB734" i="15"/>
  <c r="AD754" i="15"/>
  <c r="AD741" i="15"/>
  <c r="I1241" i="18" s="1"/>
  <c r="AD738" i="15"/>
  <c r="AD778" i="15"/>
  <c r="I1526" i="18" s="1"/>
  <c r="AD505" i="15"/>
  <c r="AD522" i="15"/>
  <c r="AD519" i="15"/>
  <c r="AD51" i="15"/>
  <c r="AD470" i="15"/>
  <c r="AD321" i="15"/>
  <c r="AD426" i="15"/>
  <c r="AD191" i="15"/>
  <c r="AD189" i="15"/>
  <c r="AD225" i="15"/>
  <c r="AD737" i="15"/>
  <c r="I1222" i="18" s="1"/>
  <c r="AD315" i="15"/>
  <c r="AD579" i="15"/>
  <c r="AD341" i="15"/>
  <c r="AD174" i="15"/>
  <c r="AD205" i="15"/>
  <c r="AD698" i="15"/>
  <c r="I997" i="18" s="1"/>
  <c r="AD734" i="15"/>
  <c r="AE754" i="15"/>
  <c r="AE741" i="15"/>
  <c r="J1241" i="18" s="1"/>
  <c r="AE738" i="15"/>
  <c r="AE778" i="15"/>
  <c r="J1526" i="18" s="1"/>
  <c r="AE505" i="15"/>
  <c r="AE522" i="15"/>
  <c r="AE519" i="15"/>
  <c r="AE51" i="15"/>
  <c r="AE470" i="15"/>
  <c r="AE321" i="15"/>
  <c r="AE426" i="15"/>
  <c r="AE191" i="15"/>
  <c r="AE189" i="15"/>
  <c r="AE225" i="15"/>
  <c r="AE737" i="15"/>
  <c r="J1222" i="18" s="1"/>
  <c r="AE315" i="15"/>
  <c r="AE579" i="15"/>
  <c r="AE341" i="15"/>
  <c r="AE174" i="15"/>
  <c r="AE205" i="15"/>
  <c r="AE698" i="15"/>
  <c r="J997" i="18" s="1"/>
  <c r="AE734" i="15"/>
  <c r="AF754" i="15"/>
  <c r="AF741" i="15"/>
  <c r="K1241" i="18" s="1"/>
  <c r="AF738" i="15"/>
  <c r="AF778" i="15"/>
  <c r="K1526" i="18" s="1"/>
  <c r="AF505" i="15"/>
  <c r="AF522" i="15"/>
  <c r="AF519" i="15"/>
  <c r="AF51" i="15"/>
  <c r="AF470" i="15"/>
  <c r="AF321" i="15"/>
  <c r="AF426" i="15"/>
  <c r="AF191" i="15"/>
  <c r="AF189" i="15"/>
  <c r="AF225" i="15"/>
  <c r="AF737" i="15"/>
  <c r="K1222" i="18" s="1"/>
  <c r="AF315" i="15"/>
  <c r="AF579" i="15"/>
  <c r="AF341" i="15"/>
  <c r="AF174" i="15"/>
  <c r="AF205" i="15"/>
  <c r="AF698" i="15"/>
  <c r="K997" i="18" s="1"/>
  <c r="AF734" i="15"/>
  <c r="AG754" i="15"/>
  <c r="AG741" i="15"/>
  <c r="L1241" i="18" s="1"/>
  <c r="AG738" i="15"/>
  <c r="AG778" i="15"/>
  <c r="L1526" i="18" s="1"/>
  <c r="AG505" i="15"/>
  <c r="AG522" i="15"/>
  <c r="AG519" i="15"/>
  <c r="AG51" i="15"/>
  <c r="AG470" i="15"/>
  <c r="AG321" i="15"/>
  <c r="AG426" i="15"/>
  <c r="AG191" i="15"/>
  <c r="AG189" i="15"/>
  <c r="AG225" i="15"/>
  <c r="AG737" i="15"/>
  <c r="L1222" i="18" s="1"/>
  <c r="AG315" i="15"/>
  <c r="AG579" i="15"/>
  <c r="AG341" i="15"/>
  <c r="AG174" i="15"/>
  <c r="AG205" i="15"/>
  <c r="AG698" i="15"/>
  <c r="L997" i="18" s="1"/>
  <c r="AG734" i="15"/>
  <c r="AH754" i="15"/>
  <c r="AH741" i="15"/>
  <c r="N1241" i="18" s="1"/>
  <c r="AH738" i="15"/>
  <c r="AH778" i="15"/>
  <c r="N1526" i="18" s="1"/>
  <c r="AH505" i="15"/>
  <c r="AH522" i="15"/>
  <c r="AH519" i="15"/>
  <c r="AH51" i="15"/>
  <c r="AH470" i="15"/>
  <c r="AH321" i="15"/>
  <c r="AH426" i="15"/>
  <c r="AH191" i="15"/>
  <c r="AH189" i="15"/>
  <c r="AH225" i="15"/>
  <c r="AH737" i="15"/>
  <c r="N1222" i="18" s="1"/>
  <c r="AH315" i="15"/>
  <c r="AH579" i="15"/>
  <c r="AH341" i="15"/>
  <c r="AH174" i="15"/>
  <c r="AH205" i="15"/>
  <c r="AH698" i="15"/>
  <c r="N997" i="18" s="1"/>
  <c r="AH734" i="15"/>
  <c r="AI754" i="15"/>
  <c r="AI741" i="15"/>
  <c r="M1241" i="18" s="1"/>
  <c r="AI738" i="15"/>
  <c r="AI778" i="15"/>
  <c r="M1526" i="18" s="1"/>
  <c r="AI505" i="15"/>
  <c r="AI522" i="15"/>
  <c r="AI519" i="15"/>
  <c r="AI51" i="15"/>
  <c r="AI470" i="15"/>
  <c r="AI321" i="15"/>
  <c r="AI426" i="15"/>
  <c r="AI191" i="15"/>
  <c r="AI189" i="15"/>
  <c r="AI225" i="15"/>
  <c r="AI737" i="15"/>
  <c r="M1222" i="18" s="1"/>
  <c r="AI315" i="15"/>
  <c r="AI579" i="15"/>
  <c r="AI341" i="15"/>
  <c r="AI174" i="15"/>
  <c r="AI205" i="15"/>
  <c r="AI698" i="15"/>
  <c r="M997" i="18" s="1"/>
  <c r="AI734" i="15"/>
  <c r="AJ754" i="15"/>
  <c r="AJ741" i="15"/>
  <c r="O1241" i="18" s="1"/>
  <c r="AJ738" i="15"/>
  <c r="AJ778" i="15"/>
  <c r="O1526" i="18" s="1"/>
  <c r="AJ505" i="15"/>
  <c r="AJ522" i="15"/>
  <c r="AJ519" i="15"/>
  <c r="AJ51" i="15"/>
  <c r="AJ470" i="15"/>
  <c r="AJ321" i="15"/>
  <c r="AJ426" i="15"/>
  <c r="AJ191" i="15"/>
  <c r="AJ189" i="15"/>
  <c r="AJ225" i="15"/>
  <c r="AJ737" i="15"/>
  <c r="O1222" i="18" s="1"/>
  <c r="AJ315" i="15"/>
  <c r="AJ579" i="15"/>
  <c r="AJ341" i="15"/>
  <c r="AJ174" i="15"/>
  <c r="AJ205" i="15"/>
  <c r="AJ698" i="15"/>
  <c r="O997" i="18" s="1"/>
  <c r="AJ734" i="15"/>
  <c r="AK754" i="15"/>
  <c r="AK741" i="15"/>
  <c r="Q1241" i="18" s="1"/>
  <c r="AK738" i="15"/>
  <c r="AK778" i="15"/>
  <c r="Q1526" i="18" s="1"/>
  <c r="AK505" i="15"/>
  <c r="AK522" i="15"/>
  <c r="AK519" i="15"/>
  <c r="AK51" i="15"/>
  <c r="AK470" i="15"/>
  <c r="AK321" i="15"/>
  <c r="AK426" i="15"/>
  <c r="AK191" i="15"/>
  <c r="AK189" i="15"/>
  <c r="AK225" i="15"/>
  <c r="AK737" i="15"/>
  <c r="Q1222" i="18" s="1"/>
  <c r="AK315" i="15"/>
  <c r="AK579" i="15"/>
  <c r="AK341" i="15"/>
  <c r="AK174" i="15"/>
  <c r="AK205" i="15"/>
  <c r="AK698" i="15"/>
  <c r="Q997" i="18" s="1"/>
  <c r="AK734" i="15"/>
  <c r="B103" i="15"/>
  <c r="B273" i="15"/>
  <c r="B290" i="15"/>
  <c r="B520" i="15"/>
  <c r="B16" i="15"/>
  <c r="B459" i="15"/>
  <c r="B331" i="15"/>
  <c r="B310" i="15"/>
  <c r="B57" i="15"/>
  <c r="B726" i="15"/>
  <c r="B731" i="15"/>
  <c r="B736" i="15"/>
  <c r="B766" i="15"/>
  <c r="L103" i="15"/>
  <c r="L273" i="15"/>
  <c r="L290" i="15"/>
  <c r="L520" i="15"/>
  <c r="L16" i="15"/>
  <c r="L459" i="15"/>
  <c r="L331" i="15"/>
  <c r="L310" i="15"/>
  <c r="L57" i="15"/>
  <c r="L726" i="15"/>
  <c r="L731" i="15"/>
  <c r="L736" i="15"/>
  <c r="L766" i="15"/>
  <c r="O273" i="15"/>
  <c r="O290" i="15"/>
  <c r="O520" i="15"/>
  <c r="O16" i="15"/>
  <c r="O459" i="15"/>
  <c r="O331" i="15"/>
  <c r="O310" i="15"/>
  <c r="O57" i="15"/>
  <c r="O726" i="15"/>
  <c r="O731" i="15"/>
  <c r="O736" i="15"/>
  <c r="O766" i="15"/>
  <c r="P103" i="15"/>
  <c r="P273" i="15"/>
  <c r="P290" i="15"/>
  <c r="P520" i="15"/>
  <c r="P16" i="15"/>
  <c r="P459" i="15"/>
  <c r="P331" i="15"/>
  <c r="P310" i="15"/>
  <c r="P57" i="15"/>
  <c r="P726" i="15"/>
  <c r="P731" i="15"/>
  <c r="P736" i="15"/>
  <c r="P766" i="15"/>
  <c r="R103" i="15"/>
  <c r="R273" i="15"/>
  <c r="R290" i="15"/>
  <c r="R520" i="15"/>
  <c r="R16" i="15"/>
  <c r="R459" i="15"/>
  <c r="R331" i="15"/>
  <c r="R310" i="15"/>
  <c r="R57" i="15"/>
  <c r="R726" i="15"/>
  <c r="R731" i="15"/>
  <c r="R736" i="15"/>
  <c r="R766" i="15"/>
  <c r="S103" i="15"/>
  <c r="S273" i="15"/>
  <c r="S290" i="15"/>
  <c r="S520" i="15"/>
  <c r="S16" i="15"/>
  <c r="S459" i="15"/>
  <c r="S331" i="15"/>
  <c r="S310" i="15"/>
  <c r="S57" i="15"/>
  <c r="S726" i="15"/>
  <c r="S731" i="15"/>
  <c r="S736" i="15"/>
  <c r="S766" i="15"/>
  <c r="W103" i="15"/>
  <c r="W273" i="15"/>
  <c r="W290" i="15"/>
  <c r="W520" i="15"/>
  <c r="W16" i="15"/>
  <c r="W459" i="15"/>
  <c r="W331" i="15"/>
  <c r="W310" i="15"/>
  <c r="W57" i="15"/>
  <c r="W726" i="15"/>
  <c r="W731" i="15"/>
  <c r="W736" i="15"/>
  <c r="W766" i="15"/>
  <c r="X103" i="15"/>
  <c r="X273" i="15"/>
  <c r="X290" i="15"/>
  <c r="X520" i="15"/>
  <c r="X16" i="15"/>
  <c r="X459" i="15"/>
  <c r="X331" i="15"/>
  <c r="X310" i="15"/>
  <c r="X57" i="15"/>
  <c r="X726" i="15"/>
  <c r="X731" i="15"/>
  <c r="X736" i="15"/>
  <c r="X766" i="15"/>
  <c r="Z103" i="15"/>
  <c r="Z273" i="15"/>
  <c r="Z290" i="15"/>
  <c r="Z520" i="15"/>
  <c r="Z16" i="15"/>
  <c r="Z459" i="15"/>
  <c r="Z331" i="15"/>
  <c r="Z310" i="15"/>
  <c r="Z57" i="15"/>
  <c r="Z726" i="15"/>
  <c r="Z731" i="15"/>
  <c r="Z736" i="15"/>
  <c r="Z766" i="15"/>
  <c r="AA103" i="15"/>
  <c r="AA273" i="15"/>
  <c r="AA290" i="15"/>
  <c r="AA520" i="15"/>
  <c r="AA16" i="15"/>
  <c r="AA459" i="15"/>
  <c r="AA331" i="15"/>
  <c r="AA310" i="15"/>
  <c r="AA57" i="15"/>
  <c r="AA726" i="15"/>
  <c r="AA731" i="15"/>
  <c r="AA736" i="15"/>
  <c r="AA766" i="15"/>
  <c r="AB103" i="15"/>
  <c r="AB273" i="15"/>
  <c r="AB290" i="15"/>
  <c r="AB520" i="15"/>
  <c r="AB16" i="15"/>
  <c r="AB459" i="15"/>
  <c r="AB331" i="15"/>
  <c r="AB310" i="15"/>
  <c r="AB57" i="15"/>
  <c r="AB726" i="15"/>
  <c r="AB731" i="15"/>
  <c r="AB736" i="15"/>
  <c r="AB766" i="15"/>
  <c r="AD103" i="15"/>
  <c r="AD273" i="15"/>
  <c r="AD290" i="15"/>
  <c r="AD520" i="15"/>
  <c r="AD16" i="15"/>
  <c r="AD459" i="15"/>
  <c r="AD331" i="15"/>
  <c r="AD310" i="15"/>
  <c r="AD57" i="15"/>
  <c r="AD726" i="15"/>
  <c r="I1148" i="18" s="1"/>
  <c r="AD731" i="15"/>
  <c r="I1179" i="18" s="1"/>
  <c r="AD736" i="15"/>
  <c r="I1210" i="18" s="1"/>
  <c r="AD766" i="15"/>
  <c r="I1393" i="18" s="1"/>
  <c r="AE103" i="15"/>
  <c r="AE273" i="15"/>
  <c r="AE290" i="15"/>
  <c r="AE520" i="15"/>
  <c r="AE16" i="15"/>
  <c r="AE459" i="15"/>
  <c r="AE331" i="15"/>
  <c r="AE310" i="15"/>
  <c r="AE57" i="15"/>
  <c r="AE726" i="15"/>
  <c r="J1148" i="18" s="1"/>
  <c r="AE731" i="15"/>
  <c r="J1179" i="18" s="1"/>
  <c r="AE736" i="15"/>
  <c r="J1210" i="18" s="1"/>
  <c r="AE766" i="15"/>
  <c r="J1393" i="18" s="1"/>
  <c r="AF103" i="15"/>
  <c r="AF273" i="15"/>
  <c r="AF290" i="15"/>
  <c r="AF520" i="15"/>
  <c r="AF16" i="15"/>
  <c r="AF459" i="15"/>
  <c r="AF331" i="15"/>
  <c r="AF310" i="15"/>
  <c r="AF57" i="15"/>
  <c r="AF726" i="15"/>
  <c r="K1148" i="18" s="1"/>
  <c r="AF731" i="15"/>
  <c r="K1179" i="18" s="1"/>
  <c r="AF736" i="15"/>
  <c r="K1210" i="18" s="1"/>
  <c r="AF766" i="15"/>
  <c r="K1393" i="18" s="1"/>
  <c r="AG103" i="15"/>
  <c r="AG273" i="15"/>
  <c r="AG290" i="15"/>
  <c r="AG520" i="15"/>
  <c r="AG16" i="15"/>
  <c r="AG459" i="15"/>
  <c r="AG331" i="15"/>
  <c r="AG310" i="15"/>
  <c r="AG57" i="15"/>
  <c r="AG726" i="15"/>
  <c r="L1148" i="18" s="1"/>
  <c r="AG731" i="15"/>
  <c r="L1179" i="18" s="1"/>
  <c r="AG736" i="15"/>
  <c r="L1210" i="18" s="1"/>
  <c r="AG766" i="15"/>
  <c r="L1393" i="18" s="1"/>
  <c r="AH103" i="15"/>
  <c r="AH273" i="15"/>
  <c r="AH290" i="15"/>
  <c r="AH520" i="15"/>
  <c r="AH16" i="15"/>
  <c r="AH459" i="15"/>
  <c r="AH331" i="15"/>
  <c r="AH310" i="15"/>
  <c r="AH57" i="15"/>
  <c r="AH726" i="15"/>
  <c r="N1148" i="18" s="1"/>
  <c r="AH731" i="15"/>
  <c r="N1179" i="18" s="1"/>
  <c r="AH736" i="15"/>
  <c r="N1210" i="18" s="1"/>
  <c r="AH766" i="15"/>
  <c r="N1393" i="18" s="1"/>
  <c r="AI103" i="15"/>
  <c r="AI273" i="15"/>
  <c r="AI290" i="15"/>
  <c r="AI520" i="15"/>
  <c r="AI16" i="15"/>
  <c r="AI459" i="15"/>
  <c r="AI331" i="15"/>
  <c r="AI310" i="15"/>
  <c r="AI57" i="15"/>
  <c r="AI726" i="15"/>
  <c r="M1148" i="18" s="1"/>
  <c r="AI731" i="15"/>
  <c r="M1179" i="18" s="1"/>
  <c r="AI736" i="15"/>
  <c r="M1210" i="18" s="1"/>
  <c r="AI766" i="15"/>
  <c r="M1393" i="18" s="1"/>
  <c r="AJ103" i="15"/>
  <c r="AJ273" i="15"/>
  <c r="AJ290" i="15"/>
  <c r="AJ520" i="15"/>
  <c r="AJ16" i="15"/>
  <c r="AJ459" i="15"/>
  <c r="AJ331" i="15"/>
  <c r="AJ310" i="15"/>
  <c r="AJ57" i="15"/>
  <c r="AJ726" i="15"/>
  <c r="O1148" i="18" s="1"/>
  <c r="AJ731" i="15"/>
  <c r="O1179" i="18" s="1"/>
  <c r="AJ736" i="15"/>
  <c r="O1210" i="18" s="1"/>
  <c r="AJ766" i="15"/>
  <c r="O1393" i="18" s="1"/>
  <c r="AK103" i="15"/>
  <c r="AK273" i="15"/>
  <c r="AK290" i="15"/>
  <c r="AK520" i="15"/>
  <c r="AK16" i="15"/>
  <c r="AK459" i="15"/>
  <c r="AK331" i="15"/>
  <c r="AK310" i="15"/>
  <c r="AK57" i="15"/>
  <c r="AK726" i="15"/>
  <c r="Q1148" i="18" s="1"/>
  <c r="AK731" i="15"/>
  <c r="Q1179" i="18" s="1"/>
  <c r="AK736" i="15"/>
  <c r="Q1210" i="18" s="1"/>
  <c r="AK766" i="15"/>
  <c r="Q1393" i="18" s="1"/>
  <c r="B595" i="15"/>
  <c r="B12" i="15"/>
  <c r="B365" i="15"/>
  <c r="B277" i="15"/>
  <c r="B442" i="15"/>
  <c r="B772" i="15"/>
  <c r="B763" i="15"/>
  <c r="B752" i="15"/>
  <c r="B692" i="15"/>
  <c r="B389" i="15"/>
  <c r="B438" i="15"/>
  <c r="B675" i="15"/>
  <c r="B699" i="15"/>
  <c r="B753" i="15"/>
  <c r="L595" i="15"/>
  <c r="L12" i="15"/>
  <c r="L365" i="15"/>
  <c r="L277" i="15"/>
  <c r="L442" i="15"/>
  <c r="L772" i="15"/>
  <c r="L763" i="15"/>
  <c r="L752" i="15"/>
  <c r="L692" i="15"/>
  <c r="L389" i="15"/>
  <c r="L438" i="15"/>
  <c r="L675" i="15"/>
  <c r="L699" i="15"/>
  <c r="L753" i="15"/>
  <c r="O365" i="15"/>
  <c r="O277" i="15"/>
  <c r="O442" i="15"/>
  <c r="O772" i="15"/>
  <c r="O763" i="15"/>
  <c r="O752" i="15"/>
  <c r="O692" i="15"/>
  <c r="O389" i="15"/>
  <c r="O438" i="15"/>
  <c r="O675" i="15"/>
  <c r="O699" i="15"/>
  <c r="O753" i="15"/>
  <c r="P595" i="15"/>
  <c r="P12" i="15"/>
  <c r="P365" i="15"/>
  <c r="P277" i="15"/>
  <c r="P442" i="15"/>
  <c r="P772" i="15"/>
  <c r="P763" i="15"/>
  <c r="P752" i="15"/>
  <c r="P692" i="15"/>
  <c r="P389" i="15"/>
  <c r="P438" i="15"/>
  <c r="P675" i="15"/>
  <c r="P699" i="15"/>
  <c r="P753" i="15"/>
  <c r="R595" i="15"/>
  <c r="R12" i="15"/>
  <c r="R365" i="15"/>
  <c r="R277" i="15"/>
  <c r="R442" i="15"/>
  <c r="R772" i="15"/>
  <c r="R763" i="15"/>
  <c r="R752" i="15"/>
  <c r="R692" i="15"/>
  <c r="R389" i="15"/>
  <c r="R438" i="15"/>
  <c r="R675" i="15"/>
  <c r="R699" i="15"/>
  <c r="R753" i="15"/>
  <c r="S595" i="15"/>
  <c r="S12" i="15"/>
  <c r="S365" i="15"/>
  <c r="S277" i="15"/>
  <c r="S442" i="15"/>
  <c r="S772" i="15"/>
  <c r="S763" i="15"/>
  <c r="S752" i="15"/>
  <c r="S692" i="15"/>
  <c r="S389" i="15"/>
  <c r="S438" i="15"/>
  <c r="S675" i="15"/>
  <c r="S699" i="15"/>
  <c r="S753" i="15"/>
  <c r="W595" i="15"/>
  <c r="W12" i="15"/>
  <c r="W365" i="15"/>
  <c r="W277" i="15"/>
  <c r="W442" i="15"/>
  <c r="W772" i="15"/>
  <c r="W763" i="15"/>
  <c r="W752" i="15"/>
  <c r="W692" i="15"/>
  <c r="W389" i="15"/>
  <c r="W438" i="15"/>
  <c r="W675" i="15"/>
  <c r="W699" i="15"/>
  <c r="W753" i="15"/>
  <c r="X595" i="15"/>
  <c r="X12" i="15"/>
  <c r="X365" i="15"/>
  <c r="X277" i="15"/>
  <c r="X442" i="15"/>
  <c r="X772" i="15"/>
  <c r="X763" i="15"/>
  <c r="X752" i="15"/>
  <c r="X692" i="15"/>
  <c r="X389" i="15"/>
  <c r="X438" i="15"/>
  <c r="X675" i="15"/>
  <c r="X699" i="15"/>
  <c r="X753" i="15"/>
  <c r="Z595" i="15"/>
  <c r="Z12" i="15"/>
  <c r="Z365" i="15"/>
  <c r="Z277" i="15"/>
  <c r="Z442" i="15"/>
  <c r="Z772" i="15"/>
  <c r="Z763" i="15"/>
  <c r="Z752" i="15"/>
  <c r="Z692" i="15"/>
  <c r="Z389" i="15"/>
  <c r="Z438" i="15"/>
  <c r="Z675" i="15"/>
  <c r="Z699" i="15"/>
  <c r="Z753" i="15"/>
  <c r="AA595" i="15"/>
  <c r="AA12" i="15"/>
  <c r="AA365" i="15"/>
  <c r="AA277" i="15"/>
  <c r="AA442" i="15"/>
  <c r="AA772" i="15"/>
  <c r="AA763" i="15"/>
  <c r="AA752" i="15"/>
  <c r="AA692" i="15"/>
  <c r="AA389" i="15"/>
  <c r="AA438" i="15"/>
  <c r="AA675" i="15"/>
  <c r="AA699" i="15"/>
  <c r="AA753" i="15"/>
  <c r="AB595" i="15"/>
  <c r="AB12" i="15"/>
  <c r="AB365" i="15"/>
  <c r="AB277" i="15"/>
  <c r="AB442" i="15"/>
  <c r="AB772" i="15"/>
  <c r="AB763" i="15"/>
  <c r="AB752" i="15"/>
  <c r="AB692" i="15"/>
  <c r="AB389" i="15"/>
  <c r="AB438" i="15"/>
  <c r="AB675" i="15"/>
  <c r="AB699" i="15"/>
  <c r="AB753" i="15"/>
  <c r="AD595" i="15"/>
  <c r="AD12" i="15"/>
  <c r="AD365" i="15"/>
  <c r="AD277" i="15"/>
  <c r="AD442" i="15"/>
  <c r="AD772" i="15"/>
  <c r="AD763" i="15"/>
  <c r="AD752" i="15"/>
  <c r="AD692" i="15"/>
  <c r="I967" i="18" s="1"/>
  <c r="AD389" i="15"/>
  <c r="AD438" i="15"/>
  <c r="AD675" i="15"/>
  <c r="AD699" i="15"/>
  <c r="AD753" i="15"/>
  <c r="AE595" i="15"/>
  <c r="AE12" i="15"/>
  <c r="AE365" i="15"/>
  <c r="AE277" i="15"/>
  <c r="AE442" i="15"/>
  <c r="AE772" i="15"/>
  <c r="AE763" i="15"/>
  <c r="AE752" i="15"/>
  <c r="AE692" i="15"/>
  <c r="J967" i="18" s="1"/>
  <c r="AE389" i="15"/>
  <c r="AE438" i="15"/>
  <c r="AE675" i="15"/>
  <c r="AE699" i="15"/>
  <c r="AE753" i="15"/>
  <c r="AF595" i="15"/>
  <c r="AF12" i="15"/>
  <c r="AF365" i="15"/>
  <c r="AF277" i="15"/>
  <c r="AF442" i="15"/>
  <c r="AF772" i="15"/>
  <c r="AF763" i="15"/>
  <c r="AF752" i="15"/>
  <c r="AF692" i="15"/>
  <c r="K967" i="18" s="1"/>
  <c r="AF389" i="15"/>
  <c r="AF438" i="15"/>
  <c r="AF675" i="15"/>
  <c r="AF699" i="15"/>
  <c r="AF753" i="15"/>
  <c r="AG595" i="15"/>
  <c r="AG12" i="15"/>
  <c r="AG365" i="15"/>
  <c r="AG277" i="15"/>
  <c r="AG442" i="15"/>
  <c r="AG772" i="15"/>
  <c r="AG763" i="15"/>
  <c r="AG752" i="15"/>
  <c r="AG692" i="15"/>
  <c r="L967" i="18" s="1"/>
  <c r="AG389" i="15"/>
  <c r="AG438" i="15"/>
  <c r="AG675" i="15"/>
  <c r="AG699" i="15"/>
  <c r="L1008" i="18" s="1"/>
  <c r="AG753" i="15"/>
  <c r="AH595" i="15"/>
  <c r="AH12" i="15"/>
  <c r="AH365" i="15"/>
  <c r="AH277" i="15"/>
  <c r="AH442" i="15"/>
  <c r="AH772" i="15"/>
  <c r="AH763" i="15"/>
  <c r="AH752" i="15"/>
  <c r="AH692" i="15"/>
  <c r="N967" i="18" s="1"/>
  <c r="AH389" i="15"/>
  <c r="AH438" i="15"/>
  <c r="AH675" i="15"/>
  <c r="AH699" i="15"/>
  <c r="AH753" i="15"/>
  <c r="AI595" i="15"/>
  <c r="AI12" i="15"/>
  <c r="AI365" i="15"/>
  <c r="AI277" i="15"/>
  <c r="AI442" i="15"/>
  <c r="AI772" i="15"/>
  <c r="AI763" i="15"/>
  <c r="AI752" i="15"/>
  <c r="AI692" i="15"/>
  <c r="M967" i="18" s="1"/>
  <c r="AI389" i="15"/>
  <c r="AI438" i="15"/>
  <c r="AI675" i="15"/>
  <c r="AI699" i="15"/>
  <c r="AI753" i="15"/>
  <c r="AJ595" i="15"/>
  <c r="AJ12" i="15"/>
  <c r="AJ365" i="15"/>
  <c r="AJ277" i="15"/>
  <c r="AJ442" i="15"/>
  <c r="AJ772" i="15"/>
  <c r="AJ763" i="15"/>
  <c r="AJ752" i="15"/>
  <c r="AJ692" i="15"/>
  <c r="O967" i="18" s="1"/>
  <c r="AJ389" i="15"/>
  <c r="AJ438" i="15"/>
  <c r="AJ675" i="15"/>
  <c r="AJ699" i="15"/>
  <c r="AJ753" i="15"/>
  <c r="AK595" i="15"/>
  <c r="AK12" i="15"/>
  <c r="AK365" i="15"/>
  <c r="AK277" i="15"/>
  <c r="AK442" i="15"/>
  <c r="AK772" i="15"/>
  <c r="AK763" i="15"/>
  <c r="AK752" i="15"/>
  <c r="AK692" i="15"/>
  <c r="Q967" i="18" s="1"/>
  <c r="AK389" i="15"/>
  <c r="AK438" i="15"/>
  <c r="AK675" i="15"/>
  <c r="AK699" i="15"/>
  <c r="AK753" i="15"/>
  <c r="B114" i="15"/>
  <c r="B332" i="15"/>
  <c r="B248" i="15"/>
  <c r="B462" i="15"/>
  <c r="B504" i="15"/>
  <c r="B74" i="15"/>
  <c r="B502" i="15"/>
  <c r="B252" i="15"/>
  <c r="B624" i="15"/>
  <c r="B61" i="15"/>
  <c r="B145" i="15"/>
  <c r="B347" i="15"/>
  <c r="B204" i="15"/>
  <c r="B450" i="15"/>
  <c r="B613" i="15"/>
  <c r="B260" i="15"/>
  <c r="B491" i="15"/>
  <c r="B682" i="15"/>
  <c r="B216" i="15"/>
  <c r="B460" i="15"/>
  <c r="B777" i="15"/>
  <c r="B714" i="15"/>
  <c r="B513" i="15"/>
  <c r="L114" i="15"/>
  <c r="L332" i="15"/>
  <c r="L248" i="15"/>
  <c r="L462" i="15"/>
  <c r="L504" i="15"/>
  <c r="L74" i="15"/>
  <c r="L502" i="15"/>
  <c r="L252" i="15"/>
  <c r="L624" i="15"/>
  <c r="L61" i="15"/>
  <c r="L145" i="15"/>
  <c r="L347" i="15"/>
  <c r="L204" i="15"/>
  <c r="L450" i="15"/>
  <c r="L613" i="15"/>
  <c r="L260" i="15"/>
  <c r="L491" i="15"/>
  <c r="L682" i="15"/>
  <c r="L216" i="15"/>
  <c r="L460" i="15"/>
  <c r="L777" i="15"/>
  <c r="L714" i="15"/>
  <c r="L513" i="15"/>
  <c r="O462" i="15"/>
  <c r="O504" i="15"/>
  <c r="O74" i="15"/>
  <c r="O502" i="15"/>
  <c r="O260" i="15"/>
  <c r="P114" i="15"/>
  <c r="P332" i="15"/>
  <c r="P248" i="15"/>
  <c r="P462" i="15"/>
  <c r="P504" i="15"/>
  <c r="P74" i="15"/>
  <c r="P502" i="15"/>
  <c r="P252" i="15"/>
  <c r="P624" i="15"/>
  <c r="P61" i="15"/>
  <c r="P145" i="15"/>
  <c r="P347" i="15"/>
  <c r="P204" i="15"/>
  <c r="P450" i="15"/>
  <c r="P613" i="15"/>
  <c r="P260" i="15"/>
  <c r="P491" i="15"/>
  <c r="P682" i="15"/>
  <c r="P216" i="15"/>
  <c r="P460" i="15"/>
  <c r="P777" i="15"/>
  <c r="P714" i="15"/>
  <c r="P513" i="15"/>
  <c r="R114" i="15"/>
  <c r="R332" i="15"/>
  <c r="R248" i="15"/>
  <c r="R462" i="15"/>
  <c r="R504" i="15"/>
  <c r="R74" i="15"/>
  <c r="R502" i="15"/>
  <c r="R252" i="15"/>
  <c r="R624" i="15"/>
  <c r="R61" i="15"/>
  <c r="R145" i="15"/>
  <c r="R347" i="15"/>
  <c r="R204" i="15"/>
  <c r="R450" i="15"/>
  <c r="R613" i="15"/>
  <c r="R260" i="15"/>
  <c r="R491" i="15"/>
  <c r="R682" i="15"/>
  <c r="R216" i="15"/>
  <c r="R460" i="15"/>
  <c r="R777" i="15"/>
  <c r="R714" i="15"/>
  <c r="R513" i="15"/>
  <c r="S114" i="15"/>
  <c r="S332" i="15"/>
  <c r="S248" i="15"/>
  <c r="S462" i="15"/>
  <c r="S504" i="15"/>
  <c r="S74" i="15"/>
  <c r="S502" i="15"/>
  <c r="S252" i="15"/>
  <c r="S624" i="15"/>
  <c r="S61" i="15"/>
  <c r="S145" i="15"/>
  <c r="S347" i="15"/>
  <c r="S204" i="15"/>
  <c r="S450" i="15"/>
  <c r="S613" i="15"/>
  <c r="S260" i="15"/>
  <c r="S491" i="15"/>
  <c r="S682" i="15"/>
  <c r="S216" i="15"/>
  <c r="S460" i="15"/>
  <c r="S777" i="15"/>
  <c r="S714" i="15"/>
  <c r="S513" i="15"/>
  <c r="W114" i="15"/>
  <c r="W332" i="15"/>
  <c r="W248" i="15"/>
  <c r="W462" i="15"/>
  <c r="W504" i="15"/>
  <c r="W74" i="15"/>
  <c r="W502" i="15"/>
  <c r="W252" i="15"/>
  <c r="W624" i="15"/>
  <c r="W61" i="15"/>
  <c r="W145" i="15"/>
  <c r="W347" i="15"/>
  <c r="W204" i="15"/>
  <c r="W450" i="15"/>
  <c r="W613" i="15"/>
  <c r="W260" i="15"/>
  <c r="W491" i="15"/>
  <c r="W682" i="15"/>
  <c r="W216" i="15"/>
  <c r="W460" i="15"/>
  <c r="W777" i="15"/>
  <c r="W714" i="15"/>
  <c r="W513" i="15"/>
  <c r="X114" i="15"/>
  <c r="X332" i="15"/>
  <c r="X248" i="15"/>
  <c r="X462" i="15"/>
  <c r="X504" i="15"/>
  <c r="X74" i="15"/>
  <c r="X502" i="15"/>
  <c r="X252" i="15"/>
  <c r="X624" i="15"/>
  <c r="X61" i="15"/>
  <c r="X145" i="15"/>
  <c r="X347" i="15"/>
  <c r="X204" i="15"/>
  <c r="X450" i="15"/>
  <c r="X613" i="15"/>
  <c r="X260" i="15"/>
  <c r="X491" i="15"/>
  <c r="X682" i="15"/>
  <c r="X216" i="15"/>
  <c r="X460" i="15"/>
  <c r="X777" i="15"/>
  <c r="X714" i="15"/>
  <c r="X513" i="15"/>
  <c r="Z114" i="15"/>
  <c r="Z332" i="15"/>
  <c r="Z248" i="15"/>
  <c r="Z462" i="15"/>
  <c r="Z504" i="15"/>
  <c r="Z74" i="15"/>
  <c r="Z502" i="15"/>
  <c r="Z252" i="15"/>
  <c r="Z624" i="15"/>
  <c r="Z61" i="15"/>
  <c r="Z145" i="15"/>
  <c r="Z347" i="15"/>
  <c r="Z204" i="15"/>
  <c r="Z450" i="15"/>
  <c r="Z613" i="15"/>
  <c r="Z260" i="15"/>
  <c r="Z491" i="15"/>
  <c r="Z682" i="15"/>
  <c r="Z216" i="15"/>
  <c r="Z460" i="15"/>
  <c r="Z777" i="15"/>
  <c r="Z714" i="15"/>
  <c r="Z513" i="15"/>
  <c r="AA114" i="15"/>
  <c r="AA332" i="15"/>
  <c r="AA248" i="15"/>
  <c r="AA462" i="15"/>
  <c r="AA504" i="15"/>
  <c r="AA74" i="15"/>
  <c r="AA502" i="15"/>
  <c r="AA252" i="15"/>
  <c r="AA624" i="15"/>
  <c r="AA61" i="15"/>
  <c r="AA145" i="15"/>
  <c r="AA347" i="15"/>
  <c r="AA204" i="15"/>
  <c r="AA450" i="15"/>
  <c r="AA613" i="15"/>
  <c r="AA260" i="15"/>
  <c r="AA491" i="15"/>
  <c r="AA682" i="15"/>
  <c r="AA216" i="15"/>
  <c r="AA460" i="15"/>
  <c r="AA777" i="15"/>
  <c r="AA714" i="15"/>
  <c r="AA513" i="15"/>
  <c r="AB114" i="15"/>
  <c r="AB332" i="15"/>
  <c r="AB248" i="15"/>
  <c r="AB462" i="15"/>
  <c r="AB504" i="15"/>
  <c r="AB74" i="15"/>
  <c r="AB502" i="15"/>
  <c r="AB252" i="15"/>
  <c r="AB624" i="15"/>
  <c r="AB61" i="15"/>
  <c r="AB145" i="15"/>
  <c r="AB347" i="15"/>
  <c r="AB204" i="15"/>
  <c r="AB450" i="15"/>
  <c r="AB613" i="15"/>
  <c r="AB260" i="15"/>
  <c r="AB491" i="15"/>
  <c r="AB682" i="15"/>
  <c r="AB216" i="15"/>
  <c r="AB460" i="15"/>
  <c r="AB777" i="15"/>
  <c r="AB714" i="15"/>
  <c r="AB513" i="15"/>
  <c r="AD114" i="15"/>
  <c r="AD332" i="15"/>
  <c r="AD248" i="15"/>
  <c r="AD462" i="15"/>
  <c r="AD504" i="15"/>
  <c r="I813" i="18" s="1"/>
  <c r="AD74" i="15"/>
  <c r="AD502" i="15"/>
  <c r="I797" i="18" s="1"/>
  <c r="AD252" i="15"/>
  <c r="AD624" i="15"/>
  <c r="AD61" i="15"/>
  <c r="AD145" i="15"/>
  <c r="AD347" i="15"/>
  <c r="AD204" i="15"/>
  <c r="AD450" i="15"/>
  <c r="AD613" i="15"/>
  <c r="AD260" i="15"/>
  <c r="AD491" i="15"/>
  <c r="I766" i="18" s="1"/>
  <c r="AD682" i="15"/>
  <c r="AD216" i="15"/>
  <c r="AD460" i="15"/>
  <c r="AD777" i="15"/>
  <c r="AD714" i="15"/>
  <c r="I1071" i="18" s="1"/>
  <c r="AD513" i="15"/>
  <c r="AE114" i="15"/>
  <c r="AE332" i="15"/>
  <c r="AE248" i="15"/>
  <c r="AE462" i="15"/>
  <c r="AE504" i="15"/>
  <c r="J813" i="18" s="1"/>
  <c r="AE74" i="15"/>
  <c r="AE502" i="15"/>
  <c r="J797" i="18" s="1"/>
  <c r="AE252" i="15"/>
  <c r="AE624" i="15"/>
  <c r="AE61" i="15"/>
  <c r="AE145" i="15"/>
  <c r="AE347" i="15"/>
  <c r="AE204" i="15"/>
  <c r="AE450" i="15"/>
  <c r="AE613" i="15"/>
  <c r="AE260" i="15"/>
  <c r="AE491" i="15"/>
  <c r="J766" i="18" s="1"/>
  <c r="AE682" i="15"/>
  <c r="AE216" i="15"/>
  <c r="AE460" i="15"/>
  <c r="AE777" i="15"/>
  <c r="AE714" i="15"/>
  <c r="J1071" i="18" s="1"/>
  <c r="AE513" i="15"/>
  <c r="AF114" i="15"/>
  <c r="AF332" i="15"/>
  <c r="AF248" i="15"/>
  <c r="AF462" i="15"/>
  <c r="AF504" i="15"/>
  <c r="K813" i="18" s="1"/>
  <c r="AF74" i="15"/>
  <c r="AF502" i="15"/>
  <c r="K797" i="18" s="1"/>
  <c r="AF252" i="15"/>
  <c r="AF624" i="15"/>
  <c r="AF61" i="15"/>
  <c r="AF145" i="15"/>
  <c r="AF347" i="15"/>
  <c r="AF204" i="15"/>
  <c r="AF450" i="15"/>
  <c r="AF613" i="15"/>
  <c r="AF260" i="15"/>
  <c r="AF491" i="15"/>
  <c r="K766" i="18" s="1"/>
  <c r="AF682" i="15"/>
  <c r="AF216" i="15"/>
  <c r="AF460" i="15"/>
  <c r="AF777" i="15"/>
  <c r="AF714" i="15"/>
  <c r="K1071" i="18" s="1"/>
  <c r="AF513" i="15"/>
  <c r="AG114" i="15"/>
  <c r="AG332" i="15"/>
  <c r="AG248" i="15"/>
  <c r="AG462" i="15"/>
  <c r="AG504" i="15"/>
  <c r="L813" i="18" s="1"/>
  <c r="AG74" i="15"/>
  <c r="AG502" i="15"/>
  <c r="L797" i="18" s="1"/>
  <c r="AG252" i="15"/>
  <c r="AG624" i="15"/>
  <c r="AG61" i="15"/>
  <c r="AG145" i="15"/>
  <c r="AG347" i="15"/>
  <c r="AG204" i="15"/>
  <c r="AG450" i="15"/>
  <c r="AG613" i="15"/>
  <c r="AG260" i="15"/>
  <c r="AG491" i="15"/>
  <c r="L766" i="18" s="1"/>
  <c r="AG682" i="15"/>
  <c r="AG216" i="15"/>
  <c r="AG460" i="15"/>
  <c r="AG777" i="15"/>
  <c r="AG714" i="15"/>
  <c r="L1071" i="18" s="1"/>
  <c r="AG513" i="15"/>
  <c r="AH114" i="15"/>
  <c r="AH332" i="15"/>
  <c r="AH248" i="15"/>
  <c r="AH462" i="15"/>
  <c r="AH504" i="15"/>
  <c r="N813" i="18" s="1"/>
  <c r="AH74" i="15"/>
  <c r="AH502" i="15"/>
  <c r="N797" i="18" s="1"/>
  <c r="AH252" i="15"/>
  <c r="AH624" i="15"/>
  <c r="AH61" i="15"/>
  <c r="AH145" i="15"/>
  <c r="AH347" i="15"/>
  <c r="AH204" i="15"/>
  <c r="AH450" i="15"/>
  <c r="AH613" i="15"/>
  <c r="AH260" i="15"/>
  <c r="AH491" i="15"/>
  <c r="N766" i="18" s="1"/>
  <c r="AH682" i="15"/>
  <c r="AH216" i="15"/>
  <c r="AH460" i="15"/>
  <c r="AH777" i="15"/>
  <c r="AH714" i="15"/>
  <c r="N1071" i="18" s="1"/>
  <c r="AH513" i="15"/>
  <c r="AI114" i="15"/>
  <c r="AI332" i="15"/>
  <c r="AI248" i="15"/>
  <c r="AI462" i="15"/>
  <c r="AI504" i="15"/>
  <c r="M813" i="18" s="1"/>
  <c r="AI74" i="15"/>
  <c r="AI502" i="15"/>
  <c r="M797" i="18" s="1"/>
  <c r="AI252" i="15"/>
  <c r="AI624" i="15"/>
  <c r="AI61" i="15"/>
  <c r="AI145" i="15"/>
  <c r="AI347" i="15"/>
  <c r="AI204" i="15"/>
  <c r="AI450" i="15"/>
  <c r="AI613" i="15"/>
  <c r="AI260" i="15"/>
  <c r="AI491" i="15"/>
  <c r="M766" i="18" s="1"/>
  <c r="AI682" i="15"/>
  <c r="AI216" i="15"/>
  <c r="AI460" i="15"/>
  <c r="AI777" i="15"/>
  <c r="AI714" i="15"/>
  <c r="M1071" i="18" s="1"/>
  <c r="AI513" i="15"/>
  <c r="AJ114" i="15"/>
  <c r="AJ332" i="15"/>
  <c r="AJ248" i="15"/>
  <c r="AJ462" i="15"/>
  <c r="AJ504" i="15"/>
  <c r="O813" i="18" s="1"/>
  <c r="AJ74" i="15"/>
  <c r="AJ502" i="15"/>
  <c r="O797" i="18" s="1"/>
  <c r="AJ252" i="15"/>
  <c r="AJ624" i="15"/>
  <c r="AJ61" i="15"/>
  <c r="AJ145" i="15"/>
  <c r="AJ347" i="15"/>
  <c r="AJ204" i="15"/>
  <c r="AJ450" i="15"/>
  <c r="AJ613" i="15"/>
  <c r="AJ260" i="15"/>
  <c r="AJ491" i="15"/>
  <c r="O766" i="18" s="1"/>
  <c r="AJ682" i="15"/>
  <c r="AJ216" i="15"/>
  <c r="AJ460" i="15"/>
  <c r="AJ777" i="15"/>
  <c r="O1495" i="18" s="1"/>
  <c r="AJ714" i="15"/>
  <c r="O1071" i="18" s="1"/>
  <c r="AJ513" i="15"/>
  <c r="AK114" i="15"/>
  <c r="AK332" i="15"/>
  <c r="AK248" i="15"/>
  <c r="AK462" i="15"/>
  <c r="AK504" i="15"/>
  <c r="Q813" i="18" s="1"/>
  <c r="AK74" i="15"/>
  <c r="AK502" i="15"/>
  <c r="Q797" i="18" s="1"/>
  <c r="AK252" i="15"/>
  <c r="AK624" i="15"/>
  <c r="AK61" i="15"/>
  <c r="AK145" i="15"/>
  <c r="AK347" i="15"/>
  <c r="AK204" i="15"/>
  <c r="AK450" i="15"/>
  <c r="AK613" i="15"/>
  <c r="AK260" i="15"/>
  <c r="AK491" i="15"/>
  <c r="Q766" i="18" s="1"/>
  <c r="AK682" i="15"/>
  <c r="AK216" i="15"/>
  <c r="AK460" i="15"/>
  <c r="AK777" i="15"/>
  <c r="Q1495" i="18" s="1"/>
  <c r="AK714" i="15"/>
  <c r="Q1071" i="18" s="1"/>
  <c r="AK513" i="15"/>
  <c r="B303" i="15"/>
  <c r="B275" i="15"/>
  <c r="L303" i="15"/>
  <c r="L275" i="15"/>
  <c r="O303" i="15"/>
  <c r="O275" i="15"/>
  <c r="P303" i="15"/>
  <c r="P275" i="15"/>
  <c r="R303" i="15"/>
  <c r="R275" i="15"/>
  <c r="S303" i="15"/>
  <c r="S275" i="15"/>
  <c r="W303" i="15"/>
  <c r="W275" i="15"/>
  <c r="X303" i="15"/>
  <c r="X275" i="15"/>
  <c r="Z303" i="15"/>
  <c r="Z275" i="15"/>
  <c r="AA303" i="15"/>
  <c r="AA275" i="15"/>
  <c r="AB303" i="15"/>
  <c r="AB275" i="15"/>
  <c r="AD303" i="15"/>
  <c r="AD275" i="15"/>
  <c r="AE303" i="15"/>
  <c r="AE275" i="15"/>
  <c r="AF303" i="15"/>
  <c r="AF275" i="15"/>
  <c r="AG303" i="15"/>
  <c r="AG275" i="15"/>
  <c r="AH303" i="15"/>
  <c r="AH275" i="15"/>
  <c r="AI303" i="15"/>
  <c r="AI275" i="15"/>
  <c r="AJ303" i="15"/>
  <c r="AJ275" i="15"/>
  <c r="AK303" i="15"/>
  <c r="AK275" i="15"/>
  <c r="B523" i="15"/>
  <c r="B711" i="15"/>
  <c r="B463" i="15"/>
  <c r="B484" i="15"/>
  <c r="B615" i="15"/>
  <c r="B98" i="15"/>
  <c r="B771" i="15"/>
  <c r="B716" i="15"/>
  <c r="B721" i="15"/>
  <c r="L523" i="15"/>
  <c r="L711" i="15"/>
  <c r="L747" i="15"/>
  <c r="L463" i="15"/>
  <c r="L484" i="15"/>
  <c r="L615" i="15"/>
  <c r="L98" i="15"/>
  <c r="L771" i="15"/>
  <c r="L716" i="15"/>
  <c r="L721" i="15"/>
  <c r="O523" i="15"/>
  <c r="O711" i="15"/>
  <c r="O747" i="15"/>
  <c r="O463" i="15"/>
  <c r="O484" i="15"/>
  <c r="O615" i="15"/>
  <c r="O98" i="15"/>
  <c r="O771" i="15"/>
  <c r="O716" i="15"/>
  <c r="O721" i="15"/>
  <c r="P523" i="15"/>
  <c r="P711" i="15"/>
  <c r="P747" i="15"/>
  <c r="P463" i="15"/>
  <c r="P484" i="15"/>
  <c r="P615" i="15"/>
  <c r="P98" i="15"/>
  <c r="P771" i="15"/>
  <c r="P716" i="15"/>
  <c r="P721" i="15"/>
  <c r="R523" i="15"/>
  <c r="R711" i="15"/>
  <c r="R747" i="15"/>
  <c r="R463" i="15"/>
  <c r="R484" i="15"/>
  <c r="R615" i="15"/>
  <c r="R98" i="15"/>
  <c r="R771" i="15"/>
  <c r="R716" i="15"/>
  <c r="R721" i="15"/>
  <c r="S523" i="15"/>
  <c r="S711" i="15"/>
  <c r="S747" i="15"/>
  <c r="S463" i="15"/>
  <c r="S484" i="15"/>
  <c r="S615" i="15"/>
  <c r="S98" i="15"/>
  <c r="S771" i="15"/>
  <c r="S716" i="15"/>
  <c r="S721" i="15"/>
  <c r="W523" i="15"/>
  <c r="W711" i="15"/>
  <c r="W747" i="15"/>
  <c r="W463" i="15"/>
  <c r="W484" i="15"/>
  <c r="W615" i="15"/>
  <c r="G67" i="9" s="1"/>
  <c r="W98" i="15"/>
  <c r="W771" i="15"/>
  <c r="W716" i="15"/>
  <c r="W721" i="15"/>
  <c r="X523" i="15"/>
  <c r="X711" i="15"/>
  <c r="X747" i="15"/>
  <c r="X463" i="15"/>
  <c r="X484" i="15"/>
  <c r="X615" i="15"/>
  <c r="X98" i="15"/>
  <c r="X771" i="15"/>
  <c r="X716" i="15"/>
  <c r="X721" i="15"/>
  <c r="Z523" i="15"/>
  <c r="Z711" i="15"/>
  <c r="Z747" i="15"/>
  <c r="Z463" i="15"/>
  <c r="Z484" i="15"/>
  <c r="Z615" i="15"/>
  <c r="Z98" i="15"/>
  <c r="Z771" i="15"/>
  <c r="Z716" i="15"/>
  <c r="Z721" i="15"/>
  <c r="AA523" i="15"/>
  <c r="AA711" i="15"/>
  <c r="AA747" i="15"/>
  <c r="AA463" i="15"/>
  <c r="AA484" i="15"/>
  <c r="AA615" i="15"/>
  <c r="AA98" i="15"/>
  <c r="AA771" i="15"/>
  <c r="AA716" i="15"/>
  <c r="AA721" i="15"/>
  <c r="AB523" i="15"/>
  <c r="AB711" i="15"/>
  <c r="AB747" i="15"/>
  <c r="AB463" i="15"/>
  <c r="AB484" i="15"/>
  <c r="AB615" i="15"/>
  <c r="AB98" i="15"/>
  <c r="AB771" i="15"/>
  <c r="AB716" i="15"/>
  <c r="AB721" i="15"/>
  <c r="AD523" i="15"/>
  <c r="AD711" i="15"/>
  <c r="AD747" i="15"/>
  <c r="AD463" i="15"/>
  <c r="AD484" i="15"/>
  <c r="I751" i="18" s="1"/>
  <c r="AD615" i="15"/>
  <c r="AD98" i="15"/>
  <c r="AD771" i="15"/>
  <c r="I1423" i="18" s="1"/>
  <c r="AD716" i="15"/>
  <c r="I1087" i="18" s="1"/>
  <c r="AD721" i="15"/>
  <c r="I1117" i="18" s="1"/>
  <c r="AE523" i="15"/>
  <c r="AE711" i="15"/>
  <c r="AE747" i="15"/>
  <c r="AE463" i="15"/>
  <c r="AE484" i="15"/>
  <c r="J751" i="18" s="1"/>
  <c r="AE615" i="15"/>
  <c r="AE98" i="15"/>
  <c r="AE771" i="15"/>
  <c r="J1423" i="18" s="1"/>
  <c r="AE716" i="15"/>
  <c r="J1087" i="18" s="1"/>
  <c r="AE721" i="15"/>
  <c r="J1117" i="18" s="1"/>
  <c r="AF523" i="15"/>
  <c r="AF711" i="15"/>
  <c r="AF747" i="15"/>
  <c r="AF463" i="15"/>
  <c r="AF484" i="15"/>
  <c r="K751" i="18" s="1"/>
  <c r="AF615" i="15"/>
  <c r="AF98" i="15"/>
  <c r="AF771" i="15"/>
  <c r="K1423" i="18" s="1"/>
  <c r="AF716" i="15"/>
  <c r="K1087" i="18" s="1"/>
  <c r="AF721" i="15"/>
  <c r="K1117" i="18" s="1"/>
  <c r="AG523" i="15"/>
  <c r="AG711" i="15"/>
  <c r="AG747" i="15"/>
  <c r="AG463" i="15"/>
  <c r="AG484" i="15"/>
  <c r="L751" i="18" s="1"/>
  <c r="AG615" i="15"/>
  <c r="AG98" i="15"/>
  <c r="AG771" i="15"/>
  <c r="L1423" i="18" s="1"/>
  <c r="AG716" i="15"/>
  <c r="L1087" i="18" s="1"/>
  <c r="AG721" i="15"/>
  <c r="L1117" i="18" s="1"/>
  <c r="AH523" i="15"/>
  <c r="AH711" i="15"/>
  <c r="AH747" i="15"/>
  <c r="AH463" i="15"/>
  <c r="AH484" i="15"/>
  <c r="N751" i="18" s="1"/>
  <c r="AH615" i="15"/>
  <c r="AH98" i="15"/>
  <c r="AH771" i="15"/>
  <c r="N1423" i="18" s="1"/>
  <c r="AH716" i="15"/>
  <c r="N1087" i="18" s="1"/>
  <c r="AH721" i="15"/>
  <c r="N1117" i="18" s="1"/>
  <c r="AI523" i="15"/>
  <c r="AI711" i="15"/>
  <c r="AI747" i="15"/>
  <c r="AI463" i="15"/>
  <c r="AI484" i="15"/>
  <c r="M751" i="18" s="1"/>
  <c r="AI615" i="15"/>
  <c r="AI98" i="15"/>
  <c r="AI771" i="15"/>
  <c r="M1423" i="18" s="1"/>
  <c r="AI716" i="15"/>
  <c r="M1087" i="18" s="1"/>
  <c r="AI721" i="15"/>
  <c r="M1117" i="18" s="1"/>
  <c r="AJ523" i="15"/>
  <c r="AJ711" i="15"/>
  <c r="AJ747" i="15"/>
  <c r="AJ463" i="15"/>
  <c r="AJ484" i="15"/>
  <c r="O751" i="18" s="1"/>
  <c r="AJ615" i="15"/>
  <c r="AJ98" i="15"/>
  <c r="AJ771" i="15"/>
  <c r="O1423" i="18" s="1"/>
  <c r="AJ716" i="15"/>
  <c r="O1087" i="18" s="1"/>
  <c r="AJ721" i="15"/>
  <c r="O1117" i="18" s="1"/>
  <c r="AK523" i="15"/>
  <c r="AK711" i="15"/>
  <c r="AK747" i="15"/>
  <c r="AK463" i="15"/>
  <c r="AK484" i="15"/>
  <c r="Q751" i="18" s="1"/>
  <c r="AK615" i="15"/>
  <c r="AK98" i="15"/>
  <c r="AK771" i="15"/>
  <c r="Q1423" i="18" s="1"/>
  <c r="AK716" i="15"/>
  <c r="Q1087" i="18" s="1"/>
  <c r="AK721" i="15"/>
  <c r="Q1117" i="18" s="1"/>
  <c r="B165" i="15"/>
  <c r="B153" i="15"/>
  <c r="B509" i="15"/>
  <c r="B357" i="15"/>
  <c r="B171" i="15"/>
  <c r="B170" i="15"/>
  <c r="B485" i="15"/>
  <c r="B238" i="15"/>
  <c r="B710" i="15"/>
  <c r="B413" i="15"/>
  <c r="B288" i="15"/>
  <c r="B550" i="15"/>
  <c r="B401" i="15"/>
  <c r="B669" i="15"/>
  <c r="B717" i="15"/>
  <c r="B398" i="15"/>
  <c r="L165" i="15"/>
  <c r="L153" i="15"/>
  <c r="L509" i="15"/>
  <c r="L357" i="15"/>
  <c r="L171" i="15"/>
  <c r="L170" i="15"/>
  <c r="L485" i="15"/>
  <c r="L238" i="15"/>
  <c r="L710" i="15"/>
  <c r="L413" i="15"/>
  <c r="L288" i="15"/>
  <c r="L550" i="15"/>
  <c r="L401" i="15"/>
  <c r="L669" i="15"/>
  <c r="L717" i="15"/>
  <c r="L398" i="15"/>
  <c r="O171" i="15"/>
  <c r="O170" i="15"/>
  <c r="O485" i="15"/>
  <c r="O238" i="15"/>
  <c r="O710" i="15"/>
  <c r="O413" i="15"/>
  <c r="O550" i="15"/>
  <c r="O401" i="15"/>
  <c r="O669" i="15"/>
  <c r="O717" i="15"/>
  <c r="O398" i="15"/>
  <c r="P165" i="15"/>
  <c r="P153" i="15"/>
  <c r="P509" i="15"/>
  <c r="P357" i="15"/>
  <c r="P171" i="15"/>
  <c r="P170" i="15"/>
  <c r="P485" i="15"/>
  <c r="P238" i="15"/>
  <c r="P710" i="15"/>
  <c r="P413" i="15"/>
  <c r="P288" i="15"/>
  <c r="P550" i="15"/>
  <c r="P401" i="15"/>
  <c r="P669" i="15"/>
  <c r="P717" i="15"/>
  <c r="P398" i="15"/>
  <c r="R165" i="15"/>
  <c r="R153" i="15"/>
  <c r="R509" i="15"/>
  <c r="R357" i="15"/>
  <c r="R171" i="15"/>
  <c r="R170" i="15"/>
  <c r="R485" i="15"/>
  <c r="R238" i="15"/>
  <c r="R710" i="15"/>
  <c r="R413" i="15"/>
  <c r="R288" i="15"/>
  <c r="R550" i="15"/>
  <c r="R401" i="15"/>
  <c r="R669" i="15"/>
  <c r="R717" i="15"/>
  <c r="R398" i="15"/>
  <c r="S165" i="15"/>
  <c r="S153" i="15"/>
  <c r="S509" i="15"/>
  <c r="S357" i="15"/>
  <c r="S171" i="15"/>
  <c r="S170" i="15"/>
  <c r="S485" i="15"/>
  <c r="S238" i="15"/>
  <c r="S710" i="15"/>
  <c r="S413" i="15"/>
  <c r="S288" i="15"/>
  <c r="S550" i="15"/>
  <c r="S401" i="15"/>
  <c r="S669" i="15"/>
  <c r="S717" i="15"/>
  <c r="S398" i="15"/>
  <c r="W165" i="15"/>
  <c r="W153" i="15"/>
  <c r="W509" i="15"/>
  <c r="W357" i="15"/>
  <c r="W171" i="15"/>
  <c r="W170" i="15"/>
  <c r="W485" i="15"/>
  <c r="W238" i="15"/>
  <c r="W710" i="15"/>
  <c r="W413" i="15"/>
  <c r="W288" i="15"/>
  <c r="W550" i="15"/>
  <c r="W401" i="15"/>
  <c r="W669" i="15"/>
  <c r="W717" i="15"/>
  <c r="W398" i="15"/>
  <c r="X165" i="15"/>
  <c r="X153" i="15"/>
  <c r="X509" i="15"/>
  <c r="X357" i="15"/>
  <c r="X171" i="15"/>
  <c r="X170" i="15"/>
  <c r="X485" i="15"/>
  <c r="X238" i="15"/>
  <c r="X710" i="15"/>
  <c r="X413" i="15"/>
  <c r="X288" i="15"/>
  <c r="X550" i="15"/>
  <c r="X401" i="15"/>
  <c r="X669" i="15"/>
  <c r="X717" i="15"/>
  <c r="X398" i="15"/>
  <c r="Z165" i="15"/>
  <c r="Z153" i="15"/>
  <c r="Z509" i="15"/>
  <c r="Z357" i="15"/>
  <c r="Z171" i="15"/>
  <c r="Z170" i="15"/>
  <c r="Z485" i="15"/>
  <c r="Z238" i="15"/>
  <c r="Z710" i="15"/>
  <c r="Z413" i="15"/>
  <c r="Z288" i="15"/>
  <c r="Z550" i="15"/>
  <c r="Z401" i="15"/>
  <c r="Z669" i="15"/>
  <c r="Z717" i="15"/>
  <c r="Z398" i="15"/>
  <c r="AA165" i="15"/>
  <c r="AA153" i="15"/>
  <c r="AA509" i="15"/>
  <c r="AA357" i="15"/>
  <c r="AA171" i="15"/>
  <c r="AA170" i="15"/>
  <c r="AA485" i="15"/>
  <c r="AA238" i="15"/>
  <c r="AA710" i="15"/>
  <c r="AA413" i="15"/>
  <c r="AA288" i="15"/>
  <c r="AA550" i="15"/>
  <c r="AA401" i="15"/>
  <c r="AA669" i="15"/>
  <c r="AA717" i="15"/>
  <c r="AA398" i="15"/>
  <c r="AB165" i="15"/>
  <c r="AB153" i="15"/>
  <c r="AB509" i="15"/>
  <c r="AB357" i="15"/>
  <c r="AB171" i="15"/>
  <c r="AB170" i="15"/>
  <c r="AB485" i="15"/>
  <c r="AB238" i="15"/>
  <c r="AB710" i="15"/>
  <c r="AB413" i="15"/>
  <c r="AB288" i="15"/>
  <c r="AB550" i="15"/>
  <c r="AB401" i="15"/>
  <c r="AB669" i="15"/>
  <c r="AB717" i="15"/>
  <c r="AB398" i="15"/>
  <c r="AD165" i="15"/>
  <c r="AD153" i="15"/>
  <c r="AD509" i="15"/>
  <c r="AD357" i="15"/>
  <c r="AD171" i="15"/>
  <c r="AD170" i="15"/>
  <c r="AD485" i="15"/>
  <c r="I759" i="18" s="1"/>
  <c r="AD238" i="15"/>
  <c r="AD710" i="15"/>
  <c r="I1057" i="18" s="1"/>
  <c r="AD413" i="15"/>
  <c r="AD288" i="15"/>
  <c r="AD550" i="15"/>
  <c r="AD401" i="15"/>
  <c r="AD669" i="15"/>
  <c r="AD717" i="15"/>
  <c r="AD398" i="15"/>
  <c r="AE165" i="15"/>
  <c r="AE153" i="15"/>
  <c r="AE509" i="15"/>
  <c r="AE357" i="15"/>
  <c r="AE171" i="15"/>
  <c r="AE170" i="15"/>
  <c r="AE485" i="15"/>
  <c r="J759" i="18" s="1"/>
  <c r="AE238" i="15"/>
  <c r="AE710" i="15"/>
  <c r="J1057" i="18" s="1"/>
  <c r="AE413" i="15"/>
  <c r="AE288" i="15"/>
  <c r="AE550" i="15"/>
  <c r="AE401" i="15"/>
  <c r="AE669" i="15"/>
  <c r="AE717" i="15"/>
  <c r="AE398" i="15"/>
  <c r="AF165" i="15"/>
  <c r="AF153" i="15"/>
  <c r="AF509" i="15"/>
  <c r="AF357" i="15"/>
  <c r="AF171" i="15"/>
  <c r="AF170" i="15"/>
  <c r="AF485" i="15"/>
  <c r="K759" i="18" s="1"/>
  <c r="AF238" i="15"/>
  <c r="AF710" i="15"/>
  <c r="K1057" i="18" s="1"/>
  <c r="AF413" i="15"/>
  <c r="AF288" i="15"/>
  <c r="AF550" i="15"/>
  <c r="AF401" i="15"/>
  <c r="AF669" i="15"/>
  <c r="AF717" i="15"/>
  <c r="AF398" i="15"/>
  <c r="AG165" i="15"/>
  <c r="AG153" i="15"/>
  <c r="AG509" i="15"/>
  <c r="AG357" i="15"/>
  <c r="AG171" i="15"/>
  <c r="AG170" i="15"/>
  <c r="AG485" i="15"/>
  <c r="L759" i="18" s="1"/>
  <c r="AG238" i="15"/>
  <c r="AG710" i="15"/>
  <c r="L1057" i="18" s="1"/>
  <c r="AG413" i="15"/>
  <c r="AG288" i="15"/>
  <c r="AG550" i="15"/>
  <c r="AG401" i="15"/>
  <c r="AG669" i="15"/>
  <c r="AG717" i="15"/>
  <c r="AG398" i="15"/>
  <c r="AH165" i="15"/>
  <c r="AH153" i="15"/>
  <c r="AH509" i="15"/>
  <c r="AH357" i="15"/>
  <c r="AH171" i="15"/>
  <c r="AH170" i="15"/>
  <c r="AH485" i="15"/>
  <c r="N759" i="18" s="1"/>
  <c r="AH238" i="15"/>
  <c r="AH710" i="15"/>
  <c r="N1057" i="18" s="1"/>
  <c r="AH413" i="15"/>
  <c r="AH288" i="15"/>
  <c r="AH550" i="15"/>
  <c r="AH401" i="15"/>
  <c r="AH669" i="15"/>
  <c r="AH717" i="15"/>
  <c r="AH398" i="15"/>
  <c r="AI165" i="15"/>
  <c r="AI153" i="15"/>
  <c r="AI509" i="15"/>
  <c r="AI357" i="15"/>
  <c r="AI171" i="15"/>
  <c r="AI170" i="15"/>
  <c r="AI485" i="15"/>
  <c r="M759" i="18" s="1"/>
  <c r="AI238" i="15"/>
  <c r="AI710" i="15"/>
  <c r="M1057" i="18" s="1"/>
  <c r="AI413" i="15"/>
  <c r="AI288" i="15"/>
  <c r="AI550" i="15"/>
  <c r="AI401" i="15"/>
  <c r="AI669" i="15"/>
  <c r="AI717" i="15"/>
  <c r="AI398" i="15"/>
  <c r="AJ165" i="15"/>
  <c r="AJ153" i="15"/>
  <c r="AJ509" i="15"/>
  <c r="AJ357" i="15"/>
  <c r="AJ171" i="15"/>
  <c r="AJ170" i="15"/>
  <c r="AJ485" i="15"/>
  <c r="O759" i="18" s="1"/>
  <c r="AJ238" i="15"/>
  <c r="AJ710" i="15"/>
  <c r="O1057" i="18" s="1"/>
  <c r="AJ413" i="15"/>
  <c r="AJ288" i="15"/>
  <c r="AJ550" i="15"/>
  <c r="AJ401" i="15"/>
  <c r="AJ669" i="15"/>
  <c r="AJ717" i="15"/>
  <c r="AJ398" i="15"/>
  <c r="AK165" i="15"/>
  <c r="AK153" i="15"/>
  <c r="AK509" i="15"/>
  <c r="AK357" i="15"/>
  <c r="AK171" i="15"/>
  <c r="AK170" i="15"/>
  <c r="AK485" i="15"/>
  <c r="Q759" i="18" s="1"/>
  <c r="AK238" i="15"/>
  <c r="AK710" i="15"/>
  <c r="Q1057" i="18" s="1"/>
  <c r="AK413" i="15"/>
  <c r="AK288" i="15"/>
  <c r="AK550" i="15"/>
  <c r="AK401" i="15"/>
  <c r="AK669" i="15"/>
  <c r="AK717" i="15"/>
  <c r="AK398" i="15"/>
  <c r="B725" i="15"/>
  <c r="B371" i="15"/>
  <c r="B764" i="15"/>
  <c r="B680" i="15"/>
  <c r="B476" i="15"/>
  <c r="B339" i="15"/>
  <c r="B291" i="15"/>
  <c r="B355" i="15"/>
  <c r="B29" i="15"/>
  <c r="B629" i="15"/>
  <c r="B118" i="15"/>
  <c r="B190" i="15"/>
  <c r="B349" i="15"/>
  <c r="B374" i="15"/>
  <c r="B327" i="15"/>
  <c r="B444" i="15"/>
  <c r="B351" i="15"/>
  <c r="B284" i="15"/>
  <c r="B544" i="15"/>
  <c r="B79" i="15"/>
  <c r="B183" i="15"/>
  <c r="B492" i="15"/>
  <c r="B337" i="15"/>
  <c r="B549" i="15"/>
  <c r="L725" i="15"/>
  <c r="L371" i="15"/>
  <c r="L764" i="15"/>
  <c r="L680" i="15"/>
  <c r="L476" i="15"/>
  <c r="L339" i="15"/>
  <c r="L291" i="15"/>
  <c r="L355" i="15"/>
  <c r="L29" i="15"/>
  <c r="L629" i="15"/>
  <c r="L118" i="15"/>
  <c r="L190" i="15"/>
  <c r="L349" i="15"/>
  <c r="L374" i="15"/>
  <c r="L327" i="15"/>
  <c r="L444" i="15"/>
  <c r="L351" i="15"/>
  <c r="L284" i="15"/>
  <c r="L544" i="15"/>
  <c r="L79" i="15"/>
  <c r="L183" i="15"/>
  <c r="L492" i="15"/>
  <c r="L337" i="15"/>
  <c r="L549" i="15"/>
  <c r="O764" i="15"/>
  <c r="O680" i="15"/>
  <c r="O476" i="15"/>
  <c r="O291" i="15"/>
  <c r="O355" i="15"/>
  <c r="O351" i="15"/>
  <c r="P725" i="15"/>
  <c r="P371" i="15"/>
  <c r="P764" i="15"/>
  <c r="P680" i="15"/>
  <c r="P476" i="15"/>
  <c r="P339" i="15"/>
  <c r="P291" i="15"/>
  <c r="P355" i="15"/>
  <c r="P29" i="15"/>
  <c r="P629" i="15"/>
  <c r="P118" i="15"/>
  <c r="P190" i="15"/>
  <c r="P349" i="15"/>
  <c r="P374" i="15"/>
  <c r="P327" i="15"/>
  <c r="P444" i="15"/>
  <c r="P351" i="15"/>
  <c r="P284" i="15"/>
  <c r="P544" i="15"/>
  <c r="P79" i="15"/>
  <c r="P183" i="15"/>
  <c r="P492" i="15"/>
  <c r="P337" i="15"/>
  <c r="P549" i="15"/>
  <c r="R725" i="15"/>
  <c r="R371" i="15"/>
  <c r="R764" i="15"/>
  <c r="R680" i="15"/>
  <c r="R476" i="15"/>
  <c r="R339" i="15"/>
  <c r="R291" i="15"/>
  <c r="R355" i="15"/>
  <c r="R29" i="15"/>
  <c r="R629" i="15"/>
  <c r="R118" i="15"/>
  <c r="R190" i="15"/>
  <c r="R349" i="15"/>
  <c r="R374" i="15"/>
  <c r="R327" i="15"/>
  <c r="R444" i="15"/>
  <c r="R351" i="15"/>
  <c r="R284" i="15"/>
  <c r="R544" i="15"/>
  <c r="R79" i="15"/>
  <c r="R183" i="15"/>
  <c r="R492" i="15"/>
  <c r="R337" i="15"/>
  <c r="R549" i="15"/>
  <c r="S725" i="15"/>
  <c r="S371" i="15"/>
  <c r="S764" i="15"/>
  <c r="S680" i="15"/>
  <c r="S476" i="15"/>
  <c r="S339" i="15"/>
  <c r="S291" i="15"/>
  <c r="S355" i="15"/>
  <c r="S29" i="15"/>
  <c r="S629" i="15"/>
  <c r="S118" i="15"/>
  <c r="S190" i="15"/>
  <c r="S349" i="15"/>
  <c r="S374" i="15"/>
  <c r="S327" i="15"/>
  <c r="S444" i="15"/>
  <c r="S351" i="15"/>
  <c r="S284" i="15"/>
  <c r="S544" i="15"/>
  <c r="S79" i="15"/>
  <c r="S183" i="15"/>
  <c r="S492" i="15"/>
  <c r="S337" i="15"/>
  <c r="S549" i="15"/>
  <c r="W725" i="15"/>
  <c r="W371" i="15"/>
  <c r="W764" i="15"/>
  <c r="W680" i="15"/>
  <c r="W476" i="15"/>
  <c r="W339" i="15"/>
  <c r="W291" i="15"/>
  <c r="W355" i="15"/>
  <c r="W29" i="15"/>
  <c r="W629" i="15"/>
  <c r="W118" i="15"/>
  <c r="W190" i="15"/>
  <c r="W349" i="15"/>
  <c r="W374" i="15"/>
  <c r="W327" i="15"/>
  <c r="W444" i="15"/>
  <c r="W351" i="15"/>
  <c r="W284" i="15"/>
  <c r="W544" i="15"/>
  <c r="W79" i="15"/>
  <c r="W183" i="15"/>
  <c r="W492" i="15"/>
  <c r="W337" i="15"/>
  <c r="W549" i="15"/>
  <c r="X725" i="15"/>
  <c r="X371" i="15"/>
  <c r="X764" i="15"/>
  <c r="X680" i="15"/>
  <c r="X476" i="15"/>
  <c r="X339" i="15"/>
  <c r="X291" i="15"/>
  <c r="X355" i="15"/>
  <c r="X29" i="15"/>
  <c r="X629" i="15"/>
  <c r="X118" i="15"/>
  <c r="X190" i="15"/>
  <c r="X349" i="15"/>
  <c r="X374" i="15"/>
  <c r="X327" i="15"/>
  <c r="X444" i="15"/>
  <c r="X351" i="15"/>
  <c r="X284" i="15"/>
  <c r="X544" i="15"/>
  <c r="X79" i="15"/>
  <c r="X183" i="15"/>
  <c r="X492" i="15"/>
  <c r="X337" i="15"/>
  <c r="X549" i="15"/>
  <c r="Z725" i="15"/>
  <c r="Z371" i="15"/>
  <c r="Z764" i="15"/>
  <c r="Z680" i="15"/>
  <c r="Z476" i="15"/>
  <c r="Z339" i="15"/>
  <c r="Z291" i="15"/>
  <c r="Z355" i="15"/>
  <c r="Z29" i="15"/>
  <c r="Z629" i="15"/>
  <c r="Z118" i="15"/>
  <c r="Z190" i="15"/>
  <c r="Z349" i="15"/>
  <c r="Z374" i="15"/>
  <c r="Z327" i="15"/>
  <c r="Z444" i="15"/>
  <c r="Z351" i="15"/>
  <c r="Z284" i="15"/>
  <c r="Z544" i="15"/>
  <c r="Z79" i="15"/>
  <c r="Z183" i="15"/>
  <c r="Z492" i="15"/>
  <c r="Z337" i="15"/>
  <c r="Z549" i="15"/>
  <c r="AA725" i="15"/>
  <c r="AA371" i="15"/>
  <c r="AA764" i="15"/>
  <c r="AA680" i="15"/>
  <c r="AA476" i="15"/>
  <c r="AA339" i="15"/>
  <c r="AA291" i="15"/>
  <c r="AA355" i="15"/>
  <c r="AA29" i="15"/>
  <c r="AA629" i="15"/>
  <c r="AA118" i="15"/>
  <c r="AA190" i="15"/>
  <c r="AA349" i="15"/>
  <c r="AA374" i="15"/>
  <c r="AA327" i="15"/>
  <c r="AA444" i="15"/>
  <c r="AA351" i="15"/>
  <c r="AA284" i="15"/>
  <c r="AA544" i="15"/>
  <c r="AA79" i="15"/>
  <c r="AA183" i="15"/>
  <c r="AA492" i="15"/>
  <c r="AA337" i="15"/>
  <c r="AA549" i="15"/>
  <c r="AB725" i="15"/>
  <c r="AB371" i="15"/>
  <c r="AB764" i="15"/>
  <c r="AB680" i="15"/>
  <c r="AB476" i="15"/>
  <c r="AB339" i="15"/>
  <c r="AB291" i="15"/>
  <c r="AB355" i="15"/>
  <c r="AB29" i="15"/>
  <c r="AB629" i="15"/>
  <c r="AB118" i="15"/>
  <c r="AB190" i="15"/>
  <c r="AB349" i="15"/>
  <c r="AB374" i="15"/>
  <c r="AB327" i="15"/>
  <c r="AB444" i="15"/>
  <c r="AB351" i="15"/>
  <c r="AB284" i="15"/>
  <c r="AB544" i="15"/>
  <c r="AB79" i="15"/>
  <c r="AB183" i="15"/>
  <c r="AB492" i="15"/>
  <c r="AB337" i="15"/>
  <c r="AB549" i="15"/>
  <c r="AD725" i="15"/>
  <c r="I1137" i="18" s="1"/>
  <c r="AD371" i="15"/>
  <c r="AD764" i="15"/>
  <c r="I1346" i="18" s="1"/>
  <c r="AD680" i="15"/>
  <c r="I906" i="18" s="1"/>
  <c r="AD476" i="15"/>
  <c r="AD339" i="15"/>
  <c r="AD291" i="15"/>
  <c r="AD355" i="15"/>
  <c r="AD29" i="15"/>
  <c r="AD629" i="15"/>
  <c r="AD118" i="15"/>
  <c r="AD190" i="15"/>
  <c r="AD349" i="15"/>
  <c r="AD374" i="15"/>
  <c r="AD327" i="15"/>
  <c r="AD444" i="15"/>
  <c r="AD351" i="15"/>
  <c r="AD284" i="15"/>
  <c r="AD544" i="15"/>
  <c r="AD79" i="15"/>
  <c r="AD183" i="15"/>
  <c r="AD492" i="15"/>
  <c r="I771" i="18" s="1"/>
  <c r="AD337" i="15"/>
  <c r="AD549" i="15"/>
  <c r="AE725" i="15"/>
  <c r="J1137" i="18" s="1"/>
  <c r="AE371" i="15"/>
  <c r="AE764" i="15"/>
  <c r="AE680" i="15"/>
  <c r="J906" i="18" s="1"/>
  <c r="AE476" i="15"/>
  <c r="AE339" i="15"/>
  <c r="AE291" i="15"/>
  <c r="AE355" i="15"/>
  <c r="AE29" i="15"/>
  <c r="AE629" i="15"/>
  <c r="AE118" i="15"/>
  <c r="AE190" i="15"/>
  <c r="AE349" i="15"/>
  <c r="AE374" i="15"/>
  <c r="AE327" i="15"/>
  <c r="AE444" i="15"/>
  <c r="AE351" i="15"/>
  <c r="AE284" i="15"/>
  <c r="AE544" i="15"/>
  <c r="AE79" i="15"/>
  <c r="AE183" i="15"/>
  <c r="AE492" i="15"/>
  <c r="J771" i="18" s="1"/>
  <c r="AE337" i="15"/>
  <c r="AE549" i="15"/>
  <c r="AF725" i="15"/>
  <c r="K1137" i="18" s="1"/>
  <c r="AF371" i="15"/>
  <c r="AF764" i="15"/>
  <c r="AF680" i="15"/>
  <c r="K906" i="18" s="1"/>
  <c r="AF476" i="15"/>
  <c r="AF339" i="15"/>
  <c r="AF291" i="15"/>
  <c r="AF355" i="15"/>
  <c r="AF29" i="15"/>
  <c r="AF629" i="15"/>
  <c r="AF118" i="15"/>
  <c r="AF190" i="15"/>
  <c r="AF349" i="15"/>
  <c r="AF374" i="15"/>
  <c r="AF327" i="15"/>
  <c r="AF444" i="15"/>
  <c r="AF351" i="15"/>
  <c r="AF284" i="15"/>
  <c r="AF544" i="15"/>
  <c r="AF79" i="15"/>
  <c r="AF183" i="15"/>
  <c r="AF492" i="15"/>
  <c r="K771" i="18" s="1"/>
  <c r="AF337" i="15"/>
  <c r="AF549" i="15"/>
  <c r="AG725" i="15"/>
  <c r="L1137" i="18" s="1"/>
  <c r="AG371" i="15"/>
  <c r="AG764" i="15"/>
  <c r="AG680" i="15"/>
  <c r="L906" i="18" s="1"/>
  <c r="AG476" i="15"/>
  <c r="AG339" i="15"/>
  <c r="AG291" i="15"/>
  <c r="AG355" i="15"/>
  <c r="AG29" i="15"/>
  <c r="AG629" i="15"/>
  <c r="AG118" i="15"/>
  <c r="AG190" i="15"/>
  <c r="AG349" i="15"/>
  <c r="AG374" i="15"/>
  <c r="AG327" i="15"/>
  <c r="AG444" i="15"/>
  <c r="AG351" i="15"/>
  <c r="AG284" i="15"/>
  <c r="AG544" i="15"/>
  <c r="AG79" i="15"/>
  <c r="AG183" i="15"/>
  <c r="AG492" i="15"/>
  <c r="L771" i="18" s="1"/>
  <c r="AG337" i="15"/>
  <c r="AG549" i="15"/>
  <c r="AH725" i="15"/>
  <c r="N1137" i="18" s="1"/>
  <c r="AH371" i="15"/>
  <c r="AH764" i="15"/>
  <c r="N1346" i="18" s="1"/>
  <c r="AH680" i="15"/>
  <c r="N906" i="18" s="1"/>
  <c r="AH476" i="15"/>
  <c r="AH339" i="15"/>
  <c r="AH291" i="15"/>
  <c r="AH355" i="15"/>
  <c r="AH29" i="15"/>
  <c r="AH629" i="15"/>
  <c r="AH118" i="15"/>
  <c r="AH190" i="15"/>
  <c r="AH349" i="15"/>
  <c r="AH374" i="15"/>
  <c r="AH327" i="15"/>
  <c r="AH444" i="15"/>
  <c r="AH351" i="15"/>
  <c r="AH284" i="15"/>
  <c r="AH544" i="15"/>
  <c r="AH79" i="15"/>
  <c r="AH183" i="15"/>
  <c r="AH492" i="15"/>
  <c r="N771" i="18" s="1"/>
  <c r="AH337" i="15"/>
  <c r="AH549" i="15"/>
  <c r="AI725" i="15"/>
  <c r="M1137" i="18" s="1"/>
  <c r="AI371" i="15"/>
  <c r="AI764" i="15"/>
  <c r="AI680" i="15"/>
  <c r="M906" i="18" s="1"/>
  <c r="AI476" i="15"/>
  <c r="AI339" i="15"/>
  <c r="AI291" i="15"/>
  <c r="AI355" i="15"/>
  <c r="AI29" i="15"/>
  <c r="AI629" i="15"/>
  <c r="AI118" i="15"/>
  <c r="AI190" i="15"/>
  <c r="AI349" i="15"/>
  <c r="AI374" i="15"/>
  <c r="AI327" i="15"/>
  <c r="AI444" i="15"/>
  <c r="AI351" i="15"/>
  <c r="AI284" i="15"/>
  <c r="AI544" i="15"/>
  <c r="AI79" i="15"/>
  <c r="AI183" i="15"/>
  <c r="AI492" i="15"/>
  <c r="M771" i="18" s="1"/>
  <c r="AI337" i="15"/>
  <c r="AI549" i="15"/>
  <c r="AJ725" i="15"/>
  <c r="O1137" i="18" s="1"/>
  <c r="AJ371" i="15"/>
  <c r="AJ764" i="15"/>
  <c r="AJ680" i="15"/>
  <c r="O906" i="18" s="1"/>
  <c r="AJ476" i="15"/>
  <c r="AJ339" i="15"/>
  <c r="AJ291" i="15"/>
  <c r="AJ355" i="15"/>
  <c r="AJ29" i="15"/>
  <c r="AJ629" i="15"/>
  <c r="AJ118" i="15"/>
  <c r="AJ190" i="15"/>
  <c r="AJ349" i="15"/>
  <c r="AJ374" i="15"/>
  <c r="AJ327" i="15"/>
  <c r="AJ444" i="15"/>
  <c r="AJ351" i="15"/>
  <c r="AJ284" i="15"/>
  <c r="AJ544" i="15"/>
  <c r="AJ79" i="15"/>
  <c r="AJ183" i="15"/>
  <c r="AJ492" i="15"/>
  <c r="O771" i="18" s="1"/>
  <c r="AJ337" i="15"/>
  <c r="AJ549" i="15"/>
  <c r="AK725" i="15"/>
  <c r="Q1137" i="18" s="1"/>
  <c r="AK371" i="15"/>
  <c r="AK764" i="15"/>
  <c r="Q1346" i="18" s="1"/>
  <c r="AK680" i="15"/>
  <c r="Q906" i="18" s="1"/>
  <c r="AK476" i="15"/>
  <c r="AK339" i="15"/>
  <c r="AK291" i="15"/>
  <c r="AK355" i="15"/>
  <c r="AK29" i="15"/>
  <c r="AK629" i="15"/>
  <c r="AK118" i="15"/>
  <c r="AK190" i="15"/>
  <c r="AK349" i="15"/>
  <c r="AK374" i="15"/>
  <c r="AK327" i="15"/>
  <c r="AK444" i="15"/>
  <c r="AK351" i="15"/>
  <c r="AK284" i="15"/>
  <c r="AK544" i="15"/>
  <c r="AK79" i="15"/>
  <c r="AK183" i="15"/>
  <c r="AK492" i="15"/>
  <c r="Q771" i="18" s="1"/>
  <c r="AK337" i="15"/>
  <c r="AK549" i="15"/>
  <c r="B271" i="15"/>
  <c r="B471" i="15"/>
  <c r="B350" i="15"/>
  <c r="B380" i="15"/>
  <c r="B495" i="15"/>
  <c r="B687" i="15"/>
  <c r="B112" i="15"/>
  <c r="B742" i="15"/>
  <c r="B762" i="15"/>
  <c r="B663" i="15"/>
  <c r="B693" i="15"/>
  <c r="B456" i="15"/>
  <c r="L271" i="15"/>
  <c r="L471" i="15"/>
  <c r="L350" i="15"/>
  <c r="L380" i="15"/>
  <c r="L495" i="15"/>
  <c r="L687" i="15"/>
  <c r="L112" i="15"/>
  <c r="L742" i="15"/>
  <c r="L762" i="15"/>
  <c r="L663" i="15"/>
  <c r="L693" i="15"/>
  <c r="L456" i="15"/>
  <c r="O471" i="15"/>
  <c r="O350" i="15"/>
  <c r="O380" i="15"/>
  <c r="O495" i="15"/>
  <c r="O687" i="15"/>
  <c r="O112" i="15"/>
  <c r="O742" i="15"/>
  <c r="O762" i="15"/>
  <c r="O663" i="15"/>
  <c r="O693" i="15"/>
  <c r="O456" i="15"/>
  <c r="P271" i="15"/>
  <c r="P471" i="15"/>
  <c r="P350" i="15"/>
  <c r="P380" i="15"/>
  <c r="P495" i="15"/>
  <c r="P687" i="15"/>
  <c r="P112" i="15"/>
  <c r="P742" i="15"/>
  <c r="P762" i="15"/>
  <c r="P663" i="15"/>
  <c r="P693" i="15"/>
  <c r="P456" i="15"/>
  <c r="R271" i="15"/>
  <c r="R471" i="15"/>
  <c r="R350" i="15"/>
  <c r="R380" i="15"/>
  <c r="R495" i="15"/>
  <c r="R687" i="15"/>
  <c r="R112" i="15"/>
  <c r="R742" i="15"/>
  <c r="R762" i="15"/>
  <c r="R663" i="15"/>
  <c r="R693" i="15"/>
  <c r="R456" i="15"/>
  <c r="S271" i="15"/>
  <c r="S471" i="15"/>
  <c r="S350" i="15"/>
  <c r="S380" i="15"/>
  <c r="S495" i="15"/>
  <c r="S687" i="15"/>
  <c r="S112" i="15"/>
  <c r="S742" i="15"/>
  <c r="S762" i="15"/>
  <c r="S663" i="15"/>
  <c r="S693" i="15"/>
  <c r="S456" i="15"/>
  <c r="W271" i="15"/>
  <c r="W471" i="15"/>
  <c r="W350" i="15"/>
  <c r="W380" i="15"/>
  <c r="W495" i="15"/>
  <c r="W687" i="15"/>
  <c r="W112" i="15"/>
  <c r="W742" i="15"/>
  <c r="W762" i="15"/>
  <c r="W663" i="15"/>
  <c r="W693" i="15"/>
  <c r="W456" i="15"/>
  <c r="X271" i="15"/>
  <c r="X471" i="15"/>
  <c r="X350" i="15"/>
  <c r="X380" i="15"/>
  <c r="X495" i="15"/>
  <c r="X687" i="15"/>
  <c r="X112" i="15"/>
  <c r="X742" i="15"/>
  <c r="X762" i="15"/>
  <c r="X663" i="15"/>
  <c r="X693" i="15"/>
  <c r="X456" i="15"/>
  <c r="Z271" i="15"/>
  <c r="Z471" i="15"/>
  <c r="Z350" i="15"/>
  <c r="Z380" i="15"/>
  <c r="Z495" i="15"/>
  <c r="Z687" i="15"/>
  <c r="Z112" i="15"/>
  <c r="Z742" i="15"/>
  <c r="Z762" i="15"/>
  <c r="Z663" i="15"/>
  <c r="Z693" i="15"/>
  <c r="Z456" i="15"/>
  <c r="AA271" i="15"/>
  <c r="AA471" i="15"/>
  <c r="AA350" i="15"/>
  <c r="AA380" i="15"/>
  <c r="AA495" i="15"/>
  <c r="AA687" i="15"/>
  <c r="AA112" i="15"/>
  <c r="AA742" i="15"/>
  <c r="AA762" i="15"/>
  <c r="AA663" i="15"/>
  <c r="AA693" i="15"/>
  <c r="AA456" i="15"/>
  <c r="AB271" i="15"/>
  <c r="AB471" i="15"/>
  <c r="AB350" i="15"/>
  <c r="AB380" i="15"/>
  <c r="AB495" i="15"/>
  <c r="AB687" i="15"/>
  <c r="AB112" i="15"/>
  <c r="AB742" i="15"/>
  <c r="AB762" i="15"/>
  <c r="AB663" i="15"/>
  <c r="AB693" i="15"/>
  <c r="AB456" i="15"/>
  <c r="AD271" i="15"/>
  <c r="AD471" i="15"/>
  <c r="AD350" i="15"/>
  <c r="AD380" i="15"/>
  <c r="AD495" i="15"/>
  <c r="AD687" i="15"/>
  <c r="AD112" i="15"/>
  <c r="AD742" i="15"/>
  <c r="AD762" i="15"/>
  <c r="AD663" i="15"/>
  <c r="AD693" i="15"/>
  <c r="AD456" i="15"/>
  <c r="AE271" i="15"/>
  <c r="AE471" i="15"/>
  <c r="AE350" i="15"/>
  <c r="AE380" i="15"/>
  <c r="AE495" i="15"/>
  <c r="AE687" i="15"/>
  <c r="AE112" i="15"/>
  <c r="AE742" i="15"/>
  <c r="AE762" i="15"/>
  <c r="AE663" i="15"/>
  <c r="AE693" i="15"/>
  <c r="AE456" i="15"/>
  <c r="AF271" i="15"/>
  <c r="AF471" i="15"/>
  <c r="AF350" i="15"/>
  <c r="AF380" i="15"/>
  <c r="AF495" i="15"/>
  <c r="AF687" i="15"/>
  <c r="AF112" i="15"/>
  <c r="AF742" i="15"/>
  <c r="AF762" i="15"/>
  <c r="AF663" i="15"/>
  <c r="AF693" i="15"/>
  <c r="AF456" i="15"/>
  <c r="AG271" i="15"/>
  <c r="AG471" i="15"/>
  <c r="AG350" i="15"/>
  <c r="AG380" i="15"/>
  <c r="AG495" i="15"/>
  <c r="AG687" i="15"/>
  <c r="AG112" i="15"/>
  <c r="AG742" i="15"/>
  <c r="AG762" i="15"/>
  <c r="AG663" i="15"/>
  <c r="AG693" i="15"/>
  <c r="AG456" i="15"/>
  <c r="AH271" i="15"/>
  <c r="AH471" i="15"/>
  <c r="AH350" i="15"/>
  <c r="AH380" i="15"/>
  <c r="AH495" i="15"/>
  <c r="AH687" i="15"/>
  <c r="AH112" i="15"/>
  <c r="AH742" i="15"/>
  <c r="AH762" i="15"/>
  <c r="N1374" i="18" s="1"/>
  <c r="AH663" i="15"/>
  <c r="AH693" i="15"/>
  <c r="AH456" i="15"/>
  <c r="AI271" i="15"/>
  <c r="AI471" i="15"/>
  <c r="AI350" i="15"/>
  <c r="AI380" i="15"/>
  <c r="AI495" i="15"/>
  <c r="AI687" i="15"/>
  <c r="AI112" i="15"/>
  <c r="AI742" i="15"/>
  <c r="AI762" i="15"/>
  <c r="AI663" i="15"/>
  <c r="AI693" i="15"/>
  <c r="AI456" i="15"/>
  <c r="AJ271" i="15"/>
  <c r="AJ471" i="15"/>
  <c r="AJ350" i="15"/>
  <c r="AJ380" i="15"/>
  <c r="AJ495" i="15"/>
  <c r="AJ687" i="15"/>
  <c r="AJ112" i="15"/>
  <c r="AJ742" i="15"/>
  <c r="AJ762" i="15"/>
  <c r="AJ663" i="15"/>
  <c r="AJ693" i="15"/>
  <c r="AJ456" i="15"/>
  <c r="AK271" i="15"/>
  <c r="AK471" i="15"/>
  <c r="AK350" i="15"/>
  <c r="AK380" i="15"/>
  <c r="AK495" i="15"/>
  <c r="AK687" i="15"/>
  <c r="AK112" i="15"/>
  <c r="AK742" i="15"/>
  <c r="AK762" i="15"/>
  <c r="AK663" i="15"/>
  <c r="AK693" i="15"/>
  <c r="AK456" i="15"/>
  <c r="B735" i="15"/>
  <c r="B748" i="15"/>
  <c r="B510" i="15"/>
  <c r="B493" i="15"/>
  <c r="B13" i="15"/>
  <c r="B622" i="15"/>
  <c r="B144" i="15"/>
  <c r="B346" i="15"/>
  <c r="B209" i="15"/>
  <c r="B289" i="15"/>
  <c r="B566" i="15"/>
  <c r="B749" i="15"/>
  <c r="B670" i="15"/>
  <c r="B514" i="15"/>
  <c r="B113" i="15"/>
  <c r="B448" i="15"/>
  <c r="B708" i="15"/>
  <c r="B512" i="15"/>
  <c r="L735" i="15"/>
  <c r="L748" i="15"/>
  <c r="L510" i="15"/>
  <c r="L493" i="15"/>
  <c r="L13" i="15"/>
  <c r="L622" i="15"/>
  <c r="L144" i="15"/>
  <c r="L346" i="15"/>
  <c r="L209" i="15"/>
  <c r="L289" i="15"/>
  <c r="L566" i="15"/>
  <c r="L749" i="15"/>
  <c r="L670" i="15"/>
  <c r="L514" i="15"/>
  <c r="L113" i="15"/>
  <c r="L448" i="15"/>
  <c r="L708" i="15"/>
  <c r="L512" i="15"/>
  <c r="O510" i="15"/>
  <c r="O493" i="15"/>
  <c r="O13" i="15"/>
  <c r="P735" i="15"/>
  <c r="P748" i="15"/>
  <c r="P510" i="15"/>
  <c r="P493" i="15"/>
  <c r="P13" i="15"/>
  <c r="P622" i="15"/>
  <c r="P144" i="15"/>
  <c r="P346" i="15"/>
  <c r="P209" i="15"/>
  <c r="P289" i="15"/>
  <c r="P566" i="15"/>
  <c r="P749" i="15"/>
  <c r="P670" i="15"/>
  <c r="P514" i="15"/>
  <c r="P113" i="15"/>
  <c r="P448" i="15"/>
  <c r="P708" i="15"/>
  <c r="P512" i="15"/>
  <c r="R735" i="15"/>
  <c r="R748" i="15"/>
  <c r="R510" i="15"/>
  <c r="R493" i="15"/>
  <c r="R13" i="15"/>
  <c r="R622" i="15"/>
  <c r="R144" i="15"/>
  <c r="R346" i="15"/>
  <c r="R209" i="15"/>
  <c r="R289" i="15"/>
  <c r="R566" i="15"/>
  <c r="R749" i="15"/>
  <c r="R670" i="15"/>
  <c r="R514" i="15"/>
  <c r="R113" i="15"/>
  <c r="R448" i="15"/>
  <c r="R708" i="15"/>
  <c r="R512" i="15"/>
  <c r="S735" i="15"/>
  <c r="S748" i="15"/>
  <c r="S510" i="15"/>
  <c r="S493" i="15"/>
  <c r="S13" i="15"/>
  <c r="S622" i="15"/>
  <c r="S144" i="15"/>
  <c r="S346" i="15"/>
  <c r="S209" i="15"/>
  <c r="S289" i="15"/>
  <c r="S566" i="15"/>
  <c r="S749" i="15"/>
  <c r="S670" i="15"/>
  <c r="S514" i="15"/>
  <c r="S113" i="15"/>
  <c r="S448" i="15"/>
  <c r="S708" i="15"/>
  <c r="S512" i="15"/>
  <c r="W735" i="15"/>
  <c r="W748" i="15"/>
  <c r="W510" i="15"/>
  <c r="W493" i="15"/>
  <c r="W13" i="15"/>
  <c r="W622" i="15"/>
  <c r="W144" i="15"/>
  <c r="W346" i="15"/>
  <c r="W209" i="15"/>
  <c r="E5" i="16" s="1"/>
  <c r="W289" i="15"/>
  <c r="W566" i="15"/>
  <c r="W749" i="15"/>
  <c r="W670" i="15"/>
  <c r="W514" i="15"/>
  <c r="W113" i="15"/>
  <c r="W448" i="15"/>
  <c r="W708" i="15"/>
  <c r="W512" i="15"/>
  <c r="X735" i="15"/>
  <c r="X748" i="15"/>
  <c r="X510" i="15"/>
  <c r="X493" i="15"/>
  <c r="X13" i="15"/>
  <c r="X622" i="15"/>
  <c r="X144" i="15"/>
  <c r="X346" i="15"/>
  <c r="X209" i="15"/>
  <c r="F5" i="16" s="1"/>
  <c r="X289" i="15"/>
  <c r="X566" i="15"/>
  <c r="X749" i="15"/>
  <c r="X670" i="15"/>
  <c r="X514" i="15"/>
  <c r="X113" i="15"/>
  <c r="X448" i="15"/>
  <c r="X708" i="15"/>
  <c r="X512" i="15"/>
  <c r="Z735" i="15"/>
  <c r="Z748" i="15"/>
  <c r="Z510" i="15"/>
  <c r="Z493" i="15"/>
  <c r="Z13" i="15"/>
  <c r="Z622" i="15"/>
  <c r="Z144" i="15"/>
  <c r="Z346" i="15"/>
  <c r="Z209" i="15"/>
  <c r="Z289" i="15"/>
  <c r="Z566" i="15"/>
  <c r="Z749" i="15"/>
  <c r="Z670" i="15"/>
  <c r="Z514" i="15"/>
  <c r="Z113" i="15"/>
  <c r="Z448" i="15"/>
  <c r="Z708" i="15"/>
  <c r="Z512" i="15"/>
  <c r="AA735" i="15"/>
  <c r="AA748" i="15"/>
  <c r="AA510" i="15"/>
  <c r="AA493" i="15"/>
  <c r="AA13" i="15"/>
  <c r="AA622" i="15"/>
  <c r="AA144" i="15"/>
  <c r="AA346" i="15"/>
  <c r="AA209" i="15"/>
  <c r="AA289" i="15"/>
  <c r="AA566" i="15"/>
  <c r="AA749" i="15"/>
  <c r="AA670" i="15"/>
  <c r="AA514" i="15"/>
  <c r="AA113" i="15"/>
  <c r="AA448" i="15"/>
  <c r="AA708" i="15"/>
  <c r="AA512" i="15"/>
  <c r="AB735" i="15"/>
  <c r="AB748" i="15"/>
  <c r="AB510" i="15"/>
  <c r="AB493" i="15"/>
  <c r="AB13" i="15"/>
  <c r="AB622" i="15"/>
  <c r="AB144" i="15"/>
  <c r="AB346" i="15"/>
  <c r="AB209" i="15"/>
  <c r="AB289" i="15"/>
  <c r="AB566" i="15"/>
  <c r="AB749" i="15"/>
  <c r="AB670" i="15"/>
  <c r="AB514" i="15"/>
  <c r="AB113" i="15"/>
  <c r="AB448" i="15"/>
  <c r="AB708" i="15"/>
  <c r="AB512" i="15"/>
  <c r="AD735" i="15"/>
  <c r="I1199" i="18" s="1"/>
  <c r="AD748" i="15"/>
  <c r="AD510" i="15"/>
  <c r="AD493" i="15"/>
  <c r="I782" i="18" s="1"/>
  <c r="AD13" i="15"/>
  <c r="AD622" i="15"/>
  <c r="AD144" i="15"/>
  <c r="AD346" i="15"/>
  <c r="AD209" i="15"/>
  <c r="AD289" i="15"/>
  <c r="AD566" i="15"/>
  <c r="AD749" i="15"/>
  <c r="AD670" i="15"/>
  <c r="AD514" i="15"/>
  <c r="AD113" i="15"/>
  <c r="AD448" i="15"/>
  <c r="AD708" i="15"/>
  <c r="I1041" i="18" s="1"/>
  <c r="AD512" i="15"/>
  <c r="AE735" i="15"/>
  <c r="J1199" i="18" s="1"/>
  <c r="AE748" i="15"/>
  <c r="AE510" i="15"/>
  <c r="AE493" i="15"/>
  <c r="J782" i="18" s="1"/>
  <c r="AE13" i="15"/>
  <c r="AE622" i="15"/>
  <c r="AE144" i="15"/>
  <c r="AE346" i="15"/>
  <c r="AE209" i="15"/>
  <c r="AE289" i="15"/>
  <c r="AE566" i="15"/>
  <c r="AE749" i="15"/>
  <c r="AE670" i="15"/>
  <c r="AE514" i="15"/>
  <c r="AE113" i="15"/>
  <c r="AE448" i="15"/>
  <c r="AE708" i="15"/>
  <c r="J1041" i="18" s="1"/>
  <c r="AE512" i="15"/>
  <c r="AF735" i="15"/>
  <c r="K1199" i="18" s="1"/>
  <c r="AF748" i="15"/>
  <c r="AF510" i="15"/>
  <c r="AF493" i="15"/>
  <c r="K782" i="18" s="1"/>
  <c r="AF13" i="15"/>
  <c r="AF622" i="15"/>
  <c r="AF144" i="15"/>
  <c r="AF346" i="15"/>
  <c r="AF209" i="15"/>
  <c r="AF289" i="15"/>
  <c r="AF566" i="15"/>
  <c r="AF749" i="15"/>
  <c r="AF670" i="15"/>
  <c r="AF514" i="15"/>
  <c r="AF113" i="15"/>
  <c r="AF448" i="15"/>
  <c r="AF708" i="15"/>
  <c r="K1041" i="18" s="1"/>
  <c r="AF512" i="15"/>
  <c r="AG735" i="15"/>
  <c r="L1199" i="18" s="1"/>
  <c r="AG748" i="15"/>
  <c r="AG510" i="15"/>
  <c r="AG493" i="15"/>
  <c r="L782" i="18" s="1"/>
  <c r="AG13" i="15"/>
  <c r="AG622" i="15"/>
  <c r="AG144" i="15"/>
  <c r="AG346" i="15"/>
  <c r="AG209" i="15"/>
  <c r="AG289" i="15"/>
  <c r="AG566" i="15"/>
  <c r="AG749" i="15"/>
  <c r="AG670" i="15"/>
  <c r="AG514" i="15"/>
  <c r="AG113" i="15"/>
  <c r="AG448" i="15"/>
  <c r="AG708" i="15"/>
  <c r="L1041" i="18" s="1"/>
  <c r="AG512" i="15"/>
  <c r="AH735" i="15"/>
  <c r="N1199" i="18" s="1"/>
  <c r="AH748" i="15"/>
  <c r="AH510" i="15"/>
  <c r="AH493" i="15"/>
  <c r="N782" i="18" s="1"/>
  <c r="AH13" i="15"/>
  <c r="AH622" i="15"/>
  <c r="AH144" i="15"/>
  <c r="AH346" i="15"/>
  <c r="AH209" i="15"/>
  <c r="AH289" i="15"/>
  <c r="AH566" i="15"/>
  <c r="AH749" i="15"/>
  <c r="AH670" i="15"/>
  <c r="AH514" i="15"/>
  <c r="AH113" i="15"/>
  <c r="AH448" i="15"/>
  <c r="AH708" i="15"/>
  <c r="N1041" i="18" s="1"/>
  <c r="AH512" i="15"/>
  <c r="AI735" i="15"/>
  <c r="M1199" i="18" s="1"/>
  <c r="AI748" i="15"/>
  <c r="AI510" i="15"/>
  <c r="AI493" i="15"/>
  <c r="M782" i="18" s="1"/>
  <c r="AI13" i="15"/>
  <c r="AI622" i="15"/>
  <c r="AI144" i="15"/>
  <c r="AI346" i="15"/>
  <c r="AI209" i="15"/>
  <c r="AI289" i="15"/>
  <c r="AI566" i="15"/>
  <c r="AI749" i="15"/>
  <c r="AI670" i="15"/>
  <c r="AI514" i="15"/>
  <c r="AI113" i="15"/>
  <c r="AI448" i="15"/>
  <c r="AI708" i="15"/>
  <c r="M1041" i="18" s="1"/>
  <c r="AI512" i="15"/>
  <c r="AJ735" i="15"/>
  <c r="O1199" i="18" s="1"/>
  <c r="AJ748" i="15"/>
  <c r="AJ510" i="15"/>
  <c r="AJ493" i="15"/>
  <c r="O782" i="18" s="1"/>
  <c r="AJ13" i="15"/>
  <c r="AJ622" i="15"/>
  <c r="AJ144" i="15"/>
  <c r="AJ346" i="15"/>
  <c r="AJ209" i="15"/>
  <c r="AJ289" i="15"/>
  <c r="AJ566" i="15"/>
  <c r="AJ749" i="15"/>
  <c r="AJ670" i="15"/>
  <c r="AJ514" i="15"/>
  <c r="AJ113" i="15"/>
  <c r="AJ448" i="15"/>
  <c r="AJ708" i="15"/>
  <c r="O1041" i="18" s="1"/>
  <c r="AJ512" i="15"/>
  <c r="AK735" i="15"/>
  <c r="Q1199" i="18" s="1"/>
  <c r="AK748" i="15"/>
  <c r="AK510" i="15"/>
  <c r="AK493" i="15"/>
  <c r="Q782" i="18" s="1"/>
  <c r="AK13" i="15"/>
  <c r="AK622" i="15"/>
  <c r="AK144" i="15"/>
  <c r="AK346" i="15"/>
  <c r="AK209" i="15"/>
  <c r="AK289" i="15"/>
  <c r="AK566" i="15"/>
  <c r="AK749" i="15"/>
  <c r="AK670" i="15"/>
  <c r="AK514" i="15"/>
  <c r="AK113" i="15"/>
  <c r="AK448" i="15"/>
  <c r="AK708" i="15"/>
  <c r="Q1041" i="18" s="1"/>
  <c r="AK512" i="15"/>
  <c r="C57" i="9"/>
  <c r="D57" i="9"/>
  <c r="N1406" i="18" l="1"/>
  <c r="I1406" i="18"/>
  <c r="O1346" i="18"/>
  <c r="G34" i="9"/>
  <c r="K1346" i="18"/>
  <c r="Q1406" i="18"/>
  <c r="L1406" i="18"/>
  <c r="L1346" i="18"/>
  <c r="O1316" i="18"/>
  <c r="O1286" i="18"/>
  <c r="O1406" i="18"/>
  <c r="N1316" i="18"/>
  <c r="Q1316" i="18"/>
  <c r="M1406" i="18"/>
  <c r="I1286" i="18"/>
  <c r="M1316" i="18"/>
  <c r="J1316" i="18"/>
  <c r="Q1286" i="18"/>
  <c r="J1406" i="18"/>
  <c r="N1286" i="18"/>
  <c r="K1316" i="18"/>
  <c r="M1286" i="18"/>
  <c r="K1406" i="18"/>
  <c r="J1286" i="18"/>
  <c r="I1316" i="18"/>
  <c r="K1286" i="18"/>
  <c r="M1346" i="18"/>
  <c r="J1346" i="18"/>
  <c r="L1286" i="18"/>
  <c r="L1316" i="18"/>
  <c r="L1374" i="18"/>
  <c r="K1374" i="18"/>
  <c r="Q1374" i="18"/>
  <c r="M1374" i="18"/>
  <c r="O1318" i="18"/>
  <c r="J1374" i="18"/>
  <c r="I1288" i="18"/>
  <c r="O1314" i="18"/>
  <c r="K1008" i="18"/>
  <c r="M1318" i="18"/>
  <c r="K1318" i="18"/>
  <c r="O1374" i="18"/>
  <c r="I1374" i="18"/>
  <c r="Q1008" i="18"/>
  <c r="J1008" i="18"/>
  <c r="O1008" i="18"/>
  <c r="I1008" i="18"/>
  <c r="Q1318" i="18"/>
  <c r="J1318" i="18"/>
  <c r="M1008" i="18"/>
  <c r="N1008" i="18"/>
  <c r="G63" i="9"/>
  <c r="Q1348" i="18"/>
  <c r="O1288" i="18"/>
  <c r="O1348" i="18"/>
  <c r="Q1288" i="18"/>
  <c r="N1288" i="18"/>
  <c r="L1348" i="18"/>
  <c r="K1288" i="18"/>
  <c r="N1348" i="18"/>
  <c r="I1348" i="18"/>
  <c r="M1288" i="18"/>
  <c r="J1288" i="18"/>
  <c r="M1348" i="18"/>
  <c r="J1348" i="18"/>
  <c r="K1348" i="18"/>
  <c r="L1288" i="18"/>
  <c r="N1318" i="18"/>
  <c r="L1318" i="18"/>
  <c r="I1318" i="18"/>
  <c r="O856" i="18"/>
  <c r="O1344" i="18"/>
  <c r="O1284" i="18"/>
  <c r="O918" i="18"/>
  <c r="Q856" i="18"/>
  <c r="Q1284" i="18"/>
  <c r="Q1344" i="18"/>
  <c r="Q1314" i="18"/>
  <c r="M1314" i="18"/>
  <c r="L1314" i="18"/>
  <c r="J1314" i="18"/>
  <c r="Q918" i="18"/>
  <c r="M856" i="18"/>
  <c r="N856" i="18"/>
  <c r="L856" i="18"/>
  <c r="K856" i="18"/>
  <c r="J856" i="18"/>
  <c r="I856" i="18"/>
  <c r="M1284" i="18"/>
  <c r="L1284" i="18"/>
  <c r="J1284" i="18"/>
  <c r="M1344" i="18"/>
  <c r="N1344" i="18"/>
  <c r="L1344" i="18"/>
  <c r="K1344" i="18"/>
  <c r="J1344" i="18"/>
  <c r="I1344" i="18"/>
  <c r="N1284" i="18"/>
  <c r="K1284" i="18"/>
  <c r="I1284" i="18"/>
  <c r="M918" i="18"/>
  <c r="N918" i="18"/>
  <c r="L918" i="18"/>
  <c r="K918" i="18"/>
  <c r="J918" i="18"/>
  <c r="I918" i="18"/>
  <c r="N1314" i="18"/>
  <c r="K1314" i="18"/>
  <c r="I1314" i="18"/>
  <c r="H5" i="16"/>
  <c r="C5" i="16" s="1"/>
  <c r="G76" i="9"/>
  <c r="G80" i="9"/>
  <c r="G25" i="9"/>
  <c r="U615" i="15"/>
  <c r="G19" i="9"/>
  <c r="E11" i="16"/>
  <c r="F11" i="16"/>
  <c r="E27" i="16"/>
  <c r="F27" i="16"/>
  <c r="F37" i="16"/>
  <c r="E37" i="16"/>
  <c r="C50" i="9"/>
  <c r="D50" i="9"/>
  <c r="D5" i="16" l="1"/>
  <c r="U618" i="15"/>
  <c r="U660" i="15"/>
  <c r="U614" i="15"/>
  <c r="U170" i="15"/>
  <c r="H11" i="16"/>
  <c r="C11" i="16" s="1"/>
  <c r="H27" i="16"/>
  <c r="C27" i="16" s="1"/>
  <c r="H37" i="16"/>
  <c r="C52" i="9"/>
  <c r="D52" i="9"/>
  <c r="C81" i="9"/>
  <c r="D81" i="9"/>
  <c r="D11" i="16" l="1"/>
  <c r="D27" i="16"/>
  <c r="C49" i="9"/>
  <c r="D49" i="9"/>
  <c r="D25" i="19" l="1"/>
  <c r="C25" i="19"/>
  <c r="B25" i="19"/>
  <c r="D24" i="19"/>
  <c r="C24" i="19"/>
  <c r="B24" i="19"/>
  <c r="D23" i="19"/>
  <c r="C23" i="19"/>
  <c r="B23" i="19"/>
  <c r="D22" i="19"/>
  <c r="C22" i="19"/>
  <c r="B22" i="19"/>
  <c r="D21" i="19"/>
  <c r="C21" i="19"/>
  <c r="B21" i="19"/>
  <c r="D20" i="19"/>
  <c r="C20" i="19"/>
  <c r="B20" i="19"/>
  <c r="D19" i="19"/>
  <c r="C19" i="19"/>
  <c r="B19" i="19"/>
  <c r="D18" i="19"/>
  <c r="C18" i="19"/>
  <c r="B18" i="19"/>
  <c r="D17" i="19"/>
  <c r="C17" i="19"/>
  <c r="B17" i="19"/>
  <c r="D16" i="19"/>
  <c r="C16" i="19"/>
  <c r="B16" i="19"/>
  <c r="D15" i="19"/>
  <c r="C15" i="19"/>
  <c r="B15" i="19"/>
  <c r="D14" i="19"/>
  <c r="C14" i="19"/>
  <c r="B14" i="19"/>
  <c r="D13" i="19"/>
  <c r="C13" i="19"/>
  <c r="B13" i="19"/>
  <c r="D12" i="19"/>
  <c r="C12" i="19"/>
  <c r="B12" i="19"/>
  <c r="D11" i="19"/>
  <c r="C11" i="19"/>
  <c r="B11" i="19"/>
  <c r="D10" i="19"/>
  <c r="C10" i="19"/>
  <c r="B10" i="19"/>
  <c r="D9" i="19"/>
  <c r="C9" i="19"/>
  <c r="B9" i="19"/>
  <c r="D8" i="19"/>
  <c r="C8" i="19"/>
  <c r="B8" i="19"/>
  <c r="D7" i="19"/>
  <c r="C7" i="19"/>
  <c r="B7" i="19"/>
  <c r="D6" i="19"/>
  <c r="C6" i="19"/>
  <c r="B6" i="19"/>
  <c r="D5" i="19"/>
  <c r="C5" i="19"/>
  <c r="B5" i="19"/>
  <c r="D4" i="19"/>
  <c r="C4" i="19"/>
  <c r="B4" i="19"/>
  <c r="D3" i="19"/>
  <c r="C3" i="19"/>
  <c r="B3" i="19"/>
  <c r="D2" i="19"/>
  <c r="C2" i="19"/>
  <c r="B2" i="19"/>
  <c r="G731" i="18"/>
  <c r="E731" i="18"/>
  <c r="H732" i="18" s="1"/>
  <c r="H733" i="18" s="1"/>
  <c r="H734" i="18" s="1"/>
  <c r="H735" i="18" s="1"/>
  <c r="H736" i="18" s="1"/>
  <c r="H737" i="18" s="1"/>
  <c r="H738" i="18" s="1"/>
  <c r="H739" i="18" s="1"/>
  <c r="H740" i="18" s="1"/>
  <c r="H741" i="18" s="1"/>
  <c r="H742" i="18" s="1"/>
  <c r="H743" i="18" s="1"/>
  <c r="H744" i="18" s="1"/>
  <c r="H745" i="18" s="1"/>
  <c r="H746" i="18" s="1"/>
  <c r="H747" i="18" s="1"/>
  <c r="H748" i="18" s="1"/>
  <c r="H749" i="18" s="1"/>
  <c r="H750" i="18" s="1"/>
  <c r="H751" i="18" s="1"/>
  <c r="H752" i="18" s="1"/>
  <c r="H753" i="18" s="1"/>
  <c r="H754" i="18" s="1"/>
  <c r="H755" i="18" s="1"/>
  <c r="H756" i="18" s="1"/>
  <c r="H757" i="18" s="1"/>
  <c r="H758" i="18" s="1"/>
  <c r="H759" i="18" s="1"/>
  <c r="H760" i="18" s="1"/>
  <c r="H761" i="18" s="1"/>
  <c r="H762" i="18" s="1"/>
  <c r="D731" i="18"/>
  <c r="C731" i="18"/>
  <c r="B731" i="18"/>
  <c r="Q730" i="18"/>
  <c r="O730" i="18"/>
  <c r="N730" i="18"/>
  <c r="M730" i="18"/>
  <c r="L730" i="18"/>
  <c r="K730" i="18"/>
  <c r="J730" i="18"/>
  <c r="I730" i="18"/>
  <c r="G730" i="18"/>
  <c r="E730" i="18"/>
  <c r="D730" i="18"/>
  <c r="C730" i="18"/>
  <c r="B730" i="18"/>
  <c r="Q729" i="18"/>
  <c r="O729" i="18"/>
  <c r="N729" i="18"/>
  <c r="M729" i="18"/>
  <c r="L729" i="18"/>
  <c r="K729" i="18"/>
  <c r="J729" i="18"/>
  <c r="I729" i="18"/>
  <c r="G729" i="18"/>
  <c r="E729" i="18"/>
  <c r="D729" i="18"/>
  <c r="C729" i="18"/>
  <c r="B729" i="18"/>
  <c r="Q728" i="18"/>
  <c r="O728" i="18"/>
  <c r="N728" i="18"/>
  <c r="M728" i="18"/>
  <c r="L728" i="18"/>
  <c r="K728" i="18"/>
  <c r="J728" i="18"/>
  <c r="I728" i="18"/>
  <c r="G728" i="18"/>
  <c r="E728" i="18"/>
  <c r="D728" i="18"/>
  <c r="C728" i="18"/>
  <c r="B728" i="18"/>
  <c r="Q727" i="18"/>
  <c r="O727" i="18"/>
  <c r="N727" i="18"/>
  <c r="M727" i="18"/>
  <c r="L727" i="18"/>
  <c r="K727" i="18"/>
  <c r="J727" i="18"/>
  <c r="I727" i="18"/>
  <c r="G727" i="18"/>
  <c r="E727" i="18"/>
  <c r="D727" i="18"/>
  <c r="C727" i="18"/>
  <c r="B727" i="18"/>
  <c r="Q726" i="18"/>
  <c r="O726" i="18"/>
  <c r="N726" i="18"/>
  <c r="M726" i="18"/>
  <c r="L726" i="18"/>
  <c r="K726" i="18"/>
  <c r="J726" i="18"/>
  <c r="I726" i="18"/>
  <c r="G726" i="18"/>
  <c r="E726" i="18"/>
  <c r="D726" i="18"/>
  <c r="C726" i="18"/>
  <c r="B726" i="18"/>
  <c r="G725" i="18"/>
  <c r="E725" i="18"/>
  <c r="D725" i="18"/>
  <c r="C725" i="18"/>
  <c r="B725" i="18"/>
  <c r="Q724" i="18"/>
  <c r="O724" i="18"/>
  <c r="N724" i="18"/>
  <c r="M724" i="18"/>
  <c r="L724" i="18"/>
  <c r="K724" i="18"/>
  <c r="J724" i="18"/>
  <c r="I724" i="18"/>
  <c r="G724" i="18"/>
  <c r="E724" i="18"/>
  <c r="D724" i="18"/>
  <c r="C724" i="18"/>
  <c r="B724" i="18"/>
  <c r="Q723" i="18"/>
  <c r="O723" i="18"/>
  <c r="N723" i="18"/>
  <c r="M723" i="18"/>
  <c r="L723" i="18"/>
  <c r="K723" i="18"/>
  <c r="J723" i="18"/>
  <c r="I723" i="18"/>
  <c r="G723" i="18"/>
  <c r="E723" i="18"/>
  <c r="D723" i="18"/>
  <c r="C723" i="18"/>
  <c r="B723" i="18"/>
  <c r="Q722" i="18"/>
  <c r="O722" i="18"/>
  <c r="N722" i="18"/>
  <c r="M722" i="18"/>
  <c r="L722" i="18"/>
  <c r="K722" i="18"/>
  <c r="J722" i="18"/>
  <c r="I722" i="18"/>
  <c r="G722" i="18"/>
  <c r="E722" i="18"/>
  <c r="D722" i="18"/>
  <c r="C722" i="18"/>
  <c r="B722" i="18"/>
  <c r="Q721" i="18"/>
  <c r="O721" i="18"/>
  <c r="N721" i="18"/>
  <c r="M721" i="18"/>
  <c r="L721" i="18"/>
  <c r="K721" i="18"/>
  <c r="J721" i="18"/>
  <c r="I721" i="18"/>
  <c r="G721" i="18"/>
  <c r="E721" i="18"/>
  <c r="D721" i="18"/>
  <c r="C721" i="18"/>
  <c r="B721" i="18"/>
  <c r="Q720" i="18"/>
  <c r="O720" i="18"/>
  <c r="N720" i="18"/>
  <c r="M720" i="18"/>
  <c r="L720" i="18"/>
  <c r="K720" i="18"/>
  <c r="J720" i="18"/>
  <c r="I720" i="18"/>
  <c r="G720" i="18"/>
  <c r="E720" i="18"/>
  <c r="D720" i="18"/>
  <c r="C720" i="18"/>
  <c r="B720" i="18"/>
  <c r="G719" i="18"/>
  <c r="E719" i="18"/>
  <c r="D719" i="18"/>
  <c r="C719" i="18"/>
  <c r="B719" i="18"/>
  <c r="Q718" i="18"/>
  <c r="O718" i="18"/>
  <c r="N718" i="18"/>
  <c r="M718" i="18"/>
  <c r="L718" i="18"/>
  <c r="K718" i="18"/>
  <c r="J718" i="18"/>
  <c r="I718" i="18"/>
  <c r="G718" i="18"/>
  <c r="E718" i="18"/>
  <c r="D718" i="18"/>
  <c r="C718" i="18"/>
  <c r="B718" i="18"/>
  <c r="Q717" i="18"/>
  <c r="O717" i="18"/>
  <c r="N717" i="18"/>
  <c r="M717" i="18"/>
  <c r="L717" i="18"/>
  <c r="K717" i="18"/>
  <c r="J717" i="18"/>
  <c r="I717" i="18"/>
  <c r="G717" i="18"/>
  <c r="E717" i="18"/>
  <c r="D717" i="18"/>
  <c r="C717" i="18"/>
  <c r="B717" i="18"/>
  <c r="Q716" i="18"/>
  <c r="O716" i="18"/>
  <c r="N716" i="18"/>
  <c r="M716" i="18"/>
  <c r="L716" i="18"/>
  <c r="K716" i="18"/>
  <c r="J716" i="18"/>
  <c r="I716" i="18"/>
  <c r="G716" i="18"/>
  <c r="E716" i="18"/>
  <c r="D716" i="18"/>
  <c r="C716" i="18"/>
  <c r="B716" i="18"/>
  <c r="Q715" i="18"/>
  <c r="O715" i="18"/>
  <c r="N715" i="18"/>
  <c r="M715" i="18"/>
  <c r="L715" i="18"/>
  <c r="K715" i="18"/>
  <c r="J715" i="18"/>
  <c r="I715" i="18"/>
  <c r="G715" i="18"/>
  <c r="E715" i="18"/>
  <c r="D715" i="18"/>
  <c r="C715" i="18"/>
  <c r="B715" i="18"/>
  <c r="Q714" i="18"/>
  <c r="O714" i="18"/>
  <c r="N714" i="18"/>
  <c r="M714" i="18"/>
  <c r="L714" i="18"/>
  <c r="K714" i="18"/>
  <c r="J714" i="18"/>
  <c r="I714" i="18"/>
  <c r="G714" i="18"/>
  <c r="E714" i="18"/>
  <c r="D714" i="18"/>
  <c r="C714" i="18"/>
  <c r="B714" i="18"/>
  <c r="Q713" i="18"/>
  <c r="O713" i="18"/>
  <c r="N713" i="18"/>
  <c r="M713" i="18"/>
  <c r="L713" i="18"/>
  <c r="K713" i="18"/>
  <c r="J713" i="18"/>
  <c r="I713" i="18"/>
  <c r="G713" i="18"/>
  <c r="E713" i="18"/>
  <c r="D713" i="18"/>
  <c r="C713" i="18"/>
  <c r="B713" i="18"/>
  <c r="Q712" i="18"/>
  <c r="O712" i="18"/>
  <c r="N712" i="18"/>
  <c r="M712" i="18"/>
  <c r="L712" i="18"/>
  <c r="K712" i="18"/>
  <c r="J712" i="18"/>
  <c r="I712" i="18"/>
  <c r="G712" i="18"/>
  <c r="E712" i="18"/>
  <c r="D712" i="18"/>
  <c r="C712" i="18"/>
  <c r="B712" i="18"/>
  <c r="G711" i="18"/>
  <c r="E711" i="18"/>
  <c r="D711" i="18"/>
  <c r="C711" i="18"/>
  <c r="B711" i="18"/>
  <c r="Q710" i="18"/>
  <c r="O710" i="18"/>
  <c r="N710" i="18"/>
  <c r="M710" i="18"/>
  <c r="L710" i="18"/>
  <c r="K710" i="18"/>
  <c r="J710" i="18"/>
  <c r="I710" i="18"/>
  <c r="G710" i="18"/>
  <c r="E710" i="18"/>
  <c r="D710" i="18"/>
  <c r="C710" i="18"/>
  <c r="B710" i="18"/>
  <c r="Q709" i="18"/>
  <c r="O709" i="18"/>
  <c r="N709" i="18"/>
  <c r="M709" i="18"/>
  <c r="L709" i="18"/>
  <c r="K709" i="18"/>
  <c r="J709" i="18"/>
  <c r="I709" i="18"/>
  <c r="G709" i="18"/>
  <c r="E709" i="18"/>
  <c r="D709" i="18"/>
  <c r="C709" i="18"/>
  <c r="B709" i="18"/>
  <c r="Q708" i="18"/>
  <c r="O708" i="18"/>
  <c r="N708" i="18"/>
  <c r="M708" i="18"/>
  <c r="L708" i="18"/>
  <c r="K708" i="18"/>
  <c r="J708" i="18"/>
  <c r="I708" i="18"/>
  <c r="G708" i="18"/>
  <c r="E708" i="18"/>
  <c r="D708" i="18"/>
  <c r="C708" i="18"/>
  <c r="B708" i="18"/>
  <c r="G707" i="18"/>
  <c r="E707" i="18"/>
  <c r="D707" i="18"/>
  <c r="C707" i="18"/>
  <c r="B707" i="18"/>
  <c r="Q706" i="18"/>
  <c r="O706" i="18"/>
  <c r="N706" i="18"/>
  <c r="M706" i="18"/>
  <c r="L706" i="18"/>
  <c r="K706" i="18"/>
  <c r="J706" i="18"/>
  <c r="I706" i="18"/>
  <c r="G706" i="18"/>
  <c r="E706" i="18"/>
  <c r="D706" i="18"/>
  <c r="C706" i="18"/>
  <c r="B706" i="18"/>
  <c r="G705" i="18"/>
  <c r="E705" i="18"/>
  <c r="D705" i="18"/>
  <c r="C705" i="18"/>
  <c r="B705" i="18"/>
  <c r="Q704" i="18"/>
  <c r="O704" i="18"/>
  <c r="N704" i="18"/>
  <c r="M704" i="18"/>
  <c r="L704" i="18"/>
  <c r="K704" i="18"/>
  <c r="J704" i="18"/>
  <c r="I704" i="18"/>
  <c r="G704" i="18"/>
  <c r="E704" i="18"/>
  <c r="D704" i="18"/>
  <c r="C704" i="18"/>
  <c r="B704" i="18"/>
  <c r="G703" i="18"/>
  <c r="E703" i="18"/>
  <c r="D703" i="18"/>
  <c r="C703" i="18"/>
  <c r="B703" i="18"/>
  <c r="G702" i="18"/>
  <c r="E702" i="18"/>
  <c r="D702" i="18"/>
  <c r="C702" i="18"/>
  <c r="B702" i="18"/>
  <c r="Q701" i="18"/>
  <c r="O701" i="18"/>
  <c r="N701" i="18"/>
  <c r="M701" i="18"/>
  <c r="L701" i="18"/>
  <c r="K701" i="18"/>
  <c r="J701" i="18"/>
  <c r="I701" i="18"/>
  <c r="G701" i="18"/>
  <c r="E701" i="18"/>
  <c r="D701" i="18"/>
  <c r="C701" i="18"/>
  <c r="B701" i="18"/>
  <c r="G700" i="18"/>
  <c r="C464" i="15" s="1"/>
  <c r="E700" i="18"/>
  <c r="D700" i="18"/>
  <c r="C700" i="18"/>
  <c r="B700" i="18"/>
  <c r="Q699" i="18"/>
  <c r="O699" i="18"/>
  <c r="N699" i="18"/>
  <c r="M699" i="18"/>
  <c r="L699" i="18"/>
  <c r="K699" i="18"/>
  <c r="J699" i="18"/>
  <c r="I699" i="18"/>
  <c r="G699" i="18"/>
  <c r="E699" i="18"/>
  <c r="D699" i="18"/>
  <c r="C699" i="18"/>
  <c r="B699" i="18"/>
  <c r="Q698" i="18"/>
  <c r="O698" i="18"/>
  <c r="N698" i="18"/>
  <c r="M698" i="18"/>
  <c r="L698" i="18"/>
  <c r="K698" i="18"/>
  <c r="J698" i="18"/>
  <c r="I698" i="18"/>
  <c r="G698" i="18"/>
  <c r="E698" i="18"/>
  <c r="D698" i="18"/>
  <c r="C698" i="18"/>
  <c r="B698" i="18"/>
  <c r="Q697" i="18"/>
  <c r="O697" i="18"/>
  <c r="N697" i="18"/>
  <c r="M697" i="18"/>
  <c r="L697" i="18"/>
  <c r="K697" i="18"/>
  <c r="J697" i="18"/>
  <c r="I697" i="18"/>
  <c r="G697" i="18"/>
  <c r="E697" i="18"/>
  <c r="D697" i="18"/>
  <c r="C697" i="18"/>
  <c r="B697" i="18"/>
  <c r="Q696" i="18"/>
  <c r="O696" i="18"/>
  <c r="N696" i="18"/>
  <c r="M696" i="18"/>
  <c r="L696" i="18"/>
  <c r="K696" i="18"/>
  <c r="J696" i="18"/>
  <c r="I696" i="18"/>
  <c r="G696" i="18"/>
  <c r="E696" i="18"/>
  <c r="D696" i="18"/>
  <c r="C696" i="18"/>
  <c r="B696" i="18"/>
  <c r="Q695" i="18"/>
  <c r="O695" i="18"/>
  <c r="N695" i="18"/>
  <c r="M695" i="18"/>
  <c r="L695" i="18"/>
  <c r="K695" i="18"/>
  <c r="J695" i="18"/>
  <c r="I695" i="18"/>
  <c r="G695" i="18"/>
  <c r="E695" i="18"/>
  <c r="D695" i="18"/>
  <c r="C695" i="18"/>
  <c r="B695" i="18"/>
  <c r="Q694" i="18"/>
  <c r="O694" i="18"/>
  <c r="N694" i="18"/>
  <c r="M694" i="18"/>
  <c r="L694" i="18"/>
  <c r="K694" i="18"/>
  <c r="J694" i="18"/>
  <c r="I694" i="18"/>
  <c r="G694" i="18"/>
  <c r="E694" i="18"/>
  <c r="D694" i="18"/>
  <c r="C694" i="18"/>
  <c r="B694" i="18"/>
  <c r="Q693" i="18"/>
  <c r="O693" i="18"/>
  <c r="N693" i="18"/>
  <c r="M693" i="18"/>
  <c r="L693" i="18"/>
  <c r="K693" i="18"/>
  <c r="J693" i="18"/>
  <c r="I693" i="18"/>
  <c r="G693" i="18"/>
  <c r="E693" i="18"/>
  <c r="D693" i="18"/>
  <c r="C693" i="18"/>
  <c r="B693" i="18"/>
  <c r="Q692" i="18"/>
  <c r="O692" i="18"/>
  <c r="N692" i="18"/>
  <c r="M692" i="18"/>
  <c r="L692" i="18"/>
  <c r="K692" i="18"/>
  <c r="J692" i="18"/>
  <c r="I692" i="18"/>
  <c r="G692" i="18"/>
  <c r="E692" i="18"/>
  <c r="D692" i="18"/>
  <c r="C692" i="18"/>
  <c r="B692" i="18"/>
  <c r="Q691" i="18"/>
  <c r="O691" i="18"/>
  <c r="N691" i="18"/>
  <c r="M691" i="18"/>
  <c r="L691" i="18"/>
  <c r="K691" i="18"/>
  <c r="J691" i="18"/>
  <c r="I691" i="18"/>
  <c r="G691" i="18"/>
  <c r="E691" i="18"/>
  <c r="D691" i="18"/>
  <c r="C691" i="18"/>
  <c r="B691" i="18"/>
  <c r="Q690" i="18"/>
  <c r="O690" i="18"/>
  <c r="N690" i="18"/>
  <c r="M690" i="18"/>
  <c r="L690" i="18"/>
  <c r="K690" i="18"/>
  <c r="J690" i="18"/>
  <c r="I690" i="18"/>
  <c r="G690" i="18"/>
  <c r="E690" i="18"/>
  <c r="D690" i="18"/>
  <c r="C690" i="18"/>
  <c r="B690" i="18"/>
  <c r="Q689" i="18"/>
  <c r="O689" i="18"/>
  <c r="N689" i="18"/>
  <c r="M689" i="18"/>
  <c r="L689" i="18"/>
  <c r="K689" i="18"/>
  <c r="J689" i="18"/>
  <c r="I689" i="18"/>
  <c r="G689" i="18"/>
  <c r="E689" i="18"/>
  <c r="D689" i="18"/>
  <c r="C689" i="18"/>
  <c r="B689" i="18"/>
  <c r="Q688" i="18"/>
  <c r="O688" i="18"/>
  <c r="N688" i="18"/>
  <c r="M688" i="18"/>
  <c r="L688" i="18"/>
  <c r="K688" i="18"/>
  <c r="J688" i="18"/>
  <c r="I688" i="18"/>
  <c r="G688" i="18"/>
  <c r="E688" i="18"/>
  <c r="D688" i="18"/>
  <c r="C688" i="18"/>
  <c r="B688" i="18"/>
  <c r="Q687" i="18"/>
  <c r="O687" i="18"/>
  <c r="N687" i="18"/>
  <c r="M687" i="18"/>
  <c r="L687" i="18"/>
  <c r="K687" i="18"/>
  <c r="J687" i="18"/>
  <c r="I687" i="18"/>
  <c r="G687" i="18"/>
  <c r="E687" i="18"/>
  <c r="D687" i="18"/>
  <c r="C687" i="18"/>
  <c r="B687" i="18"/>
  <c r="Q686" i="18"/>
  <c r="O686" i="18"/>
  <c r="N686" i="18"/>
  <c r="M686" i="18"/>
  <c r="L686" i="18"/>
  <c r="K686" i="18"/>
  <c r="J686" i="18"/>
  <c r="I686" i="18"/>
  <c r="G686" i="18"/>
  <c r="E686" i="18"/>
  <c r="D686" i="18"/>
  <c r="C686" i="18"/>
  <c r="B686" i="18"/>
  <c r="Q685" i="18"/>
  <c r="O685" i="18"/>
  <c r="N685" i="18"/>
  <c r="M685" i="18"/>
  <c r="L685" i="18"/>
  <c r="K685" i="18"/>
  <c r="J685" i="18"/>
  <c r="I685" i="18"/>
  <c r="G685" i="18"/>
  <c r="E685" i="18"/>
  <c r="D685" i="18"/>
  <c r="C685" i="18"/>
  <c r="B685" i="18"/>
  <c r="Q684" i="18"/>
  <c r="O684" i="18"/>
  <c r="N684" i="18"/>
  <c r="M684" i="18"/>
  <c r="L684" i="18"/>
  <c r="K684" i="18"/>
  <c r="J684" i="18"/>
  <c r="I684" i="18"/>
  <c r="G684" i="18"/>
  <c r="E684" i="18"/>
  <c r="D684" i="18"/>
  <c r="C684" i="18"/>
  <c r="B684" i="18"/>
  <c r="Q683" i="18"/>
  <c r="O683" i="18"/>
  <c r="N683" i="18"/>
  <c r="M683" i="18"/>
  <c r="L683" i="18"/>
  <c r="K683" i="18"/>
  <c r="J683" i="18"/>
  <c r="I683" i="18"/>
  <c r="G683" i="18"/>
  <c r="E683" i="18"/>
  <c r="D683" i="18"/>
  <c r="C683" i="18"/>
  <c r="B683" i="18"/>
  <c r="Q682" i="18"/>
  <c r="O682" i="18"/>
  <c r="N682" i="18"/>
  <c r="M682" i="18"/>
  <c r="L682" i="18"/>
  <c r="K682" i="18"/>
  <c r="J682" i="18"/>
  <c r="I682" i="18"/>
  <c r="G682" i="18"/>
  <c r="E682" i="18"/>
  <c r="D682" i="18"/>
  <c r="C682" i="18"/>
  <c r="B682" i="18"/>
  <c r="Q681" i="18"/>
  <c r="O681" i="18"/>
  <c r="N681" i="18"/>
  <c r="M681" i="18"/>
  <c r="L681" i="18"/>
  <c r="K681" i="18"/>
  <c r="J681" i="18"/>
  <c r="I681" i="18"/>
  <c r="G681" i="18"/>
  <c r="E681" i="18"/>
  <c r="D681" i="18"/>
  <c r="C681" i="18"/>
  <c r="B681" i="18"/>
  <c r="Q680" i="18"/>
  <c r="O680" i="18"/>
  <c r="N680" i="18"/>
  <c r="M680" i="18"/>
  <c r="L680" i="18"/>
  <c r="K680" i="18"/>
  <c r="J680" i="18"/>
  <c r="I680" i="18"/>
  <c r="G680" i="18"/>
  <c r="E680" i="18"/>
  <c r="D680" i="18"/>
  <c r="C680" i="18"/>
  <c r="B680" i="18"/>
  <c r="Q679" i="18"/>
  <c r="O679" i="18"/>
  <c r="N679" i="18"/>
  <c r="M679" i="18"/>
  <c r="L679" i="18"/>
  <c r="K679" i="18"/>
  <c r="J679" i="18"/>
  <c r="I679" i="18"/>
  <c r="G679" i="18"/>
  <c r="E679" i="18"/>
  <c r="D679" i="18"/>
  <c r="C679" i="18"/>
  <c r="B679" i="18"/>
  <c r="Q678" i="18"/>
  <c r="O678" i="18"/>
  <c r="N678" i="18"/>
  <c r="M678" i="18"/>
  <c r="L678" i="18"/>
  <c r="K678" i="18"/>
  <c r="J678" i="18"/>
  <c r="I678" i="18"/>
  <c r="G678" i="18"/>
  <c r="E678" i="18"/>
  <c r="D678" i="18"/>
  <c r="C678" i="18"/>
  <c r="B678" i="18"/>
  <c r="Q677" i="18"/>
  <c r="O677" i="18"/>
  <c r="N677" i="18"/>
  <c r="M677" i="18"/>
  <c r="L677" i="18"/>
  <c r="K677" i="18"/>
  <c r="J677" i="18"/>
  <c r="I677" i="18"/>
  <c r="G677" i="18"/>
  <c r="E677" i="18"/>
  <c r="D677" i="18"/>
  <c r="C677" i="18"/>
  <c r="B677" i="18"/>
  <c r="Q676" i="18"/>
  <c r="O676" i="18"/>
  <c r="N676" i="18"/>
  <c r="M676" i="18"/>
  <c r="L676" i="18"/>
  <c r="K676" i="18"/>
  <c r="J676" i="18"/>
  <c r="I676" i="18"/>
  <c r="G676" i="18"/>
  <c r="E676" i="18"/>
  <c r="D676" i="18"/>
  <c r="C676" i="18"/>
  <c r="B676" i="18"/>
  <c r="Q675" i="18"/>
  <c r="O675" i="18"/>
  <c r="N675" i="18"/>
  <c r="M675" i="18"/>
  <c r="L675" i="18"/>
  <c r="K675" i="18"/>
  <c r="J675" i="18"/>
  <c r="I675" i="18"/>
  <c r="G675" i="18"/>
  <c r="E675" i="18"/>
  <c r="D675" i="18"/>
  <c r="C675" i="18"/>
  <c r="B675" i="18"/>
  <c r="Q674" i="18"/>
  <c r="O674" i="18"/>
  <c r="N674" i="18"/>
  <c r="M674" i="18"/>
  <c r="L674" i="18"/>
  <c r="K674" i="18"/>
  <c r="J674" i="18"/>
  <c r="I674" i="18"/>
  <c r="G674" i="18"/>
  <c r="E674" i="18"/>
  <c r="D674" i="18"/>
  <c r="C674" i="18"/>
  <c r="B674" i="18"/>
  <c r="G673" i="18"/>
  <c r="C454" i="15" s="1"/>
  <c r="E673" i="18"/>
  <c r="D673" i="18"/>
  <c r="C673" i="18"/>
  <c r="B673" i="18"/>
  <c r="G672" i="18"/>
  <c r="C453" i="15" s="1"/>
  <c r="E672" i="18"/>
  <c r="D672" i="18"/>
  <c r="C672" i="18"/>
  <c r="B672" i="18"/>
  <c r="Q671" i="18"/>
  <c r="O671" i="18"/>
  <c r="N671" i="18"/>
  <c r="M671" i="18"/>
  <c r="L671" i="18"/>
  <c r="K671" i="18"/>
  <c r="J671" i="18"/>
  <c r="I671" i="18"/>
  <c r="G671" i="18"/>
  <c r="E671" i="18"/>
  <c r="D671" i="18"/>
  <c r="C671" i="18"/>
  <c r="B671" i="18"/>
  <c r="G670" i="18"/>
  <c r="C452" i="15" s="1"/>
  <c r="E670" i="18"/>
  <c r="D670" i="18"/>
  <c r="C670" i="18"/>
  <c r="B670" i="18"/>
  <c r="Q669" i="18"/>
  <c r="O669" i="18"/>
  <c r="N669" i="18"/>
  <c r="M669" i="18"/>
  <c r="L669" i="18"/>
  <c r="K669" i="18"/>
  <c r="J669" i="18"/>
  <c r="I669" i="18"/>
  <c r="G669" i="18"/>
  <c r="E669" i="18"/>
  <c r="D669" i="18"/>
  <c r="C669" i="18"/>
  <c r="B669" i="18"/>
  <c r="Q668" i="18"/>
  <c r="O668" i="18"/>
  <c r="N668" i="18"/>
  <c r="M668" i="18"/>
  <c r="L668" i="18"/>
  <c r="K668" i="18"/>
  <c r="J668" i="18"/>
  <c r="I668" i="18"/>
  <c r="G668" i="18"/>
  <c r="E668" i="18"/>
  <c r="D668" i="18"/>
  <c r="C668" i="18"/>
  <c r="B668" i="18"/>
  <c r="Q667" i="18"/>
  <c r="O667" i="18"/>
  <c r="N667" i="18"/>
  <c r="M667" i="18"/>
  <c r="L667" i="18"/>
  <c r="K667" i="18"/>
  <c r="J667" i="18"/>
  <c r="I667" i="18"/>
  <c r="G667" i="18"/>
  <c r="E667" i="18"/>
  <c r="D667" i="18"/>
  <c r="C667" i="18"/>
  <c r="B667" i="18"/>
  <c r="Q666" i="18"/>
  <c r="O666" i="18"/>
  <c r="N666" i="18"/>
  <c r="M666" i="18"/>
  <c r="L666" i="18"/>
  <c r="K666" i="18"/>
  <c r="J666" i="18"/>
  <c r="I666" i="18"/>
  <c r="G666" i="18"/>
  <c r="E666" i="18"/>
  <c r="D666" i="18"/>
  <c r="C666" i="18"/>
  <c r="B666" i="18"/>
  <c r="Q665" i="18"/>
  <c r="O665" i="18"/>
  <c r="N665" i="18"/>
  <c r="M665" i="18"/>
  <c r="L665" i="18"/>
  <c r="K665" i="18"/>
  <c r="J665" i="18"/>
  <c r="I665" i="18"/>
  <c r="G665" i="18"/>
  <c r="E665" i="18"/>
  <c r="D665" i="18"/>
  <c r="C665" i="18"/>
  <c r="B665" i="18"/>
  <c r="Q664" i="18"/>
  <c r="O664" i="18"/>
  <c r="N664" i="18"/>
  <c r="M664" i="18"/>
  <c r="L664" i="18"/>
  <c r="K664" i="18"/>
  <c r="J664" i="18"/>
  <c r="I664" i="18"/>
  <c r="G664" i="18"/>
  <c r="E664" i="18"/>
  <c r="D664" i="18"/>
  <c r="C664" i="18"/>
  <c r="B664" i="18"/>
  <c r="Q663" i="18"/>
  <c r="O663" i="18"/>
  <c r="N663" i="18"/>
  <c r="M663" i="18"/>
  <c r="L663" i="18"/>
  <c r="K663" i="18"/>
  <c r="J663" i="18"/>
  <c r="I663" i="18"/>
  <c r="G663" i="18"/>
  <c r="E663" i="18"/>
  <c r="D663" i="18"/>
  <c r="C663" i="18"/>
  <c r="B663" i="18"/>
  <c r="G662" i="18"/>
  <c r="E662" i="18"/>
  <c r="D662" i="18"/>
  <c r="C662" i="18"/>
  <c r="B662" i="18"/>
  <c r="Q661" i="18"/>
  <c r="O661" i="18"/>
  <c r="N661" i="18"/>
  <c r="M661" i="18"/>
  <c r="L661" i="18"/>
  <c r="K661" i="18"/>
  <c r="J661" i="18"/>
  <c r="I661" i="18"/>
  <c r="G661" i="18"/>
  <c r="E661" i="18"/>
  <c r="D661" i="18"/>
  <c r="C661" i="18"/>
  <c r="B661" i="18"/>
  <c r="Q660" i="18"/>
  <c r="O660" i="18"/>
  <c r="N660" i="18"/>
  <c r="M660" i="18"/>
  <c r="L660" i="18"/>
  <c r="K660" i="18"/>
  <c r="J660" i="18"/>
  <c r="I660" i="18"/>
  <c r="G660" i="18"/>
  <c r="E660" i="18"/>
  <c r="D660" i="18"/>
  <c r="C660" i="18"/>
  <c r="B660" i="18"/>
  <c r="Q659" i="18"/>
  <c r="O659" i="18"/>
  <c r="N659" i="18"/>
  <c r="M659" i="18"/>
  <c r="L659" i="18"/>
  <c r="K659" i="18"/>
  <c r="J659" i="18"/>
  <c r="I659" i="18"/>
  <c r="G659" i="18"/>
  <c r="E659" i="18"/>
  <c r="D659" i="18"/>
  <c r="C659" i="18"/>
  <c r="B659" i="18"/>
  <c r="Q658" i="18"/>
  <c r="O658" i="18"/>
  <c r="N658" i="18"/>
  <c r="M658" i="18"/>
  <c r="L658" i="18"/>
  <c r="K658" i="18"/>
  <c r="J658" i="18"/>
  <c r="I658" i="18"/>
  <c r="G658" i="18"/>
  <c r="E658" i="18"/>
  <c r="D658" i="18"/>
  <c r="C658" i="18"/>
  <c r="B658" i="18"/>
  <c r="Q657" i="18"/>
  <c r="O657" i="18"/>
  <c r="N657" i="18"/>
  <c r="M657" i="18"/>
  <c r="L657" i="18"/>
  <c r="K657" i="18"/>
  <c r="J657" i="18"/>
  <c r="I657" i="18"/>
  <c r="G657" i="18"/>
  <c r="E657" i="18"/>
  <c r="D657" i="18"/>
  <c r="C657" i="18"/>
  <c r="B657" i="18"/>
  <c r="Q656" i="18"/>
  <c r="O656" i="18"/>
  <c r="N656" i="18"/>
  <c r="M656" i="18"/>
  <c r="L656" i="18"/>
  <c r="K656" i="18"/>
  <c r="J656" i="18"/>
  <c r="I656" i="18"/>
  <c r="G656" i="18"/>
  <c r="E656" i="18"/>
  <c r="D656" i="18"/>
  <c r="C656" i="18"/>
  <c r="B656" i="18"/>
  <c r="Q655" i="18"/>
  <c r="O655" i="18"/>
  <c r="N655" i="18"/>
  <c r="M655" i="18"/>
  <c r="L655" i="18"/>
  <c r="K655" i="18"/>
  <c r="J655" i="18"/>
  <c r="I655" i="18"/>
  <c r="G655" i="18"/>
  <c r="E655" i="18"/>
  <c r="D655" i="18"/>
  <c r="C655" i="18"/>
  <c r="B655" i="18"/>
  <c r="Q654" i="18"/>
  <c r="O654" i="18"/>
  <c r="N654" i="18"/>
  <c r="M654" i="18"/>
  <c r="L654" i="18"/>
  <c r="K654" i="18"/>
  <c r="J654" i="18"/>
  <c r="I654" i="18"/>
  <c r="G654" i="18"/>
  <c r="E654" i="18"/>
  <c r="D654" i="18"/>
  <c r="C654" i="18"/>
  <c r="B654" i="18"/>
  <c r="Q653" i="18"/>
  <c r="O653" i="18"/>
  <c r="N653" i="18"/>
  <c r="M653" i="18"/>
  <c r="L653" i="18"/>
  <c r="K653" i="18"/>
  <c r="J653" i="18"/>
  <c r="I653" i="18"/>
  <c r="G653" i="18"/>
  <c r="E653" i="18"/>
  <c r="D653" i="18"/>
  <c r="C653" i="18"/>
  <c r="B653" i="18"/>
  <c r="Q652" i="18"/>
  <c r="O652" i="18"/>
  <c r="N652" i="18"/>
  <c r="M652" i="18"/>
  <c r="L652" i="18"/>
  <c r="K652" i="18"/>
  <c r="J652" i="18"/>
  <c r="I652" i="18"/>
  <c r="G652" i="18"/>
  <c r="E652" i="18"/>
  <c r="D652" i="18"/>
  <c r="C652" i="18"/>
  <c r="B652" i="18"/>
  <c r="Q651" i="18"/>
  <c r="O651" i="18"/>
  <c r="N651" i="18"/>
  <c r="M651" i="18"/>
  <c r="L651" i="18"/>
  <c r="K651" i="18"/>
  <c r="J651" i="18"/>
  <c r="I651" i="18"/>
  <c r="G651" i="18"/>
  <c r="E651" i="18"/>
  <c r="D651" i="18"/>
  <c r="C651" i="18"/>
  <c r="B651" i="18"/>
  <c r="Q650" i="18"/>
  <c r="O650" i="18"/>
  <c r="N650" i="18"/>
  <c r="M650" i="18"/>
  <c r="L650" i="18"/>
  <c r="K650" i="18"/>
  <c r="J650" i="18"/>
  <c r="I650" i="18"/>
  <c r="G650" i="18"/>
  <c r="E650" i="18"/>
  <c r="D650" i="18"/>
  <c r="C650" i="18"/>
  <c r="B650" i="18"/>
  <c r="Q649" i="18"/>
  <c r="O649" i="18"/>
  <c r="N649" i="18"/>
  <c r="M649" i="18"/>
  <c r="L649" i="18"/>
  <c r="K649" i="18"/>
  <c r="J649" i="18"/>
  <c r="I649" i="18"/>
  <c r="G649" i="18"/>
  <c r="E649" i="18"/>
  <c r="D649" i="18"/>
  <c r="C649" i="18"/>
  <c r="B649" i="18"/>
  <c r="Q648" i="18"/>
  <c r="O648" i="18"/>
  <c r="N648" i="18"/>
  <c r="M648" i="18"/>
  <c r="L648" i="18"/>
  <c r="K648" i="18"/>
  <c r="J648" i="18"/>
  <c r="I648" i="18"/>
  <c r="G648" i="18"/>
  <c r="E648" i="18"/>
  <c r="D648" i="18"/>
  <c r="C648" i="18"/>
  <c r="B648" i="18"/>
  <c r="G647" i="18"/>
  <c r="E647" i="18"/>
  <c r="D647" i="18"/>
  <c r="C647" i="18"/>
  <c r="B647" i="18"/>
  <c r="G646" i="18"/>
  <c r="E646" i="18"/>
  <c r="D646" i="18"/>
  <c r="C646" i="18"/>
  <c r="B646" i="18"/>
  <c r="Q645" i="18"/>
  <c r="O645" i="18"/>
  <c r="N645" i="18"/>
  <c r="M645" i="18"/>
  <c r="L645" i="18"/>
  <c r="K645" i="18"/>
  <c r="J645" i="18"/>
  <c r="I645" i="18"/>
  <c r="G645" i="18"/>
  <c r="E645" i="18"/>
  <c r="D645" i="18"/>
  <c r="C645" i="18"/>
  <c r="B645" i="18"/>
  <c r="Q644" i="18"/>
  <c r="O644" i="18"/>
  <c r="N644" i="18"/>
  <c r="M644" i="18"/>
  <c r="L644" i="18"/>
  <c r="K644" i="18"/>
  <c r="J644" i="18"/>
  <c r="I644" i="18"/>
  <c r="G644" i="18"/>
  <c r="E644" i="18"/>
  <c r="D644" i="18"/>
  <c r="C644" i="18"/>
  <c r="B644" i="18"/>
  <c r="G643" i="18"/>
  <c r="E643" i="18"/>
  <c r="D643" i="18"/>
  <c r="C643" i="18"/>
  <c r="B643" i="18"/>
  <c r="G642" i="18"/>
  <c r="C441" i="15" s="1"/>
  <c r="E642" i="18"/>
  <c r="D642" i="18"/>
  <c r="C642" i="18"/>
  <c r="B642" i="18"/>
  <c r="Q641" i="18"/>
  <c r="O641" i="18"/>
  <c r="N641" i="18"/>
  <c r="M641" i="18"/>
  <c r="L641" i="18"/>
  <c r="K641" i="18"/>
  <c r="J641" i="18"/>
  <c r="I641" i="18"/>
  <c r="G641" i="18"/>
  <c r="E641" i="18"/>
  <c r="D641" i="18"/>
  <c r="C641" i="18"/>
  <c r="B641" i="18"/>
  <c r="Q640" i="18"/>
  <c r="O640" i="18"/>
  <c r="N640" i="18"/>
  <c r="M640" i="18"/>
  <c r="L640" i="18"/>
  <c r="K640" i="18"/>
  <c r="J640" i="18"/>
  <c r="I640" i="18"/>
  <c r="G640" i="18"/>
  <c r="E640" i="18"/>
  <c r="D640" i="18"/>
  <c r="C640" i="18"/>
  <c r="B640" i="18"/>
  <c r="Q639" i="18"/>
  <c r="O639" i="18"/>
  <c r="N639" i="18"/>
  <c r="M639" i="18"/>
  <c r="L639" i="18"/>
  <c r="K639" i="18"/>
  <c r="J639" i="18"/>
  <c r="I639" i="18"/>
  <c r="G639" i="18"/>
  <c r="E639" i="18"/>
  <c r="D639" i="18"/>
  <c r="C639" i="18"/>
  <c r="B639" i="18"/>
  <c r="Q638" i="18"/>
  <c r="O638" i="18"/>
  <c r="N638" i="18"/>
  <c r="M638" i="18"/>
  <c r="L638" i="18"/>
  <c r="K638" i="18"/>
  <c r="J638" i="18"/>
  <c r="I638" i="18"/>
  <c r="G638" i="18"/>
  <c r="E638" i="18"/>
  <c r="D638" i="18"/>
  <c r="C638" i="18"/>
  <c r="B638" i="18"/>
  <c r="Q637" i="18"/>
  <c r="O637" i="18"/>
  <c r="N637" i="18"/>
  <c r="M637" i="18"/>
  <c r="L637" i="18"/>
  <c r="K637" i="18"/>
  <c r="J637" i="18"/>
  <c r="I637" i="18"/>
  <c r="G637" i="18"/>
  <c r="E637" i="18"/>
  <c r="D637" i="18"/>
  <c r="C637" i="18"/>
  <c r="B637" i="18"/>
  <c r="Q636" i="18"/>
  <c r="O636" i="18"/>
  <c r="N636" i="18"/>
  <c r="M636" i="18"/>
  <c r="L636" i="18"/>
  <c r="K636" i="18"/>
  <c r="J636" i="18"/>
  <c r="I636" i="18"/>
  <c r="G636" i="18"/>
  <c r="E636" i="18"/>
  <c r="D636" i="18"/>
  <c r="C636" i="18"/>
  <c r="B636" i="18"/>
  <c r="Q635" i="18"/>
  <c r="O635" i="18"/>
  <c r="N635" i="18"/>
  <c r="M635" i="18"/>
  <c r="L635" i="18"/>
  <c r="K635" i="18"/>
  <c r="J635" i="18"/>
  <c r="I635" i="18"/>
  <c r="G635" i="18"/>
  <c r="E635" i="18"/>
  <c r="D635" i="18"/>
  <c r="C635" i="18"/>
  <c r="B635" i="18"/>
  <c r="Q634" i="18"/>
  <c r="O634" i="18"/>
  <c r="N634" i="18"/>
  <c r="M634" i="18"/>
  <c r="L634" i="18"/>
  <c r="K634" i="18"/>
  <c r="J634" i="18"/>
  <c r="I634" i="18"/>
  <c r="G634" i="18"/>
  <c r="E634" i="18"/>
  <c r="D634" i="18"/>
  <c r="C634" i="18"/>
  <c r="B634" i="18"/>
  <c r="Q633" i="18"/>
  <c r="O633" i="18"/>
  <c r="N633" i="18"/>
  <c r="M633" i="18"/>
  <c r="L633" i="18"/>
  <c r="K633" i="18"/>
  <c r="J633" i="18"/>
  <c r="I633" i="18"/>
  <c r="G633" i="18"/>
  <c r="E633" i="18"/>
  <c r="D633" i="18"/>
  <c r="C633" i="18"/>
  <c r="B633" i="18"/>
  <c r="G632" i="18"/>
  <c r="E632" i="18"/>
  <c r="D632" i="18"/>
  <c r="C632" i="18"/>
  <c r="B632" i="18"/>
  <c r="Q631" i="18"/>
  <c r="O631" i="18"/>
  <c r="N631" i="18"/>
  <c r="M631" i="18"/>
  <c r="L631" i="18"/>
  <c r="K631" i="18"/>
  <c r="J631" i="18"/>
  <c r="I631" i="18"/>
  <c r="G631" i="18"/>
  <c r="E631" i="18"/>
  <c r="D631" i="18"/>
  <c r="C631" i="18"/>
  <c r="B631" i="18"/>
  <c r="Q630" i="18"/>
  <c r="O630" i="18"/>
  <c r="N630" i="18"/>
  <c r="M630" i="18"/>
  <c r="L630" i="18"/>
  <c r="K630" i="18"/>
  <c r="J630" i="18"/>
  <c r="I630" i="18"/>
  <c r="G630" i="18"/>
  <c r="E630" i="18"/>
  <c r="D630" i="18"/>
  <c r="C630" i="18"/>
  <c r="B630" i="18"/>
  <c r="Q629" i="18"/>
  <c r="O629" i="18"/>
  <c r="N629" i="18"/>
  <c r="M629" i="18"/>
  <c r="L629" i="18"/>
  <c r="K629" i="18"/>
  <c r="J629" i="18"/>
  <c r="I629" i="18"/>
  <c r="G629" i="18"/>
  <c r="E629" i="18"/>
  <c r="D629" i="18"/>
  <c r="C629" i="18"/>
  <c r="B629" i="18"/>
  <c r="Q628" i="18"/>
  <c r="O628" i="18"/>
  <c r="N628" i="18"/>
  <c r="M628" i="18"/>
  <c r="L628" i="18"/>
  <c r="K628" i="18"/>
  <c r="J628" i="18"/>
  <c r="I628" i="18"/>
  <c r="G628" i="18"/>
  <c r="E628" i="18"/>
  <c r="D628" i="18"/>
  <c r="C628" i="18"/>
  <c r="B628" i="18"/>
  <c r="Q627" i="18"/>
  <c r="O627" i="18"/>
  <c r="N627" i="18"/>
  <c r="M627" i="18"/>
  <c r="L627" i="18"/>
  <c r="K627" i="18"/>
  <c r="J627" i="18"/>
  <c r="I627" i="18"/>
  <c r="G627" i="18"/>
  <c r="E627" i="18"/>
  <c r="D627" i="18"/>
  <c r="C627" i="18"/>
  <c r="B627" i="18"/>
  <c r="Q626" i="18"/>
  <c r="O626" i="18"/>
  <c r="N626" i="18"/>
  <c r="M626" i="18"/>
  <c r="L626" i="18"/>
  <c r="K626" i="18"/>
  <c r="J626" i="18"/>
  <c r="I626" i="18"/>
  <c r="G626" i="18"/>
  <c r="E626" i="18"/>
  <c r="D626" i="18"/>
  <c r="C626" i="18"/>
  <c r="B626" i="18"/>
  <c r="Q625" i="18"/>
  <c r="O625" i="18"/>
  <c r="N625" i="18"/>
  <c r="M625" i="18"/>
  <c r="L625" i="18"/>
  <c r="K625" i="18"/>
  <c r="J625" i="18"/>
  <c r="I625" i="18"/>
  <c r="G625" i="18"/>
  <c r="E625" i="18"/>
  <c r="D625" i="18"/>
  <c r="C625" i="18"/>
  <c r="B625" i="18"/>
  <c r="Q624" i="18"/>
  <c r="O624" i="18"/>
  <c r="N624" i="18"/>
  <c r="M624" i="18"/>
  <c r="L624" i="18"/>
  <c r="K624" i="18"/>
  <c r="J624" i="18"/>
  <c r="I624" i="18"/>
  <c r="G624" i="18"/>
  <c r="E624" i="18"/>
  <c r="D624" i="18"/>
  <c r="C624" i="18"/>
  <c r="B624" i="18"/>
  <c r="Q623" i="18"/>
  <c r="O623" i="18"/>
  <c r="N623" i="18"/>
  <c r="M623" i="18"/>
  <c r="L623" i="18"/>
  <c r="K623" i="18"/>
  <c r="J623" i="18"/>
  <c r="I623" i="18"/>
  <c r="G623" i="18"/>
  <c r="E623" i="18"/>
  <c r="D623" i="18"/>
  <c r="C623" i="18"/>
  <c r="B623" i="18"/>
  <c r="Q622" i="18"/>
  <c r="O622" i="18"/>
  <c r="N622" i="18"/>
  <c r="M622" i="18"/>
  <c r="L622" i="18"/>
  <c r="K622" i="18"/>
  <c r="J622" i="18"/>
  <c r="I622" i="18"/>
  <c r="G622" i="18"/>
  <c r="E622" i="18"/>
  <c r="D622" i="18"/>
  <c r="C622" i="18"/>
  <c r="B622" i="18"/>
  <c r="G621" i="18"/>
  <c r="E621" i="18"/>
  <c r="D621" i="18"/>
  <c r="C621" i="18"/>
  <c r="B621" i="18"/>
  <c r="Q620" i="18"/>
  <c r="O620" i="18"/>
  <c r="N620" i="18"/>
  <c r="M620" i="18"/>
  <c r="L620" i="18"/>
  <c r="K620" i="18"/>
  <c r="J620" i="18"/>
  <c r="I620" i="18"/>
  <c r="G620" i="18"/>
  <c r="E620" i="18"/>
  <c r="D620" i="18"/>
  <c r="C620" i="18"/>
  <c r="B620" i="18"/>
  <c r="Q619" i="18"/>
  <c r="O619" i="18"/>
  <c r="N619" i="18"/>
  <c r="M619" i="18"/>
  <c r="L619" i="18"/>
  <c r="K619" i="18"/>
  <c r="J619" i="18"/>
  <c r="I619" i="18"/>
  <c r="G619" i="18"/>
  <c r="E619" i="18"/>
  <c r="D619" i="18"/>
  <c r="C619" i="18"/>
  <c r="B619" i="18"/>
  <c r="Q618" i="18"/>
  <c r="O618" i="18"/>
  <c r="N618" i="18"/>
  <c r="M618" i="18"/>
  <c r="L618" i="18"/>
  <c r="K618" i="18"/>
  <c r="J618" i="18"/>
  <c r="I618" i="18"/>
  <c r="G618" i="18"/>
  <c r="E618" i="18"/>
  <c r="D618" i="18"/>
  <c r="C618" i="18"/>
  <c r="B618" i="18"/>
  <c r="G617" i="18"/>
  <c r="E617" i="18"/>
  <c r="D617" i="18"/>
  <c r="C617" i="18"/>
  <c r="B617" i="18"/>
  <c r="G616" i="18"/>
  <c r="E616" i="18"/>
  <c r="D616" i="18"/>
  <c r="C616" i="18"/>
  <c r="B616" i="18"/>
  <c r="G615" i="18"/>
  <c r="E615" i="18"/>
  <c r="D615" i="18"/>
  <c r="C615" i="18"/>
  <c r="B615" i="18"/>
  <c r="Q614" i="18"/>
  <c r="O614" i="18"/>
  <c r="N614" i="18"/>
  <c r="M614" i="18"/>
  <c r="L614" i="18"/>
  <c r="K614" i="18"/>
  <c r="J614" i="18"/>
  <c r="I614" i="18"/>
  <c r="G614" i="18"/>
  <c r="E614" i="18"/>
  <c r="D614" i="18"/>
  <c r="C614" i="18"/>
  <c r="B614" i="18"/>
  <c r="Q613" i="18"/>
  <c r="O613" i="18"/>
  <c r="N613" i="18"/>
  <c r="M613" i="18"/>
  <c r="L613" i="18"/>
  <c r="K613" i="18"/>
  <c r="J613" i="18"/>
  <c r="I613" i="18"/>
  <c r="G613" i="18"/>
  <c r="E613" i="18"/>
  <c r="D613" i="18"/>
  <c r="C613" i="18"/>
  <c r="B613" i="18"/>
  <c r="G612" i="18"/>
  <c r="E612" i="18"/>
  <c r="D612" i="18"/>
  <c r="C612" i="18"/>
  <c r="B612" i="18"/>
  <c r="Q611" i="18"/>
  <c r="O611" i="18"/>
  <c r="N611" i="18"/>
  <c r="M611" i="18"/>
  <c r="L611" i="18"/>
  <c r="K611" i="18"/>
  <c r="J611" i="18"/>
  <c r="I611" i="18"/>
  <c r="G611" i="18"/>
  <c r="E611" i="18"/>
  <c r="D611" i="18"/>
  <c r="C611" i="18"/>
  <c r="B611" i="18"/>
  <c r="Q610" i="18"/>
  <c r="O610" i="18"/>
  <c r="N610" i="18"/>
  <c r="M610" i="18"/>
  <c r="L610" i="18"/>
  <c r="K610" i="18"/>
  <c r="J610" i="18"/>
  <c r="I610" i="18"/>
  <c r="G610" i="18"/>
  <c r="E610" i="18"/>
  <c r="D610" i="18"/>
  <c r="C610" i="18"/>
  <c r="B610" i="18"/>
  <c r="Q609" i="18"/>
  <c r="O609" i="18"/>
  <c r="N609" i="18"/>
  <c r="M609" i="18"/>
  <c r="L609" i="18"/>
  <c r="K609" i="18"/>
  <c r="J609" i="18"/>
  <c r="I609" i="18"/>
  <c r="G609" i="18"/>
  <c r="E609" i="18"/>
  <c r="D609" i="18"/>
  <c r="C609" i="18"/>
  <c r="B609" i="18"/>
  <c r="Q608" i="18"/>
  <c r="O608" i="18"/>
  <c r="N608" i="18"/>
  <c r="M608" i="18"/>
  <c r="L608" i="18"/>
  <c r="K608" i="18"/>
  <c r="J608" i="18"/>
  <c r="I608" i="18"/>
  <c r="G608" i="18"/>
  <c r="E608" i="18"/>
  <c r="D608" i="18"/>
  <c r="C608" i="18"/>
  <c r="B608" i="18"/>
  <c r="Q607" i="18"/>
  <c r="O607" i="18"/>
  <c r="N607" i="18"/>
  <c r="M607" i="18"/>
  <c r="L607" i="18"/>
  <c r="K607" i="18"/>
  <c r="J607" i="18"/>
  <c r="I607" i="18"/>
  <c r="G607" i="18"/>
  <c r="E607" i="18"/>
  <c r="D607" i="18"/>
  <c r="C607" i="18"/>
  <c r="B607" i="18"/>
  <c r="Q606" i="18"/>
  <c r="O606" i="18"/>
  <c r="N606" i="18"/>
  <c r="M606" i="18"/>
  <c r="L606" i="18"/>
  <c r="K606" i="18"/>
  <c r="J606" i="18"/>
  <c r="I606" i="18"/>
  <c r="G606" i="18"/>
  <c r="E606" i="18"/>
  <c r="D606" i="18"/>
  <c r="C606" i="18"/>
  <c r="B606" i="18"/>
  <c r="Q605" i="18"/>
  <c r="O605" i="18"/>
  <c r="N605" i="18"/>
  <c r="M605" i="18"/>
  <c r="L605" i="18"/>
  <c r="K605" i="18"/>
  <c r="J605" i="18"/>
  <c r="I605" i="18"/>
  <c r="G605" i="18"/>
  <c r="E605" i="18"/>
  <c r="D605" i="18"/>
  <c r="C605" i="18"/>
  <c r="B605" i="18"/>
  <c r="Q604" i="18"/>
  <c r="O604" i="18"/>
  <c r="N604" i="18"/>
  <c r="M604" i="18"/>
  <c r="L604" i="18"/>
  <c r="K604" i="18"/>
  <c r="J604" i="18"/>
  <c r="I604" i="18"/>
  <c r="G604" i="18"/>
  <c r="E604" i="18"/>
  <c r="D604" i="18"/>
  <c r="C604" i="18"/>
  <c r="B604" i="18"/>
  <c r="Q603" i="18"/>
  <c r="O603" i="18"/>
  <c r="N603" i="18"/>
  <c r="M603" i="18"/>
  <c r="L603" i="18"/>
  <c r="K603" i="18"/>
  <c r="J603" i="18"/>
  <c r="I603" i="18"/>
  <c r="G603" i="18"/>
  <c r="E603" i="18"/>
  <c r="D603" i="18"/>
  <c r="C603" i="18"/>
  <c r="B603" i="18"/>
  <c r="G602" i="18"/>
  <c r="E602" i="18"/>
  <c r="D602" i="18"/>
  <c r="C602" i="18"/>
  <c r="B602" i="18"/>
  <c r="Q601" i="18"/>
  <c r="O601" i="18"/>
  <c r="N601" i="18"/>
  <c r="M601" i="18"/>
  <c r="L601" i="18"/>
  <c r="K601" i="18"/>
  <c r="J601" i="18"/>
  <c r="I601" i="18"/>
  <c r="G601" i="18"/>
  <c r="E601" i="18"/>
  <c r="D601" i="18"/>
  <c r="C601" i="18"/>
  <c r="B601" i="18"/>
  <c r="Q600" i="18"/>
  <c r="O600" i="18"/>
  <c r="N600" i="18"/>
  <c r="M600" i="18"/>
  <c r="L600" i="18"/>
  <c r="K600" i="18"/>
  <c r="J600" i="18"/>
  <c r="I600" i="18"/>
  <c r="G600" i="18"/>
  <c r="E600" i="18"/>
  <c r="D600" i="18"/>
  <c r="C600" i="18"/>
  <c r="B600" i="18"/>
  <c r="Q599" i="18"/>
  <c r="O599" i="18"/>
  <c r="N599" i="18"/>
  <c r="M599" i="18"/>
  <c r="L599" i="18"/>
  <c r="K599" i="18"/>
  <c r="J599" i="18"/>
  <c r="I599" i="18"/>
  <c r="G599" i="18"/>
  <c r="E599" i="18"/>
  <c r="D599" i="18"/>
  <c r="C599" i="18"/>
  <c r="B599" i="18"/>
  <c r="Q598" i="18"/>
  <c r="O598" i="18"/>
  <c r="N598" i="18"/>
  <c r="M598" i="18"/>
  <c r="L598" i="18"/>
  <c r="K598" i="18"/>
  <c r="J598" i="18"/>
  <c r="I598" i="18"/>
  <c r="G598" i="18"/>
  <c r="E598" i="18"/>
  <c r="D598" i="18"/>
  <c r="C598" i="18"/>
  <c r="B598" i="18"/>
  <c r="Q597" i="18"/>
  <c r="O597" i="18"/>
  <c r="N597" i="18"/>
  <c r="M597" i="18"/>
  <c r="L597" i="18"/>
  <c r="K597" i="18"/>
  <c r="J597" i="18"/>
  <c r="I597" i="18"/>
  <c r="G597" i="18"/>
  <c r="E597" i="18"/>
  <c r="D597" i="18"/>
  <c r="C597" i="18"/>
  <c r="B597" i="18"/>
  <c r="Q596" i="18"/>
  <c r="O596" i="18"/>
  <c r="N596" i="18"/>
  <c r="M596" i="18"/>
  <c r="L596" i="18"/>
  <c r="K596" i="18"/>
  <c r="J596" i="18"/>
  <c r="I596" i="18"/>
  <c r="G596" i="18"/>
  <c r="E596" i="18"/>
  <c r="D596" i="18"/>
  <c r="C596" i="18"/>
  <c r="B596" i="18"/>
  <c r="Q595" i="18"/>
  <c r="O595" i="18"/>
  <c r="N595" i="18"/>
  <c r="M595" i="18"/>
  <c r="L595" i="18"/>
  <c r="K595" i="18"/>
  <c r="J595" i="18"/>
  <c r="I595" i="18"/>
  <c r="G595" i="18"/>
  <c r="E595" i="18"/>
  <c r="D595" i="18"/>
  <c r="C595" i="18"/>
  <c r="B595" i="18"/>
  <c r="Q594" i="18"/>
  <c r="O594" i="18"/>
  <c r="N594" i="18"/>
  <c r="M594" i="18"/>
  <c r="L594" i="18"/>
  <c r="K594" i="18"/>
  <c r="J594" i="18"/>
  <c r="I594" i="18"/>
  <c r="G594" i="18"/>
  <c r="E594" i="18"/>
  <c r="D594" i="18"/>
  <c r="C594" i="18"/>
  <c r="B594" i="18"/>
  <c r="Q593" i="18"/>
  <c r="O593" i="18"/>
  <c r="N593" i="18"/>
  <c r="M593" i="18"/>
  <c r="L593" i="18"/>
  <c r="K593" i="18"/>
  <c r="J593" i="18"/>
  <c r="I593" i="18"/>
  <c r="G593" i="18"/>
  <c r="E593" i="18"/>
  <c r="D593" i="18"/>
  <c r="C593" i="18"/>
  <c r="B593" i="18"/>
  <c r="Q592" i="18"/>
  <c r="O592" i="18"/>
  <c r="N592" i="18"/>
  <c r="M592" i="18"/>
  <c r="L592" i="18"/>
  <c r="K592" i="18"/>
  <c r="J592" i="18"/>
  <c r="I592" i="18"/>
  <c r="G592" i="18"/>
  <c r="E592" i="18"/>
  <c r="D592" i="18"/>
  <c r="C592" i="18"/>
  <c r="B592" i="18"/>
  <c r="G591" i="18"/>
  <c r="E591" i="18"/>
  <c r="D591" i="18"/>
  <c r="C591" i="18"/>
  <c r="B591" i="18"/>
  <c r="Q590" i="18"/>
  <c r="O590" i="18"/>
  <c r="N590" i="18"/>
  <c r="M590" i="18"/>
  <c r="L590" i="18"/>
  <c r="K590" i="18"/>
  <c r="J590" i="18"/>
  <c r="I590" i="18"/>
  <c r="G590" i="18"/>
  <c r="E590" i="18"/>
  <c r="D590" i="18"/>
  <c r="C590" i="18"/>
  <c r="B590" i="18"/>
  <c r="Q589" i="18"/>
  <c r="O589" i="18"/>
  <c r="N589" i="18"/>
  <c r="M589" i="18"/>
  <c r="L589" i="18"/>
  <c r="K589" i="18"/>
  <c r="J589" i="18"/>
  <c r="I589" i="18"/>
  <c r="G589" i="18"/>
  <c r="E589" i="18"/>
  <c r="D589" i="18"/>
  <c r="C589" i="18"/>
  <c r="B589" i="18"/>
  <c r="Q588" i="18"/>
  <c r="O588" i="18"/>
  <c r="N588" i="18"/>
  <c r="M588" i="18"/>
  <c r="L588" i="18"/>
  <c r="K588" i="18"/>
  <c r="J588" i="18"/>
  <c r="I588" i="18"/>
  <c r="G588" i="18"/>
  <c r="E588" i="18"/>
  <c r="D588" i="18"/>
  <c r="C588" i="18"/>
  <c r="B588" i="18"/>
  <c r="G587" i="18"/>
  <c r="E587" i="18"/>
  <c r="D587" i="18"/>
  <c r="C587" i="18"/>
  <c r="B587" i="18"/>
  <c r="G586" i="18"/>
  <c r="E586" i="18"/>
  <c r="D586" i="18"/>
  <c r="C586" i="18"/>
  <c r="B586" i="18"/>
  <c r="Q585" i="18"/>
  <c r="O585" i="18"/>
  <c r="N585" i="18"/>
  <c r="M585" i="18"/>
  <c r="L585" i="18"/>
  <c r="K585" i="18"/>
  <c r="J585" i="18"/>
  <c r="I585" i="18"/>
  <c r="G585" i="18"/>
  <c r="E585" i="18"/>
  <c r="D585" i="18"/>
  <c r="C585" i="18"/>
  <c r="B585" i="18"/>
  <c r="Q584" i="18"/>
  <c r="O584" i="18"/>
  <c r="N584" i="18"/>
  <c r="M584" i="18"/>
  <c r="L584" i="18"/>
  <c r="K584" i="18"/>
  <c r="J584" i="18"/>
  <c r="I584" i="18"/>
  <c r="G584" i="18"/>
  <c r="E584" i="18"/>
  <c r="D584" i="18"/>
  <c r="C584" i="18"/>
  <c r="B584" i="18"/>
  <c r="G583" i="18"/>
  <c r="E583" i="18"/>
  <c r="D583" i="18"/>
  <c r="C583" i="18"/>
  <c r="B583" i="18"/>
  <c r="G582" i="18"/>
  <c r="E582" i="18"/>
  <c r="D582" i="18"/>
  <c r="C582" i="18"/>
  <c r="B582" i="18"/>
  <c r="Q581" i="18"/>
  <c r="O581" i="18"/>
  <c r="N581" i="18"/>
  <c r="M581" i="18"/>
  <c r="L581" i="18"/>
  <c r="K581" i="18"/>
  <c r="J581" i="18"/>
  <c r="I581" i="18"/>
  <c r="G581" i="18"/>
  <c r="E581" i="18"/>
  <c r="D581" i="18"/>
  <c r="C581" i="18"/>
  <c r="B581" i="18"/>
  <c r="G580" i="18"/>
  <c r="C414" i="15" s="1"/>
  <c r="E580" i="18"/>
  <c r="D580" i="18"/>
  <c r="C580" i="18"/>
  <c r="B580" i="18"/>
  <c r="Q579" i="18"/>
  <c r="O579" i="18"/>
  <c r="N579" i="18"/>
  <c r="M579" i="18"/>
  <c r="L579" i="18"/>
  <c r="K579" i="18"/>
  <c r="J579" i="18"/>
  <c r="I579" i="18"/>
  <c r="G579" i="18"/>
  <c r="E579" i="18"/>
  <c r="D579" i="18"/>
  <c r="C579" i="18"/>
  <c r="B579" i="18"/>
  <c r="Q578" i="18"/>
  <c r="O578" i="18"/>
  <c r="N578" i="18"/>
  <c r="M578" i="18"/>
  <c r="L578" i="18"/>
  <c r="K578" i="18"/>
  <c r="J578" i="18"/>
  <c r="I578" i="18"/>
  <c r="G578" i="18"/>
  <c r="E578" i="18"/>
  <c r="D578" i="18"/>
  <c r="C578" i="18"/>
  <c r="B578" i="18"/>
  <c r="Q577" i="18"/>
  <c r="O577" i="18"/>
  <c r="N577" i="18"/>
  <c r="M577" i="18"/>
  <c r="L577" i="18"/>
  <c r="K577" i="18"/>
  <c r="J577" i="18"/>
  <c r="I577" i="18"/>
  <c r="G577" i="18"/>
  <c r="E577" i="18"/>
  <c r="D577" i="18"/>
  <c r="C577" i="18"/>
  <c r="B577" i="18"/>
  <c r="Q576" i="18"/>
  <c r="O576" i="18"/>
  <c r="N576" i="18"/>
  <c r="M576" i="18"/>
  <c r="L576" i="18"/>
  <c r="K576" i="18"/>
  <c r="J576" i="18"/>
  <c r="I576" i="18"/>
  <c r="G576" i="18"/>
  <c r="E576" i="18"/>
  <c r="D576" i="18"/>
  <c r="C576" i="18"/>
  <c r="B576" i="18"/>
  <c r="Q575" i="18"/>
  <c r="O575" i="18"/>
  <c r="N575" i="18"/>
  <c r="M575" i="18"/>
  <c r="L575" i="18"/>
  <c r="K575" i="18"/>
  <c r="J575" i="18"/>
  <c r="I575" i="18"/>
  <c r="G575" i="18"/>
  <c r="E575" i="18"/>
  <c r="D575" i="18"/>
  <c r="C575" i="18"/>
  <c r="B575" i="18"/>
  <c r="Q574" i="18"/>
  <c r="O574" i="18"/>
  <c r="N574" i="18"/>
  <c r="M574" i="18"/>
  <c r="L574" i="18"/>
  <c r="K574" i="18"/>
  <c r="J574" i="18"/>
  <c r="I574" i="18"/>
  <c r="G574" i="18"/>
  <c r="E574" i="18"/>
  <c r="D574" i="18"/>
  <c r="C574" i="18"/>
  <c r="B574" i="18"/>
  <c r="Q573" i="18"/>
  <c r="O573" i="18"/>
  <c r="N573" i="18"/>
  <c r="M573" i="18"/>
  <c r="L573" i="18"/>
  <c r="K573" i="18"/>
  <c r="J573" i="18"/>
  <c r="I573" i="18"/>
  <c r="G573" i="18"/>
  <c r="E573" i="18"/>
  <c r="D573" i="18"/>
  <c r="C573" i="18"/>
  <c r="B573" i="18"/>
  <c r="G572" i="18"/>
  <c r="E572" i="18"/>
  <c r="D572" i="18"/>
  <c r="C572" i="18"/>
  <c r="B572" i="18"/>
  <c r="Q571" i="18"/>
  <c r="O571" i="18"/>
  <c r="N571" i="18"/>
  <c r="M571" i="18"/>
  <c r="L571" i="18"/>
  <c r="K571" i="18"/>
  <c r="J571" i="18"/>
  <c r="I571" i="18"/>
  <c r="G571" i="18"/>
  <c r="E571" i="18"/>
  <c r="D571" i="18"/>
  <c r="C571" i="18"/>
  <c r="B571" i="18"/>
  <c r="Q570" i="18"/>
  <c r="O570" i="18"/>
  <c r="N570" i="18"/>
  <c r="M570" i="18"/>
  <c r="L570" i="18"/>
  <c r="K570" i="18"/>
  <c r="J570" i="18"/>
  <c r="I570" i="18"/>
  <c r="G570" i="18"/>
  <c r="E570" i="18"/>
  <c r="D570" i="18"/>
  <c r="C570" i="18"/>
  <c r="B570" i="18"/>
  <c r="Q569" i="18"/>
  <c r="O569" i="18"/>
  <c r="N569" i="18"/>
  <c r="M569" i="18"/>
  <c r="L569" i="18"/>
  <c r="K569" i="18"/>
  <c r="J569" i="18"/>
  <c r="I569" i="18"/>
  <c r="G569" i="18"/>
  <c r="E569" i="18"/>
  <c r="D569" i="18"/>
  <c r="C569" i="18"/>
  <c r="B569" i="18"/>
  <c r="Q568" i="18"/>
  <c r="O568" i="18"/>
  <c r="N568" i="18"/>
  <c r="M568" i="18"/>
  <c r="L568" i="18"/>
  <c r="K568" i="18"/>
  <c r="J568" i="18"/>
  <c r="I568" i="18"/>
  <c r="G568" i="18"/>
  <c r="E568" i="18"/>
  <c r="D568" i="18"/>
  <c r="C568" i="18"/>
  <c r="B568" i="18"/>
  <c r="Q567" i="18"/>
  <c r="O567" i="18"/>
  <c r="N567" i="18"/>
  <c r="M567" i="18"/>
  <c r="L567" i="18"/>
  <c r="K567" i="18"/>
  <c r="J567" i="18"/>
  <c r="I567" i="18"/>
  <c r="G567" i="18"/>
  <c r="E567" i="18"/>
  <c r="D567" i="18"/>
  <c r="C567" i="18"/>
  <c r="B567" i="18"/>
  <c r="Q566" i="18"/>
  <c r="O566" i="18"/>
  <c r="N566" i="18"/>
  <c r="M566" i="18"/>
  <c r="L566" i="18"/>
  <c r="K566" i="18"/>
  <c r="J566" i="18"/>
  <c r="I566" i="18"/>
  <c r="G566" i="18"/>
  <c r="E566" i="18"/>
  <c r="D566" i="18"/>
  <c r="C566" i="18"/>
  <c r="B566" i="18"/>
  <c r="Q565" i="18"/>
  <c r="O565" i="18"/>
  <c r="N565" i="18"/>
  <c r="M565" i="18"/>
  <c r="L565" i="18"/>
  <c r="K565" i="18"/>
  <c r="J565" i="18"/>
  <c r="I565" i="18"/>
  <c r="G565" i="18"/>
  <c r="E565" i="18"/>
  <c r="D565" i="18"/>
  <c r="C565" i="18"/>
  <c r="B565" i="18"/>
  <c r="Q564" i="18"/>
  <c r="O564" i="18"/>
  <c r="N564" i="18"/>
  <c r="M564" i="18"/>
  <c r="L564" i="18"/>
  <c r="K564" i="18"/>
  <c r="J564" i="18"/>
  <c r="I564" i="18"/>
  <c r="G564" i="18"/>
  <c r="E564" i="18"/>
  <c r="D564" i="18"/>
  <c r="C564" i="18"/>
  <c r="B564" i="18"/>
  <c r="Q563" i="18"/>
  <c r="O563" i="18"/>
  <c r="N563" i="18"/>
  <c r="M563" i="18"/>
  <c r="L563" i="18"/>
  <c r="K563" i="18"/>
  <c r="J563" i="18"/>
  <c r="I563" i="18"/>
  <c r="G563" i="18"/>
  <c r="E563" i="18"/>
  <c r="D563" i="18"/>
  <c r="C563" i="18"/>
  <c r="B563" i="18"/>
  <c r="Q562" i="18"/>
  <c r="O562" i="18"/>
  <c r="N562" i="18"/>
  <c r="M562" i="18"/>
  <c r="L562" i="18"/>
  <c r="K562" i="18"/>
  <c r="J562" i="18"/>
  <c r="I562" i="18"/>
  <c r="G562" i="18"/>
  <c r="E562" i="18"/>
  <c r="D562" i="18"/>
  <c r="C562" i="18"/>
  <c r="B562" i="18"/>
  <c r="G561" i="18"/>
  <c r="E561" i="18"/>
  <c r="D561" i="18"/>
  <c r="C561" i="18"/>
  <c r="B561" i="18"/>
  <c r="Q560" i="18"/>
  <c r="O560" i="18"/>
  <c r="N560" i="18"/>
  <c r="M560" i="18"/>
  <c r="L560" i="18"/>
  <c r="K560" i="18"/>
  <c r="J560" i="18"/>
  <c r="I560" i="18"/>
  <c r="G560" i="18"/>
  <c r="E560" i="18"/>
  <c r="D560" i="18"/>
  <c r="C560" i="18"/>
  <c r="B560" i="18"/>
  <c r="Q559" i="18"/>
  <c r="O559" i="18"/>
  <c r="N559" i="18"/>
  <c r="M559" i="18"/>
  <c r="L559" i="18"/>
  <c r="K559" i="18"/>
  <c r="J559" i="18"/>
  <c r="I559" i="18"/>
  <c r="G559" i="18"/>
  <c r="E559" i="18"/>
  <c r="D559" i="18"/>
  <c r="C559" i="18"/>
  <c r="B559" i="18"/>
  <c r="Q558" i="18"/>
  <c r="O558" i="18"/>
  <c r="N558" i="18"/>
  <c r="M558" i="18"/>
  <c r="L558" i="18"/>
  <c r="K558" i="18"/>
  <c r="J558" i="18"/>
  <c r="I558" i="18"/>
  <c r="G558" i="18"/>
  <c r="E558" i="18"/>
  <c r="D558" i="18"/>
  <c r="C558" i="18"/>
  <c r="B558" i="18"/>
  <c r="G557" i="18"/>
  <c r="C411" i="15" s="1"/>
  <c r="E557" i="18"/>
  <c r="D557" i="18"/>
  <c r="C557" i="18"/>
  <c r="B557" i="18"/>
  <c r="G556" i="18"/>
  <c r="E556" i="18"/>
  <c r="D556" i="18"/>
  <c r="C556" i="18"/>
  <c r="B556" i="18"/>
  <c r="G555" i="18"/>
  <c r="E555" i="18"/>
  <c r="D555" i="18"/>
  <c r="C555" i="18"/>
  <c r="B555" i="18"/>
  <c r="Q554" i="18"/>
  <c r="O554" i="18"/>
  <c r="N554" i="18"/>
  <c r="M554" i="18"/>
  <c r="L554" i="18"/>
  <c r="K554" i="18"/>
  <c r="J554" i="18"/>
  <c r="I554" i="18"/>
  <c r="G554" i="18"/>
  <c r="E554" i="18"/>
  <c r="D554" i="18"/>
  <c r="C554" i="18"/>
  <c r="B554" i="18"/>
  <c r="G553" i="18"/>
  <c r="E553" i="18"/>
  <c r="D553" i="18"/>
  <c r="C553" i="18"/>
  <c r="B553" i="18"/>
  <c r="G552" i="18"/>
  <c r="E552" i="18"/>
  <c r="D552" i="18"/>
  <c r="C552" i="18"/>
  <c r="B552" i="18"/>
  <c r="Q551" i="18"/>
  <c r="O551" i="18"/>
  <c r="N551" i="18"/>
  <c r="M551" i="18"/>
  <c r="L551" i="18"/>
  <c r="K551" i="18"/>
  <c r="J551" i="18"/>
  <c r="I551" i="18"/>
  <c r="G551" i="18"/>
  <c r="E551" i="18"/>
  <c r="D551" i="18"/>
  <c r="C551" i="18"/>
  <c r="B551" i="18"/>
  <c r="Q550" i="18"/>
  <c r="O550" i="18"/>
  <c r="N550" i="18"/>
  <c r="M550" i="18"/>
  <c r="L550" i="18"/>
  <c r="K550" i="18"/>
  <c r="J550" i="18"/>
  <c r="I550" i="18"/>
  <c r="G550" i="18"/>
  <c r="E550" i="18"/>
  <c r="D550" i="18"/>
  <c r="C550" i="18"/>
  <c r="B550" i="18"/>
  <c r="G549" i="18"/>
  <c r="C402" i="15" s="1"/>
  <c r="E549" i="18"/>
  <c r="D549" i="18"/>
  <c r="C549" i="18"/>
  <c r="B549" i="18"/>
  <c r="Q548" i="18"/>
  <c r="O548" i="18"/>
  <c r="N548" i="18"/>
  <c r="M548" i="18"/>
  <c r="L548" i="18"/>
  <c r="K548" i="18"/>
  <c r="J548" i="18"/>
  <c r="I548" i="18"/>
  <c r="G548" i="18"/>
  <c r="E548" i="18"/>
  <c r="D548" i="18"/>
  <c r="C548" i="18"/>
  <c r="B548" i="18"/>
  <c r="Q547" i="18"/>
  <c r="O547" i="18"/>
  <c r="N547" i="18"/>
  <c r="M547" i="18"/>
  <c r="L547" i="18"/>
  <c r="K547" i="18"/>
  <c r="J547" i="18"/>
  <c r="I547" i="18"/>
  <c r="G547" i="18"/>
  <c r="E547" i="18"/>
  <c r="D547" i="18"/>
  <c r="C547" i="18"/>
  <c r="B547" i="18"/>
  <c r="Q546" i="18"/>
  <c r="O546" i="18"/>
  <c r="N546" i="18"/>
  <c r="M546" i="18"/>
  <c r="L546" i="18"/>
  <c r="K546" i="18"/>
  <c r="J546" i="18"/>
  <c r="I546" i="18"/>
  <c r="G546" i="18"/>
  <c r="E546" i="18"/>
  <c r="D546" i="18"/>
  <c r="C546" i="18"/>
  <c r="B546" i="18"/>
  <c r="Q545" i="18"/>
  <c r="O545" i="18"/>
  <c r="N545" i="18"/>
  <c r="M545" i="18"/>
  <c r="L545" i="18"/>
  <c r="K545" i="18"/>
  <c r="J545" i="18"/>
  <c r="I545" i="18"/>
  <c r="G545" i="18"/>
  <c r="E545" i="18"/>
  <c r="D545" i="18"/>
  <c r="C545" i="18"/>
  <c r="B545" i="18"/>
  <c r="Q544" i="18"/>
  <c r="O544" i="18"/>
  <c r="N544" i="18"/>
  <c r="M544" i="18"/>
  <c r="L544" i="18"/>
  <c r="K544" i="18"/>
  <c r="J544" i="18"/>
  <c r="I544" i="18"/>
  <c r="G544" i="18"/>
  <c r="E544" i="18"/>
  <c r="D544" i="18"/>
  <c r="C544" i="18"/>
  <c r="B544" i="18"/>
  <c r="Q543" i="18"/>
  <c r="O543" i="18"/>
  <c r="N543" i="18"/>
  <c r="M543" i="18"/>
  <c r="L543" i="18"/>
  <c r="K543" i="18"/>
  <c r="J543" i="18"/>
  <c r="I543" i="18"/>
  <c r="G543" i="18"/>
  <c r="E543" i="18"/>
  <c r="D543" i="18"/>
  <c r="C543" i="18"/>
  <c r="B543" i="18"/>
  <c r="Q542" i="18"/>
  <c r="O542" i="18"/>
  <c r="N542" i="18"/>
  <c r="M542" i="18"/>
  <c r="L542" i="18"/>
  <c r="K542" i="18"/>
  <c r="J542" i="18"/>
  <c r="I542" i="18"/>
  <c r="G542" i="18"/>
  <c r="E542" i="18"/>
  <c r="D542" i="18"/>
  <c r="C542" i="18"/>
  <c r="B542" i="18"/>
  <c r="G541" i="18"/>
  <c r="E541" i="18"/>
  <c r="D541" i="18"/>
  <c r="C541" i="18"/>
  <c r="B541" i="18"/>
  <c r="Q540" i="18"/>
  <c r="O540" i="18"/>
  <c r="N540" i="18"/>
  <c r="M540" i="18"/>
  <c r="L540" i="18"/>
  <c r="K540" i="18"/>
  <c r="J540" i="18"/>
  <c r="I540" i="18"/>
  <c r="G540" i="18"/>
  <c r="E540" i="18"/>
  <c r="D540" i="18"/>
  <c r="C540" i="18"/>
  <c r="B540" i="18"/>
  <c r="Q539" i="18"/>
  <c r="O539" i="18"/>
  <c r="N539" i="18"/>
  <c r="M539" i="18"/>
  <c r="L539" i="18"/>
  <c r="K539" i="18"/>
  <c r="J539" i="18"/>
  <c r="I539" i="18"/>
  <c r="G539" i="18"/>
  <c r="E539" i="18"/>
  <c r="D539" i="18"/>
  <c r="C539" i="18"/>
  <c r="B539" i="18"/>
  <c r="G538" i="18"/>
  <c r="E538" i="18"/>
  <c r="D538" i="18"/>
  <c r="C538" i="18"/>
  <c r="B538" i="18"/>
  <c r="Q537" i="18"/>
  <c r="O537" i="18"/>
  <c r="N537" i="18"/>
  <c r="M537" i="18"/>
  <c r="L537" i="18"/>
  <c r="K537" i="18"/>
  <c r="J537" i="18"/>
  <c r="I537" i="18"/>
  <c r="G537" i="18"/>
  <c r="E537" i="18"/>
  <c r="D537" i="18"/>
  <c r="C537" i="18"/>
  <c r="B537" i="18"/>
  <c r="Q536" i="18"/>
  <c r="O536" i="18"/>
  <c r="N536" i="18"/>
  <c r="M536" i="18"/>
  <c r="L536" i="18"/>
  <c r="K536" i="18"/>
  <c r="J536" i="18"/>
  <c r="I536" i="18"/>
  <c r="G536" i="18"/>
  <c r="E536" i="18"/>
  <c r="D536" i="18"/>
  <c r="C536" i="18"/>
  <c r="B536" i="18"/>
  <c r="Q535" i="18"/>
  <c r="O535" i="18"/>
  <c r="N535" i="18"/>
  <c r="M535" i="18"/>
  <c r="L535" i="18"/>
  <c r="K535" i="18"/>
  <c r="J535" i="18"/>
  <c r="I535" i="18"/>
  <c r="G535" i="18"/>
  <c r="E535" i="18"/>
  <c r="D535" i="18"/>
  <c r="C535" i="18"/>
  <c r="B535" i="18"/>
  <c r="Q534" i="18"/>
  <c r="O534" i="18"/>
  <c r="N534" i="18"/>
  <c r="M534" i="18"/>
  <c r="L534" i="18"/>
  <c r="K534" i="18"/>
  <c r="J534" i="18"/>
  <c r="I534" i="18"/>
  <c r="G534" i="18"/>
  <c r="E534" i="18"/>
  <c r="D534" i="18"/>
  <c r="C534" i="18"/>
  <c r="B534" i="18"/>
  <c r="Q533" i="18"/>
  <c r="O533" i="18"/>
  <c r="N533" i="18"/>
  <c r="M533" i="18"/>
  <c r="L533" i="18"/>
  <c r="K533" i="18"/>
  <c r="J533" i="18"/>
  <c r="I533" i="18"/>
  <c r="G533" i="18"/>
  <c r="E533" i="18"/>
  <c r="D533" i="18"/>
  <c r="C533" i="18"/>
  <c r="B533" i="18"/>
  <c r="Q532" i="18"/>
  <c r="O532" i="18"/>
  <c r="N532" i="18"/>
  <c r="M532" i="18"/>
  <c r="L532" i="18"/>
  <c r="K532" i="18"/>
  <c r="J532" i="18"/>
  <c r="I532" i="18"/>
  <c r="G532" i="18"/>
  <c r="E532" i="18"/>
  <c r="D532" i="18"/>
  <c r="C532" i="18"/>
  <c r="B532" i="18"/>
  <c r="Q531" i="18"/>
  <c r="O531" i="18"/>
  <c r="N531" i="18"/>
  <c r="M531" i="18"/>
  <c r="L531" i="18"/>
  <c r="K531" i="18"/>
  <c r="J531" i="18"/>
  <c r="I531" i="18"/>
  <c r="G531" i="18"/>
  <c r="E531" i="18"/>
  <c r="D531" i="18"/>
  <c r="C531" i="18"/>
  <c r="B531" i="18"/>
  <c r="G530" i="18"/>
  <c r="E530" i="18"/>
  <c r="D530" i="18"/>
  <c r="C530" i="18"/>
  <c r="B530" i="18"/>
  <c r="Q529" i="18"/>
  <c r="O529" i="18"/>
  <c r="N529" i="18"/>
  <c r="M529" i="18"/>
  <c r="L529" i="18"/>
  <c r="K529" i="18"/>
  <c r="J529" i="18"/>
  <c r="I529" i="18"/>
  <c r="G529" i="18"/>
  <c r="E529" i="18"/>
  <c r="D529" i="18"/>
  <c r="C529" i="18"/>
  <c r="B529" i="18"/>
  <c r="Q528" i="18"/>
  <c r="O528" i="18"/>
  <c r="N528" i="18"/>
  <c r="M528" i="18"/>
  <c r="L528" i="18"/>
  <c r="K528" i="18"/>
  <c r="J528" i="18"/>
  <c r="I528" i="18"/>
  <c r="G528" i="18"/>
  <c r="E528" i="18"/>
  <c r="D528" i="18"/>
  <c r="C528" i="18"/>
  <c r="B528" i="18"/>
  <c r="Q527" i="18"/>
  <c r="O527" i="18"/>
  <c r="N527" i="18"/>
  <c r="M527" i="18"/>
  <c r="L527" i="18"/>
  <c r="K527" i="18"/>
  <c r="J527" i="18"/>
  <c r="I527" i="18"/>
  <c r="G527" i="18"/>
  <c r="E527" i="18"/>
  <c r="D527" i="18"/>
  <c r="C527" i="18"/>
  <c r="B527" i="18"/>
  <c r="G526" i="18"/>
  <c r="E526" i="18"/>
  <c r="D526" i="18"/>
  <c r="C526" i="18"/>
  <c r="B526" i="18"/>
  <c r="G525" i="18"/>
  <c r="E525" i="18"/>
  <c r="D525" i="18"/>
  <c r="C525" i="18"/>
  <c r="B525" i="18"/>
  <c r="Q524" i="18"/>
  <c r="O524" i="18"/>
  <c r="G524" i="18"/>
  <c r="E524" i="18"/>
  <c r="D524" i="18"/>
  <c r="C524" i="18"/>
  <c r="B524" i="18"/>
  <c r="Q523" i="18"/>
  <c r="O523" i="18"/>
  <c r="N523" i="18"/>
  <c r="M523" i="18"/>
  <c r="L523" i="18"/>
  <c r="K523" i="18"/>
  <c r="J523" i="18"/>
  <c r="I523" i="18"/>
  <c r="G523" i="18"/>
  <c r="E523" i="18"/>
  <c r="D523" i="18"/>
  <c r="C523" i="18"/>
  <c r="B523" i="18"/>
  <c r="G522" i="18"/>
  <c r="E522" i="18"/>
  <c r="D522" i="18"/>
  <c r="C522" i="18"/>
  <c r="B522" i="18"/>
  <c r="G521" i="18"/>
  <c r="C392" i="15" s="1"/>
  <c r="E521" i="18"/>
  <c r="D521" i="18"/>
  <c r="C521" i="18"/>
  <c r="B521" i="18"/>
  <c r="Q520" i="18"/>
  <c r="O520" i="18"/>
  <c r="N520" i="18"/>
  <c r="M520" i="18"/>
  <c r="L520" i="18"/>
  <c r="K520" i="18"/>
  <c r="J520" i="18"/>
  <c r="I520" i="18"/>
  <c r="G520" i="18"/>
  <c r="E520" i="18"/>
  <c r="D520" i="18"/>
  <c r="C520" i="18"/>
  <c r="B520" i="18"/>
  <c r="Q519" i="18"/>
  <c r="O519" i="18"/>
  <c r="N519" i="18"/>
  <c r="M519" i="18"/>
  <c r="L519" i="18"/>
  <c r="K519" i="18"/>
  <c r="J519" i="18"/>
  <c r="I519" i="18"/>
  <c r="G519" i="18"/>
  <c r="E519" i="18"/>
  <c r="D519" i="18"/>
  <c r="C519" i="18"/>
  <c r="B519" i="18"/>
  <c r="Q518" i="18"/>
  <c r="O518" i="18"/>
  <c r="N518" i="18"/>
  <c r="M518" i="18"/>
  <c r="L518" i="18"/>
  <c r="K518" i="18"/>
  <c r="J518" i="18"/>
  <c r="I518" i="18"/>
  <c r="G518" i="18"/>
  <c r="E518" i="18"/>
  <c r="D518" i="18"/>
  <c r="C518" i="18"/>
  <c r="B518" i="18"/>
  <c r="Q517" i="18"/>
  <c r="O517" i="18"/>
  <c r="N517" i="18"/>
  <c r="M517" i="18"/>
  <c r="L517" i="18"/>
  <c r="K517" i="18"/>
  <c r="J517" i="18"/>
  <c r="I517" i="18"/>
  <c r="G517" i="18"/>
  <c r="E517" i="18"/>
  <c r="D517" i="18"/>
  <c r="C517" i="18"/>
  <c r="B517" i="18"/>
  <c r="Q516" i="18"/>
  <c r="O516" i="18"/>
  <c r="N516" i="18"/>
  <c r="M516" i="18"/>
  <c r="L516" i="18"/>
  <c r="K516" i="18"/>
  <c r="J516" i="18"/>
  <c r="I516" i="18"/>
  <c r="G516" i="18"/>
  <c r="E516" i="18"/>
  <c r="D516" i="18"/>
  <c r="C516" i="18"/>
  <c r="B516" i="18"/>
  <c r="Q515" i="18"/>
  <c r="O515" i="18"/>
  <c r="N515" i="18"/>
  <c r="M515" i="18"/>
  <c r="L515" i="18"/>
  <c r="K515" i="18"/>
  <c r="J515" i="18"/>
  <c r="I515" i="18"/>
  <c r="G515" i="18"/>
  <c r="E515" i="18"/>
  <c r="D515" i="18"/>
  <c r="C515" i="18"/>
  <c r="B515" i="18"/>
  <c r="Q514" i="18"/>
  <c r="O514" i="18"/>
  <c r="N514" i="18"/>
  <c r="M514" i="18"/>
  <c r="L514" i="18"/>
  <c r="K514" i="18"/>
  <c r="J514" i="18"/>
  <c r="I514" i="18"/>
  <c r="G514" i="18"/>
  <c r="E514" i="18"/>
  <c r="D514" i="18"/>
  <c r="C514" i="18"/>
  <c r="B514" i="18"/>
  <c r="Q513" i="18"/>
  <c r="O513" i="18"/>
  <c r="N513" i="18"/>
  <c r="M513" i="18"/>
  <c r="L513" i="18"/>
  <c r="K513" i="18"/>
  <c r="J513" i="18"/>
  <c r="I513" i="18"/>
  <c r="G513" i="18"/>
  <c r="E513" i="18"/>
  <c r="D513" i="18"/>
  <c r="C513" i="18"/>
  <c r="B513" i="18"/>
  <c r="Q512" i="18"/>
  <c r="O512" i="18"/>
  <c r="N512" i="18"/>
  <c r="M512" i="18"/>
  <c r="L512" i="18"/>
  <c r="K512" i="18"/>
  <c r="J512" i="18"/>
  <c r="I512" i="18"/>
  <c r="G512" i="18"/>
  <c r="E512" i="18"/>
  <c r="D512" i="18"/>
  <c r="C512" i="18"/>
  <c r="B512" i="18"/>
  <c r="Q511" i="18"/>
  <c r="O511" i="18"/>
  <c r="N511" i="18"/>
  <c r="M511" i="18"/>
  <c r="L511" i="18"/>
  <c r="K511" i="18"/>
  <c r="J511" i="18"/>
  <c r="I511" i="18"/>
  <c r="G511" i="18"/>
  <c r="E511" i="18"/>
  <c r="D511" i="18"/>
  <c r="C511" i="18"/>
  <c r="B511" i="18"/>
  <c r="G510" i="18"/>
  <c r="E510" i="18"/>
  <c r="D510" i="18"/>
  <c r="C510" i="18"/>
  <c r="B510" i="18"/>
  <c r="Q509" i="18"/>
  <c r="O509" i="18"/>
  <c r="N509" i="18"/>
  <c r="M509" i="18"/>
  <c r="L509" i="18"/>
  <c r="K509" i="18"/>
  <c r="J509" i="18"/>
  <c r="I509" i="18"/>
  <c r="G509" i="18"/>
  <c r="E509" i="18"/>
  <c r="D509" i="18"/>
  <c r="C509" i="18"/>
  <c r="B509" i="18"/>
  <c r="Q508" i="18"/>
  <c r="O508" i="18"/>
  <c r="N508" i="18"/>
  <c r="M508" i="18"/>
  <c r="L508" i="18"/>
  <c r="K508" i="18"/>
  <c r="J508" i="18"/>
  <c r="I508" i="18"/>
  <c r="G508" i="18"/>
  <c r="E508" i="18"/>
  <c r="D508" i="18"/>
  <c r="C508" i="18"/>
  <c r="B508" i="18"/>
  <c r="G507" i="18"/>
  <c r="E507" i="18"/>
  <c r="D507" i="18"/>
  <c r="C507" i="18"/>
  <c r="B507" i="18"/>
  <c r="Q506" i="18"/>
  <c r="O506" i="18"/>
  <c r="N506" i="18"/>
  <c r="M506" i="18"/>
  <c r="L506" i="18"/>
  <c r="K506" i="18"/>
  <c r="J506" i="18"/>
  <c r="I506" i="18"/>
  <c r="G506" i="18"/>
  <c r="E506" i="18"/>
  <c r="D506" i="18"/>
  <c r="C506" i="18"/>
  <c r="B506" i="18"/>
  <c r="Q505" i="18"/>
  <c r="O505" i="18"/>
  <c r="N505" i="18"/>
  <c r="M505" i="18"/>
  <c r="L505" i="18"/>
  <c r="K505" i="18"/>
  <c r="J505" i="18"/>
  <c r="I505" i="18"/>
  <c r="G505" i="18"/>
  <c r="E505" i="18"/>
  <c r="D505" i="18"/>
  <c r="C505" i="18"/>
  <c r="B505" i="18"/>
  <c r="G504" i="18"/>
  <c r="C387" i="15" s="1"/>
  <c r="E504" i="18"/>
  <c r="D504" i="18"/>
  <c r="C504" i="18"/>
  <c r="B504" i="18"/>
  <c r="Q503" i="18"/>
  <c r="O503" i="18"/>
  <c r="N503" i="18"/>
  <c r="M503" i="18"/>
  <c r="L503" i="18"/>
  <c r="K503" i="18"/>
  <c r="J503" i="18"/>
  <c r="I503" i="18"/>
  <c r="G503" i="18"/>
  <c r="E503" i="18"/>
  <c r="D503" i="18"/>
  <c r="C503" i="18"/>
  <c r="B503" i="18"/>
  <c r="Q502" i="18"/>
  <c r="O502" i="18"/>
  <c r="N502" i="18"/>
  <c r="M502" i="18"/>
  <c r="L502" i="18"/>
  <c r="K502" i="18"/>
  <c r="J502" i="18"/>
  <c r="I502" i="18"/>
  <c r="G502" i="18"/>
  <c r="E502" i="18"/>
  <c r="D502" i="18"/>
  <c r="C502" i="18"/>
  <c r="B502" i="18"/>
  <c r="Q501" i="18"/>
  <c r="O501" i="18"/>
  <c r="N501" i="18"/>
  <c r="M501" i="18"/>
  <c r="L501" i="18"/>
  <c r="K501" i="18"/>
  <c r="J501" i="18"/>
  <c r="I501" i="18"/>
  <c r="G501" i="18"/>
  <c r="E501" i="18"/>
  <c r="D501" i="18"/>
  <c r="C501" i="18"/>
  <c r="B501" i="18"/>
  <c r="Q500" i="18"/>
  <c r="O500" i="18"/>
  <c r="N500" i="18"/>
  <c r="M500" i="18"/>
  <c r="L500" i="18"/>
  <c r="K500" i="18"/>
  <c r="J500" i="18"/>
  <c r="I500" i="18"/>
  <c r="G500" i="18"/>
  <c r="E500" i="18"/>
  <c r="D500" i="18"/>
  <c r="C500" i="18"/>
  <c r="B500" i="18"/>
  <c r="G499" i="18"/>
  <c r="E499" i="18"/>
  <c r="D499" i="18"/>
  <c r="C499" i="18"/>
  <c r="B499" i="18"/>
  <c r="Q498" i="18"/>
  <c r="O498" i="18"/>
  <c r="N498" i="18"/>
  <c r="M498" i="18"/>
  <c r="L498" i="18"/>
  <c r="K498" i="18"/>
  <c r="J498" i="18"/>
  <c r="I498" i="18"/>
  <c r="G498" i="18"/>
  <c r="E498" i="18"/>
  <c r="D498" i="18"/>
  <c r="C498" i="18"/>
  <c r="B498" i="18"/>
  <c r="Q497" i="18"/>
  <c r="O497" i="18"/>
  <c r="N497" i="18"/>
  <c r="M497" i="18"/>
  <c r="L497" i="18"/>
  <c r="K497" i="18"/>
  <c r="J497" i="18"/>
  <c r="I497" i="18"/>
  <c r="G497" i="18"/>
  <c r="E497" i="18"/>
  <c r="D497" i="18"/>
  <c r="C497" i="18"/>
  <c r="B497" i="18"/>
  <c r="Q496" i="18"/>
  <c r="O496" i="18"/>
  <c r="N496" i="18"/>
  <c r="M496" i="18"/>
  <c r="L496" i="18"/>
  <c r="K496" i="18"/>
  <c r="J496" i="18"/>
  <c r="I496" i="18"/>
  <c r="G496" i="18"/>
  <c r="E496" i="18"/>
  <c r="D496" i="18"/>
  <c r="C496" i="18"/>
  <c r="B496" i="18"/>
  <c r="G495" i="18"/>
  <c r="E495" i="18"/>
  <c r="D495" i="18"/>
  <c r="C495" i="18"/>
  <c r="B495" i="18"/>
  <c r="Q494" i="18"/>
  <c r="O494" i="18"/>
  <c r="N494" i="18"/>
  <c r="M494" i="18"/>
  <c r="L494" i="18"/>
  <c r="K494" i="18"/>
  <c r="J494" i="18"/>
  <c r="I494" i="18"/>
  <c r="G494" i="18"/>
  <c r="E494" i="18"/>
  <c r="D494" i="18"/>
  <c r="C494" i="18"/>
  <c r="B494" i="18"/>
  <c r="Q493" i="18"/>
  <c r="O493" i="18"/>
  <c r="G493" i="18"/>
  <c r="E493" i="18"/>
  <c r="D493" i="18"/>
  <c r="C493" i="18"/>
  <c r="B493" i="18"/>
  <c r="Q492" i="18"/>
  <c r="O492" i="18"/>
  <c r="N492" i="18"/>
  <c r="M492" i="18"/>
  <c r="L492" i="18"/>
  <c r="K492" i="18"/>
  <c r="J492" i="18"/>
  <c r="I492" i="18"/>
  <c r="G492" i="18"/>
  <c r="E492" i="18"/>
  <c r="D492" i="18"/>
  <c r="C492" i="18"/>
  <c r="B492" i="18"/>
  <c r="Q491" i="18"/>
  <c r="O491" i="18"/>
  <c r="N491" i="18"/>
  <c r="M491" i="18"/>
  <c r="L491" i="18"/>
  <c r="K491" i="18"/>
  <c r="J491" i="18"/>
  <c r="I491" i="18"/>
  <c r="G491" i="18"/>
  <c r="E491" i="18"/>
  <c r="D491" i="18"/>
  <c r="C491" i="18"/>
  <c r="B491" i="18"/>
  <c r="G490" i="18"/>
  <c r="C378" i="15" s="1"/>
  <c r="E490" i="18"/>
  <c r="D490" i="18"/>
  <c r="C490" i="18"/>
  <c r="B490" i="18"/>
  <c r="Q489" i="18"/>
  <c r="O489" i="18"/>
  <c r="N489" i="18"/>
  <c r="M489" i="18"/>
  <c r="L489" i="18"/>
  <c r="K489" i="18"/>
  <c r="J489" i="18"/>
  <c r="I489" i="18"/>
  <c r="G489" i="18"/>
  <c r="E489" i="18"/>
  <c r="D489" i="18"/>
  <c r="C489" i="18"/>
  <c r="B489" i="18"/>
  <c r="Q488" i="18"/>
  <c r="O488" i="18"/>
  <c r="N488" i="18"/>
  <c r="M488" i="18"/>
  <c r="L488" i="18"/>
  <c r="K488" i="18"/>
  <c r="J488" i="18"/>
  <c r="I488" i="18"/>
  <c r="G488" i="18"/>
  <c r="E488" i="18"/>
  <c r="D488" i="18"/>
  <c r="C488" i="18"/>
  <c r="B488" i="18"/>
  <c r="G487" i="18"/>
  <c r="E487" i="18"/>
  <c r="D487" i="18"/>
  <c r="C487" i="18"/>
  <c r="B487" i="18"/>
  <c r="Q486" i="18"/>
  <c r="O486" i="18"/>
  <c r="N486" i="18"/>
  <c r="M486" i="18"/>
  <c r="L486" i="18"/>
  <c r="K486" i="18"/>
  <c r="J486" i="18"/>
  <c r="I486" i="18"/>
  <c r="G486" i="18"/>
  <c r="E486" i="18"/>
  <c r="D486" i="18"/>
  <c r="C486" i="18"/>
  <c r="B486" i="18"/>
  <c r="Q485" i="18"/>
  <c r="O485" i="18"/>
  <c r="N485" i="18"/>
  <c r="M485" i="18"/>
  <c r="L485" i="18"/>
  <c r="K485" i="18"/>
  <c r="J485" i="18"/>
  <c r="I485" i="18"/>
  <c r="G485" i="18"/>
  <c r="E485" i="18"/>
  <c r="D485" i="18"/>
  <c r="C485" i="18"/>
  <c r="B485" i="18"/>
  <c r="Q484" i="18"/>
  <c r="O484" i="18"/>
  <c r="N484" i="18"/>
  <c r="M484" i="18"/>
  <c r="L484" i="18"/>
  <c r="K484" i="18"/>
  <c r="J484" i="18"/>
  <c r="I484" i="18"/>
  <c r="G484" i="18"/>
  <c r="E484" i="18"/>
  <c r="D484" i="18"/>
  <c r="C484" i="18"/>
  <c r="B484" i="18"/>
  <c r="Q483" i="18"/>
  <c r="O483" i="18"/>
  <c r="N483" i="18"/>
  <c r="M483" i="18"/>
  <c r="L483" i="18"/>
  <c r="K483" i="18"/>
  <c r="J483" i="18"/>
  <c r="I483" i="18"/>
  <c r="G483" i="18"/>
  <c r="E483" i="18"/>
  <c r="D483" i="18"/>
  <c r="C483" i="18"/>
  <c r="B483" i="18"/>
  <c r="Q482" i="18"/>
  <c r="O482" i="18"/>
  <c r="N482" i="18"/>
  <c r="M482" i="18"/>
  <c r="L482" i="18"/>
  <c r="K482" i="18"/>
  <c r="J482" i="18"/>
  <c r="I482" i="18"/>
  <c r="G482" i="18"/>
  <c r="E482" i="18"/>
  <c r="D482" i="18"/>
  <c r="C482" i="18"/>
  <c r="B482" i="18"/>
  <c r="Q481" i="18"/>
  <c r="O481" i="18"/>
  <c r="N481" i="18"/>
  <c r="M481" i="18"/>
  <c r="L481" i="18"/>
  <c r="K481" i="18"/>
  <c r="J481" i="18"/>
  <c r="I481" i="18"/>
  <c r="G481" i="18"/>
  <c r="E481" i="18"/>
  <c r="D481" i="18"/>
  <c r="C481" i="18"/>
  <c r="B481" i="18"/>
  <c r="Q480" i="18"/>
  <c r="O480" i="18"/>
  <c r="N480" i="18"/>
  <c r="M480" i="18"/>
  <c r="L480" i="18"/>
  <c r="K480" i="18"/>
  <c r="J480" i="18"/>
  <c r="I480" i="18"/>
  <c r="G480" i="18"/>
  <c r="E480" i="18"/>
  <c r="D480" i="18"/>
  <c r="C480" i="18"/>
  <c r="B480" i="18"/>
  <c r="G479" i="18"/>
  <c r="E479" i="18"/>
  <c r="D479" i="18"/>
  <c r="C479" i="18"/>
  <c r="B479" i="18"/>
  <c r="Q478" i="18"/>
  <c r="O478" i="18"/>
  <c r="N478" i="18"/>
  <c r="M478" i="18"/>
  <c r="L478" i="18"/>
  <c r="K478" i="18"/>
  <c r="J478" i="18"/>
  <c r="I478" i="18"/>
  <c r="G478" i="18"/>
  <c r="E478" i="18"/>
  <c r="D478" i="18"/>
  <c r="C478" i="18"/>
  <c r="B478" i="18"/>
  <c r="Q477" i="18"/>
  <c r="O477" i="18"/>
  <c r="N477" i="18"/>
  <c r="M477" i="18"/>
  <c r="L477" i="18"/>
  <c r="K477" i="18"/>
  <c r="J477" i="18"/>
  <c r="I477" i="18"/>
  <c r="G477" i="18"/>
  <c r="E477" i="18"/>
  <c r="D477" i="18"/>
  <c r="C477" i="18"/>
  <c r="B477" i="18"/>
  <c r="G476" i="18"/>
  <c r="E476" i="18"/>
  <c r="D476" i="18"/>
  <c r="C476" i="18"/>
  <c r="B476" i="18"/>
  <c r="Q475" i="18"/>
  <c r="O475" i="18"/>
  <c r="N475" i="18"/>
  <c r="M475" i="18"/>
  <c r="L475" i="18"/>
  <c r="K475" i="18"/>
  <c r="J475" i="18"/>
  <c r="I475" i="18"/>
  <c r="G475" i="18"/>
  <c r="E475" i="18"/>
  <c r="D475" i="18"/>
  <c r="C475" i="18"/>
  <c r="B475" i="18"/>
  <c r="Q474" i="18"/>
  <c r="O474" i="18"/>
  <c r="N474" i="18"/>
  <c r="M474" i="18"/>
  <c r="L474" i="18"/>
  <c r="K474" i="18"/>
  <c r="J474" i="18"/>
  <c r="I474" i="18"/>
  <c r="G474" i="18"/>
  <c r="E474" i="18"/>
  <c r="D474" i="18"/>
  <c r="C474" i="18"/>
  <c r="B474" i="18"/>
  <c r="G473" i="18"/>
  <c r="C372" i="15" s="1"/>
  <c r="E473" i="18"/>
  <c r="D473" i="18"/>
  <c r="C473" i="18"/>
  <c r="B473" i="18"/>
  <c r="Q472" i="18"/>
  <c r="O472" i="18"/>
  <c r="N472" i="18"/>
  <c r="M472" i="18"/>
  <c r="L472" i="18"/>
  <c r="K472" i="18"/>
  <c r="J472" i="18"/>
  <c r="I472" i="18"/>
  <c r="G472" i="18"/>
  <c r="E472" i="18"/>
  <c r="D472" i="18"/>
  <c r="C472" i="18"/>
  <c r="B472" i="18"/>
  <c r="Q471" i="18"/>
  <c r="O471" i="18"/>
  <c r="N471" i="18"/>
  <c r="M471" i="18"/>
  <c r="L471" i="18"/>
  <c r="K471" i="18"/>
  <c r="J471" i="18"/>
  <c r="I471" i="18"/>
  <c r="G471" i="18"/>
  <c r="E471" i="18"/>
  <c r="D471" i="18"/>
  <c r="C471" i="18"/>
  <c r="B471" i="18"/>
  <c r="Q470" i="18"/>
  <c r="O470" i="18"/>
  <c r="N470" i="18"/>
  <c r="M470" i="18"/>
  <c r="L470" i="18"/>
  <c r="K470" i="18"/>
  <c r="J470" i="18"/>
  <c r="I470" i="18"/>
  <c r="G470" i="18"/>
  <c r="E470" i="18"/>
  <c r="D470" i="18"/>
  <c r="C470" i="18"/>
  <c r="B470" i="18"/>
  <c r="Q469" i="18"/>
  <c r="O469" i="18"/>
  <c r="N469" i="18"/>
  <c r="M469" i="18"/>
  <c r="L469" i="18"/>
  <c r="K469" i="18"/>
  <c r="J469" i="18"/>
  <c r="I469" i="18"/>
  <c r="G469" i="18"/>
  <c r="E469" i="18"/>
  <c r="D469" i="18"/>
  <c r="C469" i="18"/>
  <c r="B469" i="18"/>
  <c r="Q468" i="18"/>
  <c r="O468" i="18"/>
  <c r="N468" i="18"/>
  <c r="M468" i="18"/>
  <c r="L468" i="18"/>
  <c r="K468" i="18"/>
  <c r="J468" i="18"/>
  <c r="I468" i="18"/>
  <c r="G468" i="18"/>
  <c r="E468" i="18"/>
  <c r="D468" i="18"/>
  <c r="C468" i="18"/>
  <c r="B468" i="18"/>
  <c r="Q467" i="18"/>
  <c r="O467" i="18"/>
  <c r="N467" i="18"/>
  <c r="M467" i="18"/>
  <c r="L467" i="18"/>
  <c r="K467" i="18"/>
  <c r="J467" i="18"/>
  <c r="I467" i="18"/>
  <c r="G467" i="18"/>
  <c r="E467" i="18"/>
  <c r="D467" i="18"/>
  <c r="C467" i="18"/>
  <c r="B467" i="18"/>
  <c r="Q466" i="18"/>
  <c r="O466" i="18"/>
  <c r="N466" i="18"/>
  <c r="M466" i="18"/>
  <c r="L466" i="18"/>
  <c r="K466" i="18"/>
  <c r="J466" i="18"/>
  <c r="I466" i="18"/>
  <c r="G466" i="18"/>
  <c r="E466" i="18"/>
  <c r="D466" i="18"/>
  <c r="C466" i="18"/>
  <c r="B466" i="18"/>
  <c r="Q465" i="18"/>
  <c r="O465" i="18"/>
  <c r="N465" i="18"/>
  <c r="M465" i="18"/>
  <c r="L465" i="18"/>
  <c r="K465" i="18"/>
  <c r="J465" i="18"/>
  <c r="I465" i="18"/>
  <c r="G465" i="18"/>
  <c r="E465" i="18"/>
  <c r="D465" i="18"/>
  <c r="C465" i="18"/>
  <c r="B465" i="18"/>
  <c r="G464" i="18"/>
  <c r="E464" i="18"/>
  <c r="D464" i="18"/>
  <c r="C464" i="18"/>
  <c r="B464" i="18"/>
  <c r="Q463" i="18"/>
  <c r="O463" i="18"/>
  <c r="N463" i="18"/>
  <c r="M463" i="18"/>
  <c r="L463" i="18"/>
  <c r="K463" i="18"/>
  <c r="J463" i="18"/>
  <c r="I463" i="18"/>
  <c r="G463" i="18"/>
  <c r="E463" i="18"/>
  <c r="D463" i="18"/>
  <c r="C463" i="18"/>
  <c r="B463" i="18"/>
  <c r="Q462" i="18"/>
  <c r="O462" i="18"/>
  <c r="G462" i="18"/>
  <c r="E462" i="18"/>
  <c r="D462" i="18"/>
  <c r="C462" i="18"/>
  <c r="B462" i="18"/>
  <c r="Q461" i="18"/>
  <c r="O461" i="18"/>
  <c r="N461" i="18"/>
  <c r="M461" i="18"/>
  <c r="L461" i="18"/>
  <c r="K461" i="18"/>
  <c r="J461" i="18"/>
  <c r="I461" i="18"/>
  <c r="G461" i="18"/>
  <c r="E461" i="18"/>
  <c r="D461" i="18"/>
  <c r="C461" i="18"/>
  <c r="B461" i="18"/>
  <c r="G460" i="18"/>
  <c r="C366" i="15" s="1"/>
  <c r="E460" i="18"/>
  <c r="D460" i="18"/>
  <c r="C460" i="18"/>
  <c r="B460" i="18"/>
  <c r="G459" i="18"/>
  <c r="E459" i="18"/>
  <c r="D459" i="18"/>
  <c r="C459" i="18"/>
  <c r="B459" i="18"/>
  <c r="Q458" i="18"/>
  <c r="O458" i="18"/>
  <c r="N458" i="18"/>
  <c r="M458" i="18"/>
  <c r="L458" i="18"/>
  <c r="K458" i="18"/>
  <c r="J458" i="18"/>
  <c r="I458" i="18"/>
  <c r="G458" i="18"/>
  <c r="E458" i="18"/>
  <c r="D458" i="18"/>
  <c r="C458" i="18"/>
  <c r="B458" i="18"/>
  <c r="G457" i="18"/>
  <c r="E457" i="18"/>
  <c r="D457" i="18"/>
  <c r="C457" i="18"/>
  <c r="B457" i="18"/>
  <c r="G456" i="18"/>
  <c r="E456" i="18"/>
  <c r="D456" i="18"/>
  <c r="C456" i="18"/>
  <c r="B456" i="18"/>
  <c r="Q455" i="18"/>
  <c r="O455" i="18"/>
  <c r="N455" i="18"/>
  <c r="M455" i="18"/>
  <c r="L455" i="18"/>
  <c r="K455" i="18"/>
  <c r="J455" i="18"/>
  <c r="I455" i="18"/>
  <c r="G455" i="18"/>
  <c r="E455" i="18"/>
  <c r="D455" i="18"/>
  <c r="C455" i="18"/>
  <c r="B455" i="18"/>
  <c r="Q454" i="18"/>
  <c r="O454" i="18"/>
  <c r="N454" i="18"/>
  <c r="M454" i="18"/>
  <c r="L454" i="18"/>
  <c r="K454" i="18"/>
  <c r="J454" i="18"/>
  <c r="I454" i="18"/>
  <c r="G454" i="18"/>
  <c r="E454" i="18"/>
  <c r="D454" i="18"/>
  <c r="C454" i="18"/>
  <c r="B454" i="18"/>
  <c r="Q453" i="18"/>
  <c r="O453" i="18"/>
  <c r="N453" i="18"/>
  <c r="M453" i="18"/>
  <c r="L453" i="18"/>
  <c r="K453" i="18"/>
  <c r="J453" i="18"/>
  <c r="I453" i="18"/>
  <c r="G453" i="18"/>
  <c r="E453" i="18"/>
  <c r="D453" i="18"/>
  <c r="C453" i="18"/>
  <c r="B453" i="18"/>
  <c r="Q452" i="18"/>
  <c r="O452" i="18"/>
  <c r="N452" i="18"/>
  <c r="M452" i="18"/>
  <c r="L452" i="18"/>
  <c r="K452" i="18"/>
  <c r="J452" i="18"/>
  <c r="I452" i="18"/>
  <c r="G452" i="18"/>
  <c r="E452" i="18"/>
  <c r="D452" i="18"/>
  <c r="C452" i="18"/>
  <c r="B452" i="18"/>
  <c r="Q451" i="18"/>
  <c r="O451" i="18"/>
  <c r="N451" i="18"/>
  <c r="M451" i="18"/>
  <c r="L451" i="18"/>
  <c r="K451" i="18"/>
  <c r="J451" i="18"/>
  <c r="I451" i="18"/>
  <c r="G451" i="18"/>
  <c r="E451" i="18"/>
  <c r="D451" i="18"/>
  <c r="C451" i="18"/>
  <c r="B451" i="18"/>
  <c r="Q450" i="18"/>
  <c r="O450" i="18"/>
  <c r="N450" i="18"/>
  <c r="M450" i="18"/>
  <c r="L450" i="18"/>
  <c r="K450" i="18"/>
  <c r="J450" i="18"/>
  <c r="I450" i="18"/>
  <c r="G450" i="18"/>
  <c r="E450" i="18"/>
  <c r="D450" i="18"/>
  <c r="C450" i="18"/>
  <c r="B450" i="18"/>
  <c r="Q449" i="18"/>
  <c r="O449" i="18"/>
  <c r="N449" i="18"/>
  <c r="M449" i="18"/>
  <c r="L449" i="18"/>
  <c r="K449" i="18"/>
  <c r="J449" i="18"/>
  <c r="I449" i="18"/>
  <c r="G449" i="18"/>
  <c r="E449" i="18"/>
  <c r="D449" i="18"/>
  <c r="C449" i="18"/>
  <c r="B449" i="18"/>
  <c r="G448" i="18"/>
  <c r="E448" i="18"/>
  <c r="D448" i="18"/>
  <c r="C448" i="18"/>
  <c r="B448" i="18"/>
  <c r="Q447" i="18"/>
  <c r="O447" i="18"/>
  <c r="N447" i="18"/>
  <c r="M447" i="18"/>
  <c r="L447" i="18"/>
  <c r="K447" i="18"/>
  <c r="J447" i="18"/>
  <c r="I447" i="18"/>
  <c r="G447" i="18"/>
  <c r="E447" i="18"/>
  <c r="D447" i="18"/>
  <c r="C447" i="18"/>
  <c r="B447" i="18"/>
  <c r="Q446" i="18"/>
  <c r="O446" i="18"/>
  <c r="N446" i="18"/>
  <c r="M446" i="18"/>
  <c r="L446" i="18"/>
  <c r="K446" i="18"/>
  <c r="J446" i="18"/>
  <c r="I446" i="18"/>
  <c r="G446" i="18"/>
  <c r="E446" i="18"/>
  <c r="D446" i="18"/>
  <c r="C446" i="18"/>
  <c r="B446" i="18"/>
  <c r="G445" i="18"/>
  <c r="E445" i="18"/>
  <c r="D445" i="18"/>
  <c r="C445" i="18"/>
  <c r="B445" i="18"/>
  <c r="Q444" i="18"/>
  <c r="O444" i="18"/>
  <c r="N444" i="18"/>
  <c r="M444" i="18"/>
  <c r="L444" i="18"/>
  <c r="K444" i="18"/>
  <c r="J444" i="18"/>
  <c r="I444" i="18"/>
  <c r="G444" i="18"/>
  <c r="E444" i="18"/>
  <c r="D444" i="18"/>
  <c r="C444" i="18"/>
  <c r="B444" i="18"/>
  <c r="Q443" i="18"/>
  <c r="O443" i="18"/>
  <c r="N443" i="18"/>
  <c r="M443" i="18"/>
  <c r="L443" i="18"/>
  <c r="K443" i="18"/>
  <c r="J443" i="18"/>
  <c r="I443" i="18"/>
  <c r="G443" i="18"/>
  <c r="E443" i="18"/>
  <c r="D443" i="18"/>
  <c r="C443" i="18"/>
  <c r="B443" i="18"/>
  <c r="G442" i="18"/>
  <c r="E442" i="18"/>
  <c r="D442" i="18"/>
  <c r="C442" i="18"/>
  <c r="B442" i="18"/>
  <c r="Q441" i="18"/>
  <c r="O441" i="18"/>
  <c r="N441" i="18"/>
  <c r="M441" i="18"/>
  <c r="L441" i="18"/>
  <c r="K441" i="18"/>
  <c r="J441" i="18"/>
  <c r="I441" i="18"/>
  <c r="G441" i="18"/>
  <c r="E441" i="18"/>
  <c r="D441" i="18"/>
  <c r="C441" i="18"/>
  <c r="B441" i="18"/>
  <c r="Q440" i="18"/>
  <c r="O440" i="18"/>
  <c r="N440" i="18"/>
  <c r="M440" i="18"/>
  <c r="L440" i="18"/>
  <c r="K440" i="18"/>
  <c r="J440" i="18"/>
  <c r="I440" i="18"/>
  <c r="G440" i="18"/>
  <c r="E440" i="18"/>
  <c r="D440" i="18"/>
  <c r="C440" i="18"/>
  <c r="B440" i="18"/>
  <c r="Q439" i="18"/>
  <c r="O439" i="18"/>
  <c r="N439" i="18"/>
  <c r="M439" i="18"/>
  <c r="L439" i="18"/>
  <c r="K439" i="18"/>
  <c r="J439" i="18"/>
  <c r="I439" i="18"/>
  <c r="G439" i="18"/>
  <c r="E439" i="18"/>
  <c r="D439" i="18"/>
  <c r="C439" i="18"/>
  <c r="B439" i="18"/>
  <c r="Q438" i="18"/>
  <c r="O438" i="18"/>
  <c r="N438" i="18"/>
  <c r="M438" i="18"/>
  <c r="L438" i="18"/>
  <c r="K438" i="18"/>
  <c r="J438" i="18"/>
  <c r="I438" i="18"/>
  <c r="G438" i="18"/>
  <c r="E438" i="18"/>
  <c r="D438" i="18"/>
  <c r="C438" i="18"/>
  <c r="B438" i="18"/>
  <c r="Q437" i="18"/>
  <c r="O437" i="18"/>
  <c r="N437" i="18"/>
  <c r="M437" i="18"/>
  <c r="L437" i="18"/>
  <c r="K437" i="18"/>
  <c r="J437" i="18"/>
  <c r="I437" i="18"/>
  <c r="G437" i="18"/>
  <c r="E437" i="18"/>
  <c r="D437" i="18"/>
  <c r="C437" i="18"/>
  <c r="B437" i="18"/>
  <c r="Q436" i="18"/>
  <c r="O436" i="18"/>
  <c r="N436" i="18"/>
  <c r="M436" i="18"/>
  <c r="L436" i="18"/>
  <c r="K436" i="18"/>
  <c r="J436" i="18"/>
  <c r="I436" i="18"/>
  <c r="G436" i="18"/>
  <c r="E436" i="18"/>
  <c r="D436" i="18"/>
  <c r="C436" i="18"/>
  <c r="B436" i="18"/>
  <c r="Q435" i="18"/>
  <c r="O435" i="18"/>
  <c r="N435" i="18"/>
  <c r="M435" i="18"/>
  <c r="L435" i="18"/>
  <c r="K435" i="18"/>
  <c r="J435" i="18"/>
  <c r="I435" i="18"/>
  <c r="G435" i="18"/>
  <c r="E435" i="18"/>
  <c r="D435" i="18"/>
  <c r="C435" i="18"/>
  <c r="B435" i="18"/>
  <c r="Q434" i="18"/>
  <c r="O434" i="18"/>
  <c r="N434" i="18"/>
  <c r="M434" i="18"/>
  <c r="L434" i="18"/>
  <c r="K434" i="18"/>
  <c r="J434" i="18"/>
  <c r="I434" i="18"/>
  <c r="G434" i="18"/>
  <c r="E434" i="18"/>
  <c r="D434" i="18"/>
  <c r="C434" i="18"/>
  <c r="B434" i="18"/>
  <c r="Q433" i="18"/>
  <c r="O433" i="18"/>
  <c r="N433" i="18"/>
  <c r="M433" i="18"/>
  <c r="L433" i="18"/>
  <c r="K433" i="18"/>
  <c r="J433" i="18"/>
  <c r="I433" i="18"/>
  <c r="G433" i="18"/>
  <c r="E433" i="18"/>
  <c r="D433" i="18"/>
  <c r="C433" i="18"/>
  <c r="B433" i="18"/>
  <c r="Q432" i="18"/>
  <c r="O432" i="18"/>
  <c r="N432" i="18"/>
  <c r="M432" i="18"/>
  <c r="L432" i="18"/>
  <c r="K432" i="18"/>
  <c r="J432" i="18"/>
  <c r="I432" i="18"/>
  <c r="G432" i="18"/>
  <c r="E432" i="18"/>
  <c r="D432" i="18"/>
  <c r="C432" i="18"/>
  <c r="B432" i="18"/>
  <c r="Q431" i="18"/>
  <c r="O431" i="18"/>
  <c r="N431" i="18"/>
  <c r="M431" i="18"/>
  <c r="L431" i="18"/>
  <c r="K431" i="18"/>
  <c r="J431" i="18"/>
  <c r="I431" i="18"/>
  <c r="G431" i="18"/>
  <c r="E431" i="18"/>
  <c r="D431" i="18"/>
  <c r="C431" i="18"/>
  <c r="B431" i="18"/>
  <c r="G430" i="18"/>
  <c r="E430" i="18"/>
  <c r="D430" i="18"/>
  <c r="C430" i="18"/>
  <c r="B430" i="18"/>
  <c r="Q429" i="18"/>
  <c r="O429" i="18"/>
  <c r="N429" i="18"/>
  <c r="M429" i="18"/>
  <c r="L429" i="18"/>
  <c r="K429" i="18"/>
  <c r="J429" i="18"/>
  <c r="I429" i="18"/>
  <c r="G429" i="18"/>
  <c r="E429" i="18"/>
  <c r="D429" i="18"/>
  <c r="C429" i="18"/>
  <c r="B429" i="18"/>
  <c r="G428" i="18"/>
  <c r="E428" i="18"/>
  <c r="D428" i="18"/>
  <c r="C428" i="18"/>
  <c r="B428" i="18"/>
  <c r="Q427" i="18"/>
  <c r="O427" i="18"/>
  <c r="N427" i="18"/>
  <c r="M427" i="18"/>
  <c r="L427" i="18"/>
  <c r="K427" i="18"/>
  <c r="J427" i="18"/>
  <c r="I427" i="18"/>
  <c r="G427" i="18"/>
  <c r="E427" i="18"/>
  <c r="D427" i="18"/>
  <c r="C427" i="18"/>
  <c r="B427" i="18"/>
  <c r="Q426" i="18"/>
  <c r="O426" i="18"/>
  <c r="N426" i="18"/>
  <c r="M426" i="18"/>
  <c r="L426" i="18"/>
  <c r="K426" i="18"/>
  <c r="J426" i="18"/>
  <c r="I426" i="18"/>
  <c r="G426" i="18"/>
  <c r="E426" i="18"/>
  <c r="D426" i="18"/>
  <c r="C426" i="18"/>
  <c r="B426" i="18"/>
  <c r="Q425" i="18"/>
  <c r="O425" i="18"/>
  <c r="N425" i="18"/>
  <c r="M425" i="18"/>
  <c r="L425" i="18"/>
  <c r="K425" i="18"/>
  <c r="J425" i="18"/>
  <c r="I425" i="18"/>
  <c r="G425" i="18"/>
  <c r="E425" i="18"/>
  <c r="D425" i="18"/>
  <c r="C425" i="18"/>
  <c r="B425" i="18"/>
  <c r="Q424" i="18"/>
  <c r="O424" i="18"/>
  <c r="N424" i="18"/>
  <c r="M424" i="18"/>
  <c r="L424" i="18"/>
  <c r="K424" i="18"/>
  <c r="J424" i="18"/>
  <c r="I424" i="18"/>
  <c r="G424" i="18"/>
  <c r="E424" i="18"/>
  <c r="D424" i="18"/>
  <c r="C424" i="18"/>
  <c r="B424" i="18"/>
  <c r="Q423" i="18"/>
  <c r="O423" i="18"/>
  <c r="N423" i="18"/>
  <c r="M423" i="18"/>
  <c r="L423" i="18"/>
  <c r="K423" i="18"/>
  <c r="J423" i="18"/>
  <c r="I423" i="18"/>
  <c r="G423" i="18"/>
  <c r="E423" i="18"/>
  <c r="D423" i="18"/>
  <c r="C423" i="18"/>
  <c r="B423" i="18"/>
  <c r="Q422" i="18"/>
  <c r="O422" i="18"/>
  <c r="N422" i="18"/>
  <c r="M422" i="18"/>
  <c r="L422" i="18"/>
  <c r="K422" i="18"/>
  <c r="J422" i="18"/>
  <c r="I422" i="18"/>
  <c r="G422" i="18"/>
  <c r="E422" i="18"/>
  <c r="D422" i="18"/>
  <c r="C422" i="18"/>
  <c r="B422" i="18"/>
  <c r="Q421" i="18"/>
  <c r="O421" i="18"/>
  <c r="N421" i="18"/>
  <c r="M421" i="18"/>
  <c r="L421" i="18"/>
  <c r="K421" i="18"/>
  <c r="J421" i="18"/>
  <c r="I421" i="18"/>
  <c r="G421" i="18"/>
  <c r="E421" i="18"/>
  <c r="D421" i="18"/>
  <c r="C421" i="18"/>
  <c r="B421" i="18"/>
  <c r="Q420" i="18"/>
  <c r="O420" i="18"/>
  <c r="N420" i="18"/>
  <c r="M420" i="18"/>
  <c r="L420" i="18"/>
  <c r="K420" i="18"/>
  <c r="J420" i="18"/>
  <c r="I420" i="18"/>
  <c r="G420" i="18"/>
  <c r="E420" i="18"/>
  <c r="D420" i="18"/>
  <c r="C420" i="18"/>
  <c r="B420" i="18"/>
  <c r="Q419" i="18"/>
  <c r="O419" i="18"/>
  <c r="N419" i="18"/>
  <c r="M419" i="18"/>
  <c r="L419" i="18"/>
  <c r="K419" i="18"/>
  <c r="J419" i="18"/>
  <c r="I419" i="18"/>
  <c r="G419" i="18"/>
  <c r="E419" i="18"/>
  <c r="D419" i="18"/>
  <c r="C419" i="18"/>
  <c r="B419" i="18"/>
  <c r="Q418" i="18"/>
  <c r="O418" i="18"/>
  <c r="N418" i="18"/>
  <c r="M418" i="18"/>
  <c r="L418" i="18"/>
  <c r="K418" i="18"/>
  <c r="J418" i="18"/>
  <c r="I418" i="18"/>
  <c r="G418" i="18"/>
  <c r="E418" i="18"/>
  <c r="D418" i="18"/>
  <c r="C418" i="18"/>
  <c r="B418" i="18"/>
  <c r="G417" i="18"/>
  <c r="E417" i="18"/>
  <c r="D417" i="18"/>
  <c r="C417" i="18"/>
  <c r="B417" i="18"/>
  <c r="Q416" i="18"/>
  <c r="O416" i="18"/>
  <c r="N416" i="18"/>
  <c r="M416" i="18"/>
  <c r="L416" i="18"/>
  <c r="K416" i="18"/>
  <c r="J416" i="18"/>
  <c r="I416" i="18"/>
  <c r="G416" i="18"/>
  <c r="E416" i="18"/>
  <c r="D416" i="18"/>
  <c r="C416" i="18"/>
  <c r="B416" i="18"/>
  <c r="Q415" i="18"/>
  <c r="O415" i="18"/>
  <c r="N415" i="18"/>
  <c r="M415" i="18"/>
  <c r="L415" i="18"/>
  <c r="K415" i="18"/>
  <c r="J415" i="18"/>
  <c r="I415" i="18"/>
  <c r="G415" i="18"/>
  <c r="E415" i="18"/>
  <c r="D415" i="18"/>
  <c r="C415" i="18"/>
  <c r="B415" i="18"/>
  <c r="G414" i="18"/>
  <c r="E414" i="18"/>
  <c r="D414" i="18"/>
  <c r="C414" i="18"/>
  <c r="B414" i="18"/>
  <c r="Q413" i="18"/>
  <c r="O413" i="18"/>
  <c r="N413" i="18"/>
  <c r="M413" i="18"/>
  <c r="L413" i="18"/>
  <c r="K413" i="18"/>
  <c r="J413" i="18"/>
  <c r="I413" i="18"/>
  <c r="G413" i="18"/>
  <c r="E413" i="18"/>
  <c r="D413" i="18"/>
  <c r="C413" i="18"/>
  <c r="B413" i="18"/>
  <c r="Q412" i="18"/>
  <c r="O412" i="18"/>
  <c r="N412" i="18"/>
  <c r="M412" i="18"/>
  <c r="L412" i="18"/>
  <c r="K412" i="18"/>
  <c r="J412" i="18"/>
  <c r="I412" i="18"/>
  <c r="G412" i="18"/>
  <c r="E412" i="18"/>
  <c r="D412" i="18"/>
  <c r="C412" i="18"/>
  <c r="B412" i="18"/>
  <c r="G411" i="18"/>
  <c r="E411" i="18"/>
  <c r="D411" i="18"/>
  <c r="C411" i="18"/>
  <c r="B411" i="18"/>
  <c r="Q410" i="18"/>
  <c r="O410" i="18"/>
  <c r="N410" i="18"/>
  <c r="M410" i="18"/>
  <c r="L410" i="18"/>
  <c r="K410" i="18"/>
  <c r="J410" i="18"/>
  <c r="I410" i="18"/>
  <c r="G410" i="18"/>
  <c r="E410" i="18"/>
  <c r="D410" i="18"/>
  <c r="C410" i="18"/>
  <c r="B410" i="18"/>
  <c r="Q409" i="18"/>
  <c r="O409" i="18"/>
  <c r="N409" i="18"/>
  <c r="M409" i="18"/>
  <c r="L409" i="18"/>
  <c r="K409" i="18"/>
  <c r="J409" i="18"/>
  <c r="I409" i="18"/>
  <c r="G409" i="18"/>
  <c r="E409" i="18"/>
  <c r="D409" i="18"/>
  <c r="C409" i="18"/>
  <c r="B409" i="18"/>
  <c r="Q408" i="18"/>
  <c r="O408" i="18"/>
  <c r="N408" i="18"/>
  <c r="M408" i="18"/>
  <c r="L408" i="18"/>
  <c r="K408" i="18"/>
  <c r="J408" i="18"/>
  <c r="I408" i="18"/>
  <c r="G408" i="18"/>
  <c r="E408" i="18"/>
  <c r="D408" i="18"/>
  <c r="C408" i="18"/>
  <c r="B408" i="18"/>
  <c r="Q407" i="18"/>
  <c r="O407" i="18"/>
  <c r="N407" i="18"/>
  <c r="M407" i="18"/>
  <c r="L407" i="18"/>
  <c r="K407" i="18"/>
  <c r="J407" i="18"/>
  <c r="I407" i="18"/>
  <c r="G407" i="18"/>
  <c r="E407" i="18"/>
  <c r="D407" i="18"/>
  <c r="C407" i="18"/>
  <c r="B407" i="18"/>
  <c r="G406" i="18"/>
  <c r="E406" i="18"/>
  <c r="D406" i="18"/>
  <c r="C406" i="18"/>
  <c r="B406" i="18"/>
  <c r="Q405" i="18"/>
  <c r="O405" i="18"/>
  <c r="N405" i="18"/>
  <c r="M405" i="18"/>
  <c r="L405" i="18"/>
  <c r="K405" i="18"/>
  <c r="J405" i="18"/>
  <c r="I405" i="18"/>
  <c r="G405" i="18"/>
  <c r="E405" i="18"/>
  <c r="D405" i="18"/>
  <c r="C405" i="18"/>
  <c r="B405" i="18"/>
  <c r="Q404" i="18"/>
  <c r="O404" i="18"/>
  <c r="N404" i="18"/>
  <c r="M404" i="18"/>
  <c r="L404" i="18"/>
  <c r="K404" i="18"/>
  <c r="J404" i="18"/>
  <c r="I404" i="18"/>
  <c r="G404" i="18"/>
  <c r="E404" i="18"/>
  <c r="D404" i="18"/>
  <c r="C404" i="18"/>
  <c r="B404" i="18"/>
  <c r="Q403" i="18"/>
  <c r="O403" i="18"/>
  <c r="N403" i="18"/>
  <c r="M403" i="18"/>
  <c r="L403" i="18"/>
  <c r="K403" i="18"/>
  <c r="J403" i="18"/>
  <c r="I403" i="18"/>
  <c r="G403" i="18"/>
  <c r="E403" i="18"/>
  <c r="D403" i="18"/>
  <c r="C403" i="18"/>
  <c r="B403" i="18"/>
  <c r="G402" i="18"/>
  <c r="E402" i="18"/>
  <c r="D402" i="18"/>
  <c r="C402" i="18"/>
  <c r="B402" i="18"/>
  <c r="Q401" i="18"/>
  <c r="O401" i="18"/>
  <c r="N401" i="18"/>
  <c r="M401" i="18"/>
  <c r="L401" i="18"/>
  <c r="K401" i="18"/>
  <c r="J401" i="18"/>
  <c r="I401" i="18"/>
  <c r="G401" i="18"/>
  <c r="E401" i="18"/>
  <c r="D401" i="18"/>
  <c r="C401" i="18"/>
  <c r="B401" i="18"/>
  <c r="Q400" i="18"/>
  <c r="O400" i="18"/>
  <c r="N400" i="18"/>
  <c r="M400" i="18"/>
  <c r="L400" i="18"/>
  <c r="K400" i="18"/>
  <c r="J400" i="18"/>
  <c r="I400" i="18"/>
  <c r="G400" i="18"/>
  <c r="E400" i="18"/>
  <c r="D400" i="18"/>
  <c r="C400" i="18"/>
  <c r="B400" i="18"/>
  <c r="Q399" i="18"/>
  <c r="O399" i="18"/>
  <c r="N399" i="18"/>
  <c r="M399" i="18"/>
  <c r="L399" i="18"/>
  <c r="K399" i="18"/>
  <c r="J399" i="18"/>
  <c r="I399" i="18"/>
  <c r="G399" i="18"/>
  <c r="E399" i="18"/>
  <c r="D399" i="18"/>
  <c r="C399" i="18"/>
  <c r="B399" i="18"/>
  <c r="G398" i="18"/>
  <c r="E398" i="18"/>
  <c r="D398" i="18"/>
  <c r="C398" i="18"/>
  <c r="B398" i="18"/>
  <c r="G397" i="18"/>
  <c r="E397" i="18"/>
  <c r="D397" i="18"/>
  <c r="C397" i="18"/>
  <c r="B397" i="18"/>
  <c r="Q396" i="18"/>
  <c r="O396" i="18"/>
  <c r="N396" i="18"/>
  <c r="M396" i="18"/>
  <c r="L396" i="18"/>
  <c r="K396" i="18"/>
  <c r="J396" i="18"/>
  <c r="I396" i="18"/>
  <c r="G396" i="18"/>
  <c r="E396" i="18"/>
  <c r="D396" i="18"/>
  <c r="C396" i="18"/>
  <c r="B396" i="18"/>
  <c r="Q395" i="18"/>
  <c r="O395" i="18"/>
  <c r="N395" i="18"/>
  <c r="M395" i="18"/>
  <c r="L395" i="18"/>
  <c r="K395" i="18"/>
  <c r="J395" i="18"/>
  <c r="I395" i="18"/>
  <c r="G395" i="18"/>
  <c r="E395" i="18"/>
  <c r="D395" i="18"/>
  <c r="C395" i="18"/>
  <c r="B395" i="18"/>
  <c r="Q394" i="18"/>
  <c r="O394" i="18"/>
  <c r="N394" i="18"/>
  <c r="M394" i="18"/>
  <c r="L394" i="18"/>
  <c r="K394" i="18"/>
  <c r="J394" i="18"/>
  <c r="I394" i="18"/>
  <c r="G394" i="18"/>
  <c r="E394" i="18"/>
  <c r="D394" i="18"/>
  <c r="C394" i="18"/>
  <c r="B394" i="18"/>
  <c r="Q393" i="18"/>
  <c r="O393" i="18"/>
  <c r="N393" i="18"/>
  <c r="M393" i="18"/>
  <c r="L393" i="18"/>
  <c r="K393" i="18"/>
  <c r="J393" i="18"/>
  <c r="I393" i="18"/>
  <c r="G393" i="18"/>
  <c r="E393" i="18"/>
  <c r="D393" i="18"/>
  <c r="C393" i="18"/>
  <c r="B393" i="18"/>
  <c r="Q392" i="18"/>
  <c r="O392" i="18"/>
  <c r="N392" i="18"/>
  <c r="M392" i="18"/>
  <c r="L392" i="18"/>
  <c r="K392" i="18"/>
  <c r="J392" i="18"/>
  <c r="I392" i="18"/>
  <c r="G392" i="18"/>
  <c r="E392" i="18"/>
  <c r="D392" i="18"/>
  <c r="C392" i="18"/>
  <c r="B392" i="18"/>
  <c r="Q391" i="18"/>
  <c r="O391" i="18"/>
  <c r="N391" i="18"/>
  <c r="M391" i="18"/>
  <c r="L391" i="18"/>
  <c r="K391" i="18"/>
  <c r="J391" i="18"/>
  <c r="I391" i="18"/>
  <c r="G391" i="18"/>
  <c r="E391" i="18"/>
  <c r="D391" i="18"/>
  <c r="C391" i="18"/>
  <c r="B391" i="18"/>
  <c r="Q390" i="18"/>
  <c r="O390" i="18"/>
  <c r="N390" i="18"/>
  <c r="M390" i="18"/>
  <c r="L390" i="18"/>
  <c r="K390" i="18"/>
  <c r="J390" i="18"/>
  <c r="I390" i="18"/>
  <c r="G390" i="18"/>
  <c r="E390" i="18"/>
  <c r="D390" i="18"/>
  <c r="C390" i="18"/>
  <c r="B390" i="18"/>
  <c r="Q389" i="18"/>
  <c r="O389" i="18"/>
  <c r="N389" i="18"/>
  <c r="M389" i="18"/>
  <c r="L389" i="18"/>
  <c r="K389" i="18"/>
  <c r="J389" i="18"/>
  <c r="I389" i="18"/>
  <c r="G389" i="18"/>
  <c r="E389" i="18"/>
  <c r="D389" i="18"/>
  <c r="C389" i="18"/>
  <c r="B389" i="18"/>
  <c r="Q388" i="18"/>
  <c r="O388" i="18"/>
  <c r="N388" i="18"/>
  <c r="M388" i="18"/>
  <c r="L388" i="18"/>
  <c r="K388" i="18"/>
  <c r="J388" i="18"/>
  <c r="I388" i="18"/>
  <c r="G388" i="18"/>
  <c r="E388" i="18"/>
  <c r="D388" i="18"/>
  <c r="C388" i="18"/>
  <c r="B388" i="18"/>
  <c r="Q387" i="18"/>
  <c r="O387" i="18"/>
  <c r="N387" i="18"/>
  <c r="M387" i="18"/>
  <c r="L387" i="18"/>
  <c r="K387" i="18"/>
  <c r="J387" i="18"/>
  <c r="I387" i="18"/>
  <c r="G387" i="18"/>
  <c r="E387" i="18"/>
  <c r="D387" i="18"/>
  <c r="C387" i="18"/>
  <c r="B387" i="18"/>
  <c r="G386" i="18"/>
  <c r="E386" i="18"/>
  <c r="D386" i="18"/>
  <c r="C386" i="18"/>
  <c r="B386" i="18"/>
  <c r="G385" i="18"/>
  <c r="E385" i="18"/>
  <c r="D385" i="18"/>
  <c r="C385" i="18"/>
  <c r="B385" i="18"/>
  <c r="Q384" i="18"/>
  <c r="O384" i="18"/>
  <c r="N384" i="18"/>
  <c r="M384" i="18"/>
  <c r="L384" i="18"/>
  <c r="K384" i="18"/>
  <c r="J384" i="18"/>
  <c r="I384" i="18"/>
  <c r="G384" i="18"/>
  <c r="E384" i="18"/>
  <c r="D384" i="18"/>
  <c r="C384" i="18"/>
  <c r="B384" i="18"/>
  <c r="G383" i="18"/>
  <c r="E383" i="18"/>
  <c r="D383" i="18"/>
  <c r="C383" i="18"/>
  <c r="B383" i="18"/>
  <c r="Q382" i="18"/>
  <c r="O382" i="18"/>
  <c r="N382" i="18"/>
  <c r="M382" i="18"/>
  <c r="L382" i="18"/>
  <c r="K382" i="18"/>
  <c r="J382" i="18"/>
  <c r="I382" i="18"/>
  <c r="G382" i="18"/>
  <c r="E382" i="18"/>
  <c r="D382" i="18"/>
  <c r="C382" i="18"/>
  <c r="B382" i="18"/>
  <c r="Q381" i="18"/>
  <c r="O381" i="18"/>
  <c r="N381" i="18"/>
  <c r="M381" i="18"/>
  <c r="L381" i="18"/>
  <c r="K381" i="18"/>
  <c r="J381" i="18"/>
  <c r="I381" i="18"/>
  <c r="G381" i="18"/>
  <c r="E381" i="18"/>
  <c r="D381" i="18"/>
  <c r="C381" i="18"/>
  <c r="B381" i="18"/>
  <c r="G380" i="18"/>
  <c r="E380" i="18"/>
  <c r="D380" i="18"/>
  <c r="C380" i="18"/>
  <c r="B380" i="18"/>
  <c r="Q379" i="18"/>
  <c r="O379" i="18"/>
  <c r="N379" i="18"/>
  <c r="M379" i="18"/>
  <c r="L379" i="18"/>
  <c r="K379" i="18"/>
  <c r="J379" i="18"/>
  <c r="I379" i="18"/>
  <c r="G379" i="18"/>
  <c r="E379" i="18"/>
  <c r="D379" i="18"/>
  <c r="C379" i="18"/>
  <c r="B379" i="18"/>
  <c r="Q378" i="18"/>
  <c r="O378" i="18"/>
  <c r="N378" i="18"/>
  <c r="M378" i="18"/>
  <c r="L378" i="18"/>
  <c r="K378" i="18"/>
  <c r="J378" i="18"/>
  <c r="I378" i="18"/>
  <c r="G378" i="18"/>
  <c r="E378" i="18"/>
  <c r="D378" i="18"/>
  <c r="C378" i="18"/>
  <c r="B378" i="18"/>
  <c r="Q377" i="18"/>
  <c r="O377" i="18"/>
  <c r="N377" i="18"/>
  <c r="M377" i="18"/>
  <c r="L377" i="18"/>
  <c r="K377" i="18"/>
  <c r="J377" i="18"/>
  <c r="I377" i="18"/>
  <c r="G377" i="18"/>
  <c r="E377" i="18"/>
  <c r="D377" i="18"/>
  <c r="C377" i="18"/>
  <c r="B377" i="18"/>
  <c r="G376" i="18"/>
  <c r="E376" i="18"/>
  <c r="D376" i="18"/>
  <c r="C376" i="18"/>
  <c r="B376" i="18"/>
  <c r="G375" i="18"/>
  <c r="E375" i="18"/>
  <c r="D375" i="18"/>
  <c r="C375" i="18"/>
  <c r="B375" i="18"/>
  <c r="Q374" i="18"/>
  <c r="O374" i="18"/>
  <c r="N374" i="18"/>
  <c r="M374" i="18"/>
  <c r="L374" i="18"/>
  <c r="K374" i="18"/>
  <c r="J374" i="18"/>
  <c r="I374" i="18"/>
  <c r="G374" i="18"/>
  <c r="E374" i="18"/>
  <c r="D374" i="18"/>
  <c r="C374" i="18"/>
  <c r="B374" i="18"/>
  <c r="Q373" i="18"/>
  <c r="O373" i="18"/>
  <c r="N373" i="18"/>
  <c r="M373" i="18"/>
  <c r="L373" i="18"/>
  <c r="K373" i="18"/>
  <c r="J373" i="18"/>
  <c r="I373" i="18"/>
  <c r="G373" i="18"/>
  <c r="E373" i="18"/>
  <c r="D373" i="18"/>
  <c r="C373" i="18"/>
  <c r="B373" i="18"/>
  <c r="Q372" i="18"/>
  <c r="O372" i="18"/>
  <c r="N372" i="18"/>
  <c r="M372" i="18"/>
  <c r="L372" i="18"/>
  <c r="K372" i="18"/>
  <c r="J372" i="18"/>
  <c r="I372" i="18"/>
  <c r="G372" i="18"/>
  <c r="E372" i="18"/>
  <c r="D372" i="18"/>
  <c r="C372" i="18"/>
  <c r="B372" i="18"/>
  <c r="G371" i="18"/>
  <c r="E371" i="18"/>
  <c r="D371" i="18"/>
  <c r="C371" i="18"/>
  <c r="B371" i="18"/>
  <c r="G370" i="18"/>
  <c r="E370" i="18"/>
  <c r="D370" i="18"/>
  <c r="C370" i="18"/>
  <c r="B370" i="18"/>
  <c r="G369" i="18"/>
  <c r="E369" i="18"/>
  <c r="D369" i="18"/>
  <c r="C369" i="18"/>
  <c r="B369" i="18"/>
  <c r="G368" i="18"/>
  <c r="E368" i="18"/>
  <c r="D368" i="18"/>
  <c r="C368" i="18"/>
  <c r="B368" i="18"/>
  <c r="G367" i="18"/>
  <c r="E367" i="18"/>
  <c r="D367" i="18"/>
  <c r="C367" i="18"/>
  <c r="B367" i="18"/>
  <c r="G366" i="18"/>
  <c r="E366" i="18"/>
  <c r="D366" i="18"/>
  <c r="C366" i="18"/>
  <c r="B366" i="18"/>
  <c r="G365" i="18"/>
  <c r="E365" i="18"/>
  <c r="D365" i="18"/>
  <c r="C365" i="18"/>
  <c r="B365" i="18"/>
  <c r="G364" i="18"/>
  <c r="E364" i="18"/>
  <c r="D364" i="18"/>
  <c r="C364" i="18"/>
  <c r="B364" i="18"/>
  <c r="Q363" i="18"/>
  <c r="O363" i="18"/>
  <c r="N363" i="18"/>
  <c r="M363" i="18"/>
  <c r="L363" i="18"/>
  <c r="K363" i="18"/>
  <c r="J363" i="18"/>
  <c r="I363" i="18"/>
  <c r="G363" i="18"/>
  <c r="E363" i="18"/>
  <c r="D363" i="18"/>
  <c r="C363" i="18"/>
  <c r="B363" i="18"/>
  <c r="Q362" i="18"/>
  <c r="O362" i="18"/>
  <c r="N362" i="18"/>
  <c r="M362" i="18"/>
  <c r="L362" i="18"/>
  <c r="K362" i="18"/>
  <c r="J362" i="18"/>
  <c r="I362" i="18"/>
  <c r="G362" i="18"/>
  <c r="E362" i="18"/>
  <c r="D362" i="18"/>
  <c r="C362" i="18"/>
  <c r="B362" i="18"/>
  <c r="G361" i="18"/>
  <c r="E361" i="18"/>
  <c r="D361" i="18"/>
  <c r="C361" i="18"/>
  <c r="B361" i="18"/>
  <c r="G360" i="18"/>
  <c r="E360" i="18"/>
  <c r="D360" i="18"/>
  <c r="C360" i="18"/>
  <c r="B360" i="18"/>
  <c r="Q359" i="18"/>
  <c r="O359" i="18"/>
  <c r="N359" i="18"/>
  <c r="M359" i="18"/>
  <c r="L359" i="18"/>
  <c r="K359" i="18"/>
  <c r="J359" i="18"/>
  <c r="I359" i="18"/>
  <c r="G359" i="18"/>
  <c r="E359" i="18"/>
  <c r="D359" i="18"/>
  <c r="C359" i="18"/>
  <c r="B359" i="18"/>
  <c r="G358" i="18"/>
  <c r="E358" i="18"/>
  <c r="D358" i="18"/>
  <c r="C358" i="18"/>
  <c r="B358" i="18"/>
  <c r="G357" i="18"/>
  <c r="E357" i="18"/>
  <c r="D357" i="18"/>
  <c r="C357" i="18"/>
  <c r="B357" i="18"/>
  <c r="Q356" i="18"/>
  <c r="O356" i="18"/>
  <c r="N356" i="18"/>
  <c r="M356" i="18"/>
  <c r="L356" i="18"/>
  <c r="K356" i="18"/>
  <c r="J356" i="18"/>
  <c r="I356" i="18"/>
  <c r="G356" i="18"/>
  <c r="E356" i="18"/>
  <c r="D356" i="18"/>
  <c r="C356" i="18"/>
  <c r="B356" i="18"/>
  <c r="G355" i="18"/>
  <c r="E355" i="18"/>
  <c r="D355" i="18"/>
  <c r="C355" i="18"/>
  <c r="B355" i="18"/>
  <c r="G354" i="18"/>
  <c r="E354" i="18"/>
  <c r="D354" i="18"/>
  <c r="C354" i="18"/>
  <c r="B354" i="18"/>
  <c r="Q353" i="18"/>
  <c r="O353" i="18"/>
  <c r="N353" i="18"/>
  <c r="M353" i="18"/>
  <c r="L353" i="18"/>
  <c r="K353" i="18"/>
  <c r="J353" i="18"/>
  <c r="I353" i="18"/>
  <c r="G353" i="18"/>
  <c r="E353" i="18"/>
  <c r="D353" i="18"/>
  <c r="C353" i="18"/>
  <c r="B353" i="18"/>
  <c r="Q352" i="18"/>
  <c r="O352" i="18"/>
  <c r="N352" i="18"/>
  <c r="M352" i="18"/>
  <c r="L352" i="18"/>
  <c r="K352" i="18"/>
  <c r="J352" i="18"/>
  <c r="I352" i="18"/>
  <c r="G352" i="18"/>
  <c r="E352" i="18"/>
  <c r="D352" i="18"/>
  <c r="C352" i="18"/>
  <c r="B352" i="18"/>
  <c r="G351" i="18"/>
  <c r="E351" i="18"/>
  <c r="D351" i="18"/>
  <c r="C351" i="18"/>
  <c r="B351" i="18"/>
  <c r="Q350" i="18"/>
  <c r="O350" i="18"/>
  <c r="N350" i="18"/>
  <c r="M350" i="18"/>
  <c r="L350" i="18"/>
  <c r="K350" i="18"/>
  <c r="J350" i="18"/>
  <c r="I350" i="18"/>
  <c r="G350" i="18"/>
  <c r="E350" i="18"/>
  <c r="D350" i="18"/>
  <c r="C350" i="18"/>
  <c r="B350" i="18"/>
  <c r="Q349" i="18"/>
  <c r="O349" i="18"/>
  <c r="N349" i="18"/>
  <c r="M349" i="18"/>
  <c r="L349" i="18"/>
  <c r="K349" i="18"/>
  <c r="J349" i="18"/>
  <c r="I349" i="18"/>
  <c r="G349" i="18"/>
  <c r="E349" i="18"/>
  <c r="D349" i="18"/>
  <c r="C349" i="18"/>
  <c r="B349" i="18"/>
  <c r="Q348" i="18"/>
  <c r="O348" i="18"/>
  <c r="N348" i="18"/>
  <c r="M348" i="18"/>
  <c r="L348" i="18"/>
  <c r="K348" i="18"/>
  <c r="J348" i="18"/>
  <c r="I348" i="18"/>
  <c r="G348" i="18"/>
  <c r="E348" i="18"/>
  <c r="D348" i="18"/>
  <c r="C348" i="18"/>
  <c r="B348" i="18"/>
  <c r="Q347" i="18"/>
  <c r="O347" i="18"/>
  <c r="N347" i="18"/>
  <c r="M347" i="18"/>
  <c r="L347" i="18"/>
  <c r="K347" i="18"/>
  <c r="J347" i="18"/>
  <c r="I347" i="18"/>
  <c r="G347" i="18"/>
  <c r="E347" i="18"/>
  <c r="D347" i="18"/>
  <c r="C347" i="18"/>
  <c r="B347" i="18"/>
  <c r="G346" i="18"/>
  <c r="E346" i="18"/>
  <c r="D346" i="18"/>
  <c r="C346" i="18"/>
  <c r="B346" i="18"/>
  <c r="Q345" i="18"/>
  <c r="O345" i="18"/>
  <c r="N345" i="18"/>
  <c r="M345" i="18"/>
  <c r="L345" i="18"/>
  <c r="K345" i="18"/>
  <c r="J345" i="18"/>
  <c r="I345" i="18"/>
  <c r="G345" i="18"/>
  <c r="E345" i="18"/>
  <c r="D345" i="18"/>
  <c r="C345" i="18"/>
  <c r="B345" i="18"/>
  <c r="G344" i="18"/>
  <c r="E344" i="18"/>
  <c r="D344" i="18"/>
  <c r="C344" i="18"/>
  <c r="B344" i="18"/>
  <c r="G343" i="18"/>
  <c r="E343" i="18"/>
  <c r="D343" i="18"/>
  <c r="C343" i="18"/>
  <c r="B343" i="18"/>
  <c r="G342" i="18"/>
  <c r="E342" i="18"/>
  <c r="D342" i="18"/>
  <c r="C342" i="18"/>
  <c r="B342" i="18"/>
  <c r="G341" i="18"/>
  <c r="E341" i="18"/>
  <c r="D341" i="18"/>
  <c r="C341" i="18"/>
  <c r="B341" i="18"/>
  <c r="G340" i="18"/>
  <c r="E340" i="18"/>
  <c r="D340" i="18"/>
  <c r="C340" i="18"/>
  <c r="B340" i="18"/>
  <c r="G339" i="18"/>
  <c r="E339" i="18"/>
  <c r="D339" i="18"/>
  <c r="C339" i="18"/>
  <c r="B339" i="18"/>
  <c r="Q338" i="18"/>
  <c r="O338" i="18"/>
  <c r="N338" i="18"/>
  <c r="M338" i="18"/>
  <c r="L338" i="18"/>
  <c r="K338" i="18"/>
  <c r="J338" i="18"/>
  <c r="I338" i="18"/>
  <c r="G338" i="18"/>
  <c r="C237" i="15" s="1"/>
  <c r="E338" i="18"/>
  <c r="D338" i="18"/>
  <c r="C338" i="18"/>
  <c r="B338" i="18"/>
  <c r="G337" i="18"/>
  <c r="E337" i="18"/>
  <c r="D337" i="18"/>
  <c r="C337" i="18"/>
  <c r="B337" i="18"/>
  <c r="G336" i="18"/>
  <c r="C234" i="15" s="1"/>
  <c r="E336" i="18"/>
  <c r="D336" i="18"/>
  <c r="C336" i="18"/>
  <c r="B336" i="18"/>
  <c r="Q335" i="18"/>
  <c r="O335" i="18"/>
  <c r="N335" i="18"/>
  <c r="M335" i="18"/>
  <c r="L335" i="18"/>
  <c r="K335" i="18"/>
  <c r="J335" i="18"/>
  <c r="I335" i="18"/>
  <c r="G335" i="18"/>
  <c r="E335" i="18"/>
  <c r="D335" i="18"/>
  <c r="C335" i="18"/>
  <c r="B335" i="18"/>
  <c r="Q334" i="18"/>
  <c r="O334" i="18"/>
  <c r="N334" i="18"/>
  <c r="M334" i="18"/>
  <c r="L334" i="18"/>
  <c r="K334" i="18"/>
  <c r="J334" i="18"/>
  <c r="I334" i="18"/>
  <c r="G334" i="18"/>
  <c r="E334" i="18"/>
  <c r="D334" i="18"/>
  <c r="C334" i="18"/>
  <c r="B334" i="18"/>
  <c r="Q333" i="18"/>
  <c r="O333" i="18"/>
  <c r="N333" i="18"/>
  <c r="M333" i="18"/>
  <c r="L333" i="18"/>
  <c r="K333" i="18"/>
  <c r="J333" i="18"/>
  <c r="I333" i="18"/>
  <c r="G333" i="18"/>
  <c r="E333" i="18"/>
  <c r="D333" i="18"/>
  <c r="C333" i="18"/>
  <c r="B333" i="18"/>
  <c r="Q332" i="18"/>
  <c r="O332" i="18"/>
  <c r="N332" i="18"/>
  <c r="M332" i="18"/>
  <c r="L332" i="18"/>
  <c r="K332" i="18"/>
  <c r="J332" i="18"/>
  <c r="I332" i="18"/>
  <c r="G332" i="18"/>
  <c r="E332" i="18"/>
  <c r="D332" i="18"/>
  <c r="C332" i="18"/>
  <c r="B332" i="18"/>
  <c r="Q331" i="18"/>
  <c r="O331" i="18"/>
  <c r="N331" i="18"/>
  <c r="M331" i="18"/>
  <c r="L331" i="18"/>
  <c r="K331" i="18"/>
  <c r="J331" i="18"/>
  <c r="I331" i="18"/>
  <c r="G331" i="18"/>
  <c r="E331" i="18"/>
  <c r="D331" i="18"/>
  <c r="C331" i="18"/>
  <c r="B331" i="18"/>
  <c r="Q330" i="18"/>
  <c r="O330" i="18"/>
  <c r="N330" i="18"/>
  <c r="M330" i="18"/>
  <c r="L330" i="18"/>
  <c r="K330" i="18"/>
  <c r="J330" i="18"/>
  <c r="I330" i="18"/>
  <c r="G330" i="18"/>
  <c r="E330" i="18"/>
  <c r="D330" i="18"/>
  <c r="C330" i="18"/>
  <c r="B330" i="18"/>
  <c r="Q329" i="18"/>
  <c r="O329" i="18"/>
  <c r="N329" i="18"/>
  <c r="M329" i="18"/>
  <c r="L329" i="18"/>
  <c r="K329" i="18"/>
  <c r="J329" i="18"/>
  <c r="I329" i="18"/>
  <c r="G329" i="18"/>
  <c r="E329" i="18"/>
  <c r="D329" i="18"/>
  <c r="C329" i="18"/>
  <c r="B329" i="18"/>
  <c r="Q328" i="18"/>
  <c r="O328" i="18"/>
  <c r="N328" i="18"/>
  <c r="M328" i="18"/>
  <c r="L328" i="18"/>
  <c r="K328" i="18"/>
  <c r="J328" i="18"/>
  <c r="I328" i="18"/>
  <c r="G328" i="18"/>
  <c r="E328" i="18"/>
  <c r="D328" i="18"/>
  <c r="C328" i="18"/>
  <c r="B328" i="18"/>
  <c r="G327" i="18"/>
  <c r="E327" i="18"/>
  <c r="D327" i="18"/>
  <c r="C327" i="18"/>
  <c r="B327" i="18"/>
  <c r="Q326" i="18"/>
  <c r="O326" i="18"/>
  <c r="N326" i="18"/>
  <c r="M326" i="18"/>
  <c r="L326" i="18"/>
  <c r="K326" i="18"/>
  <c r="J326" i="18"/>
  <c r="I326" i="18"/>
  <c r="G326" i="18"/>
  <c r="E326" i="18"/>
  <c r="D326" i="18"/>
  <c r="C326" i="18"/>
  <c r="B326" i="18"/>
  <c r="Q325" i="18"/>
  <c r="O325" i="18"/>
  <c r="N325" i="18"/>
  <c r="M325" i="18"/>
  <c r="L325" i="18"/>
  <c r="K325" i="18"/>
  <c r="J325" i="18"/>
  <c r="I325" i="18"/>
  <c r="G325" i="18"/>
  <c r="E325" i="18"/>
  <c r="D325" i="18"/>
  <c r="C325" i="18"/>
  <c r="B325" i="18"/>
  <c r="Q324" i="18"/>
  <c r="O324" i="18"/>
  <c r="N324" i="18"/>
  <c r="M324" i="18"/>
  <c r="L324" i="18"/>
  <c r="K324" i="18"/>
  <c r="J324" i="18"/>
  <c r="I324" i="18"/>
  <c r="G324" i="18"/>
  <c r="E324" i="18"/>
  <c r="D324" i="18"/>
  <c r="C324" i="18"/>
  <c r="B324" i="18"/>
  <c r="Q323" i="18"/>
  <c r="O323" i="18"/>
  <c r="N323" i="18"/>
  <c r="M323" i="18"/>
  <c r="L323" i="18"/>
  <c r="K323" i="18"/>
  <c r="J323" i="18"/>
  <c r="I323" i="18"/>
  <c r="G323" i="18"/>
  <c r="E323" i="18"/>
  <c r="D323" i="18"/>
  <c r="C323" i="18"/>
  <c r="B323" i="18"/>
  <c r="Q322" i="18"/>
  <c r="O322" i="18"/>
  <c r="N322" i="18"/>
  <c r="M322" i="18"/>
  <c r="L322" i="18"/>
  <c r="K322" i="18"/>
  <c r="J322" i="18"/>
  <c r="I322" i="18"/>
  <c r="G322" i="18"/>
  <c r="E322" i="18"/>
  <c r="D322" i="18"/>
  <c r="C322" i="18"/>
  <c r="B322" i="18"/>
  <c r="G321" i="18"/>
  <c r="C232" i="15" s="1"/>
  <c r="E321" i="18"/>
  <c r="D321" i="18"/>
  <c r="C321" i="18"/>
  <c r="B321" i="18"/>
  <c r="Q320" i="18"/>
  <c r="O320" i="18"/>
  <c r="N320" i="18"/>
  <c r="M320" i="18"/>
  <c r="L320" i="18"/>
  <c r="K320" i="18"/>
  <c r="J320" i="18"/>
  <c r="I320" i="18"/>
  <c r="G320" i="18"/>
  <c r="E320" i="18"/>
  <c r="D320" i="18"/>
  <c r="C320" i="18"/>
  <c r="B320" i="18"/>
  <c r="Q319" i="18"/>
  <c r="O319" i="18"/>
  <c r="N319" i="18"/>
  <c r="M319" i="18"/>
  <c r="L319" i="18"/>
  <c r="K319" i="18"/>
  <c r="J319" i="18"/>
  <c r="I319" i="18"/>
  <c r="G319" i="18"/>
  <c r="E319" i="18"/>
  <c r="D319" i="18"/>
  <c r="C319" i="18"/>
  <c r="B319" i="18"/>
  <c r="Q318" i="18"/>
  <c r="O318" i="18"/>
  <c r="N318" i="18"/>
  <c r="M318" i="18"/>
  <c r="L318" i="18"/>
  <c r="K318" i="18"/>
  <c r="J318" i="18"/>
  <c r="I318" i="18"/>
  <c r="G318" i="18"/>
  <c r="E318" i="18"/>
  <c r="D318" i="18"/>
  <c r="C318" i="18"/>
  <c r="B318" i="18"/>
  <c r="Q317" i="18"/>
  <c r="O317" i="18"/>
  <c r="N317" i="18"/>
  <c r="M317" i="18"/>
  <c r="L317" i="18"/>
  <c r="K317" i="18"/>
  <c r="J317" i="18"/>
  <c r="I317" i="18"/>
  <c r="G317" i="18"/>
  <c r="E317" i="18"/>
  <c r="D317" i="18"/>
  <c r="C317" i="18"/>
  <c r="B317" i="18"/>
  <c r="Q316" i="18"/>
  <c r="O316" i="18"/>
  <c r="N316" i="18"/>
  <c r="M316" i="18"/>
  <c r="L316" i="18"/>
  <c r="K316" i="18"/>
  <c r="J316" i="18"/>
  <c r="I316" i="18"/>
  <c r="G316" i="18"/>
  <c r="E316" i="18"/>
  <c r="D316" i="18"/>
  <c r="C316" i="18"/>
  <c r="B316" i="18"/>
  <c r="Q315" i="18"/>
  <c r="O315" i="18"/>
  <c r="N315" i="18"/>
  <c r="M315" i="18"/>
  <c r="L315" i="18"/>
  <c r="K315" i="18"/>
  <c r="J315" i="18"/>
  <c r="I315" i="18"/>
  <c r="G315" i="18"/>
  <c r="E315" i="18"/>
  <c r="D315" i="18"/>
  <c r="C315" i="18"/>
  <c r="B315" i="18"/>
  <c r="Q314" i="18"/>
  <c r="O314" i="18"/>
  <c r="N314" i="18"/>
  <c r="M314" i="18"/>
  <c r="L314" i="18"/>
  <c r="K314" i="18"/>
  <c r="J314" i="18"/>
  <c r="I314" i="18"/>
  <c r="G314" i="18"/>
  <c r="E314" i="18"/>
  <c r="D314" i="18"/>
  <c r="C314" i="18"/>
  <c r="B314" i="18"/>
  <c r="Q313" i="18"/>
  <c r="O313" i="18"/>
  <c r="N313" i="18"/>
  <c r="M313" i="18"/>
  <c r="L313" i="18"/>
  <c r="K313" i="18"/>
  <c r="J313" i="18"/>
  <c r="I313" i="18"/>
  <c r="G313" i="18"/>
  <c r="E313" i="18"/>
  <c r="D313" i="18"/>
  <c r="C313" i="18"/>
  <c r="B313" i="18"/>
  <c r="G312" i="18"/>
  <c r="C229" i="15" s="1"/>
  <c r="E312" i="18"/>
  <c r="D312" i="18"/>
  <c r="C312" i="18"/>
  <c r="B312" i="18"/>
  <c r="Q311" i="18"/>
  <c r="O311" i="18"/>
  <c r="N311" i="18"/>
  <c r="M311" i="18"/>
  <c r="L311" i="18"/>
  <c r="K311" i="18"/>
  <c r="J311" i="18"/>
  <c r="I311" i="18"/>
  <c r="G311" i="18"/>
  <c r="E311" i="18"/>
  <c r="D311" i="18"/>
  <c r="C311" i="18"/>
  <c r="B311" i="18"/>
  <c r="Q310" i="18"/>
  <c r="O310" i="18"/>
  <c r="N310" i="18"/>
  <c r="M310" i="18"/>
  <c r="L310" i="18"/>
  <c r="K310" i="18"/>
  <c r="J310" i="18"/>
  <c r="I310" i="18"/>
  <c r="G310" i="18"/>
  <c r="E310" i="18"/>
  <c r="D310" i="18"/>
  <c r="C310" i="18"/>
  <c r="B310" i="18"/>
  <c r="G309" i="18"/>
  <c r="E309" i="18"/>
  <c r="D309" i="18"/>
  <c r="C309" i="18"/>
  <c r="B309" i="18"/>
  <c r="G308" i="18"/>
  <c r="C223" i="15" s="1"/>
  <c r="E308" i="18"/>
  <c r="D308" i="18"/>
  <c r="C308" i="18"/>
  <c r="B308" i="18"/>
  <c r="G307" i="18"/>
  <c r="E307" i="18"/>
  <c r="D307" i="18"/>
  <c r="C307" i="18"/>
  <c r="B307" i="18"/>
  <c r="G306" i="18"/>
  <c r="E306" i="18"/>
  <c r="D306" i="18"/>
  <c r="C306" i="18"/>
  <c r="B306" i="18"/>
  <c r="Q305" i="18"/>
  <c r="O305" i="18"/>
  <c r="N305" i="18"/>
  <c r="M305" i="18"/>
  <c r="L305" i="18"/>
  <c r="K305" i="18"/>
  <c r="J305" i="18"/>
  <c r="I305" i="18"/>
  <c r="G305" i="18"/>
  <c r="E305" i="18"/>
  <c r="D305" i="18"/>
  <c r="C305" i="18"/>
  <c r="B305" i="18"/>
  <c r="Q304" i="18"/>
  <c r="O304" i="18"/>
  <c r="N304" i="18"/>
  <c r="M304" i="18"/>
  <c r="L304" i="18"/>
  <c r="K304" i="18"/>
  <c r="J304" i="18"/>
  <c r="I304" i="18"/>
  <c r="G304" i="18"/>
  <c r="E304" i="18"/>
  <c r="D304" i="18"/>
  <c r="C304" i="18"/>
  <c r="B304" i="18"/>
  <c r="Q303" i="18"/>
  <c r="O303" i="18"/>
  <c r="N303" i="18"/>
  <c r="M303" i="18"/>
  <c r="L303" i="18"/>
  <c r="K303" i="18"/>
  <c r="J303" i="18"/>
  <c r="I303" i="18"/>
  <c r="G303" i="18"/>
  <c r="E303" i="18"/>
  <c r="D303" i="18"/>
  <c r="C303" i="18"/>
  <c r="B303" i="18"/>
  <c r="Q302" i="18"/>
  <c r="O302" i="18"/>
  <c r="N302" i="18"/>
  <c r="M302" i="18"/>
  <c r="L302" i="18"/>
  <c r="K302" i="18"/>
  <c r="J302" i="18"/>
  <c r="I302" i="18"/>
  <c r="G302" i="18"/>
  <c r="E302" i="18"/>
  <c r="D302" i="18"/>
  <c r="C302" i="18"/>
  <c r="B302" i="18"/>
  <c r="Q301" i="18"/>
  <c r="O301" i="18"/>
  <c r="N301" i="18"/>
  <c r="M301" i="18"/>
  <c r="L301" i="18"/>
  <c r="K301" i="18"/>
  <c r="J301" i="18"/>
  <c r="I301" i="18"/>
  <c r="G301" i="18"/>
  <c r="E301" i="18"/>
  <c r="D301" i="18"/>
  <c r="C301" i="18"/>
  <c r="B301" i="18"/>
  <c r="Q300" i="18"/>
  <c r="O300" i="18"/>
  <c r="N300" i="18"/>
  <c r="M300" i="18"/>
  <c r="L300" i="18"/>
  <c r="K300" i="18"/>
  <c r="J300" i="18"/>
  <c r="I300" i="18"/>
  <c r="G300" i="18"/>
  <c r="E300" i="18"/>
  <c r="D300" i="18"/>
  <c r="C300" i="18"/>
  <c r="B300" i="18"/>
  <c r="Q299" i="18"/>
  <c r="O299" i="18"/>
  <c r="N299" i="18"/>
  <c r="M299" i="18"/>
  <c r="L299" i="18"/>
  <c r="K299" i="18"/>
  <c r="J299" i="18"/>
  <c r="I299" i="18"/>
  <c r="G299" i="18"/>
  <c r="E299" i="18"/>
  <c r="D299" i="18"/>
  <c r="C299" i="18"/>
  <c r="B299" i="18"/>
  <c r="Q298" i="18"/>
  <c r="O298" i="18"/>
  <c r="N298" i="18"/>
  <c r="M298" i="18"/>
  <c r="L298" i="18"/>
  <c r="K298" i="18"/>
  <c r="J298" i="18"/>
  <c r="I298" i="18"/>
  <c r="G298" i="18"/>
  <c r="E298" i="18"/>
  <c r="D298" i="18"/>
  <c r="C298" i="18"/>
  <c r="B298" i="18"/>
  <c r="G297" i="18"/>
  <c r="E297" i="18"/>
  <c r="D297" i="18"/>
  <c r="C297" i="18"/>
  <c r="B297" i="18"/>
  <c r="Q296" i="18"/>
  <c r="O296" i="18"/>
  <c r="N296" i="18"/>
  <c r="M296" i="18"/>
  <c r="L296" i="18"/>
  <c r="K296" i="18"/>
  <c r="J296" i="18"/>
  <c r="I296" i="18"/>
  <c r="G296" i="18"/>
  <c r="E296" i="18"/>
  <c r="D296" i="18"/>
  <c r="C296" i="18"/>
  <c r="B296" i="18"/>
  <c r="G295" i="18"/>
  <c r="E295" i="18"/>
  <c r="D295" i="18"/>
  <c r="C295" i="18"/>
  <c r="B295" i="18"/>
  <c r="Q294" i="18"/>
  <c r="O294" i="18"/>
  <c r="N294" i="18"/>
  <c r="M294" i="18"/>
  <c r="L294" i="18"/>
  <c r="K294" i="18"/>
  <c r="J294" i="18"/>
  <c r="I294" i="18"/>
  <c r="G294" i="18"/>
  <c r="E294" i="18"/>
  <c r="D294" i="18"/>
  <c r="C294" i="18"/>
  <c r="B294" i="18"/>
  <c r="Q293" i="18"/>
  <c r="O293" i="18"/>
  <c r="N293" i="18"/>
  <c r="M293" i="18"/>
  <c r="L293" i="18"/>
  <c r="K293" i="18"/>
  <c r="J293" i="18"/>
  <c r="I293" i="18"/>
  <c r="G293" i="18"/>
  <c r="E293" i="18"/>
  <c r="D293" i="18"/>
  <c r="C293" i="18"/>
  <c r="B293" i="18"/>
  <c r="Q292" i="18"/>
  <c r="O292" i="18"/>
  <c r="N292" i="18"/>
  <c r="M292" i="18"/>
  <c r="L292" i="18"/>
  <c r="K292" i="18"/>
  <c r="J292" i="18"/>
  <c r="I292" i="18"/>
  <c r="G292" i="18"/>
  <c r="E292" i="18"/>
  <c r="D292" i="18"/>
  <c r="C292" i="18"/>
  <c r="B292" i="18"/>
  <c r="G291" i="18"/>
  <c r="E291" i="18"/>
  <c r="D291" i="18"/>
  <c r="C291" i="18"/>
  <c r="B291" i="18"/>
  <c r="Q290" i="18"/>
  <c r="O290" i="18"/>
  <c r="N290" i="18"/>
  <c r="M290" i="18"/>
  <c r="L290" i="18"/>
  <c r="K290" i="18"/>
  <c r="J290" i="18"/>
  <c r="I290" i="18"/>
  <c r="G290" i="18"/>
  <c r="E290" i="18"/>
  <c r="D290" i="18"/>
  <c r="C290" i="18"/>
  <c r="B290" i="18"/>
  <c r="Q289" i="18"/>
  <c r="O289" i="18"/>
  <c r="N289" i="18"/>
  <c r="M289" i="18"/>
  <c r="L289" i="18"/>
  <c r="K289" i="18"/>
  <c r="J289" i="18"/>
  <c r="I289" i="18"/>
  <c r="G289" i="18"/>
  <c r="E289" i="18"/>
  <c r="D289" i="18"/>
  <c r="C289" i="18"/>
  <c r="B289" i="18"/>
  <c r="G288" i="18"/>
  <c r="E288" i="18"/>
  <c r="D288" i="18"/>
  <c r="C288" i="18"/>
  <c r="B288" i="18"/>
  <c r="Q287" i="18"/>
  <c r="O287" i="18"/>
  <c r="N287" i="18"/>
  <c r="M287" i="18"/>
  <c r="L287" i="18"/>
  <c r="K287" i="18"/>
  <c r="J287" i="18"/>
  <c r="I287" i="18"/>
  <c r="G287" i="18"/>
  <c r="E287" i="18"/>
  <c r="D287" i="18"/>
  <c r="C287" i="18"/>
  <c r="B287" i="18"/>
  <c r="Q286" i="18"/>
  <c r="O286" i="18"/>
  <c r="N286" i="18"/>
  <c r="M286" i="18"/>
  <c r="L286" i="18"/>
  <c r="K286" i="18"/>
  <c r="J286" i="18"/>
  <c r="I286" i="18"/>
  <c r="G286" i="18"/>
  <c r="E286" i="18"/>
  <c r="D286" i="18"/>
  <c r="C286" i="18"/>
  <c r="B286" i="18"/>
  <c r="Q285" i="18"/>
  <c r="O285" i="18"/>
  <c r="N285" i="18"/>
  <c r="M285" i="18"/>
  <c r="L285" i="18"/>
  <c r="K285" i="18"/>
  <c r="J285" i="18"/>
  <c r="I285" i="18"/>
  <c r="G285" i="18"/>
  <c r="E285" i="18"/>
  <c r="D285" i="18"/>
  <c r="C285" i="18"/>
  <c r="B285" i="18"/>
  <c r="Q284" i="18"/>
  <c r="O284" i="18"/>
  <c r="N284" i="18"/>
  <c r="M284" i="18"/>
  <c r="L284" i="18"/>
  <c r="K284" i="18"/>
  <c r="J284" i="18"/>
  <c r="I284" i="18"/>
  <c r="G284" i="18"/>
  <c r="E284" i="18"/>
  <c r="D284" i="18"/>
  <c r="C284" i="18"/>
  <c r="B284" i="18"/>
  <c r="Q283" i="18"/>
  <c r="O283" i="18"/>
  <c r="N283" i="18"/>
  <c r="M283" i="18"/>
  <c r="L283" i="18"/>
  <c r="K283" i="18"/>
  <c r="J283" i="18"/>
  <c r="I283" i="18"/>
  <c r="G283" i="18"/>
  <c r="E283" i="18"/>
  <c r="D283" i="18"/>
  <c r="C283" i="18"/>
  <c r="B283" i="18"/>
  <c r="G282" i="18"/>
  <c r="E282" i="18"/>
  <c r="D282" i="18"/>
  <c r="C282" i="18"/>
  <c r="B282" i="18"/>
  <c r="G281" i="18"/>
  <c r="E281" i="18"/>
  <c r="D281" i="18"/>
  <c r="C281" i="18"/>
  <c r="B281" i="18"/>
  <c r="Q280" i="18"/>
  <c r="O280" i="18"/>
  <c r="N280" i="18"/>
  <c r="M280" i="18"/>
  <c r="L280" i="18"/>
  <c r="K280" i="18"/>
  <c r="J280" i="18"/>
  <c r="I280" i="18"/>
  <c r="G280" i="18"/>
  <c r="C214" i="15" s="1"/>
  <c r="E280" i="18"/>
  <c r="D280" i="18"/>
  <c r="C280" i="18"/>
  <c r="B280" i="18"/>
  <c r="G279" i="18"/>
  <c r="E279" i="18"/>
  <c r="D279" i="18"/>
  <c r="C279" i="18"/>
  <c r="B279" i="18"/>
  <c r="Q278" i="18"/>
  <c r="O278" i="18"/>
  <c r="N278" i="18"/>
  <c r="M278" i="18"/>
  <c r="L278" i="18"/>
  <c r="K278" i="18"/>
  <c r="J278" i="18"/>
  <c r="I278" i="18"/>
  <c r="G278" i="18"/>
  <c r="E278" i="18"/>
  <c r="D278" i="18"/>
  <c r="C278" i="18"/>
  <c r="B278" i="18"/>
  <c r="G277" i="18"/>
  <c r="E277" i="18"/>
  <c r="D277" i="18"/>
  <c r="C277" i="18"/>
  <c r="B277" i="18"/>
  <c r="G276" i="18"/>
  <c r="E276" i="18"/>
  <c r="D276" i="18"/>
  <c r="C276" i="18"/>
  <c r="B276" i="18"/>
  <c r="Q275" i="18"/>
  <c r="O275" i="18"/>
  <c r="N275" i="18"/>
  <c r="M275" i="18"/>
  <c r="L275" i="18"/>
  <c r="K275" i="18"/>
  <c r="J275" i="18"/>
  <c r="I275" i="18"/>
  <c r="G275" i="18"/>
  <c r="E275" i="18"/>
  <c r="D275" i="18"/>
  <c r="C275" i="18"/>
  <c r="B275" i="18"/>
  <c r="Q274" i="18"/>
  <c r="O274" i="18"/>
  <c r="N274" i="18"/>
  <c r="M274" i="18"/>
  <c r="L274" i="18"/>
  <c r="K274" i="18"/>
  <c r="J274" i="18"/>
  <c r="I274" i="18"/>
  <c r="G274" i="18"/>
  <c r="E274" i="18"/>
  <c r="D274" i="18"/>
  <c r="C274" i="18"/>
  <c r="B274" i="18"/>
  <c r="Q273" i="18"/>
  <c r="O273" i="18"/>
  <c r="N273" i="18"/>
  <c r="M273" i="18"/>
  <c r="L273" i="18"/>
  <c r="K273" i="18"/>
  <c r="J273" i="18"/>
  <c r="I273" i="18"/>
  <c r="G273" i="18"/>
  <c r="E273" i="18"/>
  <c r="D273" i="18"/>
  <c r="C273" i="18"/>
  <c r="B273" i="18"/>
  <c r="Q272" i="18"/>
  <c r="O272" i="18"/>
  <c r="N272" i="18"/>
  <c r="M272" i="18"/>
  <c r="L272" i="18"/>
  <c r="K272" i="18"/>
  <c r="J272" i="18"/>
  <c r="I272" i="18"/>
  <c r="G272" i="18"/>
  <c r="E272" i="18"/>
  <c r="D272" i="18"/>
  <c r="C272" i="18"/>
  <c r="B272" i="18"/>
  <c r="Q271" i="18"/>
  <c r="O271" i="18"/>
  <c r="N271" i="18"/>
  <c r="M271" i="18"/>
  <c r="L271" i="18"/>
  <c r="K271" i="18"/>
  <c r="J271" i="18"/>
  <c r="I271" i="18"/>
  <c r="G271" i="18"/>
  <c r="E271" i="18"/>
  <c r="D271" i="18"/>
  <c r="C271" i="18"/>
  <c r="B271" i="18"/>
  <c r="Q270" i="18"/>
  <c r="O270" i="18"/>
  <c r="N270" i="18"/>
  <c r="M270" i="18"/>
  <c r="L270" i="18"/>
  <c r="K270" i="18"/>
  <c r="J270" i="18"/>
  <c r="I270" i="18"/>
  <c r="G270" i="18"/>
  <c r="E270" i="18"/>
  <c r="D270" i="18"/>
  <c r="C270" i="18"/>
  <c r="B270" i="18"/>
  <c r="Q269" i="18"/>
  <c r="O269" i="18"/>
  <c r="N269" i="18"/>
  <c r="M269" i="18"/>
  <c r="L269" i="18"/>
  <c r="K269" i="18"/>
  <c r="J269" i="18"/>
  <c r="I269" i="18"/>
  <c r="G269" i="18"/>
  <c r="E269" i="18"/>
  <c r="D269" i="18"/>
  <c r="C269" i="18"/>
  <c r="B269" i="18"/>
  <c r="Q268" i="18"/>
  <c r="O268" i="18"/>
  <c r="N268" i="18"/>
  <c r="M268" i="18"/>
  <c r="L268" i="18"/>
  <c r="K268" i="18"/>
  <c r="J268" i="18"/>
  <c r="I268" i="18"/>
  <c r="G268" i="18"/>
  <c r="E268" i="18"/>
  <c r="D268" i="18"/>
  <c r="C268" i="18"/>
  <c r="B268" i="18"/>
  <c r="G267" i="18"/>
  <c r="E267" i="18"/>
  <c r="D267" i="18"/>
  <c r="C267" i="18"/>
  <c r="B267" i="18"/>
  <c r="Q266" i="18"/>
  <c r="O266" i="18"/>
  <c r="N266" i="18"/>
  <c r="M266" i="18"/>
  <c r="L266" i="18"/>
  <c r="K266" i="18"/>
  <c r="J266" i="18"/>
  <c r="I266" i="18"/>
  <c r="G266" i="18"/>
  <c r="E266" i="18"/>
  <c r="D266" i="18"/>
  <c r="C266" i="18"/>
  <c r="B266" i="18"/>
  <c r="Q265" i="18"/>
  <c r="O265" i="18"/>
  <c r="N265" i="18"/>
  <c r="M265" i="18"/>
  <c r="L265" i="18"/>
  <c r="K265" i="18"/>
  <c r="J265" i="18"/>
  <c r="I265" i="18"/>
  <c r="G265" i="18"/>
  <c r="E265" i="18"/>
  <c r="D265" i="18"/>
  <c r="C265" i="18"/>
  <c r="B265" i="18"/>
  <c r="Q264" i="18"/>
  <c r="O264" i="18"/>
  <c r="N264" i="18"/>
  <c r="M264" i="18"/>
  <c r="L264" i="18"/>
  <c r="K264" i="18"/>
  <c r="J264" i="18"/>
  <c r="I264" i="18"/>
  <c r="G264" i="18"/>
  <c r="E264" i="18"/>
  <c r="D264" i="18"/>
  <c r="C264" i="18"/>
  <c r="B264" i="18"/>
  <c r="Q263" i="18"/>
  <c r="O263" i="18"/>
  <c r="N263" i="18"/>
  <c r="M263" i="18"/>
  <c r="L263" i="18"/>
  <c r="K263" i="18"/>
  <c r="J263" i="18"/>
  <c r="I263" i="18"/>
  <c r="G263" i="18"/>
  <c r="E263" i="18"/>
  <c r="D263" i="18"/>
  <c r="C263" i="18"/>
  <c r="B263" i="18"/>
  <c r="Q262" i="18"/>
  <c r="O262" i="18"/>
  <c r="N262" i="18"/>
  <c r="M262" i="18"/>
  <c r="L262" i="18"/>
  <c r="K262" i="18"/>
  <c r="J262" i="18"/>
  <c r="I262" i="18"/>
  <c r="G262" i="18"/>
  <c r="E262" i="18"/>
  <c r="D262" i="18"/>
  <c r="C262" i="18"/>
  <c r="B262" i="18"/>
  <c r="G261" i="18"/>
  <c r="C202" i="15" s="1"/>
  <c r="E261" i="18"/>
  <c r="D261" i="18"/>
  <c r="C261" i="18"/>
  <c r="B261" i="18"/>
  <c r="Q260" i="18"/>
  <c r="O260" i="18"/>
  <c r="N260" i="18"/>
  <c r="M260" i="18"/>
  <c r="L260" i="18"/>
  <c r="K260" i="18"/>
  <c r="J260" i="18"/>
  <c r="I260" i="18"/>
  <c r="G260" i="18"/>
  <c r="E260" i="18"/>
  <c r="D260" i="18"/>
  <c r="C260" i="18"/>
  <c r="B260" i="18"/>
  <c r="Q259" i="18"/>
  <c r="O259" i="18"/>
  <c r="N259" i="18"/>
  <c r="M259" i="18"/>
  <c r="L259" i="18"/>
  <c r="K259" i="18"/>
  <c r="J259" i="18"/>
  <c r="I259" i="18"/>
  <c r="G259" i="18"/>
  <c r="E259" i="18"/>
  <c r="D259" i="18"/>
  <c r="C259" i="18"/>
  <c r="B259" i="18"/>
  <c r="G258" i="18"/>
  <c r="E258" i="18"/>
  <c r="D258" i="18"/>
  <c r="C258" i="18"/>
  <c r="B258" i="18"/>
  <c r="Q257" i="18"/>
  <c r="O257" i="18"/>
  <c r="N257" i="18"/>
  <c r="M257" i="18"/>
  <c r="L257" i="18"/>
  <c r="K257" i="18"/>
  <c r="J257" i="18"/>
  <c r="I257" i="18"/>
  <c r="G257" i="18"/>
  <c r="E257" i="18"/>
  <c r="D257" i="18"/>
  <c r="C257" i="18"/>
  <c r="B257" i="18"/>
  <c r="Q256" i="18"/>
  <c r="O256" i="18"/>
  <c r="N256" i="18"/>
  <c r="M256" i="18"/>
  <c r="L256" i="18"/>
  <c r="K256" i="18"/>
  <c r="J256" i="18"/>
  <c r="I256" i="18"/>
  <c r="G256" i="18"/>
  <c r="E256" i="18"/>
  <c r="D256" i="18"/>
  <c r="C256" i="18"/>
  <c r="B256" i="18"/>
  <c r="Q255" i="18"/>
  <c r="O255" i="18"/>
  <c r="N255" i="18"/>
  <c r="M255" i="18"/>
  <c r="L255" i="18"/>
  <c r="K255" i="18"/>
  <c r="J255" i="18"/>
  <c r="I255" i="18"/>
  <c r="G255" i="18"/>
  <c r="E255" i="18"/>
  <c r="D255" i="18"/>
  <c r="C255" i="18"/>
  <c r="B255" i="18"/>
  <c r="Q254" i="18"/>
  <c r="O254" i="18"/>
  <c r="N254" i="18"/>
  <c r="M254" i="18"/>
  <c r="L254" i="18"/>
  <c r="K254" i="18"/>
  <c r="J254" i="18"/>
  <c r="I254" i="18"/>
  <c r="G254" i="18"/>
  <c r="E254" i="18"/>
  <c r="D254" i="18"/>
  <c r="C254" i="18"/>
  <c r="B254" i="18"/>
  <c r="Q253" i="18"/>
  <c r="O253" i="18"/>
  <c r="N253" i="18"/>
  <c r="M253" i="18"/>
  <c r="L253" i="18"/>
  <c r="K253" i="18"/>
  <c r="J253" i="18"/>
  <c r="I253" i="18"/>
  <c r="G253" i="18"/>
  <c r="E253" i="18"/>
  <c r="D253" i="18"/>
  <c r="C253" i="18"/>
  <c r="B253" i="18"/>
  <c r="G252" i="18"/>
  <c r="C199" i="15" s="1"/>
  <c r="E252" i="18"/>
  <c r="D252" i="18"/>
  <c r="C252" i="18"/>
  <c r="B252" i="18"/>
  <c r="Q251" i="18"/>
  <c r="O251" i="18"/>
  <c r="N251" i="18"/>
  <c r="M251" i="18"/>
  <c r="L251" i="18"/>
  <c r="K251" i="18"/>
  <c r="J251" i="18"/>
  <c r="I251" i="18"/>
  <c r="G251" i="18"/>
  <c r="E251" i="18"/>
  <c r="D251" i="18"/>
  <c r="C251" i="18"/>
  <c r="B251" i="18"/>
  <c r="G250" i="18"/>
  <c r="E250" i="18"/>
  <c r="D250" i="18"/>
  <c r="C250" i="18"/>
  <c r="B250" i="18"/>
  <c r="Q249" i="18"/>
  <c r="O249" i="18"/>
  <c r="N249" i="18"/>
  <c r="M249" i="18"/>
  <c r="L249" i="18"/>
  <c r="K249" i="18"/>
  <c r="J249" i="18"/>
  <c r="I249" i="18"/>
  <c r="G249" i="18"/>
  <c r="E249" i="18"/>
  <c r="D249" i="18"/>
  <c r="C249" i="18"/>
  <c r="B249" i="18"/>
  <c r="Q248" i="18"/>
  <c r="O248" i="18"/>
  <c r="N248" i="18"/>
  <c r="M248" i="18"/>
  <c r="L248" i="18"/>
  <c r="K248" i="18"/>
  <c r="J248" i="18"/>
  <c r="I248" i="18"/>
  <c r="G248" i="18"/>
  <c r="E248" i="18"/>
  <c r="D248" i="18"/>
  <c r="C248" i="18"/>
  <c r="B248" i="18"/>
  <c r="G247" i="18"/>
  <c r="E247" i="18"/>
  <c r="D247" i="18"/>
  <c r="C247" i="18"/>
  <c r="B247" i="18"/>
  <c r="Q246" i="18"/>
  <c r="O246" i="18"/>
  <c r="N246" i="18"/>
  <c r="M246" i="18"/>
  <c r="L246" i="18"/>
  <c r="K246" i="18"/>
  <c r="J246" i="18"/>
  <c r="I246" i="18"/>
  <c r="G246" i="18"/>
  <c r="E246" i="18"/>
  <c r="D246" i="18"/>
  <c r="C246" i="18"/>
  <c r="B246" i="18"/>
  <c r="Q245" i="18"/>
  <c r="O245" i="18"/>
  <c r="N245" i="18"/>
  <c r="M245" i="18"/>
  <c r="L245" i="18"/>
  <c r="K245" i="18"/>
  <c r="J245" i="18"/>
  <c r="I245" i="18"/>
  <c r="G245" i="18"/>
  <c r="E245" i="18"/>
  <c r="D245" i="18"/>
  <c r="C245" i="18"/>
  <c r="B245" i="18"/>
  <c r="Q244" i="18"/>
  <c r="O244" i="18"/>
  <c r="N244" i="18"/>
  <c r="M244" i="18"/>
  <c r="L244" i="18"/>
  <c r="K244" i="18"/>
  <c r="J244" i="18"/>
  <c r="I244" i="18"/>
  <c r="G244" i="18"/>
  <c r="E244" i="18"/>
  <c r="D244" i="18"/>
  <c r="C244" i="18"/>
  <c r="B244" i="18"/>
  <c r="Q243" i="18"/>
  <c r="O243" i="18"/>
  <c r="N243" i="18"/>
  <c r="M243" i="18"/>
  <c r="L243" i="18"/>
  <c r="K243" i="18"/>
  <c r="J243" i="18"/>
  <c r="I243" i="18"/>
  <c r="G243" i="18"/>
  <c r="E243" i="18"/>
  <c r="D243" i="18"/>
  <c r="C243" i="18"/>
  <c r="B243" i="18"/>
  <c r="Q242" i="18"/>
  <c r="O242" i="18"/>
  <c r="N242" i="18"/>
  <c r="M242" i="18"/>
  <c r="L242" i="18"/>
  <c r="K242" i="18"/>
  <c r="J242" i="18"/>
  <c r="I242" i="18"/>
  <c r="G242" i="18"/>
  <c r="E242" i="18"/>
  <c r="D242" i="18"/>
  <c r="C242" i="18"/>
  <c r="B242" i="18"/>
  <c r="Q241" i="18"/>
  <c r="O241" i="18"/>
  <c r="N241" i="18"/>
  <c r="M241" i="18"/>
  <c r="L241" i="18"/>
  <c r="K241" i="18"/>
  <c r="J241" i="18"/>
  <c r="I241" i="18"/>
  <c r="G241" i="18"/>
  <c r="E241" i="18"/>
  <c r="D241" i="18"/>
  <c r="C241" i="18"/>
  <c r="B241" i="18"/>
  <c r="Q240" i="18"/>
  <c r="O240" i="18"/>
  <c r="N240" i="18"/>
  <c r="M240" i="18"/>
  <c r="L240" i="18"/>
  <c r="K240" i="18"/>
  <c r="J240" i="18"/>
  <c r="I240" i="18"/>
  <c r="G240" i="18"/>
  <c r="E240" i="18"/>
  <c r="D240" i="18"/>
  <c r="C240" i="18"/>
  <c r="B240" i="18"/>
  <c r="Q239" i="18"/>
  <c r="O239" i="18"/>
  <c r="N239" i="18"/>
  <c r="M239" i="18"/>
  <c r="L239" i="18"/>
  <c r="K239" i="18"/>
  <c r="J239" i="18"/>
  <c r="I239" i="18"/>
  <c r="G239" i="18"/>
  <c r="E239" i="18"/>
  <c r="D239" i="18"/>
  <c r="C239" i="18"/>
  <c r="B239" i="18"/>
  <c r="Q238" i="18"/>
  <c r="O238" i="18"/>
  <c r="N238" i="18"/>
  <c r="M238" i="18"/>
  <c r="L238" i="18"/>
  <c r="K238" i="18"/>
  <c r="J238" i="18"/>
  <c r="I238" i="18"/>
  <c r="G238" i="18"/>
  <c r="E238" i="18"/>
  <c r="D238" i="18"/>
  <c r="C238" i="18"/>
  <c r="B238" i="18"/>
  <c r="G237" i="18"/>
  <c r="E237" i="18"/>
  <c r="D237" i="18"/>
  <c r="C237" i="18"/>
  <c r="B237" i="18"/>
  <c r="Q236" i="18"/>
  <c r="O236" i="18"/>
  <c r="N236" i="18"/>
  <c r="M236" i="18"/>
  <c r="L236" i="18"/>
  <c r="K236" i="18"/>
  <c r="J236" i="18"/>
  <c r="I236" i="18"/>
  <c r="G236" i="18"/>
  <c r="E236" i="18"/>
  <c r="D236" i="18"/>
  <c r="C236" i="18"/>
  <c r="B236" i="18"/>
  <c r="Q235" i="18"/>
  <c r="O235" i="18"/>
  <c r="N235" i="18"/>
  <c r="M235" i="18"/>
  <c r="L235" i="18"/>
  <c r="K235" i="18"/>
  <c r="J235" i="18"/>
  <c r="I235" i="18"/>
  <c r="G235" i="18"/>
  <c r="E235" i="18"/>
  <c r="D235" i="18"/>
  <c r="C235" i="18"/>
  <c r="B235" i="18"/>
  <c r="Q234" i="18"/>
  <c r="O234" i="18"/>
  <c r="N234" i="18"/>
  <c r="M234" i="18"/>
  <c r="L234" i="18"/>
  <c r="K234" i="18"/>
  <c r="J234" i="18"/>
  <c r="I234" i="18"/>
  <c r="G234" i="18"/>
  <c r="E234" i="18"/>
  <c r="D234" i="18"/>
  <c r="C234" i="18"/>
  <c r="B234" i="18"/>
  <c r="Q233" i="18"/>
  <c r="O233" i="18"/>
  <c r="N233" i="18"/>
  <c r="M233" i="18"/>
  <c r="L233" i="18"/>
  <c r="K233" i="18"/>
  <c r="J233" i="18"/>
  <c r="I233" i="18"/>
  <c r="G233" i="18"/>
  <c r="E233" i="18"/>
  <c r="D233" i="18"/>
  <c r="C233" i="18"/>
  <c r="B233" i="18"/>
  <c r="Q232" i="18"/>
  <c r="O232" i="18"/>
  <c r="N232" i="18"/>
  <c r="M232" i="18"/>
  <c r="L232" i="18"/>
  <c r="K232" i="18"/>
  <c r="J232" i="18"/>
  <c r="I232" i="18"/>
  <c r="G232" i="18"/>
  <c r="E232" i="18"/>
  <c r="D232" i="18"/>
  <c r="C232" i="18"/>
  <c r="B232" i="18"/>
  <c r="G231" i="18"/>
  <c r="E231" i="18"/>
  <c r="D231" i="18"/>
  <c r="C231" i="18"/>
  <c r="B231" i="18"/>
  <c r="Q230" i="18"/>
  <c r="O230" i="18"/>
  <c r="N230" i="18"/>
  <c r="M230" i="18"/>
  <c r="L230" i="18"/>
  <c r="K230" i="18"/>
  <c r="J230" i="18"/>
  <c r="I230" i="18"/>
  <c r="G230" i="18"/>
  <c r="E230" i="18"/>
  <c r="D230" i="18"/>
  <c r="C230" i="18"/>
  <c r="B230" i="18"/>
  <c r="Q229" i="18"/>
  <c r="O229" i="18"/>
  <c r="N229" i="18"/>
  <c r="M229" i="18"/>
  <c r="L229" i="18"/>
  <c r="K229" i="18"/>
  <c r="J229" i="18"/>
  <c r="I229" i="18"/>
  <c r="G229" i="18"/>
  <c r="E229" i="18"/>
  <c r="D229" i="18"/>
  <c r="C229" i="18"/>
  <c r="B229" i="18"/>
  <c r="G228" i="18"/>
  <c r="E228" i="18"/>
  <c r="D228" i="18"/>
  <c r="C228" i="18"/>
  <c r="B228" i="18"/>
  <c r="Q227" i="18"/>
  <c r="O227" i="18"/>
  <c r="N227" i="18"/>
  <c r="M227" i="18"/>
  <c r="L227" i="18"/>
  <c r="K227" i="18"/>
  <c r="J227" i="18"/>
  <c r="I227" i="18"/>
  <c r="G227" i="18"/>
  <c r="E227" i="18"/>
  <c r="D227" i="18"/>
  <c r="C227" i="18"/>
  <c r="B227" i="18"/>
  <c r="Q226" i="18"/>
  <c r="O226" i="18"/>
  <c r="N226" i="18"/>
  <c r="M226" i="18"/>
  <c r="L226" i="18"/>
  <c r="K226" i="18"/>
  <c r="J226" i="18"/>
  <c r="I226" i="18"/>
  <c r="G226" i="18"/>
  <c r="E226" i="18"/>
  <c r="D226" i="18"/>
  <c r="C226" i="18"/>
  <c r="B226" i="18"/>
  <c r="Q225" i="18"/>
  <c r="O225" i="18"/>
  <c r="N225" i="18"/>
  <c r="M225" i="18"/>
  <c r="L225" i="18"/>
  <c r="K225" i="18"/>
  <c r="J225" i="18"/>
  <c r="I225" i="18"/>
  <c r="G225" i="18"/>
  <c r="E225" i="18"/>
  <c r="D225" i="18"/>
  <c r="C225" i="18"/>
  <c r="B225" i="18"/>
  <c r="Q224" i="18"/>
  <c r="O224" i="18"/>
  <c r="N224" i="18"/>
  <c r="M224" i="18"/>
  <c r="L224" i="18"/>
  <c r="K224" i="18"/>
  <c r="J224" i="18"/>
  <c r="I224" i="18"/>
  <c r="G224" i="18"/>
  <c r="E224" i="18"/>
  <c r="D224" i="18"/>
  <c r="C224" i="18"/>
  <c r="B224" i="18"/>
  <c r="Q223" i="18"/>
  <c r="O223" i="18"/>
  <c r="N223" i="18"/>
  <c r="M223" i="18"/>
  <c r="L223" i="18"/>
  <c r="K223" i="18"/>
  <c r="J223" i="18"/>
  <c r="I223" i="18"/>
  <c r="G223" i="18"/>
  <c r="E223" i="18"/>
  <c r="D223" i="18"/>
  <c r="C223" i="18"/>
  <c r="B223" i="18"/>
  <c r="G222" i="18"/>
  <c r="E222" i="18"/>
  <c r="D222" i="18"/>
  <c r="C222" i="18"/>
  <c r="B222" i="18"/>
  <c r="Q221" i="18"/>
  <c r="O221" i="18"/>
  <c r="N221" i="18"/>
  <c r="M221" i="18"/>
  <c r="L221" i="18"/>
  <c r="K221" i="18"/>
  <c r="J221" i="18"/>
  <c r="I221" i="18"/>
  <c r="G221" i="18"/>
  <c r="E221" i="18"/>
  <c r="D221" i="18"/>
  <c r="C221" i="18"/>
  <c r="B221" i="18"/>
  <c r="Q220" i="18"/>
  <c r="O220" i="18"/>
  <c r="N220" i="18"/>
  <c r="M220" i="18"/>
  <c r="L220" i="18"/>
  <c r="K220" i="18"/>
  <c r="J220" i="18"/>
  <c r="I220" i="18"/>
  <c r="G220" i="18"/>
  <c r="E220" i="18"/>
  <c r="D220" i="18"/>
  <c r="C220" i="18"/>
  <c r="B220" i="18"/>
  <c r="G219" i="18"/>
  <c r="E219" i="18"/>
  <c r="D219" i="18"/>
  <c r="C219" i="18"/>
  <c r="B219" i="18"/>
  <c r="Q218" i="18"/>
  <c r="O218" i="18"/>
  <c r="N218" i="18"/>
  <c r="M218" i="18"/>
  <c r="L218" i="18"/>
  <c r="K218" i="18"/>
  <c r="J218" i="18"/>
  <c r="I218" i="18"/>
  <c r="G218" i="18"/>
  <c r="C174" i="15" s="1"/>
  <c r="E218" i="18"/>
  <c r="D218" i="18"/>
  <c r="C218" i="18"/>
  <c r="B218" i="18"/>
  <c r="G217" i="18"/>
  <c r="E217" i="18"/>
  <c r="D217" i="18"/>
  <c r="C217" i="18"/>
  <c r="B217" i="18"/>
  <c r="G216" i="18"/>
  <c r="E216" i="18"/>
  <c r="D216" i="18"/>
  <c r="C216" i="18"/>
  <c r="B216" i="18"/>
  <c r="Q215" i="18"/>
  <c r="O215" i="18"/>
  <c r="N215" i="18"/>
  <c r="M215" i="18"/>
  <c r="L215" i="18"/>
  <c r="K215" i="18"/>
  <c r="J215" i="18"/>
  <c r="I215" i="18"/>
  <c r="G215" i="18"/>
  <c r="E215" i="18"/>
  <c r="D215" i="18"/>
  <c r="C215" i="18"/>
  <c r="B215" i="18"/>
  <c r="Q214" i="18"/>
  <c r="O214" i="18"/>
  <c r="N214" i="18"/>
  <c r="M214" i="18"/>
  <c r="L214" i="18"/>
  <c r="K214" i="18"/>
  <c r="J214" i="18"/>
  <c r="I214" i="18"/>
  <c r="G214" i="18"/>
  <c r="E214" i="18"/>
  <c r="D214" i="18"/>
  <c r="C214" i="18"/>
  <c r="B214" i="18"/>
  <c r="Q213" i="18"/>
  <c r="O213" i="18"/>
  <c r="N213" i="18"/>
  <c r="M213" i="18"/>
  <c r="L213" i="18"/>
  <c r="K213" i="18"/>
  <c r="J213" i="18"/>
  <c r="I213" i="18"/>
  <c r="G213" i="18"/>
  <c r="E213" i="18"/>
  <c r="D213" i="18"/>
  <c r="C213" i="18"/>
  <c r="B213" i="18"/>
  <c r="Q212" i="18"/>
  <c r="O212" i="18"/>
  <c r="N212" i="18"/>
  <c r="M212" i="18"/>
  <c r="L212" i="18"/>
  <c r="K212" i="18"/>
  <c r="J212" i="18"/>
  <c r="I212" i="18"/>
  <c r="G212" i="18"/>
  <c r="E212" i="18"/>
  <c r="D212" i="18"/>
  <c r="C212" i="18"/>
  <c r="B212" i="18"/>
  <c r="Q211" i="18"/>
  <c r="O211" i="18"/>
  <c r="N211" i="18"/>
  <c r="M211" i="18"/>
  <c r="L211" i="18"/>
  <c r="K211" i="18"/>
  <c r="J211" i="18"/>
  <c r="I211" i="18"/>
  <c r="G211" i="18"/>
  <c r="E211" i="18"/>
  <c r="D211" i="18"/>
  <c r="C211" i="18"/>
  <c r="B211" i="18"/>
  <c r="Q210" i="18"/>
  <c r="O210" i="18"/>
  <c r="N210" i="18"/>
  <c r="M210" i="18"/>
  <c r="L210" i="18"/>
  <c r="K210" i="18"/>
  <c r="J210" i="18"/>
  <c r="I210" i="18"/>
  <c r="G210" i="18"/>
  <c r="E210" i="18"/>
  <c r="D210" i="18"/>
  <c r="C210" i="18"/>
  <c r="B210" i="18"/>
  <c r="Q209" i="18"/>
  <c r="O209" i="18"/>
  <c r="N209" i="18"/>
  <c r="M209" i="18"/>
  <c r="L209" i="18"/>
  <c r="K209" i="18"/>
  <c r="J209" i="18"/>
  <c r="I209" i="18"/>
  <c r="G209" i="18"/>
  <c r="E209" i="18"/>
  <c r="D209" i="18"/>
  <c r="C209" i="18"/>
  <c r="B209" i="18"/>
  <c r="Q208" i="18"/>
  <c r="O208" i="18"/>
  <c r="N208" i="18"/>
  <c r="M208" i="18"/>
  <c r="L208" i="18"/>
  <c r="K208" i="18"/>
  <c r="J208" i="18"/>
  <c r="I208" i="18"/>
  <c r="G208" i="18"/>
  <c r="E208" i="18"/>
  <c r="D208" i="18"/>
  <c r="C208" i="18"/>
  <c r="B208" i="18"/>
  <c r="Q207" i="18"/>
  <c r="O207" i="18"/>
  <c r="N207" i="18"/>
  <c r="M207" i="18"/>
  <c r="L207" i="18"/>
  <c r="K207" i="18"/>
  <c r="J207" i="18"/>
  <c r="I207" i="18"/>
  <c r="G207" i="18"/>
  <c r="E207" i="18"/>
  <c r="D207" i="18"/>
  <c r="C207" i="18"/>
  <c r="B207" i="18"/>
  <c r="Q206" i="18"/>
  <c r="O206" i="18"/>
  <c r="N206" i="18"/>
  <c r="M206" i="18"/>
  <c r="L206" i="18"/>
  <c r="K206" i="18"/>
  <c r="J206" i="18"/>
  <c r="I206" i="18"/>
  <c r="G206" i="18"/>
  <c r="E206" i="18"/>
  <c r="D206" i="18"/>
  <c r="C206" i="18"/>
  <c r="B206" i="18"/>
  <c r="Q205" i="18"/>
  <c r="O205" i="18"/>
  <c r="N205" i="18"/>
  <c r="M205" i="18"/>
  <c r="L205" i="18"/>
  <c r="K205" i="18"/>
  <c r="J205" i="18"/>
  <c r="I205" i="18"/>
  <c r="G205" i="18"/>
  <c r="E205" i="18"/>
  <c r="D205" i="18"/>
  <c r="C205" i="18"/>
  <c r="B205" i="18"/>
  <c r="Q204" i="18"/>
  <c r="O204" i="18"/>
  <c r="N204" i="18"/>
  <c r="M204" i="18"/>
  <c r="L204" i="18"/>
  <c r="K204" i="18"/>
  <c r="J204" i="18"/>
  <c r="I204" i="18"/>
  <c r="G204" i="18"/>
  <c r="E204" i="18"/>
  <c r="D204" i="18"/>
  <c r="C204" i="18"/>
  <c r="B204" i="18"/>
  <c r="Q203" i="18"/>
  <c r="O203" i="18"/>
  <c r="N203" i="18"/>
  <c r="M203" i="18"/>
  <c r="L203" i="18"/>
  <c r="K203" i="18"/>
  <c r="J203" i="18"/>
  <c r="I203" i="18"/>
  <c r="G203" i="18"/>
  <c r="E203" i="18"/>
  <c r="D203" i="18"/>
  <c r="C203" i="18"/>
  <c r="B203" i="18"/>
  <c r="Q202" i="18"/>
  <c r="O202" i="18"/>
  <c r="N202" i="18"/>
  <c r="M202" i="18"/>
  <c r="L202" i="18"/>
  <c r="K202" i="18"/>
  <c r="J202" i="18"/>
  <c r="I202" i="18"/>
  <c r="G202" i="18"/>
  <c r="E202" i="18"/>
  <c r="D202" i="18"/>
  <c r="C202" i="18"/>
  <c r="B202" i="18"/>
  <c r="G201" i="18"/>
  <c r="C167" i="15" s="1"/>
  <c r="E201" i="18"/>
  <c r="D201" i="18"/>
  <c r="C201" i="18"/>
  <c r="B201" i="18"/>
  <c r="Q200" i="18"/>
  <c r="O200" i="18"/>
  <c r="N200" i="18"/>
  <c r="M200" i="18"/>
  <c r="L200" i="18"/>
  <c r="K200" i="18"/>
  <c r="J200" i="18"/>
  <c r="I200" i="18"/>
  <c r="G200" i="18"/>
  <c r="E200" i="18"/>
  <c r="D200" i="18"/>
  <c r="C200" i="18"/>
  <c r="B200" i="18"/>
  <c r="Q199" i="18"/>
  <c r="O199" i="18"/>
  <c r="N199" i="18"/>
  <c r="M199" i="18"/>
  <c r="L199" i="18"/>
  <c r="K199" i="18"/>
  <c r="J199" i="18"/>
  <c r="I199" i="18"/>
  <c r="G199" i="18"/>
  <c r="E199" i="18"/>
  <c r="D199" i="18"/>
  <c r="C199" i="18"/>
  <c r="B199" i="18"/>
  <c r="G198" i="18"/>
  <c r="E198" i="18"/>
  <c r="D198" i="18"/>
  <c r="C198" i="18"/>
  <c r="B198" i="18"/>
  <c r="Q197" i="18"/>
  <c r="O197" i="18"/>
  <c r="N197" i="18"/>
  <c r="M197" i="18"/>
  <c r="L197" i="18"/>
  <c r="K197" i="18"/>
  <c r="J197" i="18"/>
  <c r="I197" i="18"/>
  <c r="G197" i="18"/>
  <c r="E197" i="18"/>
  <c r="D197" i="18"/>
  <c r="C197" i="18"/>
  <c r="B197" i="18"/>
  <c r="Q196" i="18"/>
  <c r="O196" i="18"/>
  <c r="N196" i="18"/>
  <c r="M196" i="18"/>
  <c r="L196" i="18"/>
  <c r="K196" i="18"/>
  <c r="J196" i="18"/>
  <c r="I196" i="18"/>
  <c r="G196" i="18"/>
  <c r="E196" i="18"/>
  <c r="D196" i="18"/>
  <c r="C196" i="18"/>
  <c r="B196" i="18"/>
  <c r="Q195" i="18"/>
  <c r="O195" i="18"/>
  <c r="N195" i="18"/>
  <c r="M195" i="18"/>
  <c r="L195" i="18"/>
  <c r="K195" i="18"/>
  <c r="J195" i="18"/>
  <c r="I195" i="18"/>
  <c r="G195" i="18"/>
  <c r="E195" i="18"/>
  <c r="D195" i="18"/>
  <c r="C195" i="18"/>
  <c r="B195" i="18"/>
  <c r="Q194" i="18"/>
  <c r="O194" i="18"/>
  <c r="N194" i="18"/>
  <c r="M194" i="18"/>
  <c r="L194" i="18"/>
  <c r="K194" i="18"/>
  <c r="J194" i="18"/>
  <c r="I194" i="18"/>
  <c r="G194" i="18"/>
  <c r="E194" i="18"/>
  <c r="D194" i="18"/>
  <c r="C194" i="18"/>
  <c r="B194" i="18"/>
  <c r="Q193" i="18"/>
  <c r="O193" i="18"/>
  <c r="N193" i="18"/>
  <c r="M193" i="18"/>
  <c r="L193" i="18"/>
  <c r="K193" i="18"/>
  <c r="J193" i="18"/>
  <c r="I193" i="18"/>
  <c r="G193" i="18"/>
  <c r="E193" i="18"/>
  <c r="D193" i="18"/>
  <c r="C193" i="18"/>
  <c r="B193" i="18"/>
  <c r="G192" i="18"/>
  <c r="C164" i="15" s="1"/>
  <c r="E192" i="18"/>
  <c r="D192" i="18"/>
  <c r="C192" i="18"/>
  <c r="B192" i="18"/>
  <c r="Q191" i="18"/>
  <c r="O191" i="18"/>
  <c r="N191" i="18"/>
  <c r="M191" i="18"/>
  <c r="L191" i="18"/>
  <c r="K191" i="18"/>
  <c r="J191" i="18"/>
  <c r="I191" i="18"/>
  <c r="G191" i="18"/>
  <c r="E191" i="18"/>
  <c r="D191" i="18"/>
  <c r="C191" i="18"/>
  <c r="B191" i="18"/>
  <c r="Q190" i="18"/>
  <c r="O190" i="18"/>
  <c r="N190" i="18"/>
  <c r="M190" i="18"/>
  <c r="L190" i="18"/>
  <c r="K190" i="18"/>
  <c r="J190" i="18"/>
  <c r="I190" i="18"/>
  <c r="G190" i="18"/>
  <c r="E190" i="18"/>
  <c r="D190" i="18"/>
  <c r="C190" i="18"/>
  <c r="B190" i="18"/>
  <c r="Q189" i="18"/>
  <c r="O189" i="18"/>
  <c r="N189" i="18"/>
  <c r="M189" i="18"/>
  <c r="L189" i="18"/>
  <c r="K189" i="18"/>
  <c r="J189" i="18"/>
  <c r="I189" i="18"/>
  <c r="G189" i="18"/>
  <c r="E189" i="18"/>
  <c r="D189" i="18"/>
  <c r="C189" i="18"/>
  <c r="B189" i="18"/>
  <c r="Q188" i="18"/>
  <c r="O188" i="18"/>
  <c r="N188" i="18"/>
  <c r="M188" i="18"/>
  <c r="L188" i="18"/>
  <c r="K188" i="18"/>
  <c r="J188" i="18"/>
  <c r="I188" i="18"/>
  <c r="G188" i="18"/>
  <c r="C157" i="15" s="1"/>
  <c r="E188" i="18"/>
  <c r="D188" i="18"/>
  <c r="C188" i="18"/>
  <c r="B188" i="18"/>
  <c r="G187" i="18"/>
  <c r="E187" i="18"/>
  <c r="D187" i="18"/>
  <c r="C187" i="18"/>
  <c r="B187" i="18"/>
  <c r="Q186" i="18"/>
  <c r="O186" i="18"/>
  <c r="N186" i="18"/>
  <c r="M186" i="18"/>
  <c r="L186" i="18"/>
  <c r="K186" i="18"/>
  <c r="J186" i="18"/>
  <c r="I186" i="18"/>
  <c r="G186" i="18"/>
  <c r="E186" i="18"/>
  <c r="D186" i="18"/>
  <c r="C186" i="18"/>
  <c r="B186" i="18"/>
  <c r="G185" i="18"/>
  <c r="E185" i="18"/>
  <c r="D185" i="18"/>
  <c r="C185" i="18"/>
  <c r="B185" i="18"/>
  <c r="Q184" i="18"/>
  <c r="O184" i="18"/>
  <c r="N184" i="18"/>
  <c r="M184" i="18"/>
  <c r="L184" i="18"/>
  <c r="K184" i="18"/>
  <c r="J184" i="18"/>
  <c r="I184" i="18"/>
  <c r="G184" i="18"/>
  <c r="C153" i="15" s="1"/>
  <c r="E184" i="18"/>
  <c r="D184" i="18"/>
  <c r="C184" i="18"/>
  <c r="B184" i="18"/>
  <c r="Q183" i="18"/>
  <c r="O183" i="18"/>
  <c r="N183" i="18"/>
  <c r="M183" i="18"/>
  <c r="L183" i="18"/>
  <c r="K183" i="18"/>
  <c r="J183" i="18"/>
  <c r="I183" i="18"/>
  <c r="G183" i="18"/>
  <c r="E183" i="18"/>
  <c r="D183" i="18"/>
  <c r="C183" i="18"/>
  <c r="B183" i="18"/>
  <c r="Q182" i="18"/>
  <c r="O182" i="18"/>
  <c r="N182" i="18"/>
  <c r="M182" i="18"/>
  <c r="L182" i="18"/>
  <c r="K182" i="18"/>
  <c r="J182" i="18"/>
  <c r="I182" i="18"/>
  <c r="G182" i="18"/>
  <c r="E182" i="18"/>
  <c r="D182" i="18"/>
  <c r="C182" i="18"/>
  <c r="B182" i="18"/>
  <c r="Q181" i="18"/>
  <c r="O181" i="18"/>
  <c r="N181" i="18"/>
  <c r="M181" i="18"/>
  <c r="L181" i="18"/>
  <c r="K181" i="18"/>
  <c r="J181" i="18"/>
  <c r="I181" i="18"/>
  <c r="G181" i="18"/>
  <c r="E181" i="18"/>
  <c r="D181" i="18"/>
  <c r="C181" i="18"/>
  <c r="B181" i="18"/>
  <c r="Q180" i="18"/>
  <c r="O180" i="18"/>
  <c r="N180" i="18"/>
  <c r="M180" i="18"/>
  <c r="L180" i="18"/>
  <c r="K180" i="18"/>
  <c r="J180" i="18"/>
  <c r="I180" i="18"/>
  <c r="G180" i="18"/>
  <c r="E180" i="18"/>
  <c r="D180" i="18"/>
  <c r="C180" i="18"/>
  <c r="B180" i="18"/>
  <c r="Q179" i="18"/>
  <c r="O179" i="18"/>
  <c r="N179" i="18"/>
  <c r="M179" i="18"/>
  <c r="L179" i="18"/>
  <c r="K179" i="18"/>
  <c r="J179" i="18"/>
  <c r="I179" i="18"/>
  <c r="G179" i="18"/>
  <c r="E179" i="18"/>
  <c r="D179" i="18"/>
  <c r="C179" i="18"/>
  <c r="B179" i="18"/>
  <c r="Q178" i="18"/>
  <c r="O178" i="18"/>
  <c r="N178" i="18"/>
  <c r="M178" i="18"/>
  <c r="L178" i="18"/>
  <c r="K178" i="18"/>
  <c r="J178" i="18"/>
  <c r="I178" i="18"/>
  <c r="G178" i="18"/>
  <c r="E178" i="18"/>
  <c r="D178" i="18"/>
  <c r="C178" i="18"/>
  <c r="B178" i="18"/>
  <c r="Q177" i="18"/>
  <c r="O177" i="18"/>
  <c r="N177" i="18"/>
  <c r="M177" i="18"/>
  <c r="L177" i="18"/>
  <c r="K177" i="18"/>
  <c r="J177" i="18"/>
  <c r="I177" i="18"/>
  <c r="G177" i="18"/>
  <c r="E177" i="18"/>
  <c r="D177" i="18"/>
  <c r="C177" i="18"/>
  <c r="B177" i="18"/>
  <c r="Q176" i="18"/>
  <c r="O176" i="18"/>
  <c r="N176" i="18"/>
  <c r="M176" i="18"/>
  <c r="L176" i="18"/>
  <c r="K176" i="18"/>
  <c r="J176" i="18"/>
  <c r="I176" i="18"/>
  <c r="G176" i="18"/>
  <c r="E176" i="18"/>
  <c r="D176" i="18"/>
  <c r="C176" i="18"/>
  <c r="B176" i="18"/>
  <c r="Q175" i="18"/>
  <c r="O175" i="18"/>
  <c r="N175" i="18"/>
  <c r="M175" i="18"/>
  <c r="L175" i="18"/>
  <c r="K175" i="18"/>
  <c r="J175" i="18"/>
  <c r="I175" i="18"/>
  <c r="G175" i="18"/>
  <c r="E175" i="18"/>
  <c r="D175" i="18"/>
  <c r="C175" i="18"/>
  <c r="B175" i="18"/>
  <c r="Q174" i="18"/>
  <c r="O174" i="18"/>
  <c r="N174" i="18"/>
  <c r="M174" i="18"/>
  <c r="L174" i="18"/>
  <c r="K174" i="18"/>
  <c r="J174" i="18"/>
  <c r="I174" i="18"/>
  <c r="G174" i="18"/>
  <c r="E174" i="18"/>
  <c r="D174" i="18"/>
  <c r="C174" i="18"/>
  <c r="B174" i="18"/>
  <c r="G173" i="18"/>
  <c r="E173" i="18"/>
  <c r="D173" i="18"/>
  <c r="C173" i="18"/>
  <c r="B173" i="18"/>
  <c r="Q172" i="18"/>
  <c r="O172" i="18"/>
  <c r="N172" i="18"/>
  <c r="M172" i="18"/>
  <c r="L172" i="18"/>
  <c r="K172" i="18"/>
  <c r="J172" i="18"/>
  <c r="I172" i="18"/>
  <c r="G172" i="18"/>
  <c r="E172" i="18"/>
  <c r="D172" i="18"/>
  <c r="C172" i="18"/>
  <c r="B172" i="18"/>
  <c r="Q171" i="18"/>
  <c r="O171" i="18"/>
  <c r="N171" i="18"/>
  <c r="M171" i="18"/>
  <c r="L171" i="18"/>
  <c r="K171" i="18"/>
  <c r="J171" i="18"/>
  <c r="I171" i="18"/>
  <c r="G171" i="18"/>
  <c r="E171" i="18"/>
  <c r="D171" i="18"/>
  <c r="C171" i="18"/>
  <c r="B171" i="18"/>
  <c r="G170" i="18"/>
  <c r="E170" i="18"/>
  <c r="D170" i="18"/>
  <c r="C170" i="18"/>
  <c r="B170" i="18"/>
  <c r="Q169" i="18"/>
  <c r="O169" i="18"/>
  <c r="N169" i="18"/>
  <c r="M169" i="18"/>
  <c r="L169" i="18"/>
  <c r="K169" i="18"/>
  <c r="J169" i="18"/>
  <c r="I169" i="18"/>
  <c r="G169" i="18"/>
  <c r="E169" i="18"/>
  <c r="D169" i="18"/>
  <c r="C169" i="18"/>
  <c r="B169" i="18"/>
  <c r="Q168" i="18"/>
  <c r="O168" i="18"/>
  <c r="N168" i="18"/>
  <c r="M168" i="18"/>
  <c r="L168" i="18"/>
  <c r="K168" i="18"/>
  <c r="J168" i="18"/>
  <c r="I168" i="18"/>
  <c r="G168" i="18"/>
  <c r="E168" i="18"/>
  <c r="D168" i="18"/>
  <c r="C168" i="18"/>
  <c r="B168" i="18"/>
  <c r="G167" i="18"/>
  <c r="E167" i="18"/>
  <c r="D167" i="18"/>
  <c r="C167" i="18"/>
  <c r="B167" i="18"/>
  <c r="Q166" i="18"/>
  <c r="O166" i="18"/>
  <c r="N166" i="18"/>
  <c r="M166" i="18"/>
  <c r="L166" i="18"/>
  <c r="K166" i="18"/>
  <c r="J166" i="18"/>
  <c r="I166" i="18"/>
  <c r="G166" i="18"/>
  <c r="E166" i="18"/>
  <c r="D166" i="18"/>
  <c r="C166" i="18"/>
  <c r="B166" i="18"/>
  <c r="Q165" i="18"/>
  <c r="O165" i="18"/>
  <c r="N165" i="18"/>
  <c r="M165" i="18"/>
  <c r="L165" i="18"/>
  <c r="K165" i="18"/>
  <c r="J165" i="18"/>
  <c r="I165" i="18"/>
  <c r="G165" i="18"/>
  <c r="E165" i="18"/>
  <c r="D165" i="18"/>
  <c r="C165" i="18"/>
  <c r="B165" i="18"/>
  <c r="Q164" i="18"/>
  <c r="O164" i="18"/>
  <c r="N164" i="18"/>
  <c r="M164" i="18"/>
  <c r="L164" i="18"/>
  <c r="K164" i="18"/>
  <c r="J164" i="18"/>
  <c r="I164" i="18"/>
  <c r="G164" i="18"/>
  <c r="E164" i="18"/>
  <c r="D164" i="18"/>
  <c r="C164" i="18"/>
  <c r="B164" i="18"/>
  <c r="Q163" i="18"/>
  <c r="O163" i="18"/>
  <c r="N163" i="18"/>
  <c r="M163" i="18"/>
  <c r="L163" i="18"/>
  <c r="K163" i="18"/>
  <c r="J163" i="18"/>
  <c r="I163" i="18"/>
  <c r="G163" i="18"/>
  <c r="E163" i="18"/>
  <c r="D163" i="18"/>
  <c r="C163" i="18"/>
  <c r="B163" i="18"/>
  <c r="Q162" i="18"/>
  <c r="O162" i="18"/>
  <c r="N162" i="18"/>
  <c r="M162" i="18"/>
  <c r="L162" i="18"/>
  <c r="K162" i="18"/>
  <c r="J162" i="18"/>
  <c r="I162" i="18"/>
  <c r="G162" i="18"/>
  <c r="E162" i="18"/>
  <c r="D162" i="18"/>
  <c r="C162" i="18"/>
  <c r="B162" i="18"/>
  <c r="G161" i="18"/>
  <c r="E161" i="18"/>
  <c r="D161" i="18"/>
  <c r="C161" i="18"/>
  <c r="B161" i="18"/>
  <c r="Q160" i="18"/>
  <c r="O160" i="18"/>
  <c r="N160" i="18"/>
  <c r="M160" i="18"/>
  <c r="L160" i="18"/>
  <c r="K160" i="18"/>
  <c r="J160" i="18"/>
  <c r="I160" i="18"/>
  <c r="G160" i="18"/>
  <c r="E160" i="18"/>
  <c r="D160" i="18"/>
  <c r="C160" i="18"/>
  <c r="B160" i="18"/>
  <c r="Q159" i="18"/>
  <c r="O159" i="18"/>
  <c r="N159" i="18"/>
  <c r="M159" i="18"/>
  <c r="L159" i="18"/>
  <c r="K159" i="18"/>
  <c r="J159" i="18"/>
  <c r="I159" i="18"/>
  <c r="G159" i="18"/>
  <c r="E159" i="18"/>
  <c r="D159" i="18"/>
  <c r="C159" i="18"/>
  <c r="B159" i="18"/>
  <c r="G158" i="18"/>
  <c r="E158" i="18"/>
  <c r="D158" i="18"/>
  <c r="C158" i="18"/>
  <c r="B158" i="18"/>
  <c r="Q157" i="18"/>
  <c r="O157" i="18"/>
  <c r="N157" i="18"/>
  <c r="M157" i="18"/>
  <c r="L157" i="18"/>
  <c r="K157" i="18"/>
  <c r="J157" i="18"/>
  <c r="I157" i="18"/>
  <c r="G157" i="18"/>
  <c r="E157" i="18"/>
  <c r="D157" i="18"/>
  <c r="C157" i="18"/>
  <c r="B157" i="18"/>
  <c r="G156" i="18"/>
  <c r="E156" i="18"/>
  <c r="D156" i="18"/>
  <c r="C156" i="18"/>
  <c r="B156" i="18"/>
  <c r="Q155" i="18"/>
  <c r="O155" i="18"/>
  <c r="N155" i="18"/>
  <c r="M155" i="18"/>
  <c r="L155" i="18"/>
  <c r="K155" i="18"/>
  <c r="J155" i="18"/>
  <c r="I155" i="18"/>
  <c r="G155" i="18"/>
  <c r="E155" i="18"/>
  <c r="D155" i="18"/>
  <c r="C155" i="18"/>
  <c r="B155" i="18"/>
  <c r="Q154" i="18"/>
  <c r="O154" i="18"/>
  <c r="N154" i="18"/>
  <c r="M154" i="18"/>
  <c r="L154" i="18"/>
  <c r="K154" i="18"/>
  <c r="J154" i="18"/>
  <c r="I154" i="18"/>
  <c r="G154" i="18"/>
  <c r="E154" i="18"/>
  <c r="D154" i="18"/>
  <c r="C154" i="18"/>
  <c r="B154" i="18"/>
  <c r="Q153" i="18"/>
  <c r="O153" i="18"/>
  <c r="N153" i="18"/>
  <c r="M153" i="18"/>
  <c r="L153" i="18"/>
  <c r="K153" i="18"/>
  <c r="J153" i="18"/>
  <c r="I153" i="18"/>
  <c r="G153" i="18"/>
  <c r="E153" i="18"/>
  <c r="D153" i="18"/>
  <c r="C153" i="18"/>
  <c r="B153" i="18"/>
  <c r="Q152" i="18"/>
  <c r="O152" i="18"/>
  <c r="N152" i="18"/>
  <c r="M152" i="18"/>
  <c r="L152" i="18"/>
  <c r="K152" i="18"/>
  <c r="J152" i="18"/>
  <c r="I152" i="18"/>
  <c r="G152" i="18"/>
  <c r="E152" i="18"/>
  <c r="D152" i="18"/>
  <c r="C152" i="18"/>
  <c r="B152" i="18"/>
  <c r="Q151" i="18"/>
  <c r="O151" i="18"/>
  <c r="N151" i="18"/>
  <c r="M151" i="18"/>
  <c r="L151" i="18"/>
  <c r="K151" i="18"/>
  <c r="J151" i="18"/>
  <c r="I151" i="18"/>
  <c r="G151" i="18"/>
  <c r="E151" i="18"/>
  <c r="D151" i="18"/>
  <c r="C151" i="18"/>
  <c r="B151" i="18"/>
  <c r="Q150" i="18"/>
  <c r="O150" i="18"/>
  <c r="N150" i="18"/>
  <c r="M150" i="18"/>
  <c r="L150" i="18"/>
  <c r="K150" i="18"/>
  <c r="J150" i="18"/>
  <c r="I150" i="18"/>
  <c r="G150" i="18"/>
  <c r="E150" i="18"/>
  <c r="D150" i="18"/>
  <c r="C150" i="18"/>
  <c r="B150" i="18"/>
  <c r="Q149" i="18"/>
  <c r="O149" i="18"/>
  <c r="N149" i="18"/>
  <c r="M149" i="18"/>
  <c r="L149" i="18"/>
  <c r="K149" i="18"/>
  <c r="J149" i="18"/>
  <c r="I149" i="18"/>
  <c r="G149" i="18"/>
  <c r="E149" i="18"/>
  <c r="D149" i="18"/>
  <c r="C149" i="18"/>
  <c r="B149" i="18"/>
  <c r="Q148" i="18"/>
  <c r="O148" i="18"/>
  <c r="N148" i="18"/>
  <c r="M148" i="18"/>
  <c r="L148" i="18"/>
  <c r="K148" i="18"/>
  <c r="J148" i="18"/>
  <c r="I148" i="18"/>
  <c r="G148" i="18"/>
  <c r="E148" i="18"/>
  <c r="D148" i="18"/>
  <c r="C148" i="18"/>
  <c r="B148" i="18"/>
  <c r="Q147" i="18"/>
  <c r="O147" i="18"/>
  <c r="N147" i="18"/>
  <c r="M147" i="18"/>
  <c r="L147" i="18"/>
  <c r="K147" i="18"/>
  <c r="J147" i="18"/>
  <c r="I147" i="18"/>
  <c r="G147" i="18"/>
  <c r="E147" i="18"/>
  <c r="D147" i="18"/>
  <c r="C147" i="18"/>
  <c r="B147" i="18"/>
  <c r="Q146" i="18"/>
  <c r="O146" i="18"/>
  <c r="N146" i="18"/>
  <c r="M146" i="18"/>
  <c r="L146" i="18"/>
  <c r="K146" i="18"/>
  <c r="J146" i="18"/>
  <c r="I146" i="18"/>
  <c r="G146" i="18"/>
  <c r="E146" i="18"/>
  <c r="D146" i="18"/>
  <c r="C146" i="18"/>
  <c r="B146" i="18"/>
  <c r="Q145" i="18"/>
  <c r="O145" i="18"/>
  <c r="N145" i="18"/>
  <c r="M145" i="18"/>
  <c r="L145" i="18"/>
  <c r="K145" i="18"/>
  <c r="J145" i="18"/>
  <c r="I145" i="18"/>
  <c r="G145" i="18"/>
  <c r="E145" i="18"/>
  <c r="D145" i="18"/>
  <c r="C145" i="18"/>
  <c r="B145" i="18"/>
  <c r="Q144" i="18"/>
  <c r="O144" i="18"/>
  <c r="N144" i="18"/>
  <c r="M144" i="18"/>
  <c r="L144" i="18"/>
  <c r="K144" i="18"/>
  <c r="J144" i="18"/>
  <c r="I144" i="18"/>
  <c r="G144" i="18"/>
  <c r="E144" i="18"/>
  <c r="D144" i="18"/>
  <c r="C144" i="18"/>
  <c r="B144" i="18"/>
  <c r="Q143" i="18"/>
  <c r="O143" i="18"/>
  <c r="N143" i="18"/>
  <c r="M143" i="18"/>
  <c r="L143" i="18"/>
  <c r="K143" i="18"/>
  <c r="J143" i="18"/>
  <c r="I143" i="18"/>
  <c r="G143" i="18"/>
  <c r="E143" i="18"/>
  <c r="D143" i="18"/>
  <c r="C143" i="18"/>
  <c r="B143" i="18"/>
  <c r="G142" i="18"/>
  <c r="E142" i="18"/>
  <c r="D142" i="18"/>
  <c r="C142" i="18"/>
  <c r="B142" i="18"/>
  <c r="Q141" i="18"/>
  <c r="O141" i="18"/>
  <c r="N141" i="18"/>
  <c r="M141" i="18"/>
  <c r="L141" i="18"/>
  <c r="K141" i="18"/>
  <c r="J141" i="18"/>
  <c r="I141" i="18"/>
  <c r="G141" i="18"/>
  <c r="E141" i="18"/>
  <c r="D141" i="18"/>
  <c r="C141" i="18"/>
  <c r="B141" i="18"/>
  <c r="Q140" i="18"/>
  <c r="O140" i="18"/>
  <c r="N140" i="18"/>
  <c r="M140" i="18"/>
  <c r="L140" i="18"/>
  <c r="K140" i="18"/>
  <c r="J140" i="18"/>
  <c r="I140" i="18"/>
  <c r="G140" i="18"/>
  <c r="E140" i="18"/>
  <c r="D140" i="18"/>
  <c r="C140" i="18"/>
  <c r="B140" i="18"/>
  <c r="G139" i="18"/>
  <c r="E139" i="18"/>
  <c r="D139" i="18"/>
  <c r="C139" i="18"/>
  <c r="B139" i="18"/>
  <c r="Q138" i="18"/>
  <c r="O138" i="18"/>
  <c r="N138" i="18"/>
  <c r="M138" i="18"/>
  <c r="L138" i="18"/>
  <c r="K138" i="18"/>
  <c r="J138" i="18"/>
  <c r="I138" i="18"/>
  <c r="G138" i="18"/>
  <c r="E138" i="18"/>
  <c r="D138" i="18"/>
  <c r="C138" i="18"/>
  <c r="B138" i="18"/>
  <c r="Q137" i="18"/>
  <c r="O137" i="18"/>
  <c r="N137" i="18"/>
  <c r="M137" i="18"/>
  <c r="L137" i="18"/>
  <c r="K137" i="18"/>
  <c r="J137" i="18"/>
  <c r="I137" i="18"/>
  <c r="G137" i="18"/>
  <c r="E137" i="18"/>
  <c r="D137" i="18"/>
  <c r="C137" i="18"/>
  <c r="B137" i="18"/>
  <c r="G136" i="18"/>
  <c r="E136" i="18"/>
  <c r="D136" i="18"/>
  <c r="C136" i="18"/>
  <c r="B136" i="18"/>
  <c r="Q135" i="18"/>
  <c r="O135" i="18"/>
  <c r="N135" i="18"/>
  <c r="M135" i="18"/>
  <c r="L135" i="18"/>
  <c r="K135" i="18"/>
  <c r="J135" i="18"/>
  <c r="I135" i="18"/>
  <c r="G135" i="18"/>
  <c r="E135" i="18"/>
  <c r="D135" i="18"/>
  <c r="C135" i="18"/>
  <c r="B135" i="18"/>
  <c r="Q134" i="18"/>
  <c r="O134" i="18"/>
  <c r="N134" i="18"/>
  <c r="M134" i="18"/>
  <c r="L134" i="18"/>
  <c r="K134" i="18"/>
  <c r="J134" i="18"/>
  <c r="I134" i="18"/>
  <c r="G134" i="18"/>
  <c r="E134" i="18"/>
  <c r="D134" i="18"/>
  <c r="C134" i="18"/>
  <c r="B134" i="18"/>
  <c r="Q133" i="18"/>
  <c r="O133" i="18"/>
  <c r="N133" i="18"/>
  <c r="M133" i="18"/>
  <c r="L133" i="18"/>
  <c r="K133" i="18"/>
  <c r="J133" i="18"/>
  <c r="I133" i="18"/>
  <c r="G133" i="18"/>
  <c r="E133" i="18"/>
  <c r="D133" i="18"/>
  <c r="C133" i="18"/>
  <c r="B133" i="18"/>
  <c r="Q132" i="18"/>
  <c r="O132" i="18"/>
  <c r="N132" i="18"/>
  <c r="M132" i="18"/>
  <c r="L132" i="18"/>
  <c r="K132" i="18"/>
  <c r="J132" i="18"/>
  <c r="I132" i="18"/>
  <c r="G132" i="18"/>
  <c r="E132" i="18"/>
  <c r="D132" i="18"/>
  <c r="C132" i="18"/>
  <c r="B132" i="18"/>
  <c r="Q131" i="18"/>
  <c r="O131" i="18"/>
  <c r="N131" i="18"/>
  <c r="M131" i="18"/>
  <c r="L131" i="18"/>
  <c r="K131" i="18"/>
  <c r="J131" i="18"/>
  <c r="I131" i="18"/>
  <c r="G131" i="18"/>
  <c r="E131" i="18"/>
  <c r="D131" i="18"/>
  <c r="C131" i="18"/>
  <c r="B131" i="18"/>
  <c r="Q130" i="18"/>
  <c r="O130" i="18"/>
  <c r="N130" i="18"/>
  <c r="M130" i="18"/>
  <c r="L130" i="18"/>
  <c r="K130" i="18"/>
  <c r="J130" i="18"/>
  <c r="I130" i="18"/>
  <c r="G130" i="18"/>
  <c r="E130" i="18"/>
  <c r="D130" i="18"/>
  <c r="C130" i="18"/>
  <c r="B130" i="18"/>
  <c r="Q129" i="18"/>
  <c r="O129" i="18"/>
  <c r="N129" i="18"/>
  <c r="M129" i="18"/>
  <c r="L129" i="18"/>
  <c r="K129" i="18"/>
  <c r="J129" i="18"/>
  <c r="I129" i="18"/>
  <c r="G129" i="18"/>
  <c r="E129" i="18"/>
  <c r="D129" i="18"/>
  <c r="C129" i="18"/>
  <c r="B129" i="18"/>
  <c r="Q128" i="18"/>
  <c r="O128" i="18"/>
  <c r="N128" i="18"/>
  <c r="M128" i="18"/>
  <c r="L128" i="18"/>
  <c r="K128" i="18"/>
  <c r="J128" i="18"/>
  <c r="I128" i="18"/>
  <c r="G128" i="18"/>
  <c r="E128" i="18"/>
  <c r="D128" i="18"/>
  <c r="C128" i="18"/>
  <c r="B128" i="18"/>
  <c r="Q127" i="18"/>
  <c r="O127" i="18"/>
  <c r="N127" i="18"/>
  <c r="M127" i="18"/>
  <c r="L127" i="18"/>
  <c r="K127" i="18"/>
  <c r="J127" i="18"/>
  <c r="I127" i="18"/>
  <c r="G127" i="18"/>
  <c r="E127" i="18"/>
  <c r="D127" i="18"/>
  <c r="C127" i="18"/>
  <c r="B127" i="18"/>
  <c r="Q126" i="18"/>
  <c r="O126" i="18"/>
  <c r="N126" i="18"/>
  <c r="M126" i="18"/>
  <c r="L126" i="18"/>
  <c r="K126" i="18"/>
  <c r="J126" i="18"/>
  <c r="I126" i="18"/>
  <c r="G126" i="18"/>
  <c r="E126" i="18"/>
  <c r="D126" i="18"/>
  <c r="C126" i="18"/>
  <c r="B126" i="18"/>
  <c r="G125" i="18"/>
  <c r="E125" i="18"/>
  <c r="D125" i="18"/>
  <c r="C125" i="18"/>
  <c r="B125" i="18"/>
  <c r="G124" i="18"/>
  <c r="C103" i="15" s="1"/>
  <c r="E124" i="18"/>
  <c r="D124" i="18"/>
  <c r="C124" i="18"/>
  <c r="B124" i="18"/>
  <c r="Q123" i="18"/>
  <c r="O123" i="18"/>
  <c r="N123" i="18"/>
  <c r="M123" i="18"/>
  <c r="L123" i="18"/>
  <c r="K123" i="18"/>
  <c r="J123" i="18"/>
  <c r="I123" i="18"/>
  <c r="G123" i="18"/>
  <c r="E123" i="18"/>
  <c r="D123" i="18"/>
  <c r="C123" i="18"/>
  <c r="B123" i="18"/>
  <c r="Q122" i="18"/>
  <c r="O122" i="18"/>
  <c r="N122" i="18"/>
  <c r="M122" i="18"/>
  <c r="L122" i="18"/>
  <c r="K122" i="18"/>
  <c r="J122" i="18"/>
  <c r="I122" i="18"/>
  <c r="G122" i="18"/>
  <c r="E122" i="18"/>
  <c r="D122" i="18"/>
  <c r="C122" i="18"/>
  <c r="B122" i="18"/>
  <c r="Q121" i="18"/>
  <c r="O121" i="18"/>
  <c r="N121" i="18"/>
  <c r="M121" i="18"/>
  <c r="L121" i="18"/>
  <c r="K121" i="18"/>
  <c r="J121" i="18"/>
  <c r="I121" i="18"/>
  <c r="G121" i="18"/>
  <c r="E121" i="18"/>
  <c r="D121" i="18"/>
  <c r="C121" i="18"/>
  <c r="B121" i="18"/>
  <c r="Q120" i="18"/>
  <c r="O120" i="18"/>
  <c r="N120" i="18"/>
  <c r="M120" i="18"/>
  <c r="L120" i="18"/>
  <c r="K120" i="18"/>
  <c r="J120" i="18"/>
  <c r="I120" i="18"/>
  <c r="G120" i="18"/>
  <c r="E120" i="18"/>
  <c r="D120" i="18"/>
  <c r="C120" i="18"/>
  <c r="B120" i="18"/>
  <c r="Q119" i="18"/>
  <c r="O119" i="18"/>
  <c r="N119" i="18"/>
  <c r="M119" i="18"/>
  <c r="L119" i="18"/>
  <c r="K119" i="18"/>
  <c r="J119" i="18"/>
  <c r="I119" i="18"/>
  <c r="G119" i="18"/>
  <c r="E119" i="18"/>
  <c r="D119" i="18"/>
  <c r="C119" i="18"/>
  <c r="B119" i="18"/>
  <c r="Q118" i="18"/>
  <c r="O118" i="18"/>
  <c r="N118" i="18"/>
  <c r="M118" i="18"/>
  <c r="L118" i="18"/>
  <c r="K118" i="18"/>
  <c r="J118" i="18"/>
  <c r="I118" i="18"/>
  <c r="G118" i="18"/>
  <c r="E118" i="18"/>
  <c r="D118" i="18"/>
  <c r="C118" i="18"/>
  <c r="B118" i="18"/>
  <c r="Q117" i="18"/>
  <c r="O117" i="18"/>
  <c r="N117" i="18"/>
  <c r="M117" i="18"/>
  <c r="L117" i="18"/>
  <c r="K117" i="18"/>
  <c r="J117" i="18"/>
  <c r="I117" i="18"/>
  <c r="G117" i="18"/>
  <c r="E117" i="18"/>
  <c r="D117" i="18"/>
  <c r="C117" i="18"/>
  <c r="B117" i="18"/>
  <c r="Q116" i="18"/>
  <c r="O116" i="18"/>
  <c r="N116" i="18"/>
  <c r="M116" i="18"/>
  <c r="L116" i="18"/>
  <c r="K116" i="18"/>
  <c r="J116" i="18"/>
  <c r="I116" i="18"/>
  <c r="G116" i="18"/>
  <c r="E116" i="18"/>
  <c r="D116" i="18"/>
  <c r="C116" i="18"/>
  <c r="B116" i="18"/>
  <c r="Q115" i="18"/>
  <c r="O115" i="18"/>
  <c r="N115" i="18"/>
  <c r="M115" i="18"/>
  <c r="L115" i="18"/>
  <c r="K115" i="18"/>
  <c r="J115" i="18"/>
  <c r="I115" i="18"/>
  <c r="G115" i="18"/>
  <c r="E115" i="18"/>
  <c r="D115" i="18"/>
  <c r="C115" i="18"/>
  <c r="B115" i="18"/>
  <c r="Q114" i="18"/>
  <c r="O114" i="18"/>
  <c r="N114" i="18"/>
  <c r="M114" i="18"/>
  <c r="L114" i="18"/>
  <c r="K114" i="18"/>
  <c r="J114" i="18"/>
  <c r="I114" i="18"/>
  <c r="G114" i="18"/>
  <c r="E114" i="18"/>
  <c r="D114" i="18"/>
  <c r="C114" i="18"/>
  <c r="B114" i="18"/>
  <c r="Q113" i="18"/>
  <c r="O113" i="18"/>
  <c r="N113" i="18"/>
  <c r="M113" i="18"/>
  <c r="L113" i="18"/>
  <c r="K113" i="18"/>
  <c r="J113" i="18"/>
  <c r="I113" i="18"/>
  <c r="G113" i="18"/>
  <c r="E113" i="18"/>
  <c r="D113" i="18"/>
  <c r="C113" i="18"/>
  <c r="B113" i="18"/>
  <c r="Q112" i="18"/>
  <c r="O112" i="18"/>
  <c r="N112" i="18"/>
  <c r="M112" i="18"/>
  <c r="L112" i="18"/>
  <c r="K112" i="18"/>
  <c r="J112" i="18"/>
  <c r="I112" i="18"/>
  <c r="G112" i="18"/>
  <c r="E112" i="18"/>
  <c r="D112" i="18"/>
  <c r="C112" i="18"/>
  <c r="B112" i="18"/>
  <c r="G111" i="18"/>
  <c r="E111" i="18"/>
  <c r="D111" i="18"/>
  <c r="C111" i="18"/>
  <c r="B111" i="18"/>
  <c r="Q110" i="18"/>
  <c r="O110" i="18"/>
  <c r="N110" i="18"/>
  <c r="M110" i="18"/>
  <c r="L110" i="18"/>
  <c r="K110" i="18"/>
  <c r="J110" i="18"/>
  <c r="I110" i="18"/>
  <c r="G110" i="18"/>
  <c r="E110" i="18"/>
  <c r="D110" i="18"/>
  <c r="C110" i="18"/>
  <c r="B110" i="18"/>
  <c r="Q109" i="18"/>
  <c r="O109" i="18"/>
  <c r="N109" i="18"/>
  <c r="M109" i="18"/>
  <c r="L109" i="18"/>
  <c r="K109" i="18"/>
  <c r="J109" i="18"/>
  <c r="I109" i="18"/>
  <c r="G109" i="18"/>
  <c r="E109" i="18"/>
  <c r="D109" i="18"/>
  <c r="C109" i="18"/>
  <c r="B109" i="18"/>
  <c r="G108" i="18"/>
  <c r="C101" i="15" s="1"/>
  <c r="E108" i="18"/>
  <c r="D108" i="18"/>
  <c r="C108" i="18"/>
  <c r="B108" i="18"/>
  <c r="Q107" i="18"/>
  <c r="O107" i="18"/>
  <c r="N107" i="18"/>
  <c r="M107" i="18"/>
  <c r="L107" i="18"/>
  <c r="K107" i="18"/>
  <c r="J107" i="18"/>
  <c r="I107" i="18"/>
  <c r="G107" i="18"/>
  <c r="E107" i="18"/>
  <c r="D107" i="18"/>
  <c r="C107" i="18"/>
  <c r="B107" i="18"/>
  <c r="G106" i="18"/>
  <c r="E106" i="18"/>
  <c r="D106" i="18"/>
  <c r="C106" i="18"/>
  <c r="B106" i="18"/>
  <c r="G105" i="18"/>
  <c r="E105" i="18"/>
  <c r="D105" i="18"/>
  <c r="C105" i="18"/>
  <c r="B105" i="18"/>
  <c r="Q104" i="18"/>
  <c r="O104" i="18"/>
  <c r="N104" i="18"/>
  <c r="M104" i="18"/>
  <c r="L104" i="18"/>
  <c r="K104" i="18"/>
  <c r="J104" i="18"/>
  <c r="I104" i="18"/>
  <c r="G104" i="18"/>
  <c r="E104" i="18"/>
  <c r="D104" i="18"/>
  <c r="C104" i="18"/>
  <c r="B104" i="18"/>
  <c r="Q103" i="18"/>
  <c r="O103" i="18"/>
  <c r="N103" i="18"/>
  <c r="M103" i="18"/>
  <c r="L103" i="18"/>
  <c r="K103" i="18"/>
  <c r="J103" i="18"/>
  <c r="I103" i="18"/>
  <c r="G103" i="18"/>
  <c r="E103" i="18"/>
  <c r="D103" i="18"/>
  <c r="C103" i="18"/>
  <c r="B103" i="18"/>
  <c r="Q102" i="18"/>
  <c r="O102" i="18"/>
  <c r="N102" i="18"/>
  <c r="M102" i="18"/>
  <c r="L102" i="18"/>
  <c r="K102" i="18"/>
  <c r="J102" i="18"/>
  <c r="I102" i="18"/>
  <c r="G102" i="18"/>
  <c r="E102" i="18"/>
  <c r="D102" i="18"/>
  <c r="C102" i="18"/>
  <c r="B102" i="18"/>
  <c r="Q101" i="18"/>
  <c r="O101" i="18"/>
  <c r="N101" i="18"/>
  <c r="M101" i="18"/>
  <c r="L101" i="18"/>
  <c r="K101" i="18"/>
  <c r="J101" i="18"/>
  <c r="I101" i="18"/>
  <c r="G101" i="18"/>
  <c r="E101" i="18"/>
  <c r="D101" i="18"/>
  <c r="C101" i="18"/>
  <c r="B101" i="18"/>
  <c r="Q100" i="18"/>
  <c r="O100" i="18"/>
  <c r="N100" i="18"/>
  <c r="M100" i="18"/>
  <c r="L100" i="18"/>
  <c r="K100" i="18"/>
  <c r="J100" i="18"/>
  <c r="I100" i="18"/>
  <c r="G100" i="18"/>
  <c r="E100" i="18"/>
  <c r="D100" i="18"/>
  <c r="C100" i="18"/>
  <c r="B100" i="18"/>
  <c r="Q99" i="18"/>
  <c r="O99" i="18"/>
  <c r="N99" i="18"/>
  <c r="M99" i="18"/>
  <c r="L99" i="18"/>
  <c r="K99" i="18"/>
  <c r="J99" i="18"/>
  <c r="I99" i="18"/>
  <c r="G99" i="18"/>
  <c r="E99" i="18"/>
  <c r="D99" i="18"/>
  <c r="C99" i="18"/>
  <c r="B99" i="18"/>
  <c r="Q98" i="18"/>
  <c r="O98" i="18"/>
  <c r="N98" i="18"/>
  <c r="M98" i="18"/>
  <c r="L98" i="18"/>
  <c r="K98" i="18"/>
  <c r="J98" i="18"/>
  <c r="I98" i="18"/>
  <c r="G98" i="18"/>
  <c r="E98" i="18"/>
  <c r="D98" i="18"/>
  <c r="C98" i="18"/>
  <c r="B98" i="18"/>
  <c r="Q97" i="18"/>
  <c r="O97" i="18"/>
  <c r="N97" i="18"/>
  <c r="M97" i="18"/>
  <c r="L97" i="18"/>
  <c r="K97" i="18"/>
  <c r="J97" i="18"/>
  <c r="I97" i="18"/>
  <c r="G97" i="18"/>
  <c r="E97" i="18"/>
  <c r="D97" i="18"/>
  <c r="C97" i="18"/>
  <c r="B97" i="18"/>
  <c r="Q96" i="18"/>
  <c r="O96" i="18"/>
  <c r="N96" i="18"/>
  <c r="M96" i="18"/>
  <c r="L96" i="18"/>
  <c r="K96" i="18"/>
  <c r="J96" i="18"/>
  <c r="I96" i="18"/>
  <c r="G96" i="18"/>
  <c r="E96" i="18"/>
  <c r="D96" i="18"/>
  <c r="C96" i="18"/>
  <c r="B96" i="18"/>
  <c r="G95" i="18"/>
  <c r="E95" i="18"/>
  <c r="D95" i="18"/>
  <c r="C95" i="18"/>
  <c r="B95" i="18"/>
  <c r="G94" i="18"/>
  <c r="E94" i="18"/>
  <c r="D94" i="18"/>
  <c r="C94" i="18"/>
  <c r="B94" i="18"/>
  <c r="Q93" i="18"/>
  <c r="O93" i="18"/>
  <c r="N93" i="18"/>
  <c r="M93" i="18"/>
  <c r="L93" i="18"/>
  <c r="K93" i="18"/>
  <c r="J93" i="18"/>
  <c r="I93" i="18"/>
  <c r="G93" i="18"/>
  <c r="E93" i="18"/>
  <c r="D93" i="18"/>
  <c r="C93" i="18"/>
  <c r="B93" i="18"/>
  <c r="Q92" i="18"/>
  <c r="O92" i="18"/>
  <c r="N92" i="18"/>
  <c r="M92" i="18"/>
  <c r="L92" i="18"/>
  <c r="K92" i="18"/>
  <c r="J92" i="18"/>
  <c r="I92" i="18"/>
  <c r="G92" i="18"/>
  <c r="E92" i="18"/>
  <c r="D92" i="18"/>
  <c r="C92" i="18"/>
  <c r="B92" i="18"/>
  <c r="Q91" i="18"/>
  <c r="O91" i="18"/>
  <c r="N91" i="18"/>
  <c r="M91" i="18"/>
  <c r="L91" i="18"/>
  <c r="K91" i="18"/>
  <c r="J91" i="18"/>
  <c r="I91" i="18"/>
  <c r="G91" i="18"/>
  <c r="E91" i="18"/>
  <c r="D91" i="18"/>
  <c r="C91" i="18"/>
  <c r="B91" i="18"/>
  <c r="Q90" i="18"/>
  <c r="O90" i="18"/>
  <c r="N90" i="18"/>
  <c r="M90" i="18"/>
  <c r="L90" i="18"/>
  <c r="K90" i="18"/>
  <c r="J90" i="18"/>
  <c r="I90" i="18"/>
  <c r="G90" i="18"/>
  <c r="E90" i="18"/>
  <c r="D90" i="18"/>
  <c r="C90" i="18"/>
  <c r="B90" i="18"/>
  <c r="Q89" i="18"/>
  <c r="O89" i="18"/>
  <c r="N89" i="18"/>
  <c r="M89" i="18"/>
  <c r="L89" i="18"/>
  <c r="K89" i="18"/>
  <c r="J89" i="18"/>
  <c r="I89" i="18"/>
  <c r="G89" i="18"/>
  <c r="E89" i="18"/>
  <c r="D89" i="18"/>
  <c r="C89" i="18"/>
  <c r="B89" i="18"/>
  <c r="Q88" i="18"/>
  <c r="O88" i="18"/>
  <c r="N88" i="18"/>
  <c r="M88" i="18"/>
  <c r="L88" i="18"/>
  <c r="K88" i="18"/>
  <c r="J88" i="18"/>
  <c r="I88" i="18"/>
  <c r="G88" i="18"/>
  <c r="E88" i="18"/>
  <c r="D88" i="18"/>
  <c r="C88" i="18"/>
  <c r="B88" i="18"/>
  <c r="Q87" i="18"/>
  <c r="O87" i="18"/>
  <c r="N87" i="18"/>
  <c r="M87" i="18"/>
  <c r="L87" i="18"/>
  <c r="K87" i="18"/>
  <c r="J87" i="18"/>
  <c r="I87" i="18"/>
  <c r="G87" i="18"/>
  <c r="E87" i="18"/>
  <c r="D87" i="18"/>
  <c r="C87" i="18"/>
  <c r="B87" i="18"/>
  <c r="Q86" i="18"/>
  <c r="O86" i="18"/>
  <c r="N86" i="18"/>
  <c r="M86" i="18"/>
  <c r="L86" i="18"/>
  <c r="K86" i="18"/>
  <c r="J86" i="18"/>
  <c r="I86" i="18"/>
  <c r="G86" i="18"/>
  <c r="E86" i="18"/>
  <c r="D86" i="18"/>
  <c r="C86" i="18"/>
  <c r="B86" i="18"/>
  <c r="Q85" i="18"/>
  <c r="O85" i="18"/>
  <c r="N85" i="18"/>
  <c r="M85" i="18"/>
  <c r="L85" i="18"/>
  <c r="K85" i="18"/>
  <c r="J85" i="18"/>
  <c r="I85" i="18"/>
  <c r="G85" i="18"/>
  <c r="E85" i="18"/>
  <c r="D85" i="18"/>
  <c r="C85" i="18"/>
  <c r="B85" i="18"/>
  <c r="Q84" i="18"/>
  <c r="O84" i="18"/>
  <c r="N84" i="18"/>
  <c r="M84" i="18"/>
  <c r="L84" i="18"/>
  <c r="K84" i="18"/>
  <c r="J84" i="18"/>
  <c r="I84" i="18"/>
  <c r="G84" i="18"/>
  <c r="E84" i="18"/>
  <c r="D84" i="18"/>
  <c r="C84" i="18"/>
  <c r="B84" i="18"/>
  <c r="Q83" i="18"/>
  <c r="O83" i="18"/>
  <c r="N83" i="18"/>
  <c r="M83" i="18"/>
  <c r="L83" i="18"/>
  <c r="K83" i="18"/>
  <c r="J83" i="18"/>
  <c r="I83" i="18"/>
  <c r="G83" i="18"/>
  <c r="E83" i="18"/>
  <c r="D83" i="18"/>
  <c r="C83" i="18"/>
  <c r="B83" i="18"/>
  <c r="Q82" i="18"/>
  <c r="O82" i="18"/>
  <c r="N82" i="18"/>
  <c r="M82" i="18"/>
  <c r="L82" i="18"/>
  <c r="K82" i="18"/>
  <c r="J82" i="18"/>
  <c r="I82" i="18"/>
  <c r="G82" i="18"/>
  <c r="E82" i="18"/>
  <c r="D82" i="18"/>
  <c r="C82" i="18"/>
  <c r="B82" i="18"/>
  <c r="Q81" i="18"/>
  <c r="O81" i="18"/>
  <c r="N81" i="18"/>
  <c r="M81" i="18"/>
  <c r="L81" i="18"/>
  <c r="K81" i="18"/>
  <c r="J81" i="18"/>
  <c r="I81" i="18"/>
  <c r="G81" i="18"/>
  <c r="E81" i="18"/>
  <c r="D81" i="18"/>
  <c r="C81" i="18"/>
  <c r="B81" i="18"/>
  <c r="G80" i="18"/>
  <c r="C73" i="15" s="1"/>
  <c r="E80" i="18"/>
  <c r="D80" i="18"/>
  <c r="C80" i="18"/>
  <c r="B80" i="18"/>
  <c r="Q79" i="18"/>
  <c r="O79" i="18"/>
  <c r="N79" i="18"/>
  <c r="M79" i="18"/>
  <c r="L79" i="18"/>
  <c r="K79" i="18"/>
  <c r="J79" i="18"/>
  <c r="I79" i="18"/>
  <c r="G79" i="18"/>
  <c r="E79" i="18"/>
  <c r="D79" i="18"/>
  <c r="C79" i="18"/>
  <c r="B79" i="18"/>
  <c r="Q78" i="18"/>
  <c r="O78" i="18"/>
  <c r="N78" i="18"/>
  <c r="M78" i="18"/>
  <c r="L78" i="18"/>
  <c r="K78" i="18"/>
  <c r="J78" i="18"/>
  <c r="I78" i="18"/>
  <c r="G78" i="18"/>
  <c r="E78" i="18"/>
  <c r="D78" i="18"/>
  <c r="C78" i="18"/>
  <c r="B78" i="18"/>
  <c r="G77" i="18"/>
  <c r="E77" i="18"/>
  <c r="D77" i="18"/>
  <c r="C77" i="18"/>
  <c r="B77" i="18"/>
  <c r="Q76" i="18"/>
  <c r="O76" i="18"/>
  <c r="N76" i="18"/>
  <c r="M76" i="18"/>
  <c r="L76" i="18"/>
  <c r="K76" i="18"/>
  <c r="J76" i="18"/>
  <c r="I76" i="18"/>
  <c r="G76" i="18"/>
  <c r="E76" i="18"/>
  <c r="D76" i="18"/>
  <c r="C76" i="18"/>
  <c r="B76" i="18"/>
  <c r="G75" i="18"/>
  <c r="E75" i="18"/>
  <c r="D75" i="18"/>
  <c r="C75" i="18"/>
  <c r="B75" i="18"/>
  <c r="G74" i="18"/>
  <c r="E74" i="18"/>
  <c r="D74" i="18"/>
  <c r="C74" i="18"/>
  <c r="B74" i="18"/>
  <c r="G73" i="18"/>
  <c r="C63" i="15" s="1"/>
  <c r="E73" i="18"/>
  <c r="D73" i="18"/>
  <c r="C73" i="18"/>
  <c r="B73" i="18"/>
  <c r="Q72" i="18"/>
  <c r="O72" i="18"/>
  <c r="N72" i="18"/>
  <c r="M72" i="18"/>
  <c r="L72" i="18"/>
  <c r="K72" i="18"/>
  <c r="J72" i="18"/>
  <c r="I72" i="18"/>
  <c r="G72" i="18"/>
  <c r="E72" i="18"/>
  <c r="D72" i="18"/>
  <c r="C72" i="18"/>
  <c r="B72" i="18"/>
  <c r="G71" i="18"/>
  <c r="E71" i="18"/>
  <c r="D71" i="18"/>
  <c r="C71" i="18"/>
  <c r="B71" i="18"/>
  <c r="Q70" i="18"/>
  <c r="O70" i="18"/>
  <c r="N70" i="18"/>
  <c r="M70" i="18"/>
  <c r="L70" i="18"/>
  <c r="K70" i="18"/>
  <c r="J70" i="18"/>
  <c r="I70" i="18"/>
  <c r="G70" i="18"/>
  <c r="E70" i="18"/>
  <c r="D70" i="18"/>
  <c r="C70" i="18"/>
  <c r="B70" i="18"/>
  <c r="G69" i="18"/>
  <c r="C48" i="15" s="1"/>
  <c r="E69" i="18"/>
  <c r="D69" i="18"/>
  <c r="C69" i="18"/>
  <c r="B69" i="18"/>
  <c r="Q68" i="18"/>
  <c r="O68" i="18"/>
  <c r="N68" i="18"/>
  <c r="M68" i="18"/>
  <c r="L68" i="18"/>
  <c r="K68" i="18"/>
  <c r="J68" i="18"/>
  <c r="I68" i="18"/>
  <c r="G68" i="18"/>
  <c r="E68" i="18"/>
  <c r="D68" i="18"/>
  <c r="C68" i="18"/>
  <c r="B68" i="18"/>
  <c r="Q67" i="18"/>
  <c r="O67" i="18"/>
  <c r="N67" i="18"/>
  <c r="M67" i="18"/>
  <c r="L67" i="18"/>
  <c r="K67" i="18"/>
  <c r="J67" i="18"/>
  <c r="I67" i="18"/>
  <c r="G67" i="18"/>
  <c r="E67" i="18"/>
  <c r="D67" i="18"/>
  <c r="C67" i="18"/>
  <c r="B67" i="18"/>
  <c r="Q66" i="18"/>
  <c r="O66" i="18"/>
  <c r="N66" i="18"/>
  <c r="M66" i="18"/>
  <c r="L66" i="18"/>
  <c r="K66" i="18"/>
  <c r="J66" i="18"/>
  <c r="I66" i="18"/>
  <c r="G66" i="18"/>
  <c r="E66" i="18"/>
  <c r="D66" i="18"/>
  <c r="C66" i="18"/>
  <c r="B66" i="18"/>
  <c r="G65" i="18"/>
  <c r="E65" i="18"/>
  <c r="D65" i="18"/>
  <c r="C65" i="18"/>
  <c r="B65" i="18"/>
  <c r="Q64" i="18"/>
  <c r="O64" i="18"/>
  <c r="N64" i="18"/>
  <c r="M64" i="18"/>
  <c r="L64" i="18"/>
  <c r="K64" i="18"/>
  <c r="J64" i="18"/>
  <c r="I64" i="18"/>
  <c r="G64" i="18"/>
  <c r="E64" i="18"/>
  <c r="D64" i="18"/>
  <c r="C64" i="18"/>
  <c r="B64" i="18"/>
  <c r="G63" i="18"/>
  <c r="E63" i="18"/>
  <c r="D63" i="18"/>
  <c r="C63" i="18"/>
  <c r="B63" i="18"/>
  <c r="G62" i="18"/>
  <c r="E62" i="18"/>
  <c r="D62" i="18"/>
  <c r="C62" i="18"/>
  <c r="B62" i="18"/>
  <c r="G61" i="18"/>
  <c r="C363" i="15" s="1"/>
  <c r="E61" i="18"/>
  <c r="D61" i="18"/>
  <c r="C61" i="18"/>
  <c r="B61" i="18"/>
  <c r="Q60" i="18"/>
  <c r="O60" i="18"/>
  <c r="N60" i="18"/>
  <c r="M60" i="18"/>
  <c r="L60" i="18"/>
  <c r="K60" i="18"/>
  <c r="J60" i="18"/>
  <c r="I60" i="18"/>
  <c r="G60" i="18"/>
  <c r="E60" i="18"/>
  <c r="D60" i="18"/>
  <c r="C60" i="18"/>
  <c r="B60" i="18"/>
  <c r="Q59" i="18"/>
  <c r="O59" i="18"/>
  <c r="N59" i="18"/>
  <c r="M59" i="18"/>
  <c r="L59" i="18"/>
  <c r="K59" i="18"/>
  <c r="J59" i="18"/>
  <c r="I59" i="18"/>
  <c r="G59" i="18"/>
  <c r="E59" i="18"/>
  <c r="D59" i="18"/>
  <c r="C59" i="18"/>
  <c r="B59" i="18"/>
  <c r="Q58" i="18"/>
  <c r="O58" i="18"/>
  <c r="N58" i="18"/>
  <c r="M58" i="18"/>
  <c r="L58" i="18"/>
  <c r="K58" i="18"/>
  <c r="J58" i="18"/>
  <c r="I58" i="18"/>
  <c r="G58" i="18"/>
  <c r="E58" i="18"/>
  <c r="D58" i="18"/>
  <c r="C58" i="18"/>
  <c r="B58" i="18"/>
  <c r="Q57" i="18"/>
  <c r="O57" i="18"/>
  <c r="N57" i="18"/>
  <c r="M57" i="18"/>
  <c r="L57" i="18"/>
  <c r="K57" i="18"/>
  <c r="J57" i="18"/>
  <c r="I57" i="18"/>
  <c r="G57" i="18"/>
  <c r="E57" i="18"/>
  <c r="D57" i="18"/>
  <c r="C57" i="18"/>
  <c r="B57" i="18"/>
  <c r="Q56" i="18"/>
  <c r="O56" i="18"/>
  <c r="N56" i="18"/>
  <c r="M56" i="18"/>
  <c r="L56" i="18"/>
  <c r="K56" i="18"/>
  <c r="J56" i="18"/>
  <c r="I56" i="18"/>
  <c r="G56" i="18"/>
  <c r="E56" i="18"/>
  <c r="D56" i="18"/>
  <c r="C56" i="18"/>
  <c r="B56" i="18"/>
  <c r="Q55" i="18"/>
  <c r="O55" i="18"/>
  <c r="N55" i="18"/>
  <c r="M55" i="18"/>
  <c r="L55" i="18"/>
  <c r="K55" i="18"/>
  <c r="J55" i="18"/>
  <c r="I55" i="18"/>
  <c r="G55" i="18"/>
  <c r="E55" i="18"/>
  <c r="D55" i="18"/>
  <c r="C55" i="18"/>
  <c r="B55" i="18"/>
  <c r="Q54" i="18"/>
  <c r="O54" i="18"/>
  <c r="N54" i="18"/>
  <c r="M54" i="18"/>
  <c r="L54" i="18"/>
  <c r="K54" i="18"/>
  <c r="J54" i="18"/>
  <c r="I54" i="18"/>
  <c r="G54" i="18"/>
  <c r="E54" i="18"/>
  <c r="D54" i="18"/>
  <c r="C54" i="18"/>
  <c r="B54" i="18"/>
  <c r="Q53" i="18"/>
  <c r="O53" i="18"/>
  <c r="N53" i="18"/>
  <c r="M53" i="18"/>
  <c r="L53" i="18"/>
  <c r="K53" i="18"/>
  <c r="J53" i="18"/>
  <c r="I53" i="18"/>
  <c r="G53" i="18"/>
  <c r="E53" i="18"/>
  <c r="D53" i="18"/>
  <c r="C53" i="18"/>
  <c r="B53" i="18"/>
  <c r="Q52" i="18"/>
  <c r="O52" i="18"/>
  <c r="N52" i="18"/>
  <c r="M52" i="18"/>
  <c r="L52" i="18"/>
  <c r="K52" i="18"/>
  <c r="J52" i="18"/>
  <c r="I52" i="18"/>
  <c r="G52" i="18"/>
  <c r="E52" i="18"/>
  <c r="D52" i="18"/>
  <c r="C52" i="18"/>
  <c r="B52" i="18"/>
  <c r="Q51" i="18"/>
  <c r="O51" i="18"/>
  <c r="N51" i="18"/>
  <c r="M51" i="18"/>
  <c r="L51" i="18"/>
  <c r="K51" i="18"/>
  <c r="J51" i="18"/>
  <c r="I51" i="18"/>
  <c r="G51" i="18"/>
  <c r="E51" i="18"/>
  <c r="D51" i="18"/>
  <c r="C51" i="18"/>
  <c r="B51" i="18"/>
  <c r="G50" i="18"/>
  <c r="E50" i="18"/>
  <c r="D50" i="18"/>
  <c r="C50" i="18"/>
  <c r="B50" i="18"/>
  <c r="G49" i="18"/>
  <c r="E49" i="18"/>
  <c r="D49" i="18"/>
  <c r="C49" i="18"/>
  <c r="B49" i="18"/>
  <c r="Q48" i="18"/>
  <c r="O48" i="18"/>
  <c r="N48" i="18"/>
  <c r="M48" i="18"/>
  <c r="L48" i="18"/>
  <c r="K48" i="18"/>
  <c r="J48" i="18"/>
  <c r="I48" i="18"/>
  <c r="G48" i="18"/>
  <c r="E48" i="18"/>
  <c r="D48" i="18"/>
  <c r="C48" i="18"/>
  <c r="B48" i="18"/>
  <c r="G47" i="18"/>
  <c r="E47" i="18"/>
  <c r="D47" i="18"/>
  <c r="C47" i="18"/>
  <c r="B47" i="18"/>
  <c r="G46" i="18"/>
  <c r="E46" i="18"/>
  <c r="D46" i="18"/>
  <c r="C46" i="18"/>
  <c r="B46" i="18"/>
  <c r="Q45" i="18"/>
  <c r="O45" i="18"/>
  <c r="N45" i="18"/>
  <c r="M45" i="18"/>
  <c r="L45" i="18"/>
  <c r="K45" i="18"/>
  <c r="J45" i="18"/>
  <c r="I45" i="18"/>
  <c r="G45" i="18"/>
  <c r="E45" i="18"/>
  <c r="D45" i="18"/>
  <c r="C45" i="18"/>
  <c r="B45" i="18"/>
  <c r="G44" i="18"/>
  <c r="C38" i="15" s="1"/>
  <c r="E44" i="18"/>
  <c r="D44" i="18"/>
  <c r="C44" i="18"/>
  <c r="B44" i="18"/>
  <c r="G43" i="18"/>
  <c r="E43" i="18"/>
  <c r="D43" i="18"/>
  <c r="C43" i="18"/>
  <c r="B43" i="18"/>
  <c r="Q42" i="18"/>
  <c r="O42" i="18"/>
  <c r="N42" i="18"/>
  <c r="M42" i="18"/>
  <c r="L42" i="18"/>
  <c r="K42" i="18"/>
  <c r="J42" i="18"/>
  <c r="I42" i="18"/>
  <c r="G42" i="18"/>
  <c r="E42" i="18"/>
  <c r="D42" i="18"/>
  <c r="C42" i="18"/>
  <c r="B42" i="18"/>
  <c r="Q41" i="18"/>
  <c r="O41" i="18"/>
  <c r="N41" i="18"/>
  <c r="M41" i="18"/>
  <c r="L41" i="18"/>
  <c r="K41" i="18"/>
  <c r="J41" i="18"/>
  <c r="I41" i="18"/>
  <c r="G41" i="18"/>
  <c r="E41" i="18"/>
  <c r="D41" i="18"/>
  <c r="C41" i="18"/>
  <c r="B41" i="18"/>
  <c r="Q40" i="18"/>
  <c r="O40" i="18"/>
  <c r="N40" i="18"/>
  <c r="M40" i="18"/>
  <c r="L40" i="18"/>
  <c r="K40" i="18"/>
  <c r="J40" i="18"/>
  <c r="I40" i="18"/>
  <c r="G40" i="18"/>
  <c r="E40" i="18"/>
  <c r="D40" i="18"/>
  <c r="C40" i="18"/>
  <c r="B40" i="18"/>
  <c r="Q39" i="18"/>
  <c r="O39" i="18"/>
  <c r="N39" i="18"/>
  <c r="M39" i="18"/>
  <c r="L39" i="18"/>
  <c r="K39" i="18"/>
  <c r="J39" i="18"/>
  <c r="I39" i="18"/>
  <c r="G39" i="18"/>
  <c r="C35" i="15" s="1"/>
  <c r="E39" i="18"/>
  <c r="D39" i="18"/>
  <c r="C39" i="18"/>
  <c r="B39" i="18"/>
  <c r="Q38" i="18"/>
  <c r="O38" i="18"/>
  <c r="N38" i="18"/>
  <c r="M38" i="18"/>
  <c r="L38" i="18"/>
  <c r="K38" i="18"/>
  <c r="J38" i="18"/>
  <c r="I38" i="18"/>
  <c r="G38" i="18"/>
  <c r="E38" i="18"/>
  <c r="D38" i="18"/>
  <c r="C38" i="18"/>
  <c r="B38" i="18"/>
  <c r="Q37" i="18"/>
  <c r="O37" i="18"/>
  <c r="N37" i="18"/>
  <c r="M37" i="18"/>
  <c r="L37" i="18"/>
  <c r="K37" i="18"/>
  <c r="J37" i="18"/>
  <c r="I37" i="18"/>
  <c r="G37" i="18"/>
  <c r="E37" i="18"/>
  <c r="D37" i="18"/>
  <c r="C37" i="18"/>
  <c r="B37" i="18"/>
  <c r="Q36" i="18"/>
  <c r="O36" i="18"/>
  <c r="N36" i="18"/>
  <c r="M36" i="18"/>
  <c r="L36" i="18"/>
  <c r="K36" i="18"/>
  <c r="J36" i="18"/>
  <c r="I36" i="18"/>
  <c r="G36" i="18"/>
  <c r="E36" i="18"/>
  <c r="D36" i="18"/>
  <c r="C36" i="18"/>
  <c r="B36" i="18"/>
  <c r="Q35" i="18"/>
  <c r="O35" i="18"/>
  <c r="N35" i="18"/>
  <c r="M35" i="18"/>
  <c r="L35" i="18"/>
  <c r="K35" i="18"/>
  <c r="J35" i="18"/>
  <c r="I35" i="18"/>
  <c r="G35" i="18"/>
  <c r="E35" i="18"/>
  <c r="D35" i="18"/>
  <c r="C35" i="18"/>
  <c r="B35" i="18"/>
  <c r="Q34" i="18"/>
  <c r="O34" i="18"/>
  <c r="N34" i="18"/>
  <c r="M34" i="18"/>
  <c r="L34" i="18"/>
  <c r="K34" i="18"/>
  <c r="J34" i="18"/>
  <c r="I34" i="18"/>
  <c r="G34" i="18"/>
  <c r="E34" i="18"/>
  <c r="D34" i="18"/>
  <c r="C34" i="18"/>
  <c r="B34" i="18"/>
  <c r="G33" i="18"/>
  <c r="E33" i="18"/>
  <c r="D33" i="18"/>
  <c r="C33" i="18"/>
  <c r="B33" i="18"/>
  <c r="G32" i="18"/>
  <c r="E32" i="18"/>
  <c r="D32" i="18"/>
  <c r="C32" i="18"/>
  <c r="B32" i="18"/>
  <c r="Q31" i="18"/>
  <c r="O31" i="18"/>
  <c r="N31" i="18"/>
  <c r="M31" i="18"/>
  <c r="L31" i="18"/>
  <c r="K31" i="18"/>
  <c r="J31" i="18"/>
  <c r="I31" i="18"/>
  <c r="G31" i="18"/>
  <c r="C26" i="15" s="1"/>
  <c r="E31" i="18"/>
  <c r="D31" i="18"/>
  <c r="C31" i="18"/>
  <c r="B31" i="18"/>
  <c r="G30" i="18"/>
  <c r="C24" i="15" s="1"/>
  <c r="E30" i="18"/>
  <c r="D30" i="18"/>
  <c r="C30" i="18"/>
  <c r="B30" i="18"/>
  <c r="G29" i="18"/>
  <c r="E29" i="18"/>
  <c r="D29" i="18"/>
  <c r="C29" i="18"/>
  <c r="B29" i="18"/>
  <c r="Q28" i="18"/>
  <c r="O28" i="18"/>
  <c r="N28" i="18"/>
  <c r="M28" i="18"/>
  <c r="L28" i="18"/>
  <c r="K28" i="18"/>
  <c r="J28" i="18"/>
  <c r="I28" i="18"/>
  <c r="G28" i="18"/>
  <c r="E28" i="18"/>
  <c r="D28" i="18"/>
  <c r="C28" i="18"/>
  <c r="B28" i="18"/>
  <c r="Q27" i="18"/>
  <c r="O27" i="18"/>
  <c r="N27" i="18"/>
  <c r="M27" i="18"/>
  <c r="L27" i="18"/>
  <c r="K27" i="18"/>
  <c r="J27" i="18"/>
  <c r="I27" i="18"/>
  <c r="G27" i="18"/>
  <c r="E27" i="18"/>
  <c r="D27" i="18"/>
  <c r="C27" i="18"/>
  <c r="B27" i="18"/>
  <c r="Q26" i="18"/>
  <c r="O26" i="18"/>
  <c r="N26" i="18"/>
  <c r="M26" i="18"/>
  <c r="L26" i="18"/>
  <c r="K26" i="18"/>
  <c r="J26" i="18"/>
  <c r="I26" i="18"/>
  <c r="G26" i="18"/>
  <c r="E26" i="18"/>
  <c r="D26" i="18"/>
  <c r="C26" i="18"/>
  <c r="B26" i="18"/>
  <c r="Q25" i="18"/>
  <c r="O25" i="18"/>
  <c r="N25" i="18"/>
  <c r="M25" i="18"/>
  <c r="L25" i="18"/>
  <c r="K25" i="18"/>
  <c r="J25" i="18"/>
  <c r="I25" i="18"/>
  <c r="G25" i="18"/>
  <c r="E25" i="18"/>
  <c r="D25" i="18"/>
  <c r="C25" i="18"/>
  <c r="B25" i="18"/>
  <c r="Q24" i="18"/>
  <c r="O24" i="18"/>
  <c r="N24" i="18"/>
  <c r="M24" i="18"/>
  <c r="L24" i="18"/>
  <c r="K24" i="18"/>
  <c r="J24" i="18"/>
  <c r="I24" i="18"/>
  <c r="G24" i="18"/>
  <c r="E24" i="18"/>
  <c r="D24" i="18"/>
  <c r="C24" i="18"/>
  <c r="B24" i="18"/>
  <c r="Q23" i="18"/>
  <c r="O23" i="18"/>
  <c r="N23" i="18"/>
  <c r="M23" i="18"/>
  <c r="L23" i="18"/>
  <c r="K23" i="18"/>
  <c r="J23" i="18"/>
  <c r="I23" i="18"/>
  <c r="G23" i="18"/>
  <c r="E23" i="18"/>
  <c r="D23" i="18"/>
  <c r="C23" i="18"/>
  <c r="B23" i="18"/>
  <c r="Q22" i="18"/>
  <c r="O22" i="18"/>
  <c r="N22" i="18"/>
  <c r="M22" i="18"/>
  <c r="L22" i="18"/>
  <c r="K22" i="18"/>
  <c r="J22" i="18"/>
  <c r="I22" i="18"/>
  <c r="G22" i="18"/>
  <c r="E22" i="18"/>
  <c r="D22" i="18"/>
  <c r="C22" i="18"/>
  <c r="B22" i="18"/>
  <c r="G21" i="18"/>
  <c r="C34" i="15" s="1"/>
  <c r="E21" i="18"/>
  <c r="D21" i="18"/>
  <c r="C21" i="18"/>
  <c r="B21" i="18"/>
  <c r="Q20" i="18"/>
  <c r="O20" i="18"/>
  <c r="N20" i="18"/>
  <c r="M20" i="18"/>
  <c r="L20" i="18"/>
  <c r="K20" i="18"/>
  <c r="J20" i="18"/>
  <c r="I20" i="18"/>
  <c r="G20" i="18"/>
  <c r="E20" i="18"/>
  <c r="D20" i="18"/>
  <c r="C20" i="18"/>
  <c r="B20" i="18"/>
  <c r="Q19" i="18"/>
  <c r="O19" i="18"/>
  <c r="N19" i="18"/>
  <c r="M19" i="18"/>
  <c r="L19" i="18"/>
  <c r="K19" i="18"/>
  <c r="J19" i="18"/>
  <c r="I19" i="18"/>
  <c r="G19" i="18"/>
  <c r="E19" i="18"/>
  <c r="D19" i="18"/>
  <c r="C19" i="18"/>
  <c r="B19" i="18"/>
  <c r="G18" i="18"/>
  <c r="C18" i="15" s="1"/>
  <c r="E18" i="18"/>
  <c r="D18" i="18"/>
  <c r="C18" i="18"/>
  <c r="B18" i="18"/>
  <c r="Q17" i="18"/>
  <c r="O17" i="18"/>
  <c r="N17" i="18"/>
  <c r="M17" i="18"/>
  <c r="L17" i="18"/>
  <c r="K17" i="18"/>
  <c r="J17" i="18"/>
  <c r="I17" i="18"/>
  <c r="G17" i="18"/>
  <c r="E17" i="18"/>
  <c r="D17" i="18"/>
  <c r="C17" i="18"/>
  <c r="B17" i="18"/>
  <c r="Q16" i="18"/>
  <c r="O16" i="18"/>
  <c r="N16" i="18"/>
  <c r="M16" i="18"/>
  <c r="L16" i="18"/>
  <c r="K16" i="18"/>
  <c r="J16" i="18"/>
  <c r="I16" i="18"/>
  <c r="G16" i="18"/>
  <c r="E16" i="18"/>
  <c r="D16" i="18"/>
  <c r="C16" i="18"/>
  <c r="B16" i="18"/>
  <c r="G15" i="18"/>
  <c r="E15" i="18"/>
  <c r="D15" i="18"/>
  <c r="C15" i="18"/>
  <c r="B15" i="18"/>
  <c r="Q14" i="18"/>
  <c r="O14" i="18"/>
  <c r="N14" i="18"/>
  <c r="M14" i="18"/>
  <c r="L14" i="18"/>
  <c r="K14" i="18"/>
  <c r="J14" i="18"/>
  <c r="I14" i="18"/>
  <c r="G14" i="18"/>
  <c r="E14" i="18"/>
  <c r="D14" i="18"/>
  <c r="C14" i="18"/>
  <c r="B14" i="18"/>
  <c r="Q13" i="18"/>
  <c r="O13" i="18"/>
  <c r="N13" i="18"/>
  <c r="M13" i="18"/>
  <c r="L13" i="18"/>
  <c r="K13" i="18"/>
  <c r="J13" i="18"/>
  <c r="I13" i="18"/>
  <c r="G13" i="18"/>
  <c r="E13" i="18"/>
  <c r="D13" i="18"/>
  <c r="C13" i="18"/>
  <c r="B13" i="18"/>
  <c r="G12" i="18"/>
  <c r="E12" i="18"/>
  <c r="D12" i="18"/>
  <c r="C12" i="18"/>
  <c r="B12" i="18"/>
  <c r="G11" i="18"/>
  <c r="C5" i="15" s="1"/>
  <c r="E11" i="18"/>
  <c r="D11" i="18"/>
  <c r="C11" i="18"/>
  <c r="B11" i="18"/>
  <c r="Q10" i="18"/>
  <c r="O10" i="18"/>
  <c r="N10" i="18"/>
  <c r="M10" i="18"/>
  <c r="L10" i="18"/>
  <c r="K10" i="18"/>
  <c r="J10" i="18"/>
  <c r="I10" i="18"/>
  <c r="G10" i="18"/>
  <c r="E10" i="18"/>
  <c r="D10" i="18"/>
  <c r="C10" i="18"/>
  <c r="B10" i="18"/>
  <c r="Q9" i="18"/>
  <c r="O9" i="18"/>
  <c r="N9" i="18"/>
  <c r="M9" i="18"/>
  <c r="L9" i="18"/>
  <c r="K9" i="18"/>
  <c r="J9" i="18"/>
  <c r="I9" i="18"/>
  <c r="G9" i="18"/>
  <c r="E9" i="18"/>
  <c r="D9" i="18"/>
  <c r="C9" i="18"/>
  <c r="B9" i="18"/>
  <c r="Q8" i="18"/>
  <c r="O8" i="18"/>
  <c r="N8" i="18"/>
  <c r="M8" i="18"/>
  <c r="L8" i="18"/>
  <c r="K8" i="18"/>
  <c r="J8" i="18"/>
  <c r="I8" i="18"/>
  <c r="G8" i="18"/>
  <c r="E8" i="18"/>
  <c r="D8" i="18"/>
  <c r="C8" i="18"/>
  <c r="B8" i="18"/>
  <c r="Q7" i="18"/>
  <c r="O7" i="18"/>
  <c r="N7" i="18"/>
  <c r="M7" i="18"/>
  <c r="L7" i="18"/>
  <c r="K7" i="18"/>
  <c r="J7" i="18"/>
  <c r="I7" i="18"/>
  <c r="G7" i="18"/>
  <c r="E7" i="18"/>
  <c r="D7" i="18"/>
  <c r="C7" i="18"/>
  <c r="B7" i="18"/>
  <c r="Q6" i="18"/>
  <c r="O6" i="18"/>
  <c r="N6" i="18"/>
  <c r="M6" i="18"/>
  <c r="L6" i="18"/>
  <c r="K6" i="18"/>
  <c r="J6" i="18"/>
  <c r="I6" i="18"/>
  <c r="G6" i="18"/>
  <c r="E6" i="18"/>
  <c r="D6" i="18"/>
  <c r="C6" i="18"/>
  <c r="B6" i="18"/>
  <c r="Q5" i="18"/>
  <c r="O5" i="18"/>
  <c r="N5" i="18"/>
  <c r="M5" i="18"/>
  <c r="L5" i="18"/>
  <c r="K5" i="18"/>
  <c r="J5" i="18"/>
  <c r="I5" i="18"/>
  <c r="G5" i="18"/>
  <c r="E5" i="18"/>
  <c r="D5" i="18"/>
  <c r="C5" i="18"/>
  <c r="B5" i="18"/>
  <c r="Q4" i="18"/>
  <c r="O4" i="18"/>
  <c r="N4" i="18"/>
  <c r="M4" i="18"/>
  <c r="L4" i="18"/>
  <c r="K4" i="18"/>
  <c r="J4" i="18"/>
  <c r="I4" i="18"/>
  <c r="G4" i="18"/>
  <c r="E4" i="18"/>
  <c r="D4" i="18"/>
  <c r="C4" i="18"/>
  <c r="B4" i="18"/>
  <c r="G3" i="18"/>
  <c r="E3" i="18"/>
  <c r="D3" i="18"/>
  <c r="C3" i="18"/>
  <c r="B3" i="18"/>
  <c r="Q2" i="18"/>
  <c r="O2" i="18"/>
  <c r="N2" i="18"/>
  <c r="M2" i="18"/>
  <c r="L2" i="18"/>
  <c r="K2" i="18"/>
  <c r="J2" i="18"/>
  <c r="I2" i="18"/>
  <c r="G2" i="18"/>
  <c r="E2" i="18"/>
  <c r="D2" i="18"/>
  <c r="C2" i="18"/>
  <c r="B2" i="18"/>
  <c r="C166" i="15"/>
  <c r="C425" i="15"/>
  <c r="C292" i="15"/>
  <c r="C188" i="15"/>
  <c r="C657" i="15"/>
  <c r="C88" i="15"/>
  <c r="C473" i="15"/>
  <c r="C585" i="15"/>
  <c r="C461" i="15"/>
  <c r="C439" i="15"/>
  <c r="C653" i="15"/>
  <c r="C309" i="15"/>
  <c r="C515" i="15"/>
  <c r="C390" i="15"/>
  <c r="C104" i="15"/>
  <c r="C506" i="15"/>
  <c r="C758" i="15"/>
  <c r="C759" i="15"/>
  <c r="C264" i="15"/>
  <c r="C733" i="15"/>
  <c r="C728" i="15"/>
  <c r="C774" i="15"/>
  <c r="C412" i="15"/>
  <c r="C313" i="15"/>
  <c r="C690" i="15"/>
  <c r="C769" i="15"/>
  <c r="C734" i="15"/>
  <c r="C698" i="15"/>
  <c r="C205" i="15"/>
  <c r="C341" i="15"/>
  <c r="C579" i="15"/>
  <c r="C315" i="15"/>
  <c r="C737" i="15"/>
  <c r="C191" i="15"/>
  <c r="C426" i="15"/>
  <c r="C321" i="15"/>
  <c r="C470" i="15"/>
  <c r="C519" i="15"/>
  <c r="C522" i="15"/>
  <c r="C505" i="15"/>
  <c r="C778" i="15"/>
  <c r="C738" i="15"/>
  <c r="C741" i="15"/>
  <c r="C754" i="15"/>
  <c r="C766" i="15"/>
  <c r="C736" i="15"/>
  <c r="C726" i="15"/>
  <c r="C57" i="15"/>
  <c r="C310" i="15"/>
  <c r="C520" i="15"/>
  <c r="C290" i="15"/>
  <c r="C303" i="15"/>
  <c r="C721" i="15"/>
  <c r="C716" i="15"/>
  <c r="C771" i="15"/>
  <c r="C98" i="15"/>
  <c r="C615" i="15"/>
  <c r="C463" i="15"/>
  <c r="C711" i="15"/>
  <c r="C523" i="15"/>
  <c r="C398" i="15"/>
  <c r="C717" i="15"/>
  <c r="C669" i="15"/>
  <c r="C401" i="15"/>
  <c r="C550" i="15"/>
  <c r="C288" i="15"/>
  <c r="C710" i="15"/>
  <c r="C485" i="15"/>
  <c r="C509" i="15"/>
  <c r="I18" i="17"/>
  <c r="I17" i="17"/>
  <c r="I16" i="17"/>
  <c r="D16" i="17"/>
  <c r="C16" i="17"/>
  <c r="I15" i="17"/>
  <c r="I14" i="17"/>
  <c r="I13" i="17"/>
  <c r="AC81" i="15" s="1"/>
  <c r="AL81" i="15" s="1"/>
  <c r="D13" i="17"/>
  <c r="C13" i="17"/>
  <c r="I12" i="17"/>
  <c r="I11" i="17"/>
  <c r="I10" i="17"/>
  <c r="D10" i="17"/>
  <c r="C10" i="17"/>
  <c r="I9" i="17"/>
  <c r="I8" i="17"/>
  <c r="I7" i="17"/>
  <c r="I6" i="17"/>
  <c r="I5" i="17"/>
  <c r="I4" i="17"/>
  <c r="I3" i="17"/>
  <c r="I2" i="17"/>
  <c r="F9" i="16"/>
  <c r="E9" i="16"/>
  <c r="O339" i="15"/>
  <c r="F8" i="16"/>
  <c r="E8" i="16"/>
  <c r="D80" i="9"/>
  <c r="C80" i="9"/>
  <c r="D79" i="9"/>
  <c r="C79" i="9"/>
  <c r="D77" i="9"/>
  <c r="C77" i="9"/>
  <c r="D76" i="9"/>
  <c r="C76" i="9"/>
  <c r="D74" i="9"/>
  <c r="C74" i="9"/>
  <c r="D73" i="9"/>
  <c r="C73" i="9"/>
  <c r="D71" i="9"/>
  <c r="C71" i="9"/>
  <c r="D70" i="9"/>
  <c r="C70" i="9"/>
  <c r="D69" i="9"/>
  <c r="C69" i="9"/>
  <c r="D68" i="9"/>
  <c r="C68" i="9"/>
  <c r="D67" i="9"/>
  <c r="C67" i="9"/>
  <c r="F66" i="9"/>
  <c r="D66" i="9"/>
  <c r="C66" i="9"/>
  <c r="D58" i="9"/>
  <c r="C58" i="9"/>
  <c r="D56" i="9"/>
  <c r="C56" i="9"/>
  <c r="D55" i="9"/>
  <c r="C55" i="9"/>
  <c r="D54" i="9"/>
  <c r="C54" i="9"/>
  <c r="D51" i="9"/>
  <c r="C51" i="9"/>
  <c r="D48" i="9"/>
  <c r="C48" i="9"/>
  <c r="D47" i="9"/>
  <c r="C47" i="9"/>
  <c r="D46" i="9"/>
  <c r="C46" i="9"/>
  <c r="D45" i="9"/>
  <c r="C45" i="9"/>
  <c r="D44" i="9"/>
  <c r="C44" i="9"/>
  <c r="D42" i="9"/>
  <c r="C42" i="9"/>
  <c r="D41" i="9"/>
  <c r="C41" i="9"/>
  <c r="D40" i="9"/>
  <c r="C40" i="9"/>
  <c r="D39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1" i="9"/>
  <c r="C21" i="9"/>
  <c r="S26" i="9"/>
  <c r="D20" i="9"/>
  <c r="C20" i="9"/>
  <c r="S25" i="9"/>
  <c r="D19" i="9"/>
  <c r="C19" i="9"/>
  <c r="S24" i="9"/>
  <c r="D18" i="9"/>
  <c r="C18" i="9"/>
  <c r="S23" i="9"/>
  <c r="D17" i="9"/>
  <c r="C17" i="9"/>
  <c r="S22" i="9"/>
  <c r="D16" i="9"/>
  <c r="C16" i="9"/>
  <c r="S21" i="9"/>
  <c r="D15" i="9"/>
  <c r="C15" i="9"/>
  <c r="S20" i="9"/>
  <c r="D14" i="9"/>
  <c r="C14" i="9"/>
  <c r="S19" i="9"/>
  <c r="S18" i="9"/>
  <c r="D13" i="9"/>
  <c r="C13" i="9"/>
  <c r="S17" i="9"/>
  <c r="D12" i="9"/>
  <c r="C12" i="9"/>
  <c r="S16" i="9"/>
  <c r="D11" i="9"/>
  <c r="C11" i="9"/>
  <c r="S15" i="9"/>
  <c r="S14" i="9"/>
  <c r="D10" i="9"/>
  <c r="C10" i="9"/>
  <c r="S13" i="9"/>
  <c r="D8" i="9"/>
  <c r="C8" i="9"/>
  <c r="S12" i="9"/>
  <c r="D7" i="9"/>
  <c r="C7" i="9"/>
  <c r="S10" i="9"/>
  <c r="D6" i="9"/>
  <c r="C6" i="9"/>
  <c r="S9" i="9"/>
  <c r="S8" i="9"/>
  <c r="D5" i="9"/>
  <c r="C5" i="9"/>
  <c r="S7" i="9"/>
  <c r="S6" i="9"/>
  <c r="D4" i="9"/>
  <c r="C4" i="9"/>
  <c r="S5" i="9"/>
  <c r="D3" i="9"/>
  <c r="C3" i="9"/>
  <c r="S4" i="9"/>
  <c r="S3" i="9"/>
  <c r="S2" i="9"/>
  <c r="D2" i="9"/>
  <c r="C2" i="9"/>
  <c r="AK715" i="15"/>
  <c r="Q1076" i="18" s="1"/>
  <c r="AJ715" i="15"/>
  <c r="O1076" i="18" s="1"/>
  <c r="AI715" i="15"/>
  <c r="M1076" i="18" s="1"/>
  <c r="AH715" i="15"/>
  <c r="N1076" i="18" s="1"/>
  <c r="AG715" i="15"/>
  <c r="L1076" i="18" s="1"/>
  <c r="AF715" i="15"/>
  <c r="K1076" i="18" s="1"/>
  <c r="AE715" i="15"/>
  <c r="J1076" i="18" s="1"/>
  <c r="AD715" i="15"/>
  <c r="I1076" i="18" s="1"/>
  <c r="AB715" i="15"/>
  <c r="AA715" i="15"/>
  <c r="Z715" i="15"/>
  <c r="X715" i="15"/>
  <c r="W715" i="15"/>
  <c r="S715" i="15"/>
  <c r="R715" i="15"/>
  <c r="P715" i="15"/>
  <c r="L715" i="15"/>
  <c r="C715" i="15"/>
  <c r="B715" i="15"/>
  <c r="AK720" i="15"/>
  <c r="Q1106" i="18" s="1"/>
  <c r="AJ720" i="15"/>
  <c r="O1106" i="18" s="1"/>
  <c r="AI720" i="15"/>
  <c r="M1106" i="18" s="1"/>
  <c r="AH720" i="15"/>
  <c r="N1106" i="18" s="1"/>
  <c r="AG720" i="15"/>
  <c r="L1106" i="18" s="1"/>
  <c r="AF720" i="15"/>
  <c r="K1106" i="18" s="1"/>
  <c r="AE720" i="15"/>
  <c r="J1106" i="18" s="1"/>
  <c r="AD720" i="15"/>
  <c r="I1106" i="18" s="1"/>
  <c r="AB720" i="15"/>
  <c r="AA720" i="15"/>
  <c r="Z720" i="15"/>
  <c r="X720" i="15"/>
  <c r="W720" i="15"/>
  <c r="S720" i="15"/>
  <c r="R720" i="15"/>
  <c r="P720" i="15"/>
  <c r="O720" i="15"/>
  <c r="L720" i="15"/>
  <c r="C720" i="15"/>
  <c r="B720" i="15"/>
  <c r="AK326" i="15"/>
  <c r="AJ326" i="15"/>
  <c r="AI326" i="15"/>
  <c r="AH326" i="15"/>
  <c r="AG326" i="15"/>
  <c r="AF326" i="15"/>
  <c r="AE326" i="15"/>
  <c r="AD326" i="15"/>
  <c r="AB326" i="15"/>
  <c r="AA326" i="15"/>
  <c r="Z326" i="15"/>
  <c r="X326" i="15"/>
  <c r="W326" i="15"/>
  <c r="S326" i="15"/>
  <c r="R326" i="15"/>
  <c r="P326" i="15"/>
  <c r="L326" i="15"/>
  <c r="C326" i="15"/>
  <c r="B326" i="15"/>
  <c r="AK518" i="15"/>
  <c r="AJ518" i="15"/>
  <c r="AI518" i="15"/>
  <c r="AH518" i="15"/>
  <c r="AG518" i="15"/>
  <c r="AF518" i="15"/>
  <c r="AE518" i="15"/>
  <c r="AD518" i="15"/>
  <c r="AB518" i="15"/>
  <c r="AA518" i="15"/>
  <c r="Z518" i="15"/>
  <c r="X518" i="15"/>
  <c r="W518" i="15"/>
  <c r="S518" i="15"/>
  <c r="R518" i="15"/>
  <c r="P518" i="15"/>
  <c r="O518" i="15"/>
  <c r="L518" i="15"/>
  <c r="C518" i="15"/>
  <c r="B518" i="15"/>
  <c r="AK453" i="15"/>
  <c r="AJ453" i="15"/>
  <c r="AI453" i="15"/>
  <c r="AH453" i="15"/>
  <c r="AG453" i="15"/>
  <c r="AF453" i="15"/>
  <c r="AE453" i="15"/>
  <c r="AD453" i="15"/>
  <c r="AB453" i="15"/>
  <c r="AA453" i="15"/>
  <c r="Z453" i="15"/>
  <c r="X453" i="15"/>
  <c r="W453" i="15"/>
  <c r="U453" i="15"/>
  <c r="S453" i="15"/>
  <c r="R453" i="15"/>
  <c r="P453" i="15"/>
  <c r="O453" i="15"/>
  <c r="L453" i="15"/>
  <c r="B453" i="15"/>
  <c r="AK330" i="15"/>
  <c r="Q510" i="18" s="1"/>
  <c r="AJ330" i="15"/>
  <c r="O510" i="18" s="1"/>
  <c r="AI330" i="15"/>
  <c r="M510" i="18" s="1"/>
  <c r="AH330" i="15"/>
  <c r="N510" i="18" s="1"/>
  <c r="AG330" i="15"/>
  <c r="L510" i="18" s="1"/>
  <c r="AF330" i="15"/>
  <c r="K510" i="18" s="1"/>
  <c r="AE330" i="15"/>
  <c r="J510" i="18" s="1"/>
  <c r="AD330" i="15"/>
  <c r="I510" i="18" s="1"/>
  <c r="AB330" i="15"/>
  <c r="AA330" i="15"/>
  <c r="Z330" i="15"/>
  <c r="X330" i="15"/>
  <c r="W330" i="15"/>
  <c r="S330" i="15"/>
  <c r="R330" i="15"/>
  <c r="P330" i="15"/>
  <c r="O330" i="15"/>
  <c r="L330" i="15"/>
  <c r="C330" i="15"/>
  <c r="B330" i="15"/>
  <c r="AK441" i="15"/>
  <c r="AJ441" i="15"/>
  <c r="AI441" i="15"/>
  <c r="AH441" i="15"/>
  <c r="AG441" i="15"/>
  <c r="AF441" i="15"/>
  <c r="AE441" i="15"/>
  <c r="AD441" i="15"/>
  <c r="AB441" i="15"/>
  <c r="AA441" i="15"/>
  <c r="Z441" i="15"/>
  <c r="X441" i="15"/>
  <c r="W441" i="15"/>
  <c r="S441" i="15"/>
  <c r="R441" i="15"/>
  <c r="P441" i="15"/>
  <c r="O441" i="15"/>
  <c r="L441" i="15"/>
  <c r="B441" i="15"/>
  <c r="AK440" i="15"/>
  <c r="AJ440" i="15"/>
  <c r="AI440" i="15"/>
  <c r="AH440" i="15"/>
  <c r="AG440" i="15"/>
  <c r="AF440" i="15"/>
  <c r="AE440" i="15"/>
  <c r="AD440" i="15"/>
  <c r="AB440" i="15"/>
  <c r="AA440" i="15"/>
  <c r="Z440" i="15"/>
  <c r="X440" i="15"/>
  <c r="W440" i="15"/>
  <c r="S440" i="15"/>
  <c r="R440" i="15"/>
  <c r="P440" i="15"/>
  <c r="O440" i="15"/>
  <c r="L440" i="15"/>
  <c r="B440" i="15"/>
  <c r="AK428" i="15"/>
  <c r="AJ428" i="15"/>
  <c r="AI428" i="15"/>
  <c r="AH428" i="15"/>
  <c r="AG428" i="15"/>
  <c r="AF428" i="15"/>
  <c r="AE428" i="15"/>
  <c r="AD428" i="15"/>
  <c r="AB428" i="15"/>
  <c r="AA428" i="15"/>
  <c r="Z428" i="15"/>
  <c r="X428" i="15"/>
  <c r="W428" i="15"/>
  <c r="U428" i="15"/>
  <c r="S428" i="15"/>
  <c r="R428" i="15"/>
  <c r="P428" i="15"/>
  <c r="O428" i="15"/>
  <c r="L428" i="15"/>
  <c r="C428" i="15"/>
  <c r="B428" i="15"/>
  <c r="AK427" i="15"/>
  <c r="AJ427" i="15"/>
  <c r="AI427" i="15"/>
  <c r="AH427" i="15"/>
  <c r="AG427" i="15"/>
  <c r="AF427" i="15"/>
  <c r="AE427" i="15"/>
  <c r="AD427" i="15"/>
  <c r="AB427" i="15"/>
  <c r="AA427" i="15"/>
  <c r="Z427" i="15"/>
  <c r="X427" i="15"/>
  <c r="W427" i="15"/>
  <c r="U427" i="15"/>
  <c r="S427" i="15"/>
  <c r="R427" i="15"/>
  <c r="P427" i="15"/>
  <c r="O427" i="15"/>
  <c r="L427" i="15"/>
  <c r="C427" i="15"/>
  <c r="B427" i="15"/>
  <c r="AK416" i="15"/>
  <c r="AJ416" i="15"/>
  <c r="AI416" i="15"/>
  <c r="AH416" i="15"/>
  <c r="AG416" i="15"/>
  <c r="AF416" i="15"/>
  <c r="AE416" i="15"/>
  <c r="AD416" i="15"/>
  <c r="AB416" i="15"/>
  <c r="AA416" i="15"/>
  <c r="Z416" i="15"/>
  <c r="X416" i="15"/>
  <c r="W416" i="15"/>
  <c r="S416" i="15"/>
  <c r="R416" i="15"/>
  <c r="P416" i="15"/>
  <c r="O416" i="15"/>
  <c r="L416" i="15"/>
  <c r="C416" i="15"/>
  <c r="B416" i="15"/>
  <c r="AK415" i="15"/>
  <c r="AJ415" i="15"/>
  <c r="AI415" i="15"/>
  <c r="AH415" i="15"/>
  <c r="AG415" i="15"/>
  <c r="AF415" i="15"/>
  <c r="AE415" i="15"/>
  <c r="AD415" i="15"/>
  <c r="AB415" i="15"/>
  <c r="AA415" i="15"/>
  <c r="Z415" i="15"/>
  <c r="X415" i="15"/>
  <c r="W415" i="15"/>
  <c r="S415" i="15"/>
  <c r="R415" i="15"/>
  <c r="P415" i="15"/>
  <c r="O415" i="15"/>
  <c r="L415" i="15"/>
  <c r="C415" i="15"/>
  <c r="B415" i="15"/>
  <c r="AK403" i="15"/>
  <c r="AJ403" i="15"/>
  <c r="AI403" i="15"/>
  <c r="AH403" i="15"/>
  <c r="AG403" i="15"/>
  <c r="AF403" i="15"/>
  <c r="AE403" i="15"/>
  <c r="AD403" i="15"/>
  <c r="AB403" i="15"/>
  <c r="AA403" i="15"/>
  <c r="Z403" i="15"/>
  <c r="X403" i="15"/>
  <c r="W403" i="15"/>
  <c r="U403" i="15"/>
  <c r="S403" i="15"/>
  <c r="R403" i="15"/>
  <c r="P403" i="15"/>
  <c r="O403" i="15"/>
  <c r="L403" i="15"/>
  <c r="C403" i="15"/>
  <c r="B403" i="15"/>
  <c r="AK451" i="15"/>
  <c r="AJ451" i="15"/>
  <c r="AI451" i="15"/>
  <c r="AH451" i="15"/>
  <c r="AG451" i="15"/>
  <c r="AF451" i="15"/>
  <c r="AE451" i="15"/>
  <c r="AD451" i="15"/>
  <c r="AB451" i="15"/>
  <c r="AA451" i="15"/>
  <c r="Z451" i="15"/>
  <c r="X451" i="15"/>
  <c r="W451" i="15"/>
  <c r="S451" i="15"/>
  <c r="R451" i="15"/>
  <c r="P451" i="15"/>
  <c r="O451" i="15"/>
  <c r="L451" i="15"/>
  <c r="C451" i="15"/>
  <c r="B451" i="15"/>
  <c r="AK392" i="15"/>
  <c r="AJ392" i="15"/>
  <c r="AI392" i="15"/>
  <c r="AH392" i="15"/>
  <c r="AG392" i="15"/>
  <c r="AF392" i="15"/>
  <c r="AE392" i="15"/>
  <c r="AD392" i="15"/>
  <c r="AB392" i="15"/>
  <c r="AA392" i="15"/>
  <c r="Z392" i="15"/>
  <c r="X392" i="15"/>
  <c r="W392" i="15"/>
  <c r="S392" i="15"/>
  <c r="R392" i="15"/>
  <c r="P392" i="15"/>
  <c r="O392" i="15"/>
  <c r="L392" i="15"/>
  <c r="B392" i="15"/>
  <c r="AK391" i="15"/>
  <c r="AJ391" i="15"/>
  <c r="AI391" i="15"/>
  <c r="AH391" i="15"/>
  <c r="AG391" i="15"/>
  <c r="AF391" i="15"/>
  <c r="AE391" i="15"/>
  <c r="AD391" i="15"/>
  <c r="AB391" i="15"/>
  <c r="AA391" i="15"/>
  <c r="Z391" i="15"/>
  <c r="X391" i="15"/>
  <c r="W391" i="15"/>
  <c r="S391" i="15"/>
  <c r="R391" i="15"/>
  <c r="P391" i="15"/>
  <c r="O391" i="15"/>
  <c r="L391" i="15"/>
  <c r="C391" i="15"/>
  <c r="B391" i="15"/>
  <c r="AJ387" i="15"/>
  <c r="O504" i="18" s="1"/>
  <c r="AI387" i="15"/>
  <c r="M504" i="18" s="1"/>
  <c r="AH387" i="15"/>
  <c r="N504" i="18" s="1"/>
  <c r="AG387" i="15"/>
  <c r="L504" i="18" s="1"/>
  <c r="AF387" i="15"/>
  <c r="K504" i="18" s="1"/>
  <c r="AE387" i="15"/>
  <c r="J504" i="18" s="1"/>
  <c r="AD387" i="15"/>
  <c r="I504" i="18" s="1"/>
  <c r="Z387" i="15"/>
  <c r="S387" i="15"/>
  <c r="R387" i="15"/>
  <c r="P387" i="15"/>
  <c r="L387" i="15"/>
  <c r="B387" i="15"/>
  <c r="AK379" i="15"/>
  <c r="AJ379" i="15"/>
  <c r="AI379" i="15"/>
  <c r="AH379" i="15"/>
  <c r="AG379" i="15"/>
  <c r="AF379" i="15"/>
  <c r="AE379" i="15"/>
  <c r="AD379" i="15"/>
  <c r="AB379" i="15"/>
  <c r="AA379" i="15"/>
  <c r="Z379" i="15"/>
  <c r="X379" i="15"/>
  <c r="W379" i="15"/>
  <c r="U379" i="15"/>
  <c r="S379" i="15"/>
  <c r="R379" i="15"/>
  <c r="P379" i="15"/>
  <c r="O379" i="15"/>
  <c r="L379" i="15"/>
  <c r="B379" i="15"/>
  <c r="AK378" i="15"/>
  <c r="AJ378" i="15"/>
  <c r="AI378" i="15"/>
  <c r="AH378" i="15"/>
  <c r="AG378" i="15"/>
  <c r="AF378" i="15"/>
  <c r="AE378" i="15"/>
  <c r="AD378" i="15"/>
  <c r="AB378" i="15"/>
  <c r="AA378" i="15"/>
  <c r="Z378" i="15"/>
  <c r="X378" i="15"/>
  <c r="W378" i="15"/>
  <c r="U378" i="15"/>
  <c r="S378" i="15"/>
  <c r="R378" i="15"/>
  <c r="P378" i="15"/>
  <c r="O378" i="15"/>
  <c r="L378" i="15"/>
  <c r="B378" i="15"/>
  <c r="AJ372" i="15"/>
  <c r="O473" i="18" s="1"/>
  <c r="AI372" i="15"/>
  <c r="M473" i="18" s="1"/>
  <c r="AH372" i="15"/>
  <c r="N473" i="18" s="1"/>
  <c r="AG372" i="15"/>
  <c r="L473" i="18" s="1"/>
  <c r="AF372" i="15"/>
  <c r="K473" i="18" s="1"/>
  <c r="AE372" i="15"/>
  <c r="J473" i="18" s="1"/>
  <c r="AD372" i="15"/>
  <c r="I473" i="18" s="1"/>
  <c r="Z372" i="15"/>
  <c r="S372" i="15"/>
  <c r="R372" i="15"/>
  <c r="P372" i="15"/>
  <c r="L372" i="15"/>
  <c r="B372" i="15"/>
  <c r="AK364" i="15"/>
  <c r="AJ364" i="15"/>
  <c r="AI364" i="15"/>
  <c r="AH364" i="15"/>
  <c r="AG364" i="15"/>
  <c r="AF364" i="15"/>
  <c r="AE364" i="15"/>
  <c r="AD364" i="15"/>
  <c r="AB364" i="15"/>
  <c r="AA364" i="15"/>
  <c r="Z364" i="15"/>
  <c r="X364" i="15"/>
  <c r="W364" i="15"/>
  <c r="U364" i="15"/>
  <c r="S364" i="15"/>
  <c r="R364" i="15"/>
  <c r="P364" i="15"/>
  <c r="O364" i="15"/>
  <c r="L364" i="15"/>
  <c r="C364" i="15"/>
  <c r="B364" i="15"/>
  <c r="AK788" i="15"/>
  <c r="Q1829" i="18" s="1"/>
  <c r="L62" i="19" s="1"/>
  <c r="AJ788" i="15"/>
  <c r="O1829" i="18" s="1"/>
  <c r="K62" i="19" s="1"/>
  <c r="AI788" i="15"/>
  <c r="M1829" i="18" s="1"/>
  <c r="I62" i="19" s="1"/>
  <c r="AH788" i="15"/>
  <c r="N1829" i="18" s="1"/>
  <c r="J62" i="19" s="1"/>
  <c r="AG788" i="15"/>
  <c r="L1829" i="18" s="1"/>
  <c r="H62" i="19" s="1"/>
  <c r="AF788" i="15"/>
  <c r="K1829" i="18" s="1"/>
  <c r="G62" i="19" s="1"/>
  <c r="AE788" i="15"/>
  <c r="J1829" i="18" s="1"/>
  <c r="F62" i="19" s="1"/>
  <c r="AD788" i="15"/>
  <c r="I1829" i="18" s="1"/>
  <c r="E62" i="19" s="1"/>
  <c r="AB788" i="15"/>
  <c r="AA788" i="15"/>
  <c r="Z788" i="15"/>
  <c r="X788" i="15"/>
  <c r="W788" i="15"/>
  <c r="S788" i="15"/>
  <c r="R788" i="15"/>
  <c r="P788" i="15"/>
  <c r="O788" i="15"/>
  <c r="L788" i="15"/>
  <c r="C788" i="15"/>
  <c r="B788" i="15"/>
  <c r="AJ358" i="15"/>
  <c r="O442" i="18" s="1"/>
  <c r="AI358" i="15"/>
  <c r="M442" i="18" s="1"/>
  <c r="AH358" i="15"/>
  <c r="N442" i="18" s="1"/>
  <c r="AG358" i="15"/>
  <c r="L442" i="18" s="1"/>
  <c r="AF358" i="15"/>
  <c r="K442" i="18" s="1"/>
  <c r="AE358" i="15"/>
  <c r="J442" i="18" s="1"/>
  <c r="AD358" i="15"/>
  <c r="I442" i="18" s="1"/>
  <c r="Z358" i="15"/>
  <c r="S358" i="15"/>
  <c r="R358" i="15"/>
  <c r="P358" i="15"/>
  <c r="L358" i="15"/>
  <c r="C358" i="15"/>
  <c r="B358" i="15"/>
  <c r="AK230" i="15"/>
  <c r="AJ230" i="15"/>
  <c r="AI230" i="15"/>
  <c r="AH230" i="15"/>
  <c r="AG230" i="15"/>
  <c r="AF230" i="15"/>
  <c r="AE230" i="15"/>
  <c r="AD230" i="15"/>
  <c r="AB230" i="15"/>
  <c r="AA230" i="15"/>
  <c r="Z230" i="15"/>
  <c r="X230" i="15"/>
  <c r="W230" i="15"/>
  <c r="S230" i="15"/>
  <c r="R230" i="15"/>
  <c r="P230" i="15"/>
  <c r="O230" i="15"/>
  <c r="L230" i="15"/>
  <c r="B230" i="15"/>
  <c r="AK229" i="15"/>
  <c r="AJ229" i="15"/>
  <c r="AI229" i="15"/>
  <c r="AH229" i="15"/>
  <c r="AG229" i="15"/>
  <c r="AF229" i="15"/>
  <c r="AE229" i="15"/>
  <c r="AD229" i="15"/>
  <c r="AB229" i="15"/>
  <c r="AA229" i="15"/>
  <c r="Z229" i="15"/>
  <c r="X229" i="15"/>
  <c r="W229" i="15"/>
  <c r="S229" i="15"/>
  <c r="R229" i="15"/>
  <c r="P229" i="15"/>
  <c r="O229" i="15"/>
  <c r="L229" i="15"/>
  <c r="B229" i="15"/>
  <c r="AJ342" i="15"/>
  <c r="O411" i="18" s="1"/>
  <c r="AI342" i="15"/>
  <c r="M411" i="18" s="1"/>
  <c r="AH342" i="15"/>
  <c r="N411" i="18" s="1"/>
  <c r="AG342" i="15"/>
  <c r="L411" i="18" s="1"/>
  <c r="AF342" i="15"/>
  <c r="K411" i="18" s="1"/>
  <c r="AE342" i="15"/>
  <c r="J411" i="18" s="1"/>
  <c r="AD342" i="15"/>
  <c r="I411" i="18" s="1"/>
  <c r="Z342" i="15"/>
  <c r="S342" i="15"/>
  <c r="R342" i="15"/>
  <c r="P342" i="15"/>
  <c r="L342" i="15"/>
  <c r="C342" i="15"/>
  <c r="B342" i="15"/>
  <c r="AK227" i="15"/>
  <c r="AJ227" i="15"/>
  <c r="AI227" i="15"/>
  <c r="AH227" i="15"/>
  <c r="AG227" i="15"/>
  <c r="AF227" i="15"/>
  <c r="AE227" i="15"/>
  <c r="AD227" i="15"/>
  <c r="AB227" i="15"/>
  <c r="AA227" i="15"/>
  <c r="Z227" i="15"/>
  <c r="X227" i="15"/>
  <c r="W227" i="15"/>
  <c r="S227" i="15"/>
  <c r="R227" i="15"/>
  <c r="P227" i="15"/>
  <c r="O227" i="15"/>
  <c r="L227" i="15"/>
  <c r="B227" i="15"/>
  <c r="AK226" i="15"/>
  <c r="AJ226" i="15"/>
  <c r="AI226" i="15"/>
  <c r="AH226" i="15"/>
  <c r="AG226" i="15"/>
  <c r="AF226" i="15"/>
  <c r="AE226" i="15"/>
  <c r="AD226" i="15"/>
  <c r="AB226" i="15"/>
  <c r="AA226" i="15"/>
  <c r="Z226" i="15"/>
  <c r="X226" i="15"/>
  <c r="W226" i="15"/>
  <c r="S226" i="15"/>
  <c r="R226" i="15"/>
  <c r="P226" i="15"/>
  <c r="O226" i="15"/>
  <c r="L226" i="15"/>
  <c r="B226" i="15"/>
  <c r="AJ308" i="15"/>
  <c r="O380" i="18" s="1"/>
  <c r="AI308" i="15"/>
  <c r="M380" i="18" s="1"/>
  <c r="AH308" i="15"/>
  <c r="N380" i="18" s="1"/>
  <c r="AG308" i="15"/>
  <c r="L380" i="18" s="1"/>
  <c r="AF308" i="15"/>
  <c r="K380" i="18" s="1"/>
  <c r="AE308" i="15"/>
  <c r="J380" i="18" s="1"/>
  <c r="AD308" i="15"/>
  <c r="I380" i="18" s="1"/>
  <c r="Z308" i="15"/>
  <c r="S308" i="15"/>
  <c r="R308" i="15"/>
  <c r="P308" i="15"/>
  <c r="L308" i="15"/>
  <c r="C308" i="15"/>
  <c r="B308" i="15"/>
  <c r="AK207" i="15"/>
  <c r="Q222" i="18" s="1"/>
  <c r="AJ207" i="15"/>
  <c r="AI207" i="15"/>
  <c r="AH207" i="15"/>
  <c r="AG207" i="15"/>
  <c r="L222" i="18" s="1"/>
  <c r="AF207" i="15"/>
  <c r="AE207" i="15"/>
  <c r="AD207" i="15"/>
  <c r="AB207" i="15"/>
  <c r="AA207" i="15"/>
  <c r="Z207" i="15"/>
  <c r="X207" i="15"/>
  <c r="W207" i="15"/>
  <c r="S207" i="15"/>
  <c r="R207" i="15"/>
  <c r="P207" i="15"/>
  <c r="O207" i="15"/>
  <c r="L207" i="15"/>
  <c r="C207" i="15"/>
  <c r="B207" i="15"/>
  <c r="AK164" i="15"/>
  <c r="Q161" i="18" s="1"/>
  <c r="AJ164" i="15"/>
  <c r="AI164" i="15"/>
  <c r="M161" i="18" s="1"/>
  <c r="AH164" i="15"/>
  <c r="N161" i="18" s="1"/>
  <c r="AG164" i="15"/>
  <c r="L161" i="18" s="1"/>
  <c r="AF164" i="15"/>
  <c r="K161" i="18" s="1"/>
  <c r="AE164" i="15"/>
  <c r="J161" i="18" s="1"/>
  <c r="AD164" i="15"/>
  <c r="I161" i="18" s="1"/>
  <c r="AB164" i="15"/>
  <c r="AA164" i="15"/>
  <c r="Z164" i="15"/>
  <c r="X164" i="15"/>
  <c r="W164" i="15"/>
  <c r="S164" i="15"/>
  <c r="R164" i="15"/>
  <c r="P164" i="15"/>
  <c r="O164" i="15"/>
  <c r="L164" i="15"/>
  <c r="B164" i="15"/>
  <c r="AJ261" i="15"/>
  <c r="O351" i="18" s="1"/>
  <c r="AI261" i="15"/>
  <c r="M351" i="18" s="1"/>
  <c r="AH261" i="15"/>
  <c r="N351" i="18" s="1"/>
  <c r="AG261" i="15"/>
  <c r="L351" i="18" s="1"/>
  <c r="AF261" i="15"/>
  <c r="K351" i="18" s="1"/>
  <c r="AE261" i="15"/>
  <c r="J351" i="18" s="1"/>
  <c r="AD261" i="15"/>
  <c r="I351" i="18" s="1"/>
  <c r="Z261" i="15"/>
  <c r="S261" i="15"/>
  <c r="R261" i="15"/>
  <c r="P261" i="15"/>
  <c r="L261" i="15"/>
  <c r="C261" i="15"/>
  <c r="B261" i="15"/>
  <c r="AK558" i="15"/>
  <c r="AJ558" i="15"/>
  <c r="AI558" i="15"/>
  <c r="AH558" i="15"/>
  <c r="AG558" i="15"/>
  <c r="AF558" i="15"/>
  <c r="AE558" i="15"/>
  <c r="AD558" i="15"/>
  <c r="AB558" i="15"/>
  <c r="AA558" i="15"/>
  <c r="Z558" i="15"/>
  <c r="X558" i="15"/>
  <c r="W558" i="15"/>
  <c r="S558" i="15"/>
  <c r="R558" i="15"/>
  <c r="P558" i="15"/>
  <c r="O558" i="15"/>
  <c r="L558" i="15"/>
  <c r="C558" i="15"/>
  <c r="B558" i="15"/>
  <c r="AK557" i="15"/>
  <c r="AJ557" i="15"/>
  <c r="AI557" i="15"/>
  <c r="AH557" i="15"/>
  <c r="AG557" i="15"/>
  <c r="AF557" i="15"/>
  <c r="AE557" i="15"/>
  <c r="AD557" i="15"/>
  <c r="AB557" i="15"/>
  <c r="AA557" i="15"/>
  <c r="Z557" i="15"/>
  <c r="X557" i="15"/>
  <c r="W557" i="15"/>
  <c r="S557" i="15"/>
  <c r="R557" i="15"/>
  <c r="P557" i="15"/>
  <c r="O557" i="15"/>
  <c r="L557" i="15"/>
  <c r="C557" i="15"/>
  <c r="B557" i="15"/>
  <c r="AJ232" i="15"/>
  <c r="O321" i="18" s="1"/>
  <c r="AI232" i="15"/>
  <c r="M321" i="18" s="1"/>
  <c r="AH232" i="15"/>
  <c r="N321" i="18" s="1"/>
  <c r="AG232" i="15"/>
  <c r="L321" i="18" s="1"/>
  <c r="AF232" i="15"/>
  <c r="K321" i="18" s="1"/>
  <c r="AE232" i="15"/>
  <c r="J321" i="18" s="1"/>
  <c r="AD232" i="15"/>
  <c r="I321" i="18" s="1"/>
  <c r="Z232" i="15"/>
  <c r="S232" i="15"/>
  <c r="R232" i="15"/>
  <c r="P232" i="15"/>
  <c r="L232" i="15"/>
  <c r="B232" i="15"/>
  <c r="AK567" i="15"/>
  <c r="AJ567" i="15"/>
  <c r="AI567" i="15"/>
  <c r="AH567" i="15"/>
  <c r="AG567" i="15"/>
  <c r="AF567" i="15"/>
  <c r="AE567" i="15"/>
  <c r="AD567" i="15"/>
  <c r="AB567" i="15"/>
  <c r="AA567" i="15"/>
  <c r="Z567" i="15"/>
  <c r="X567" i="15"/>
  <c r="W567" i="15"/>
  <c r="S567" i="15"/>
  <c r="R567" i="15"/>
  <c r="P567" i="15"/>
  <c r="O567" i="15"/>
  <c r="L567" i="15"/>
  <c r="C567" i="15"/>
  <c r="B567" i="15"/>
  <c r="AK556" i="15"/>
  <c r="AJ556" i="15"/>
  <c r="AI556" i="15"/>
  <c r="AH556" i="15"/>
  <c r="AG556" i="15"/>
  <c r="AF556" i="15"/>
  <c r="AE556" i="15"/>
  <c r="AD556" i="15"/>
  <c r="AB556" i="15"/>
  <c r="AA556" i="15"/>
  <c r="Z556" i="15"/>
  <c r="X556" i="15"/>
  <c r="W556" i="15"/>
  <c r="S556" i="15"/>
  <c r="R556" i="15"/>
  <c r="P556" i="15"/>
  <c r="O556" i="15"/>
  <c r="L556" i="15"/>
  <c r="C556" i="15"/>
  <c r="B556" i="15"/>
  <c r="AJ220" i="15"/>
  <c r="O291" i="18" s="1"/>
  <c r="AI220" i="15"/>
  <c r="M291" i="18" s="1"/>
  <c r="AH220" i="15"/>
  <c r="N291" i="18" s="1"/>
  <c r="AG220" i="15"/>
  <c r="L291" i="18" s="1"/>
  <c r="AF220" i="15"/>
  <c r="K291" i="18" s="1"/>
  <c r="AE220" i="15"/>
  <c r="J291" i="18" s="1"/>
  <c r="AD220" i="15"/>
  <c r="I291" i="18" s="1"/>
  <c r="Z220" i="15"/>
  <c r="S220" i="15"/>
  <c r="R220" i="15"/>
  <c r="P220" i="15"/>
  <c r="L220" i="15"/>
  <c r="C220" i="15"/>
  <c r="B220" i="15"/>
  <c r="AK552" i="15"/>
  <c r="AJ552" i="15"/>
  <c r="AI552" i="15"/>
  <c r="AH552" i="15"/>
  <c r="AG552" i="15"/>
  <c r="AF552" i="15"/>
  <c r="AE552" i="15"/>
  <c r="AD552" i="15"/>
  <c r="AB552" i="15"/>
  <c r="AA552" i="15"/>
  <c r="Z552" i="15"/>
  <c r="X552" i="15"/>
  <c r="W552" i="15"/>
  <c r="S552" i="15"/>
  <c r="R552" i="15"/>
  <c r="P552" i="15"/>
  <c r="O552" i="15"/>
  <c r="L552" i="15"/>
  <c r="C552" i="15"/>
  <c r="B552" i="15"/>
  <c r="AK555" i="15"/>
  <c r="AJ555" i="15"/>
  <c r="AI555" i="15"/>
  <c r="AH555" i="15"/>
  <c r="AG555" i="15"/>
  <c r="AF555" i="15"/>
  <c r="AE555" i="15"/>
  <c r="AD555" i="15"/>
  <c r="AB555" i="15"/>
  <c r="AA555" i="15"/>
  <c r="Z555" i="15"/>
  <c r="X555" i="15"/>
  <c r="W555" i="15"/>
  <c r="S555" i="15"/>
  <c r="R555" i="15"/>
  <c r="P555" i="15"/>
  <c r="O555" i="15"/>
  <c r="L555" i="15"/>
  <c r="C555" i="15"/>
  <c r="B555" i="15"/>
  <c r="AJ202" i="15"/>
  <c r="O261" i="18" s="1"/>
  <c r="AI202" i="15"/>
  <c r="M261" i="18" s="1"/>
  <c r="AH202" i="15"/>
  <c r="N261" i="18" s="1"/>
  <c r="AG202" i="15"/>
  <c r="L261" i="18" s="1"/>
  <c r="AF202" i="15"/>
  <c r="K261" i="18" s="1"/>
  <c r="AE202" i="15"/>
  <c r="J261" i="18" s="1"/>
  <c r="AD202" i="15"/>
  <c r="I261" i="18" s="1"/>
  <c r="Z202" i="15"/>
  <c r="S202" i="15"/>
  <c r="R202" i="15"/>
  <c r="P202" i="15"/>
  <c r="L202" i="15"/>
  <c r="B202" i="15"/>
  <c r="AJ256" i="15"/>
  <c r="AI256" i="15"/>
  <c r="AH256" i="15"/>
  <c r="AG256" i="15"/>
  <c r="AF256" i="15"/>
  <c r="AE256" i="15"/>
  <c r="AD256" i="15"/>
  <c r="Z256" i="15"/>
  <c r="S256" i="15"/>
  <c r="R256" i="15"/>
  <c r="P256" i="15"/>
  <c r="O256" i="15"/>
  <c r="L256" i="15"/>
  <c r="AA256" i="15"/>
  <c r="C256" i="15"/>
  <c r="B256" i="15"/>
  <c r="AK255" i="15"/>
  <c r="AJ255" i="15"/>
  <c r="AI255" i="15"/>
  <c r="AH255" i="15"/>
  <c r="AG255" i="15"/>
  <c r="AF255" i="15"/>
  <c r="AE255" i="15"/>
  <c r="AD255" i="15"/>
  <c r="AB255" i="15"/>
  <c r="AA255" i="15"/>
  <c r="Z255" i="15"/>
  <c r="X255" i="15"/>
  <c r="W255" i="15"/>
  <c r="S255" i="15"/>
  <c r="R255" i="15"/>
  <c r="P255" i="15"/>
  <c r="O255" i="15"/>
  <c r="L255" i="15"/>
  <c r="C255" i="15"/>
  <c r="B255" i="15"/>
  <c r="AK540" i="15"/>
  <c r="AJ540" i="15"/>
  <c r="AI540" i="15"/>
  <c r="AH540" i="15"/>
  <c r="AG540" i="15"/>
  <c r="AF540" i="15"/>
  <c r="AE540" i="15"/>
  <c r="AD540" i="15"/>
  <c r="AB540" i="15"/>
  <c r="AA540" i="15"/>
  <c r="Z540" i="15"/>
  <c r="X540" i="15"/>
  <c r="W540" i="15"/>
  <c r="S540" i="15"/>
  <c r="R540" i="15"/>
  <c r="P540" i="15"/>
  <c r="O540" i="15"/>
  <c r="L540" i="15"/>
  <c r="C540" i="15"/>
  <c r="B540" i="15"/>
  <c r="AK539" i="15"/>
  <c r="AJ539" i="15"/>
  <c r="AI539" i="15"/>
  <c r="AH539" i="15"/>
  <c r="AG539" i="15"/>
  <c r="AF539" i="15"/>
  <c r="AE539" i="15"/>
  <c r="AD539" i="15"/>
  <c r="AB539" i="15"/>
  <c r="AA539" i="15"/>
  <c r="Z539" i="15"/>
  <c r="X539" i="15"/>
  <c r="W539" i="15"/>
  <c r="S539" i="15"/>
  <c r="R539" i="15"/>
  <c r="P539" i="15"/>
  <c r="O539" i="15"/>
  <c r="L539" i="15"/>
  <c r="C539" i="15"/>
  <c r="B539" i="15"/>
  <c r="AJ186" i="15"/>
  <c r="O231" i="18" s="1"/>
  <c r="AI186" i="15"/>
  <c r="M231" i="18" s="1"/>
  <c r="AH186" i="15"/>
  <c r="N231" i="18" s="1"/>
  <c r="AG186" i="15"/>
  <c r="L231" i="18" s="1"/>
  <c r="AF186" i="15"/>
  <c r="K231" i="18" s="1"/>
  <c r="AE186" i="15"/>
  <c r="J231" i="18" s="1"/>
  <c r="AD186" i="15"/>
  <c r="I231" i="18" s="1"/>
  <c r="Z186" i="15"/>
  <c r="S186" i="15"/>
  <c r="R186" i="15"/>
  <c r="P186" i="15"/>
  <c r="L186" i="15"/>
  <c r="C186" i="15"/>
  <c r="B186" i="15"/>
  <c r="AK194" i="15"/>
  <c r="AJ194" i="15"/>
  <c r="AI194" i="15"/>
  <c r="AH194" i="15"/>
  <c r="AG194" i="15"/>
  <c r="AF194" i="15"/>
  <c r="AE194" i="15"/>
  <c r="AD194" i="15"/>
  <c r="AB194" i="15"/>
  <c r="AA194" i="15"/>
  <c r="Z194" i="15"/>
  <c r="X194" i="15"/>
  <c r="W194" i="15"/>
  <c r="S194" i="15"/>
  <c r="R194" i="15"/>
  <c r="P194" i="15"/>
  <c r="O194" i="15"/>
  <c r="L194" i="15"/>
  <c r="C194" i="15"/>
  <c r="B194" i="15"/>
  <c r="AK193" i="15"/>
  <c r="AJ193" i="15"/>
  <c r="AI193" i="15"/>
  <c r="AH193" i="15"/>
  <c r="AG193" i="15"/>
  <c r="AF193" i="15"/>
  <c r="AE193" i="15"/>
  <c r="AD193" i="15"/>
  <c r="AB193" i="15"/>
  <c r="AA193" i="15"/>
  <c r="Z193" i="15"/>
  <c r="X193" i="15"/>
  <c r="W193" i="15"/>
  <c r="S193" i="15"/>
  <c r="R193" i="15"/>
  <c r="P193" i="15"/>
  <c r="O193" i="15"/>
  <c r="L193" i="15"/>
  <c r="C193" i="15"/>
  <c r="B193" i="15"/>
  <c r="AK538" i="15"/>
  <c r="AJ538" i="15"/>
  <c r="AI538" i="15"/>
  <c r="AH538" i="15"/>
  <c r="AG538" i="15"/>
  <c r="AF538" i="15"/>
  <c r="AE538" i="15"/>
  <c r="AD538" i="15"/>
  <c r="AB538" i="15"/>
  <c r="AA538" i="15"/>
  <c r="Z538" i="15"/>
  <c r="X538" i="15"/>
  <c r="W538" i="15"/>
  <c r="S538" i="15"/>
  <c r="R538" i="15"/>
  <c r="P538" i="15"/>
  <c r="O538" i="15"/>
  <c r="L538" i="15"/>
  <c r="C538" i="15"/>
  <c r="B538" i="15"/>
  <c r="AK554" i="15"/>
  <c r="AJ554" i="15"/>
  <c r="AI554" i="15"/>
  <c r="AH554" i="15"/>
  <c r="AG554" i="15"/>
  <c r="AF554" i="15"/>
  <c r="AE554" i="15"/>
  <c r="AD554" i="15"/>
  <c r="AB554" i="15"/>
  <c r="AA554" i="15"/>
  <c r="Z554" i="15"/>
  <c r="X554" i="15"/>
  <c r="W554" i="15"/>
  <c r="S554" i="15"/>
  <c r="R554" i="15"/>
  <c r="P554" i="15"/>
  <c r="O554" i="15"/>
  <c r="L554" i="15"/>
  <c r="C554" i="15"/>
  <c r="B554" i="15"/>
  <c r="AJ167" i="15"/>
  <c r="AI167" i="15"/>
  <c r="AH167" i="15"/>
  <c r="AG167" i="15"/>
  <c r="AF167" i="15"/>
  <c r="AE167" i="15"/>
  <c r="AD167" i="15"/>
  <c r="Z167" i="15"/>
  <c r="S167" i="15"/>
  <c r="R167" i="15"/>
  <c r="P167" i="15"/>
  <c r="L167" i="15"/>
  <c r="B167" i="15"/>
  <c r="AK179" i="15"/>
  <c r="AJ179" i="15"/>
  <c r="AI179" i="15"/>
  <c r="AH179" i="15"/>
  <c r="AG179" i="15"/>
  <c r="AF179" i="15"/>
  <c r="AE179" i="15"/>
  <c r="AD179" i="15"/>
  <c r="AB179" i="15"/>
  <c r="AA179" i="15"/>
  <c r="Z179" i="15"/>
  <c r="X179" i="15"/>
  <c r="W179" i="15"/>
  <c r="S179" i="15"/>
  <c r="R179" i="15"/>
  <c r="P179" i="15"/>
  <c r="O179" i="15"/>
  <c r="L179" i="15"/>
  <c r="C179" i="15"/>
  <c r="B179" i="15"/>
  <c r="AK178" i="15"/>
  <c r="AJ178" i="15"/>
  <c r="AI178" i="15"/>
  <c r="AH178" i="15"/>
  <c r="AG178" i="15"/>
  <c r="AF178" i="15"/>
  <c r="AE178" i="15"/>
  <c r="AD178" i="15"/>
  <c r="AB178" i="15"/>
  <c r="AA178" i="15"/>
  <c r="Z178" i="15"/>
  <c r="X178" i="15"/>
  <c r="W178" i="15"/>
  <c r="S178" i="15"/>
  <c r="R178" i="15"/>
  <c r="P178" i="15"/>
  <c r="O178" i="15"/>
  <c r="L178" i="15"/>
  <c r="C178" i="15"/>
  <c r="B178" i="15"/>
  <c r="AK530" i="15"/>
  <c r="AJ530" i="15"/>
  <c r="AI530" i="15"/>
  <c r="AH530" i="15"/>
  <c r="AG530" i="15"/>
  <c r="AF530" i="15"/>
  <c r="AE530" i="15"/>
  <c r="AD530" i="15"/>
  <c r="AB530" i="15"/>
  <c r="AA530" i="15"/>
  <c r="Z530" i="15"/>
  <c r="X530" i="15"/>
  <c r="W530" i="15"/>
  <c r="S530" i="15"/>
  <c r="R530" i="15"/>
  <c r="P530" i="15"/>
  <c r="O530" i="15"/>
  <c r="L530" i="15"/>
  <c r="C530" i="15"/>
  <c r="B530" i="15"/>
  <c r="AK527" i="15"/>
  <c r="AJ527" i="15"/>
  <c r="AI527" i="15"/>
  <c r="AH527" i="15"/>
  <c r="AG527" i="15"/>
  <c r="AF527" i="15"/>
  <c r="AE527" i="15"/>
  <c r="AD527" i="15"/>
  <c r="AB527" i="15"/>
  <c r="AA527" i="15"/>
  <c r="Z527" i="15"/>
  <c r="X527" i="15"/>
  <c r="W527" i="15"/>
  <c r="S527" i="15"/>
  <c r="R527" i="15"/>
  <c r="P527" i="15"/>
  <c r="O527" i="15"/>
  <c r="L527" i="15"/>
  <c r="C527" i="15"/>
  <c r="B527" i="15"/>
  <c r="AJ151" i="15"/>
  <c r="AI151" i="15"/>
  <c r="AH151" i="15"/>
  <c r="AG151" i="15"/>
  <c r="AF151" i="15"/>
  <c r="AE151" i="15"/>
  <c r="AD151" i="15"/>
  <c r="Z151" i="15"/>
  <c r="S151" i="15"/>
  <c r="R151" i="15"/>
  <c r="P151" i="15"/>
  <c r="L151" i="15"/>
  <c r="C151" i="15"/>
  <c r="B151" i="15"/>
  <c r="AK150" i="15"/>
  <c r="AJ150" i="15"/>
  <c r="AI150" i="15"/>
  <c r="AH150" i="15"/>
  <c r="AG150" i="15"/>
  <c r="AF150" i="15"/>
  <c r="AE150" i="15"/>
  <c r="AD150" i="15"/>
  <c r="AB150" i="15"/>
  <c r="AA150" i="15"/>
  <c r="Z150" i="15"/>
  <c r="X150" i="15"/>
  <c r="W150" i="15"/>
  <c r="S150" i="15"/>
  <c r="R150" i="15"/>
  <c r="P150" i="15"/>
  <c r="O150" i="15"/>
  <c r="L150" i="15"/>
  <c r="C150" i="15"/>
  <c r="B150" i="15"/>
  <c r="AK149" i="15"/>
  <c r="AJ149" i="15"/>
  <c r="AI149" i="15"/>
  <c r="AH149" i="15"/>
  <c r="AG149" i="15"/>
  <c r="AF149" i="15"/>
  <c r="AE149" i="15"/>
  <c r="AD149" i="15"/>
  <c r="AB149" i="15"/>
  <c r="AA149" i="15"/>
  <c r="Z149" i="15"/>
  <c r="X149" i="15"/>
  <c r="W149" i="15"/>
  <c r="S149" i="15"/>
  <c r="R149" i="15"/>
  <c r="P149" i="15"/>
  <c r="O149" i="15"/>
  <c r="L149" i="15"/>
  <c r="C149" i="15"/>
  <c r="B149" i="15"/>
  <c r="AK526" i="15"/>
  <c r="AJ526" i="15"/>
  <c r="AI526" i="15"/>
  <c r="AH526" i="15"/>
  <c r="AG526" i="15"/>
  <c r="AF526" i="15"/>
  <c r="AE526" i="15"/>
  <c r="AD526" i="15"/>
  <c r="AB526" i="15"/>
  <c r="AA526" i="15"/>
  <c r="Z526" i="15"/>
  <c r="X526" i="15"/>
  <c r="W526" i="15"/>
  <c r="S526" i="15"/>
  <c r="R526" i="15"/>
  <c r="P526" i="15"/>
  <c r="O526" i="15"/>
  <c r="L526" i="15"/>
  <c r="C526" i="15"/>
  <c r="B526" i="15"/>
  <c r="AK525" i="15"/>
  <c r="AJ525" i="15"/>
  <c r="AI525" i="15"/>
  <c r="AH525" i="15"/>
  <c r="AG525" i="15"/>
  <c r="AF525" i="15"/>
  <c r="AE525" i="15"/>
  <c r="AD525" i="15"/>
  <c r="AB525" i="15"/>
  <c r="AA525" i="15"/>
  <c r="Z525" i="15"/>
  <c r="X525" i="15"/>
  <c r="W525" i="15"/>
  <c r="S525" i="15"/>
  <c r="R525" i="15"/>
  <c r="P525" i="15"/>
  <c r="O525" i="15"/>
  <c r="L525" i="15"/>
  <c r="C525" i="15"/>
  <c r="B525" i="15"/>
  <c r="AJ125" i="15"/>
  <c r="AI125" i="15"/>
  <c r="AH125" i="15"/>
  <c r="AG125" i="15"/>
  <c r="AF125" i="15"/>
  <c r="AE125" i="15"/>
  <c r="AD125" i="15"/>
  <c r="Z125" i="15"/>
  <c r="S125" i="15"/>
  <c r="R125" i="15"/>
  <c r="P125" i="15"/>
  <c r="L125" i="15"/>
  <c r="C125" i="15"/>
  <c r="B125" i="15"/>
  <c r="AK117" i="15"/>
  <c r="AJ117" i="15"/>
  <c r="AI117" i="15"/>
  <c r="AH117" i="15"/>
  <c r="AG117" i="15"/>
  <c r="AF117" i="15"/>
  <c r="AE117" i="15"/>
  <c r="AD117" i="15"/>
  <c r="AB117" i="15"/>
  <c r="AA117" i="15"/>
  <c r="Z117" i="15"/>
  <c r="X117" i="15"/>
  <c r="W117" i="15"/>
  <c r="S117" i="15"/>
  <c r="R117" i="15"/>
  <c r="P117" i="15"/>
  <c r="O117" i="15"/>
  <c r="L117" i="15"/>
  <c r="B117" i="15"/>
  <c r="AK116" i="15"/>
  <c r="AJ116" i="15"/>
  <c r="AI116" i="15"/>
  <c r="AH116" i="15"/>
  <c r="AG116" i="15"/>
  <c r="AF116" i="15"/>
  <c r="AE116" i="15"/>
  <c r="AD116" i="15"/>
  <c r="AB116" i="15"/>
  <c r="AA116" i="15"/>
  <c r="Z116" i="15"/>
  <c r="X116" i="15"/>
  <c r="W116" i="15"/>
  <c r="S116" i="15"/>
  <c r="R116" i="15"/>
  <c r="P116" i="15"/>
  <c r="O116" i="15"/>
  <c r="L116" i="15"/>
  <c r="B116" i="15"/>
  <c r="AK529" i="15"/>
  <c r="AJ529" i="15"/>
  <c r="AI529" i="15"/>
  <c r="AH529" i="15"/>
  <c r="AG529" i="15"/>
  <c r="AF529" i="15"/>
  <c r="AE529" i="15"/>
  <c r="AD529" i="15"/>
  <c r="AB529" i="15"/>
  <c r="AA529" i="15"/>
  <c r="Z529" i="15"/>
  <c r="X529" i="15"/>
  <c r="W529" i="15"/>
  <c r="S529" i="15"/>
  <c r="R529" i="15"/>
  <c r="P529" i="15"/>
  <c r="O529" i="15"/>
  <c r="L529" i="15"/>
  <c r="C529" i="15"/>
  <c r="B529" i="15"/>
  <c r="AK528" i="15"/>
  <c r="AJ528" i="15"/>
  <c r="AI528" i="15"/>
  <c r="AH528" i="15"/>
  <c r="AG528" i="15"/>
  <c r="AF528" i="15"/>
  <c r="AE528" i="15"/>
  <c r="AD528" i="15"/>
  <c r="AB528" i="15"/>
  <c r="AA528" i="15"/>
  <c r="Z528" i="15"/>
  <c r="X528" i="15"/>
  <c r="W528" i="15"/>
  <c r="S528" i="15"/>
  <c r="R528" i="15"/>
  <c r="P528" i="15"/>
  <c r="O528" i="15"/>
  <c r="L528" i="15"/>
  <c r="C528" i="15"/>
  <c r="B528" i="15"/>
  <c r="AJ101" i="15"/>
  <c r="AI101" i="15"/>
  <c r="AH101" i="15"/>
  <c r="AG101" i="15"/>
  <c r="AF101" i="15"/>
  <c r="AE101" i="15"/>
  <c r="AD101" i="15"/>
  <c r="Z101" i="15"/>
  <c r="S101" i="15"/>
  <c r="R101" i="15"/>
  <c r="P101" i="15"/>
  <c r="L101" i="15"/>
  <c r="B101" i="15"/>
  <c r="AK97" i="15"/>
  <c r="AJ97" i="15"/>
  <c r="AI97" i="15"/>
  <c r="AH97" i="15"/>
  <c r="AG97" i="15"/>
  <c r="AF97" i="15"/>
  <c r="AE97" i="15"/>
  <c r="AD97" i="15"/>
  <c r="AB97" i="15"/>
  <c r="AA97" i="15"/>
  <c r="Z97" i="15"/>
  <c r="X97" i="15"/>
  <c r="W97" i="15"/>
  <c r="S97" i="15"/>
  <c r="R97" i="15"/>
  <c r="P97" i="15"/>
  <c r="O97" i="15"/>
  <c r="L97" i="15"/>
  <c r="B97" i="15"/>
  <c r="AK96" i="15"/>
  <c r="AJ96" i="15"/>
  <c r="AI96" i="15"/>
  <c r="AH96" i="15"/>
  <c r="AG96" i="15"/>
  <c r="AF96" i="15"/>
  <c r="AE96" i="15"/>
  <c r="AD96" i="15"/>
  <c r="AB96" i="15"/>
  <c r="AA96" i="15"/>
  <c r="Z96" i="15"/>
  <c r="X96" i="15"/>
  <c r="W96" i="15"/>
  <c r="S96" i="15"/>
  <c r="R96" i="15"/>
  <c r="P96" i="15"/>
  <c r="O96" i="15"/>
  <c r="L96" i="15"/>
  <c r="B96" i="15"/>
  <c r="AK536" i="15"/>
  <c r="AJ536" i="15"/>
  <c r="AI536" i="15"/>
  <c r="AH536" i="15"/>
  <c r="AG536" i="15"/>
  <c r="AF536" i="15"/>
  <c r="AE536" i="15"/>
  <c r="AD536" i="15"/>
  <c r="AB536" i="15"/>
  <c r="AA536" i="15"/>
  <c r="Z536" i="15"/>
  <c r="X536" i="15"/>
  <c r="W536" i="15"/>
  <c r="S536" i="15"/>
  <c r="R536" i="15"/>
  <c r="P536" i="15"/>
  <c r="O536" i="15"/>
  <c r="L536" i="15"/>
  <c r="C536" i="15"/>
  <c r="B536" i="15"/>
  <c r="AK531" i="15"/>
  <c r="AJ531" i="15"/>
  <c r="AI531" i="15"/>
  <c r="AH531" i="15"/>
  <c r="AG531" i="15"/>
  <c r="AF531" i="15"/>
  <c r="AE531" i="15"/>
  <c r="AD531" i="15"/>
  <c r="AB531" i="15"/>
  <c r="AA531" i="15"/>
  <c r="Z531" i="15"/>
  <c r="X531" i="15"/>
  <c r="W531" i="15"/>
  <c r="S531" i="15"/>
  <c r="R531" i="15"/>
  <c r="P531" i="15"/>
  <c r="O531" i="15"/>
  <c r="L531" i="15"/>
  <c r="C531" i="15"/>
  <c r="B531" i="15"/>
  <c r="AJ69" i="15"/>
  <c r="AI69" i="15"/>
  <c r="AH69" i="15"/>
  <c r="AG69" i="15"/>
  <c r="AF69" i="15"/>
  <c r="AE69" i="15"/>
  <c r="AD69" i="15"/>
  <c r="Z69" i="15"/>
  <c r="S69" i="15"/>
  <c r="R69" i="15"/>
  <c r="P69" i="15"/>
  <c r="L69" i="15"/>
  <c r="B69" i="15"/>
  <c r="AK68" i="15"/>
  <c r="AJ68" i="15"/>
  <c r="AI68" i="15"/>
  <c r="AH68" i="15"/>
  <c r="AG68" i="15"/>
  <c r="AF68" i="15"/>
  <c r="AE68" i="15"/>
  <c r="AD68" i="15"/>
  <c r="AB68" i="15"/>
  <c r="AA68" i="15"/>
  <c r="Z68" i="15"/>
  <c r="X68" i="15"/>
  <c r="W68" i="15"/>
  <c r="S68" i="15"/>
  <c r="R68" i="15"/>
  <c r="P68" i="15"/>
  <c r="O68" i="15"/>
  <c r="L68" i="15"/>
  <c r="C68" i="15"/>
  <c r="B68" i="15"/>
  <c r="AK67" i="15"/>
  <c r="AJ67" i="15"/>
  <c r="AI67" i="15"/>
  <c r="AH67" i="15"/>
  <c r="AG67" i="15"/>
  <c r="AF67" i="15"/>
  <c r="AE67" i="15"/>
  <c r="AD67" i="15"/>
  <c r="AB67" i="15"/>
  <c r="AA67" i="15"/>
  <c r="Z67" i="15"/>
  <c r="X67" i="15"/>
  <c r="W67" i="15"/>
  <c r="S67" i="15"/>
  <c r="R67" i="15"/>
  <c r="P67" i="15"/>
  <c r="O67" i="15"/>
  <c r="L67" i="15"/>
  <c r="C67" i="15"/>
  <c r="B67" i="15"/>
  <c r="AK66" i="15"/>
  <c r="AJ66" i="15"/>
  <c r="AI66" i="15"/>
  <c r="AH66" i="15"/>
  <c r="AG66" i="15"/>
  <c r="AF66" i="15"/>
  <c r="AE66" i="15"/>
  <c r="AD66" i="15"/>
  <c r="AB66" i="15"/>
  <c r="AA66" i="15"/>
  <c r="Z66" i="15"/>
  <c r="X66" i="15"/>
  <c r="W66" i="15"/>
  <c r="S66" i="15"/>
  <c r="R66" i="15"/>
  <c r="P66" i="15"/>
  <c r="O66" i="15"/>
  <c r="L66" i="15"/>
  <c r="C66" i="15"/>
  <c r="B66" i="15"/>
  <c r="AK65" i="15"/>
  <c r="AJ65" i="15"/>
  <c r="AI65" i="15"/>
  <c r="AH65" i="15"/>
  <c r="AG65" i="15"/>
  <c r="AF65" i="15"/>
  <c r="AE65" i="15"/>
  <c r="AD65" i="15"/>
  <c r="AB65" i="15"/>
  <c r="AA65" i="15"/>
  <c r="Z65" i="15"/>
  <c r="X65" i="15"/>
  <c r="W65" i="15"/>
  <c r="S65" i="15"/>
  <c r="R65" i="15"/>
  <c r="P65" i="15"/>
  <c r="O65" i="15"/>
  <c r="L65" i="15"/>
  <c r="C65" i="15"/>
  <c r="B65" i="15"/>
  <c r="AJ40" i="15"/>
  <c r="O47" i="18" s="1"/>
  <c r="AI40" i="15"/>
  <c r="M47" i="18" s="1"/>
  <c r="AH40" i="15"/>
  <c r="N47" i="18" s="1"/>
  <c r="AG40" i="15"/>
  <c r="L47" i="18" s="1"/>
  <c r="AF40" i="15"/>
  <c r="K47" i="18" s="1"/>
  <c r="AE40" i="15"/>
  <c r="J47" i="18" s="1"/>
  <c r="AD40" i="15"/>
  <c r="I47" i="18" s="1"/>
  <c r="Z40" i="15"/>
  <c r="S40" i="15"/>
  <c r="R40" i="15"/>
  <c r="P40" i="15"/>
  <c r="L40" i="15"/>
  <c r="C40" i="15"/>
  <c r="B40" i="15"/>
  <c r="AK49" i="15"/>
  <c r="AJ49" i="15"/>
  <c r="AI49" i="15"/>
  <c r="AH49" i="15"/>
  <c r="AG49" i="15"/>
  <c r="AF49" i="15"/>
  <c r="AE49" i="15"/>
  <c r="AD49" i="15"/>
  <c r="AB49" i="15"/>
  <c r="AA49" i="15"/>
  <c r="Z49" i="15"/>
  <c r="X49" i="15"/>
  <c r="W49" i="15"/>
  <c r="S49" i="15"/>
  <c r="R49" i="15"/>
  <c r="P49" i="15"/>
  <c r="O49" i="15"/>
  <c r="L49" i="15"/>
  <c r="B49" i="15"/>
  <c r="AK48" i="15"/>
  <c r="AJ48" i="15"/>
  <c r="AI48" i="15"/>
  <c r="AH48" i="15"/>
  <c r="AG48" i="15"/>
  <c r="AF48" i="15"/>
  <c r="AE48" i="15"/>
  <c r="AD48" i="15"/>
  <c r="AB48" i="15"/>
  <c r="AA48" i="15"/>
  <c r="Z48" i="15"/>
  <c r="X48" i="15"/>
  <c r="W48" i="15"/>
  <c r="S48" i="15"/>
  <c r="R48" i="15"/>
  <c r="P48" i="15"/>
  <c r="O48" i="15"/>
  <c r="L48" i="15"/>
  <c r="B48" i="15"/>
  <c r="AK39" i="15"/>
  <c r="AJ39" i="15"/>
  <c r="AI39" i="15"/>
  <c r="AH39" i="15"/>
  <c r="AG39" i="15"/>
  <c r="AF39" i="15"/>
  <c r="AE39" i="15"/>
  <c r="AD39" i="15"/>
  <c r="AB39" i="15"/>
  <c r="AA39" i="15"/>
  <c r="Z39" i="15"/>
  <c r="X39" i="15"/>
  <c r="W39" i="15"/>
  <c r="S39" i="15"/>
  <c r="R39" i="15"/>
  <c r="P39" i="15"/>
  <c r="O39" i="15"/>
  <c r="L39" i="15"/>
  <c r="B39" i="15"/>
  <c r="AK38" i="15"/>
  <c r="AJ38" i="15"/>
  <c r="AI38" i="15"/>
  <c r="AH38" i="15"/>
  <c r="AG38" i="15"/>
  <c r="AF38" i="15"/>
  <c r="AE38" i="15"/>
  <c r="AD38" i="15"/>
  <c r="AB38" i="15"/>
  <c r="AA38" i="15"/>
  <c r="Z38" i="15"/>
  <c r="X38" i="15"/>
  <c r="W38" i="15"/>
  <c r="S38" i="15"/>
  <c r="R38" i="15"/>
  <c r="P38" i="15"/>
  <c r="O38" i="15"/>
  <c r="L38" i="15"/>
  <c r="B38" i="15"/>
  <c r="AJ6" i="15"/>
  <c r="O11" i="18" s="1"/>
  <c r="AI6" i="15"/>
  <c r="M11" i="18" s="1"/>
  <c r="AG6" i="15"/>
  <c r="L11" i="18" s="1"/>
  <c r="AF6" i="15"/>
  <c r="K11" i="18" s="1"/>
  <c r="AE6" i="15"/>
  <c r="J11" i="18" s="1"/>
  <c r="AD6" i="15"/>
  <c r="I11" i="18" s="1"/>
  <c r="Z6" i="15"/>
  <c r="S6" i="15"/>
  <c r="R6" i="15"/>
  <c r="P6" i="15"/>
  <c r="L6" i="15"/>
  <c r="C6" i="15"/>
  <c r="B6" i="15"/>
  <c r="AK18" i="15"/>
  <c r="AJ18" i="15"/>
  <c r="AI18" i="15"/>
  <c r="AH18" i="15"/>
  <c r="AG18" i="15"/>
  <c r="AF18" i="15"/>
  <c r="AE18" i="15"/>
  <c r="AD18" i="15"/>
  <c r="AB18" i="15"/>
  <c r="AA18" i="15"/>
  <c r="Z18" i="15"/>
  <c r="X18" i="15"/>
  <c r="W18" i="15"/>
  <c r="S18" i="15"/>
  <c r="R18" i="15"/>
  <c r="P18" i="15"/>
  <c r="O18" i="15"/>
  <c r="L18" i="15"/>
  <c r="B18" i="15"/>
  <c r="AK17" i="15"/>
  <c r="Q29" i="18" s="1"/>
  <c r="AJ17" i="15"/>
  <c r="O29" i="18" s="1"/>
  <c r="AI17" i="15"/>
  <c r="M29" i="18" s="1"/>
  <c r="AH17" i="15"/>
  <c r="N29" i="18" s="1"/>
  <c r="AG17" i="15"/>
  <c r="L29" i="18" s="1"/>
  <c r="AF17" i="15"/>
  <c r="K29" i="18" s="1"/>
  <c r="AE17" i="15"/>
  <c r="J29" i="18" s="1"/>
  <c r="AD17" i="15"/>
  <c r="I29" i="18" s="1"/>
  <c r="AB17" i="15"/>
  <c r="AA17" i="15"/>
  <c r="Z17" i="15"/>
  <c r="X17" i="15"/>
  <c r="W17" i="15"/>
  <c r="S17" i="15"/>
  <c r="R17" i="15"/>
  <c r="P17" i="15"/>
  <c r="O17" i="15"/>
  <c r="L17" i="15"/>
  <c r="B17" i="15"/>
  <c r="AK464" i="15"/>
  <c r="Q700" i="18" s="1"/>
  <c r="AJ464" i="15"/>
  <c r="O700" i="18" s="1"/>
  <c r="AI464" i="15"/>
  <c r="M700" i="18" s="1"/>
  <c r="AH464" i="15"/>
  <c r="N700" i="18" s="1"/>
  <c r="AG464" i="15"/>
  <c r="L700" i="18" s="1"/>
  <c r="AF464" i="15"/>
  <c r="K700" i="18" s="1"/>
  <c r="AE464" i="15"/>
  <c r="J700" i="18" s="1"/>
  <c r="AD464" i="15"/>
  <c r="I700" i="18" s="1"/>
  <c r="AB464" i="15"/>
  <c r="AA464" i="15"/>
  <c r="Z464" i="15"/>
  <c r="X464" i="15"/>
  <c r="W464" i="15"/>
  <c r="S464" i="15"/>
  <c r="R464" i="15"/>
  <c r="P464" i="15"/>
  <c r="O464" i="15"/>
  <c r="L464" i="15"/>
  <c r="B464" i="15"/>
  <c r="AK452" i="15"/>
  <c r="Q670" i="18" s="1"/>
  <c r="AJ452" i="15"/>
  <c r="O670" i="18" s="1"/>
  <c r="AI452" i="15"/>
  <c r="M670" i="18" s="1"/>
  <c r="AH452" i="15"/>
  <c r="N670" i="18" s="1"/>
  <c r="AG452" i="15"/>
  <c r="L670" i="18" s="1"/>
  <c r="AF452" i="15"/>
  <c r="K670" i="18" s="1"/>
  <c r="AE452" i="15"/>
  <c r="J670" i="18" s="1"/>
  <c r="AD452" i="15"/>
  <c r="I670" i="18" s="1"/>
  <c r="AB452" i="15"/>
  <c r="AA452" i="15"/>
  <c r="Z452" i="15"/>
  <c r="X452" i="15"/>
  <c r="W452" i="15"/>
  <c r="S452" i="15"/>
  <c r="R452" i="15"/>
  <c r="P452" i="15"/>
  <c r="O452" i="15"/>
  <c r="L452" i="15"/>
  <c r="B452" i="15"/>
  <c r="AJ789" i="15"/>
  <c r="O1860" i="18" s="1"/>
  <c r="K63" i="19" s="1"/>
  <c r="AI789" i="15"/>
  <c r="M1860" i="18" s="1"/>
  <c r="I63" i="19" s="1"/>
  <c r="AG789" i="15"/>
  <c r="L1860" i="18" s="1"/>
  <c r="H63" i="19" s="1"/>
  <c r="AF789" i="15"/>
  <c r="K1860" i="18" s="1"/>
  <c r="G63" i="19" s="1"/>
  <c r="AE789" i="15"/>
  <c r="J1860" i="18" s="1"/>
  <c r="F63" i="19" s="1"/>
  <c r="AD789" i="15"/>
  <c r="I1860" i="18" s="1"/>
  <c r="E63" i="19" s="1"/>
  <c r="Z789" i="15"/>
  <c r="S789" i="15"/>
  <c r="R789" i="15"/>
  <c r="P789" i="15"/>
  <c r="L789" i="15"/>
  <c r="C789" i="15"/>
  <c r="B789" i="15"/>
  <c r="AK268" i="15"/>
  <c r="AJ268" i="15"/>
  <c r="AI268" i="15"/>
  <c r="M1922" i="18" s="1"/>
  <c r="I65" i="19" s="1"/>
  <c r="AH268" i="15"/>
  <c r="N1922" i="18" s="1"/>
  <c r="J65" i="19" s="1"/>
  <c r="AG268" i="15"/>
  <c r="L1922" i="18" s="1"/>
  <c r="H65" i="19" s="1"/>
  <c r="AF268" i="15"/>
  <c r="K1922" i="18" s="1"/>
  <c r="G65" i="19" s="1"/>
  <c r="AE268" i="15"/>
  <c r="J1922" i="18" s="1"/>
  <c r="F65" i="19" s="1"/>
  <c r="AD268" i="15"/>
  <c r="I1922" i="18" s="1"/>
  <c r="E65" i="19" s="1"/>
  <c r="AB268" i="15"/>
  <c r="AA268" i="15"/>
  <c r="Z268" i="15"/>
  <c r="X268" i="15"/>
  <c r="W268" i="15"/>
  <c r="S268" i="15"/>
  <c r="R268" i="15"/>
  <c r="P268" i="15"/>
  <c r="O268" i="15"/>
  <c r="L268" i="15"/>
  <c r="C268" i="15"/>
  <c r="B268" i="15"/>
  <c r="AK265" i="15"/>
  <c r="Q355" i="18" s="1"/>
  <c r="AJ265" i="15"/>
  <c r="O355" i="18" s="1"/>
  <c r="AI265" i="15"/>
  <c r="M1891" i="18" s="1"/>
  <c r="I64" i="19" s="1"/>
  <c r="AH265" i="15"/>
  <c r="N1891" i="18" s="1"/>
  <c r="J64" i="19" s="1"/>
  <c r="AG265" i="15"/>
  <c r="L1891" i="18" s="1"/>
  <c r="H64" i="19" s="1"/>
  <c r="AF265" i="15"/>
  <c r="K1891" i="18" s="1"/>
  <c r="G64" i="19" s="1"/>
  <c r="AE265" i="15"/>
  <c r="J1891" i="18" s="1"/>
  <c r="F64" i="19" s="1"/>
  <c r="AD265" i="15"/>
  <c r="I1891" i="18" s="1"/>
  <c r="E64" i="19" s="1"/>
  <c r="AB265" i="15"/>
  <c r="AA265" i="15"/>
  <c r="Z265" i="15"/>
  <c r="X265" i="15"/>
  <c r="W265" i="15"/>
  <c r="S265" i="15"/>
  <c r="R265" i="15"/>
  <c r="P265" i="15"/>
  <c r="O265" i="15"/>
  <c r="L265" i="15"/>
  <c r="C265" i="15"/>
  <c r="B265" i="15"/>
  <c r="AK414" i="15"/>
  <c r="Q580" i="18" s="1"/>
  <c r="AJ414" i="15"/>
  <c r="O580" i="18" s="1"/>
  <c r="AI414" i="15"/>
  <c r="M580" i="18" s="1"/>
  <c r="AH414" i="15"/>
  <c r="N580" i="18" s="1"/>
  <c r="AG414" i="15"/>
  <c r="L580" i="18" s="1"/>
  <c r="AF414" i="15"/>
  <c r="K580" i="18" s="1"/>
  <c r="AE414" i="15"/>
  <c r="J580" i="18" s="1"/>
  <c r="AD414" i="15"/>
  <c r="I580" i="18" s="1"/>
  <c r="AB414" i="15"/>
  <c r="AA414" i="15"/>
  <c r="Z414" i="15"/>
  <c r="X414" i="15"/>
  <c r="W414" i="15"/>
  <c r="S414" i="15"/>
  <c r="R414" i="15"/>
  <c r="P414" i="15"/>
  <c r="O414" i="15"/>
  <c r="L414" i="15"/>
  <c r="B414" i="15"/>
  <c r="AK402" i="15"/>
  <c r="Q549" i="18" s="1"/>
  <c r="AJ402" i="15"/>
  <c r="O549" i="18" s="1"/>
  <c r="AI402" i="15"/>
  <c r="M549" i="18" s="1"/>
  <c r="AH402" i="15"/>
  <c r="N549" i="18" s="1"/>
  <c r="AG402" i="15"/>
  <c r="L549" i="18" s="1"/>
  <c r="AF402" i="15"/>
  <c r="K549" i="18" s="1"/>
  <c r="AE402" i="15"/>
  <c r="J549" i="18" s="1"/>
  <c r="AD402" i="15"/>
  <c r="I549" i="18" s="1"/>
  <c r="AB402" i="15"/>
  <c r="AA402" i="15"/>
  <c r="Z402" i="15"/>
  <c r="X402" i="15"/>
  <c r="W402" i="15"/>
  <c r="S402" i="15"/>
  <c r="R402" i="15"/>
  <c r="P402" i="15"/>
  <c r="O402" i="15"/>
  <c r="L402" i="15"/>
  <c r="B402" i="15"/>
  <c r="AJ584" i="15"/>
  <c r="AI584" i="15"/>
  <c r="AG584" i="15"/>
  <c r="AF584" i="15"/>
  <c r="AE584" i="15"/>
  <c r="AD584" i="15"/>
  <c r="Z584" i="15"/>
  <c r="S584" i="15"/>
  <c r="R584" i="15"/>
  <c r="P584" i="15"/>
  <c r="L584" i="15"/>
  <c r="C584" i="15"/>
  <c r="B584" i="15"/>
  <c r="AK588" i="15"/>
  <c r="AJ588" i="15"/>
  <c r="AI588" i="15"/>
  <c r="AH588" i="15"/>
  <c r="AG588" i="15"/>
  <c r="AF588" i="15"/>
  <c r="AE588" i="15"/>
  <c r="AD588" i="15"/>
  <c r="AB588" i="15"/>
  <c r="AA588" i="15"/>
  <c r="Z588" i="15"/>
  <c r="X588" i="15"/>
  <c r="W588" i="15"/>
  <c r="S588" i="15"/>
  <c r="R588" i="15"/>
  <c r="P588" i="15"/>
  <c r="O588" i="15"/>
  <c r="L588" i="15"/>
  <c r="C588" i="15"/>
  <c r="B588" i="15"/>
  <c r="AK587" i="15"/>
  <c r="AJ587" i="15"/>
  <c r="AI587" i="15"/>
  <c r="AH587" i="15"/>
  <c r="AG587" i="15"/>
  <c r="AF587" i="15"/>
  <c r="AE587" i="15"/>
  <c r="AD587" i="15"/>
  <c r="AB587" i="15"/>
  <c r="AA587" i="15"/>
  <c r="Z587" i="15"/>
  <c r="X587" i="15"/>
  <c r="W587" i="15"/>
  <c r="S587" i="15"/>
  <c r="R587" i="15"/>
  <c r="P587" i="15"/>
  <c r="O587" i="15"/>
  <c r="L587" i="15"/>
  <c r="C587" i="15"/>
  <c r="B587" i="15"/>
  <c r="AK377" i="15"/>
  <c r="Q487" i="18" s="1"/>
  <c r="AJ377" i="15"/>
  <c r="O487" i="18" s="1"/>
  <c r="AI377" i="15"/>
  <c r="M487" i="18" s="1"/>
  <c r="AH377" i="15"/>
  <c r="N487" i="18" s="1"/>
  <c r="AG377" i="15"/>
  <c r="L487" i="18" s="1"/>
  <c r="AF377" i="15"/>
  <c r="K487" i="18" s="1"/>
  <c r="AE377" i="15"/>
  <c r="J487" i="18" s="1"/>
  <c r="AD377" i="15"/>
  <c r="I487" i="18" s="1"/>
  <c r="AB377" i="15"/>
  <c r="AA377" i="15"/>
  <c r="Z377" i="15"/>
  <c r="X377" i="15"/>
  <c r="W377" i="15"/>
  <c r="S377" i="15"/>
  <c r="R377" i="15"/>
  <c r="P377" i="15"/>
  <c r="O377" i="15"/>
  <c r="L377" i="15"/>
  <c r="C377" i="15"/>
  <c r="B377" i="15"/>
  <c r="AK362" i="15"/>
  <c r="Q456" i="18" s="1"/>
  <c r="AJ362" i="15"/>
  <c r="O456" i="18" s="1"/>
  <c r="AI362" i="15"/>
  <c r="M456" i="18" s="1"/>
  <c r="AH362" i="15"/>
  <c r="N456" i="18" s="1"/>
  <c r="AG362" i="15"/>
  <c r="L456" i="18" s="1"/>
  <c r="AF362" i="15"/>
  <c r="K456" i="18" s="1"/>
  <c r="AE362" i="15"/>
  <c r="J456" i="18" s="1"/>
  <c r="AD362" i="15"/>
  <c r="I456" i="18" s="1"/>
  <c r="AB362" i="15"/>
  <c r="AA362" i="15"/>
  <c r="Z362" i="15"/>
  <c r="X362" i="15"/>
  <c r="W362" i="15"/>
  <c r="S362" i="15"/>
  <c r="R362" i="15"/>
  <c r="P362" i="15"/>
  <c r="O362" i="15"/>
  <c r="L362" i="15"/>
  <c r="C362" i="15"/>
  <c r="B362" i="15"/>
  <c r="AJ551" i="15"/>
  <c r="AI551" i="15"/>
  <c r="AG551" i="15"/>
  <c r="AF551" i="15"/>
  <c r="AE551" i="15"/>
  <c r="AD551" i="15"/>
  <c r="Z551" i="15"/>
  <c r="S551" i="15"/>
  <c r="R551" i="15"/>
  <c r="P551" i="15"/>
  <c r="L551" i="15"/>
  <c r="C551" i="15"/>
  <c r="B551" i="15"/>
  <c r="AK548" i="15"/>
  <c r="AJ548" i="15"/>
  <c r="AI548" i="15"/>
  <c r="AH548" i="15"/>
  <c r="AG548" i="15"/>
  <c r="AF548" i="15"/>
  <c r="AE548" i="15"/>
  <c r="AD548" i="15"/>
  <c r="AB548" i="15"/>
  <c r="AA548" i="15"/>
  <c r="Z548" i="15"/>
  <c r="X548" i="15"/>
  <c r="W548" i="15"/>
  <c r="S548" i="15"/>
  <c r="R548" i="15"/>
  <c r="P548" i="15"/>
  <c r="O548" i="15"/>
  <c r="L548" i="15"/>
  <c r="B548" i="15"/>
  <c r="AK547" i="15"/>
  <c r="AJ547" i="15"/>
  <c r="AI547" i="15"/>
  <c r="AH547" i="15"/>
  <c r="AG547" i="15"/>
  <c r="AF547" i="15"/>
  <c r="AE547" i="15"/>
  <c r="AD547" i="15"/>
  <c r="AB547" i="15"/>
  <c r="AA547" i="15"/>
  <c r="Z547" i="15"/>
  <c r="X547" i="15"/>
  <c r="W547" i="15"/>
  <c r="S547" i="15"/>
  <c r="R547" i="15"/>
  <c r="P547" i="15"/>
  <c r="O547" i="15"/>
  <c r="L547" i="15"/>
  <c r="B547" i="15"/>
  <c r="AK713" i="15"/>
  <c r="AJ713" i="15"/>
  <c r="AI713" i="15"/>
  <c r="AH713" i="15"/>
  <c r="AG713" i="15"/>
  <c r="AF713" i="15"/>
  <c r="AE713" i="15"/>
  <c r="AD713" i="15"/>
  <c r="AB713" i="15"/>
  <c r="AA713" i="15"/>
  <c r="Z713" i="15"/>
  <c r="X713" i="15"/>
  <c r="W713" i="15"/>
  <c r="S713" i="15"/>
  <c r="R713" i="15"/>
  <c r="P713" i="15"/>
  <c r="O713" i="15"/>
  <c r="L713" i="15"/>
  <c r="C713" i="15"/>
  <c r="B713" i="15"/>
  <c r="AK724" i="15"/>
  <c r="AJ724" i="15"/>
  <c r="AI724" i="15"/>
  <c r="AH724" i="15"/>
  <c r="AG724" i="15"/>
  <c r="AF724" i="15"/>
  <c r="AE724" i="15"/>
  <c r="AD724" i="15"/>
  <c r="AB724" i="15"/>
  <c r="AA724" i="15"/>
  <c r="Z724" i="15"/>
  <c r="X724" i="15"/>
  <c r="W724" i="15"/>
  <c r="S724" i="15"/>
  <c r="R724" i="15"/>
  <c r="P724" i="15"/>
  <c r="O724" i="15"/>
  <c r="L724" i="15"/>
  <c r="C724" i="15"/>
  <c r="B724" i="15"/>
  <c r="AJ521" i="15"/>
  <c r="AI521" i="15"/>
  <c r="AG521" i="15"/>
  <c r="AF521" i="15"/>
  <c r="AE521" i="15"/>
  <c r="AD521" i="15"/>
  <c r="Z521" i="15"/>
  <c r="S521" i="15"/>
  <c r="R521" i="15"/>
  <c r="P521" i="15"/>
  <c r="L521" i="15"/>
  <c r="C521" i="15"/>
  <c r="B521" i="15"/>
  <c r="AK329" i="15"/>
  <c r="AJ329" i="15"/>
  <c r="AI329" i="15"/>
  <c r="AH329" i="15"/>
  <c r="AG329" i="15"/>
  <c r="AF329" i="15"/>
  <c r="AE329" i="15"/>
  <c r="AD329" i="15"/>
  <c r="AB329" i="15"/>
  <c r="AA329" i="15"/>
  <c r="Z329" i="15"/>
  <c r="X329" i="15"/>
  <c r="W329" i="15"/>
  <c r="S329" i="15"/>
  <c r="R329" i="15"/>
  <c r="P329" i="15"/>
  <c r="O329" i="15"/>
  <c r="L329" i="15"/>
  <c r="C329" i="15"/>
  <c r="B329" i="15"/>
  <c r="AK328" i="15"/>
  <c r="AJ328" i="15"/>
  <c r="AI328" i="15"/>
  <c r="AH328" i="15"/>
  <c r="AG328" i="15"/>
  <c r="AF328" i="15"/>
  <c r="AE328" i="15"/>
  <c r="AD328" i="15"/>
  <c r="AB328" i="15"/>
  <c r="AA328" i="15"/>
  <c r="Z328" i="15"/>
  <c r="X328" i="15"/>
  <c r="W328" i="15"/>
  <c r="S328" i="15"/>
  <c r="R328" i="15"/>
  <c r="P328" i="15"/>
  <c r="O328" i="15"/>
  <c r="L328" i="15"/>
  <c r="C328" i="15"/>
  <c r="B328" i="15"/>
  <c r="AK719" i="15"/>
  <c r="AJ719" i="15"/>
  <c r="AI719" i="15"/>
  <c r="AH719" i="15"/>
  <c r="AG719" i="15"/>
  <c r="AF719" i="15"/>
  <c r="AE719" i="15"/>
  <c r="AD719" i="15"/>
  <c r="AB719" i="15"/>
  <c r="AA719" i="15"/>
  <c r="Z719" i="15"/>
  <c r="X719" i="15"/>
  <c r="W719" i="15"/>
  <c r="S719" i="15"/>
  <c r="R719" i="15"/>
  <c r="P719" i="15"/>
  <c r="O719" i="15"/>
  <c r="L719" i="15"/>
  <c r="C719" i="15"/>
  <c r="B719" i="15"/>
  <c r="AK707" i="15"/>
  <c r="AJ707" i="15"/>
  <c r="AI707" i="15"/>
  <c r="AH707" i="15"/>
  <c r="AG707" i="15"/>
  <c r="AF707" i="15"/>
  <c r="AE707" i="15"/>
  <c r="AD707" i="15"/>
  <c r="AB707" i="15"/>
  <c r="AA707" i="15"/>
  <c r="Z707" i="15"/>
  <c r="X707" i="15"/>
  <c r="W707" i="15"/>
  <c r="S707" i="15"/>
  <c r="R707" i="15"/>
  <c r="P707" i="15"/>
  <c r="O707" i="15"/>
  <c r="L707" i="15"/>
  <c r="C707" i="15"/>
  <c r="B707" i="15"/>
  <c r="AJ324" i="15"/>
  <c r="AI324" i="15"/>
  <c r="AG324" i="15"/>
  <c r="AF324" i="15"/>
  <c r="AE324" i="15"/>
  <c r="AD324" i="15"/>
  <c r="Z324" i="15"/>
  <c r="S324" i="15"/>
  <c r="R324" i="15"/>
  <c r="P324" i="15"/>
  <c r="L324" i="15"/>
  <c r="C324" i="15"/>
  <c r="B324" i="15"/>
  <c r="AK323" i="15"/>
  <c r="AJ323" i="15"/>
  <c r="AI323" i="15"/>
  <c r="AH323" i="15"/>
  <c r="AG323" i="15"/>
  <c r="AF323" i="15"/>
  <c r="AE323" i="15"/>
  <c r="AD323" i="15"/>
  <c r="AB323" i="15"/>
  <c r="AA323" i="15"/>
  <c r="Z323" i="15"/>
  <c r="X323" i="15"/>
  <c r="W323" i="15"/>
  <c r="S323" i="15"/>
  <c r="R323" i="15"/>
  <c r="P323" i="15"/>
  <c r="O323" i="15"/>
  <c r="L323" i="15"/>
  <c r="C323" i="15"/>
  <c r="B323" i="15"/>
  <c r="AK322" i="15"/>
  <c r="AJ322" i="15"/>
  <c r="AI322" i="15"/>
  <c r="AH322" i="15"/>
  <c r="AG322" i="15"/>
  <c r="AF322" i="15"/>
  <c r="AE322" i="15"/>
  <c r="AD322" i="15"/>
  <c r="AB322" i="15"/>
  <c r="AA322" i="15"/>
  <c r="Z322" i="15"/>
  <c r="X322" i="15"/>
  <c r="W322" i="15"/>
  <c r="S322" i="15"/>
  <c r="R322" i="15"/>
  <c r="P322" i="15"/>
  <c r="O322" i="15"/>
  <c r="L322" i="15"/>
  <c r="C322" i="15"/>
  <c r="B322" i="15"/>
  <c r="AK701" i="15"/>
  <c r="AJ701" i="15"/>
  <c r="AI701" i="15"/>
  <c r="AH701" i="15"/>
  <c r="AG701" i="15"/>
  <c r="AF701" i="15"/>
  <c r="AE701" i="15"/>
  <c r="AD701" i="15"/>
  <c r="AB701" i="15"/>
  <c r="AA701" i="15"/>
  <c r="Z701" i="15"/>
  <c r="X701" i="15"/>
  <c r="W701" i="15"/>
  <c r="S701" i="15"/>
  <c r="R701" i="15"/>
  <c r="P701" i="15"/>
  <c r="O701" i="15"/>
  <c r="L701" i="15"/>
  <c r="C701" i="15"/>
  <c r="B701" i="15"/>
  <c r="AK695" i="15"/>
  <c r="AJ695" i="15"/>
  <c r="AI695" i="15"/>
  <c r="AH695" i="15"/>
  <c r="AG695" i="15"/>
  <c r="AF695" i="15"/>
  <c r="AE695" i="15"/>
  <c r="AD695" i="15"/>
  <c r="AB695" i="15"/>
  <c r="AA695" i="15"/>
  <c r="Z695" i="15"/>
  <c r="X695" i="15"/>
  <c r="W695" i="15"/>
  <c r="S695" i="15"/>
  <c r="R695" i="15"/>
  <c r="P695" i="15"/>
  <c r="O695" i="15"/>
  <c r="L695" i="15"/>
  <c r="C695" i="15"/>
  <c r="B695" i="15"/>
  <c r="AJ298" i="15"/>
  <c r="AI298" i="15"/>
  <c r="AG298" i="15"/>
  <c r="AF298" i="15"/>
  <c r="AE298" i="15"/>
  <c r="AD298" i="15"/>
  <c r="Z298" i="15"/>
  <c r="S298" i="15"/>
  <c r="R298" i="15"/>
  <c r="P298" i="15"/>
  <c r="L298" i="15"/>
  <c r="C298" i="15"/>
  <c r="B298" i="15"/>
  <c r="AK294" i="15"/>
  <c r="AJ294" i="15"/>
  <c r="AI294" i="15"/>
  <c r="AH294" i="15"/>
  <c r="AG294" i="15"/>
  <c r="AF294" i="15"/>
  <c r="AE294" i="15"/>
  <c r="AD294" i="15"/>
  <c r="AB294" i="15"/>
  <c r="AA294" i="15"/>
  <c r="Z294" i="15"/>
  <c r="X294" i="15"/>
  <c r="W294" i="15"/>
  <c r="S294" i="15"/>
  <c r="R294" i="15"/>
  <c r="P294" i="15"/>
  <c r="O294" i="15"/>
  <c r="L294" i="15"/>
  <c r="C294" i="15"/>
  <c r="B294" i="15"/>
  <c r="AK474" i="15"/>
  <c r="Q719" i="18" s="1"/>
  <c r="AJ474" i="15"/>
  <c r="O719" i="18" s="1"/>
  <c r="AI474" i="15"/>
  <c r="M719" i="18" s="1"/>
  <c r="AH474" i="15"/>
  <c r="N719" i="18" s="1"/>
  <c r="AG474" i="15"/>
  <c r="L719" i="18" s="1"/>
  <c r="AF474" i="15"/>
  <c r="K719" i="18" s="1"/>
  <c r="AE474" i="15"/>
  <c r="J719" i="18" s="1"/>
  <c r="AD474" i="15"/>
  <c r="I719" i="18" s="1"/>
  <c r="AB474" i="15"/>
  <c r="AA474" i="15"/>
  <c r="Z474" i="15"/>
  <c r="X474" i="15"/>
  <c r="W474" i="15"/>
  <c r="S474" i="15"/>
  <c r="R474" i="15"/>
  <c r="P474" i="15"/>
  <c r="O474" i="15"/>
  <c r="L474" i="15"/>
  <c r="C474" i="15"/>
  <c r="B474" i="15"/>
  <c r="AK689" i="15"/>
  <c r="AJ689" i="15"/>
  <c r="AI689" i="15"/>
  <c r="AH689" i="15"/>
  <c r="AG689" i="15"/>
  <c r="AF689" i="15"/>
  <c r="AE689" i="15"/>
  <c r="AD689" i="15"/>
  <c r="AB689" i="15"/>
  <c r="AA689" i="15"/>
  <c r="Z689" i="15"/>
  <c r="X689" i="15"/>
  <c r="W689" i="15"/>
  <c r="S689" i="15"/>
  <c r="R689" i="15"/>
  <c r="P689" i="15"/>
  <c r="O689" i="15"/>
  <c r="L689" i="15"/>
  <c r="C689" i="15"/>
  <c r="B689" i="15"/>
  <c r="AK683" i="15"/>
  <c r="AJ683" i="15"/>
  <c r="AI683" i="15"/>
  <c r="AH683" i="15"/>
  <c r="AG683" i="15"/>
  <c r="AF683" i="15"/>
  <c r="AE683" i="15"/>
  <c r="AD683" i="15"/>
  <c r="AB683" i="15"/>
  <c r="AA683" i="15"/>
  <c r="Z683" i="15"/>
  <c r="X683" i="15"/>
  <c r="W683" i="15"/>
  <c r="G69" i="9" s="1"/>
  <c r="S683" i="15"/>
  <c r="R683" i="15"/>
  <c r="P683" i="15"/>
  <c r="O683" i="15"/>
  <c r="L683" i="15"/>
  <c r="C683" i="15"/>
  <c r="B683" i="15"/>
  <c r="AJ300" i="15"/>
  <c r="AI300" i="15"/>
  <c r="AG300" i="15"/>
  <c r="AF300" i="15"/>
  <c r="AE300" i="15"/>
  <c r="AD300" i="15"/>
  <c r="Z300" i="15"/>
  <c r="S300" i="15"/>
  <c r="R300" i="15"/>
  <c r="P300" i="15"/>
  <c r="L300" i="15"/>
  <c r="C300" i="15"/>
  <c r="B300" i="15"/>
  <c r="AK293" i="15"/>
  <c r="AJ293" i="15"/>
  <c r="AI293" i="15"/>
  <c r="AH293" i="15"/>
  <c r="AG293" i="15"/>
  <c r="AF293" i="15"/>
  <c r="AE293" i="15"/>
  <c r="AD293" i="15"/>
  <c r="AB293" i="15"/>
  <c r="AA293" i="15"/>
  <c r="Z293" i="15"/>
  <c r="X293" i="15"/>
  <c r="W293" i="15"/>
  <c r="S293" i="15"/>
  <c r="R293" i="15"/>
  <c r="P293" i="15"/>
  <c r="O293" i="15"/>
  <c r="L293" i="15"/>
  <c r="C293" i="15"/>
  <c r="B293" i="15"/>
  <c r="AK299" i="15"/>
  <c r="AJ299" i="15"/>
  <c r="O367" i="18" s="1"/>
  <c r="AI299" i="15"/>
  <c r="AH299" i="15"/>
  <c r="AG299" i="15"/>
  <c r="AF299" i="15"/>
  <c r="AE299" i="15"/>
  <c r="AD299" i="15"/>
  <c r="AB299" i="15"/>
  <c r="AA299" i="15"/>
  <c r="Z299" i="15"/>
  <c r="X299" i="15"/>
  <c r="W299" i="15"/>
  <c r="S299" i="15"/>
  <c r="R299" i="15"/>
  <c r="P299" i="15"/>
  <c r="O299" i="15"/>
  <c r="L299" i="15"/>
  <c r="C299" i="15"/>
  <c r="B299" i="15"/>
  <c r="AK677" i="15"/>
  <c r="AJ677" i="15"/>
  <c r="AI677" i="15"/>
  <c r="AH677" i="15"/>
  <c r="AG677" i="15"/>
  <c r="AF677" i="15"/>
  <c r="AE677" i="15"/>
  <c r="AD677" i="15"/>
  <c r="AB677" i="15"/>
  <c r="AA677" i="15"/>
  <c r="Z677" i="15"/>
  <c r="X677" i="15"/>
  <c r="W677" i="15"/>
  <c r="S677" i="15"/>
  <c r="R677" i="15"/>
  <c r="P677" i="15"/>
  <c r="O677" i="15"/>
  <c r="L677" i="15"/>
  <c r="C677" i="15"/>
  <c r="B677" i="15"/>
  <c r="AK729" i="15"/>
  <c r="AJ729" i="15"/>
  <c r="AI729" i="15"/>
  <c r="AH729" i="15"/>
  <c r="AG729" i="15"/>
  <c r="AF729" i="15"/>
  <c r="AE729" i="15"/>
  <c r="AD729" i="15"/>
  <c r="AB729" i="15"/>
  <c r="AA729" i="15"/>
  <c r="Z729" i="15"/>
  <c r="X729" i="15"/>
  <c r="W729" i="15"/>
  <c r="S729" i="15"/>
  <c r="R729" i="15"/>
  <c r="P729" i="15"/>
  <c r="O729" i="15"/>
  <c r="L729" i="15"/>
  <c r="C729" i="15"/>
  <c r="B729" i="15"/>
  <c r="AJ282" i="15"/>
  <c r="AI282" i="15"/>
  <c r="AG282" i="15"/>
  <c r="AF282" i="15"/>
  <c r="AE282" i="15"/>
  <c r="AD282" i="15"/>
  <c r="Z282" i="15"/>
  <c r="S282" i="15"/>
  <c r="R282" i="15"/>
  <c r="P282" i="15"/>
  <c r="L282" i="15"/>
  <c r="C282" i="15"/>
  <c r="B282" i="15"/>
  <c r="AK278" i="15"/>
  <c r="AJ278" i="15"/>
  <c r="AI278" i="15"/>
  <c r="AH278" i="15"/>
  <c r="AG278" i="15"/>
  <c r="AF278" i="15"/>
  <c r="AE278" i="15"/>
  <c r="AD278" i="15"/>
  <c r="AB278" i="15"/>
  <c r="AA278" i="15"/>
  <c r="Z278" i="15"/>
  <c r="X278" i="15"/>
  <c r="W278" i="15"/>
  <c r="S278" i="15"/>
  <c r="R278" i="15"/>
  <c r="P278" i="15"/>
  <c r="O278" i="15"/>
  <c r="L278" i="15"/>
  <c r="C278" i="15"/>
  <c r="B278" i="15"/>
  <c r="AK276" i="15"/>
  <c r="AJ276" i="15"/>
  <c r="AI276" i="15"/>
  <c r="AH276" i="15"/>
  <c r="AG276" i="15"/>
  <c r="AF276" i="15"/>
  <c r="AE276" i="15"/>
  <c r="AD276" i="15"/>
  <c r="AB276" i="15"/>
  <c r="AA276" i="15"/>
  <c r="Z276" i="15"/>
  <c r="X276" i="15"/>
  <c r="W276" i="15"/>
  <c r="S276" i="15"/>
  <c r="R276" i="15"/>
  <c r="P276" i="15"/>
  <c r="O276" i="15"/>
  <c r="L276" i="15"/>
  <c r="C276" i="15"/>
  <c r="B276" i="15"/>
  <c r="AK619" i="15"/>
  <c r="AJ619" i="15"/>
  <c r="AI619" i="15"/>
  <c r="AH619" i="15"/>
  <c r="AG619" i="15"/>
  <c r="AF619" i="15"/>
  <c r="AE619" i="15"/>
  <c r="AD619" i="15"/>
  <c r="AB619" i="15"/>
  <c r="AA619" i="15"/>
  <c r="Z619" i="15"/>
  <c r="X619" i="15"/>
  <c r="W619" i="15"/>
  <c r="S619" i="15"/>
  <c r="R619" i="15"/>
  <c r="P619" i="15"/>
  <c r="O619" i="15"/>
  <c r="L619" i="15"/>
  <c r="C619" i="15"/>
  <c r="B619" i="15"/>
  <c r="AK565" i="15"/>
  <c r="AJ565" i="15"/>
  <c r="AI565" i="15"/>
  <c r="AH565" i="15"/>
  <c r="AG565" i="15"/>
  <c r="AF565" i="15"/>
  <c r="AE565" i="15"/>
  <c r="AD565" i="15"/>
  <c r="AB565" i="15"/>
  <c r="AA565" i="15"/>
  <c r="Z565" i="15"/>
  <c r="X565" i="15"/>
  <c r="W565" i="15"/>
  <c r="S565" i="15"/>
  <c r="R565" i="15"/>
  <c r="P565" i="15"/>
  <c r="O565" i="15"/>
  <c r="L565" i="15"/>
  <c r="C565" i="15"/>
  <c r="B565" i="15"/>
  <c r="AJ422" i="15"/>
  <c r="O586" i="18" s="1"/>
  <c r="AI422" i="15"/>
  <c r="M586" i="18" s="1"/>
  <c r="AG422" i="15"/>
  <c r="L586" i="18" s="1"/>
  <c r="AF422" i="15"/>
  <c r="K586" i="18" s="1"/>
  <c r="AE422" i="15"/>
  <c r="J586" i="18" s="1"/>
  <c r="AD422" i="15"/>
  <c r="I586" i="18" s="1"/>
  <c r="Z422" i="15"/>
  <c r="S422" i="15"/>
  <c r="R422" i="15"/>
  <c r="P422" i="15"/>
  <c r="L422" i="15"/>
  <c r="C422" i="15"/>
  <c r="B422" i="15"/>
  <c r="AK410" i="15"/>
  <c r="Q556" i="18" s="1"/>
  <c r="AJ410" i="15"/>
  <c r="O556" i="18" s="1"/>
  <c r="AI410" i="15"/>
  <c r="M556" i="18" s="1"/>
  <c r="AH410" i="15"/>
  <c r="N556" i="18" s="1"/>
  <c r="AG410" i="15"/>
  <c r="L556" i="18" s="1"/>
  <c r="AF410" i="15"/>
  <c r="K556" i="18" s="1"/>
  <c r="AE410" i="15"/>
  <c r="J556" i="18" s="1"/>
  <c r="AD410" i="15"/>
  <c r="I556" i="18" s="1"/>
  <c r="AB410" i="15"/>
  <c r="AA410" i="15"/>
  <c r="Z410" i="15"/>
  <c r="X410" i="15"/>
  <c r="W410" i="15"/>
  <c r="S410" i="15"/>
  <c r="R410" i="15"/>
  <c r="P410" i="15"/>
  <c r="O410" i="15"/>
  <c r="L410" i="15"/>
  <c r="B410" i="15"/>
  <c r="AK397" i="15"/>
  <c r="Q525" i="18" s="1"/>
  <c r="AJ397" i="15"/>
  <c r="O525" i="18" s="1"/>
  <c r="AI397" i="15"/>
  <c r="M525" i="18" s="1"/>
  <c r="AH397" i="15"/>
  <c r="N525" i="18" s="1"/>
  <c r="AG397" i="15"/>
  <c r="L525" i="18" s="1"/>
  <c r="AF397" i="15"/>
  <c r="K525" i="18" s="1"/>
  <c r="AE397" i="15"/>
  <c r="J525" i="18" s="1"/>
  <c r="AD397" i="15"/>
  <c r="I525" i="18" s="1"/>
  <c r="AB397" i="15"/>
  <c r="AA397" i="15"/>
  <c r="Z397" i="15"/>
  <c r="X397" i="15"/>
  <c r="W397" i="15"/>
  <c r="S397" i="15"/>
  <c r="R397" i="15"/>
  <c r="P397" i="15"/>
  <c r="O397" i="15"/>
  <c r="L397" i="15"/>
  <c r="C397" i="15"/>
  <c r="B397" i="15"/>
  <c r="AK317" i="15"/>
  <c r="AJ317" i="15"/>
  <c r="AI317" i="15"/>
  <c r="AH317" i="15"/>
  <c r="AG317" i="15"/>
  <c r="AF317" i="15"/>
  <c r="AE317" i="15"/>
  <c r="AD317" i="15"/>
  <c r="AB317" i="15"/>
  <c r="AA317" i="15"/>
  <c r="Z317" i="15"/>
  <c r="X317" i="15"/>
  <c r="W317" i="15"/>
  <c r="S317" i="15"/>
  <c r="R317" i="15"/>
  <c r="P317" i="15"/>
  <c r="O317" i="15"/>
  <c r="L317" i="15"/>
  <c r="C317" i="15"/>
  <c r="B317" i="15"/>
  <c r="AK400" i="15"/>
  <c r="Q173" i="18" s="1"/>
  <c r="AJ400" i="15"/>
  <c r="O173" i="18" s="1"/>
  <c r="AI400" i="15"/>
  <c r="M173" i="18" s="1"/>
  <c r="AH400" i="15"/>
  <c r="N173" i="18" s="1"/>
  <c r="AG400" i="15"/>
  <c r="L173" i="18" s="1"/>
  <c r="AF400" i="15"/>
  <c r="K173" i="18" s="1"/>
  <c r="AE400" i="15"/>
  <c r="J173" i="18" s="1"/>
  <c r="AD400" i="15"/>
  <c r="I173" i="18" s="1"/>
  <c r="AB400" i="15"/>
  <c r="AA400" i="15"/>
  <c r="Z400" i="15"/>
  <c r="X400" i="15"/>
  <c r="W400" i="15"/>
  <c r="S400" i="15"/>
  <c r="R400" i="15"/>
  <c r="P400" i="15"/>
  <c r="O400" i="15"/>
  <c r="L400" i="15"/>
  <c r="C400" i="15"/>
  <c r="B400" i="15"/>
  <c r="AJ665" i="15"/>
  <c r="AI665" i="15"/>
  <c r="AG665" i="15"/>
  <c r="AF665" i="15"/>
  <c r="AE665" i="15"/>
  <c r="AD665" i="15"/>
  <c r="Z665" i="15"/>
  <c r="S665" i="15"/>
  <c r="R665" i="15"/>
  <c r="P665" i="15"/>
  <c r="L665" i="15"/>
  <c r="C665" i="15"/>
  <c r="B665" i="15"/>
  <c r="AK488" i="15"/>
  <c r="AJ488" i="15"/>
  <c r="AI488" i="15"/>
  <c r="AH488" i="15"/>
  <c r="AG488" i="15"/>
  <c r="AF488" i="15"/>
  <c r="AE488" i="15"/>
  <c r="AD488" i="15"/>
  <c r="AB488" i="15"/>
  <c r="AA488" i="15"/>
  <c r="Z488" i="15"/>
  <c r="X488" i="15"/>
  <c r="W488" i="15"/>
  <c r="S488" i="15"/>
  <c r="R488" i="15"/>
  <c r="P488" i="15"/>
  <c r="O488" i="15"/>
  <c r="L488" i="15"/>
  <c r="C488" i="15"/>
  <c r="B488" i="15"/>
  <c r="AK467" i="15"/>
  <c r="AJ467" i="15"/>
  <c r="AI467" i="15"/>
  <c r="AH467" i="15"/>
  <c r="AG467" i="15"/>
  <c r="AF467" i="15"/>
  <c r="AE467" i="15"/>
  <c r="AD467" i="15"/>
  <c r="AB467" i="15"/>
  <c r="AA467" i="15"/>
  <c r="Z467" i="15"/>
  <c r="X467" i="15"/>
  <c r="W467" i="15"/>
  <c r="S467" i="15"/>
  <c r="R467" i="15"/>
  <c r="P467" i="15"/>
  <c r="O467" i="15"/>
  <c r="L467" i="15"/>
  <c r="C467" i="15"/>
  <c r="B467" i="15"/>
  <c r="AK732" i="15"/>
  <c r="Q1191" i="18" s="1"/>
  <c r="AJ732" i="15"/>
  <c r="O1191" i="18" s="1"/>
  <c r="AI732" i="15"/>
  <c r="M1191" i="18" s="1"/>
  <c r="AH732" i="15"/>
  <c r="N1191" i="18" s="1"/>
  <c r="AG732" i="15"/>
  <c r="L1191" i="18" s="1"/>
  <c r="AF732" i="15"/>
  <c r="K1191" i="18" s="1"/>
  <c r="AE732" i="15"/>
  <c r="J1191" i="18" s="1"/>
  <c r="AD732" i="15"/>
  <c r="I1191" i="18" s="1"/>
  <c r="AB732" i="15"/>
  <c r="AA732" i="15"/>
  <c r="Z732" i="15"/>
  <c r="X732" i="15"/>
  <c r="W732" i="15"/>
  <c r="S732" i="15"/>
  <c r="R732" i="15"/>
  <c r="P732" i="15"/>
  <c r="O732" i="15"/>
  <c r="L732" i="15"/>
  <c r="C732" i="15"/>
  <c r="B732" i="15"/>
  <c r="AK727" i="15"/>
  <c r="Q1160" i="18" s="1"/>
  <c r="AJ727" i="15"/>
  <c r="O1160" i="18" s="1"/>
  <c r="AI727" i="15"/>
  <c r="M1160" i="18" s="1"/>
  <c r="AH727" i="15"/>
  <c r="N1160" i="18" s="1"/>
  <c r="AG727" i="15"/>
  <c r="L1160" i="18" s="1"/>
  <c r="AF727" i="15"/>
  <c r="K1160" i="18" s="1"/>
  <c r="AE727" i="15"/>
  <c r="J1160" i="18" s="1"/>
  <c r="AD727" i="15"/>
  <c r="I1160" i="18" s="1"/>
  <c r="AB727" i="15"/>
  <c r="AA727" i="15"/>
  <c r="Z727" i="15"/>
  <c r="X727" i="15"/>
  <c r="W727" i="15"/>
  <c r="S727" i="15"/>
  <c r="R727" i="15"/>
  <c r="P727" i="15"/>
  <c r="O727" i="15"/>
  <c r="L727" i="15"/>
  <c r="C727" i="15"/>
  <c r="B727" i="15"/>
  <c r="AJ344" i="15"/>
  <c r="AI344" i="15"/>
  <c r="AH344" i="15"/>
  <c r="AF344" i="15"/>
  <c r="AE344" i="15"/>
  <c r="AD344" i="15"/>
  <c r="Z344" i="15"/>
  <c r="S344" i="15"/>
  <c r="R344" i="15"/>
  <c r="P344" i="15"/>
  <c r="L344" i="15"/>
  <c r="C344" i="15"/>
  <c r="B344" i="15"/>
  <c r="AJ314" i="15"/>
  <c r="AI314" i="15"/>
  <c r="AG314" i="15"/>
  <c r="AF314" i="15"/>
  <c r="AE314" i="15"/>
  <c r="AD314" i="15"/>
  <c r="Z314" i="15"/>
  <c r="S314" i="15"/>
  <c r="R314" i="15"/>
  <c r="P314" i="15"/>
  <c r="L314" i="15"/>
  <c r="C314" i="15"/>
  <c r="B314" i="15"/>
  <c r="AK718" i="15"/>
  <c r="Q1098" i="18" s="1"/>
  <c r="AJ718" i="15"/>
  <c r="O1098" i="18" s="1"/>
  <c r="AI718" i="15"/>
  <c r="M1098" i="18" s="1"/>
  <c r="AH718" i="15"/>
  <c r="N1098" i="18" s="1"/>
  <c r="AG718" i="15"/>
  <c r="L1098" i="18" s="1"/>
  <c r="AF718" i="15"/>
  <c r="K1098" i="18" s="1"/>
  <c r="AE718" i="15"/>
  <c r="J1098" i="18" s="1"/>
  <c r="AD718" i="15"/>
  <c r="I1098" i="18" s="1"/>
  <c r="AB718" i="15"/>
  <c r="AA718" i="15"/>
  <c r="Z718" i="15"/>
  <c r="X718" i="15"/>
  <c r="W718" i="15"/>
  <c r="S718" i="15"/>
  <c r="R718" i="15"/>
  <c r="P718" i="15"/>
  <c r="O718" i="15"/>
  <c r="L718" i="15"/>
  <c r="C718" i="15"/>
  <c r="B718" i="15"/>
  <c r="AK712" i="15"/>
  <c r="Q1068" i="18" s="1"/>
  <c r="AJ712" i="15"/>
  <c r="O1068" i="18" s="1"/>
  <c r="AI712" i="15"/>
  <c r="M1068" i="18" s="1"/>
  <c r="AH712" i="15"/>
  <c r="N1068" i="18" s="1"/>
  <c r="AG712" i="15"/>
  <c r="L1068" i="18" s="1"/>
  <c r="AF712" i="15"/>
  <c r="K1068" i="18" s="1"/>
  <c r="AE712" i="15"/>
  <c r="J1068" i="18" s="1"/>
  <c r="AD712" i="15"/>
  <c r="I1068" i="18" s="1"/>
  <c r="AB712" i="15"/>
  <c r="AA712" i="15"/>
  <c r="Z712" i="15"/>
  <c r="X712" i="15"/>
  <c r="W712" i="15"/>
  <c r="S712" i="15"/>
  <c r="R712" i="15"/>
  <c r="P712" i="15"/>
  <c r="O712" i="15"/>
  <c r="L712" i="15"/>
  <c r="C712" i="15"/>
  <c r="B712" i="15"/>
  <c r="AK477" i="15"/>
  <c r="AJ477" i="15"/>
  <c r="AI477" i="15"/>
  <c r="AH477" i="15"/>
  <c r="AG477" i="15"/>
  <c r="AF477" i="15"/>
  <c r="AE477" i="15"/>
  <c r="AD477" i="15"/>
  <c r="AB477" i="15"/>
  <c r="AA477" i="15"/>
  <c r="Z477" i="15"/>
  <c r="X477" i="15"/>
  <c r="W477" i="15"/>
  <c r="S477" i="15"/>
  <c r="R477" i="15"/>
  <c r="P477" i="15"/>
  <c r="O477" i="15"/>
  <c r="L477" i="15"/>
  <c r="C477" i="15"/>
  <c r="B477" i="15"/>
  <c r="AK465" i="15"/>
  <c r="AJ465" i="15"/>
  <c r="AI465" i="15"/>
  <c r="AH465" i="15"/>
  <c r="AG465" i="15"/>
  <c r="AF465" i="15"/>
  <c r="AE465" i="15"/>
  <c r="AD465" i="15"/>
  <c r="AB465" i="15"/>
  <c r="AA465" i="15"/>
  <c r="Z465" i="15"/>
  <c r="X465" i="15"/>
  <c r="W465" i="15"/>
  <c r="S465" i="15"/>
  <c r="R465" i="15"/>
  <c r="P465" i="15"/>
  <c r="O465" i="15"/>
  <c r="L465" i="15"/>
  <c r="C465" i="15"/>
  <c r="B465" i="15"/>
  <c r="AJ745" i="15"/>
  <c r="AI745" i="15"/>
  <c r="AH745" i="15"/>
  <c r="AG745" i="15"/>
  <c r="AF745" i="15"/>
  <c r="AE745" i="15"/>
  <c r="AD745" i="15"/>
  <c r="Z745" i="15"/>
  <c r="S745" i="15"/>
  <c r="R745" i="15"/>
  <c r="P745" i="15"/>
  <c r="L745" i="15"/>
  <c r="AK745" i="15"/>
  <c r="C745" i="15"/>
  <c r="B745" i="15"/>
  <c r="AJ691" i="15"/>
  <c r="O956" i="18" s="1"/>
  <c r="AI691" i="15"/>
  <c r="M956" i="18" s="1"/>
  <c r="AH691" i="15"/>
  <c r="N956" i="18" s="1"/>
  <c r="AG691" i="15"/>
  <c r="L956" i="18" s="1"/>
  <c r="AF691" i="15"/>
  <c r="K956" i="18" s="1"/>
  <c r="AE691" i="15"/>
  <c r="J956" i="18" s="1"/>
  <c r="AD691" i="15"/>
  <c r="I956" i="18" s="1"/>
  <c r="Z691" i="15"/>
  <c r="S691" i="15"/>
  <c r="R691" i="15"/>
  <c r="P691" i="15"/>
  <c r="L691" i="15"/>
  <c r="AB691" i="15"/>
  <c r="C691" i="15"/>
  <c r="B691" i="15"/>
  <c r="AK417" i="15"/>
  <c r="Q583" i="18" s="1"/>
  <c r="AJ417" i="15"/>
  <c r="O583" i="18" s="1"/>
  <c r="AI417" i="15"/>
  <c r="M583" i="18" s="1"/>
  <c r="AH417" i="15"/>
  <c r="N583" i="18" s="1"/>
  <c r="AG417" i="15"/>
  <c r="L583" i="18" s="1"/>
  <c r="AF417" i="15"/>
  <c r="K583" i="18" s="1"/>
  <c r="AE417" i="15"/>
  <c r="J583" i="18" s="1"/>
  <c r="AD417" i="15"/>
  <c r="I583" i="18" s="1"/>
  <c r="AB417" i="15"/>
  <c r="AA417" i="15"/>
  <c r="Z417" i="15"/>
  <c r="X417" i="15"/>
  <c r="W417" i="15"/>
  <c r="S417" i="15"/>
  <c r="R417" i="15"/>
  <c r="P417" i="15"/>
  <c r="O417" i="15"/>
  <c r="L417" i="15"/>
  <c r="C417" i="15"/>
  <c r="B417" i="15"/>
  <c r="AK404" i="15"/>
  <c r="Q553" i="18" s="1"/>
  <c r="AJ404" i="15"/>
  <c r="O553" i="18" s="1"/>
  <c r="AI404" i="15"/>
  <c r="M553" i="18" s="1"/>
  <c r="AH404" i="15"/>
  <c r="N553" i="18" s="1"/>
  <c r="AG404" i="15"/>
  <c r="L553" i="18" s="1"/>
  <c r="AF404" i="15"/>
  <c r="K553" i="18" s="1"/>
  <c r="AE404" i="15"/>
  <c r="J553" i="18" s="1"/>
  <c r="AD404" i="15"/>
  <c r="I553" i="18" s="1"/>
  <c r="AB404" i="15"/>
  <c r="AA404" i="15"/>
  <c r="Z404" i="15"/>
  <c r="X404" i="15"/>
  <c r="W404" i="15"/>
  <c r="S404" i="15"/>
  <c r="R404" i="15"/>
  <c r="P404" i="15"/>
  <c r="O404" i="15"/>
  <c r="L404" i="15"/>
  <c r="C404" i="15"/>
  <c r="B404" i="15"/>
  <c r="AK431" i="15"/>
  <c r="Q615" i="18" s="1"/>
  <c r="AJ431" i="15"/>
  <c r="O615" i="18" s="1"/>
  <c r="AI431" i="15"/>
  <c r="M615" i="18" s="1"/>
  <c r="AH431" i="15"/>
  <c r="N615" i="18" s="1"/>
  <c r="AG431" i="15"/>
  <c r="L615" i="18" s="1"/>
  <c r="AF431" i="15"/>
  <c r="K615" i="18" s="1"/>
  <c r="AE431" i="15"/>
  <c r="J615" i="18" s="1"/>
  <c r="AD431" i="15"/>
  <c r="I615" i="18" s="1"/>
  <c r="AB431" i="15"/>
  <c r="AA431" i="15"/>
  <c r="Z431" i="15"/>
  <c r="X431" i="15"/>
  <c r="W431" i="15"/>
  <c r="S431" i="15"/>
  <c r="R431" i="15"/>
  <c r="P431" i="15"/>
  <c r="L431" i="15"/>
  <c r="C431" i="15"/>
  <c r="B431" i="15"/>
  <c r="AK251" i="15"/>
  <c r="AJ251" i="15"/>
  <c r="AI251" i="15"/>
  <c r="AH251" i="15"/>
  <c r="AG251" i="15"/>
  <c r="AF251" i="15"/>
  <c r="AE251" i="15"/>
  <c r="AD251" i="15"/>
  <c r="AB251" i="15"/>
  <c r="AA251" i="15"/>
  <c r="Z251" i="15"/>
  <c r="X251" i="15"/>
  <c r="W251" i="15"/>
  <c r="S251" i="15"/>
  <c r="R251" i="15"/>
  <c r="P251" i="15"/>
  <c r="L251" i="15"/>
  <c r="C251" i="15"/>
  <c r="B251" i="15"/>
  <c r="AK250" i="15"/>
  <c r="AJ250" i="15"/>
  <c r="AI250" i="15"/>
  <c r="AH250" i="15"/>
  <c r="AG250" i="15"/>
  <c r="AF250" i="15"/>
  <c r="AE250" i="15"/>
  <c r="AD250" i="15"/>
  <c r="AB250" i="15"/>
  <c r="AA250" i="15"/>
  <c r="Z250" i="15"/>
  <c r="X250" i="15"/>
  <c r="W250" i="15"/>
  <c r="S250" i="15"/>
  <c r="R250" i="15"/>
  <c r="P250" i="15"/>
  <c r="L250" i="15"/>
  <c r="C250" i="15"/>
  <c r="B250" i="15"/>
  <c r="AJ287" i="15"/>
  <c r="AI287" i="15"/>
  <c r="AH287" i="15"/>
  <c r="AF287" i="15"/>
  <c r="AE287" i="15"/>
  <c r="AD287" i="15"/>
  <c r="Z287" i="15"/>
  <c r="S287" i="15"/>
  <c r="R287" i="15"/>
  <c r="P287" i="15"/>
  <c r="L287" i="15"/>
  <c r="C287" i="15"/>
  <c r="B287" i="15"/>
  <c r="AK249" i="15"/>
  <c r="AJ249" i="15"/>
  <c r="AI249" i="15"/>
  <c r="AH249" i="15"/>
  <c r="AG249" i="15"/>
  <c r="AF249" i="15"/>
  <c r="AE249" i="15"/>
  <c r="AD249" i="15"/>
  <c r="AB249" i="15"/>
  <c r="AA249" i="15"/>
  <c r="Z249" i="15"/>
  <c r="X249" i="15"/>
  <c r="W249" i="15"/>
  <c r="S249" i="15"/>
  <c r="R249" i="15"/>
  <c r="P249" i="15"/>
  <c r="L249" i="15"/>
  <c r="C249" i="15"/>
  <c r="B249" i="15"/>
  <c r="AK247" i="15"/>
  <c r="AJ247" i="15"/>
  <c r="AI247" i="15"/>
  <c r="AH247" i="15"/>
  <c r="AG247" i="15"/>
  <c r="AF247" i="15"/>
  <c r="AE247" i="15"/>
  <c r="AD247" i="15"/>
  <c r="AB247" i="15"/>
  <c r="AA247" i="15"/>
  <c r="Z247" i="15"/>
  <c r="X247" i="15"/>
  <c r="W247" i="15"/>
  <c r="S247" i="15"/>
  <c r="R247" i="15"/>
  <c r="P247" i="15"/>
  <c r="L247" i="15"/>
  <c r="C247" i="15"/>
  <c r="B247" i="15"/>
  <c r="AK363" i="15"/>
  <c r="Q185" i="18" s="1"/>
  <c r="AJ363" i="15"/>
  <c r="O185" i="18" s="1"/>
  <c r="AI363" i="15"/>
  <c r="M185" i="18" s="1"/>
  <c r="AH363" i="15"/>
  <c r="N185" i="18" s="1"/>
  <c r="AG363" i="15"/>
  <c r="L185" i="18" s="1"/>
  <c r="AF363" i="15"/>
  <c r="K185" i="18" s="1"/>
  <c r="AE363" i="15"/>
  <c r="J185" i="18" s="1"/>
  <c r="AD363" i="15"/>
  <c r="I185" i="18" s="1"/>
  <c r="AB363" i="15"/>
  <c r="AA363" i="15"/>
  <c r="Z363" i="15"/>
  <c r="X363" i="15"/>
  <c r="W363" i="15"/>
  <c r="S363" i="15"/>
  <c r="R363" i="15"/>
  <c r="P363" i="15"/>
  <c r="L363" i="15"/>
  <c r="B363" i="15"/>
  <c r="AK246" i="15"/>
  <c r="AJ246" i="15"/>
  <c r="AI246" i="15"/>
  <c r="AH246" i="15"/>
  <c r="AG246" i="15"/>
  <c r="AF246" i="15"/>
  <c r="AE246" i="15"/>
  <c r="AD246" i="15"/>
  <c r="AB246" i="15"/>
  <c r="AA246" i="15"/>
  <c r="Z246" i="15"/>
  <c r="X246" i="15"/>
  <c r="W246" i="15"/>
  <c r="S246" i="15"/>
  <c r="R246" i="15"/>
  <c r="P246" i="15"/>
  <c r="L246" i="15"/>
  <c r="C246" i="15"/>
  <c r="B246" i="15"/>
  <c r="AK263" i="15"/>
  <c r="AJ263" i="15"/>
  <c r="AI263" i="15"/>
  <c r="AH263" i="15"/>
  <c r="AG263" i="15"/>
  <c r="AF263" i="15"/>
  <c r="AE263" i="15"/>
  <c r="J344" i="18" s="1"/>
  <c r="AD263" i="15"/>
  <c r="I344" i="18" s="1"/>
  <c r="AB263" i="15"/>
  <c r="AA263" i="15"/>
  <c r="Z263" i="15"/>
  <c r="X263" i="15"/>
  <c r="W263" i="15"/>
  <c r="S263" i="15"/>
  <c r="R263" i="15"/>
  <c r="P263" i="15"/>
  <c r="L263" i="15"/>
  <c r="C263" i="15"/>
  <c r="B263" i="15"/>
  <c r="AK776" i="15"/>
  <c r="AJ776" i="15"/>
  <c r="AI776" i="15"/>
  <c r="AH776" i="15"/>
  <c r="AG776" i="15"/>
  <c r="AF776" i="15"/>
  <c r="AE776" i="15"/>
  <c r="AD776" i="15"/>
  <c r="AB776" i="15"/>
  <c r="AA776" i="15"/>
  <c r="Z776" i="15"/>
  <c r="X776" i="15"/>
  <c r="W776" i="15"/>
  <c r="S776" i="15"/>
  <c r="R776" i="15"/>
  <c r="P776" i="15"/>
  <c r="L776" i="15"/>
  <c r="C776" i="15"/>
  <c r="B776" i="15"/>
  <c r="AK494" i="15"/>
  <c r="Q790" i="18" s="1"/>
  <c r="AJ494" i="15"/>
  <c r="O790" i="18" s="1"/>
  <c r="AI494" i="15"/>
  <c r="M790" i="18" s="1"/>
  <c r="AH494" i="15"/>
  <c r="N790" i="18" s="1"/>
  <c r="AG494" i="15"/>
  <c r="L790" i="18" s="1"/>
  <c r="AF494" i="15"/>
  <c r="K790" i="18" s="1"/>
  <c r="AE494" i="15"/>
  <c r="J790" i="18" s="1"/>
  <c r="AD494" i="15"/>
  <c r="I790" i="18" s="1"/>
  <c r="AB494" i="15"/>
  <c r="AA494" i="15"/>
  <c r="Z494" i="15"/>
  <c r="X494" i="15"/>
  <c r="W494" i="15"/>
  <c r="S494" i="15"/>
  <c r="R494" i="15"/>
  <c r="P494" i="15"/>
  <c r="O494" i="15"/>
  <c r="L494" i="15"/>
  <c r="C494" i="15"/>
  <c r="B494" i="15"/>
  <c r="AK611" i="15"/>
  <c r="AJ611" i="15"/>
  <c r="AI611" i="15"/>
  <c r="AH611" i="15"/>
  <c r="AG611" i="15"/>
  <c r="AF611" i="15"/>
  <c r="AE611" i="15"/>
  <c r="AD611" i="15"/>
  <c r="AB611" i="15"/>
  <c r="AA611" i="15"/>
  <c r="Z611" i="15"/>
  <c r="X611" i="15"/>
  <c r="W611" i="15"/>
  <c r="S611" i="15"/>
  <c r="R611" i="15"/>
  <c r="P611" i="15"/>
  <c r="O611" i="15"/>
  <c r="L611" i="15"/>
  <c r="C611" i="15"/>
  <c r="B611" i="15"/>
  <c r="AJ620" i="15"/>
  <c r="AI620" i="15"/>
  <c r="AH620" i="15"/>
  <c r="AG620" i="15"/>
  <c r="AF620" i="15"/>
  <c r="AE620" i="15"/>
  <c r="AD620" i="15"/>
  <c r="Z620" i="15"/>
  <c r="S620" i="15"/>
  <c r="R620" i="15"/>
  <c r="P620" i="15"/>
  <c r="L620" i="15"/>
  <c r="AA620" i="15"/>
  <c r="C620" i="15"/>
  <c r="B620" i="15"/>
  <c r="AK751" i="15"/>
  <c r="Q1303" i="18" s="1"/>
  <c r="AJ751" i="15"/>
  <c r="O1303" i="18" s="1"/>
  <c r="AI751" i="15"/>
  <c r="M1303" i="18" s="1"/>
  <c r="AH751" i="15"/>
  <c r="N1303" i="18" s="1"/>
  <c r="AG751" i="15"/>
  <c r="L1303" i="18" s="1"/>
  <c r="AF751" i="15"/>
  <c r="K1303" i="18" s="1"/>
  <c r="AE751" i="15"/>
  <c r="J1303" i="18" s="1"/>
  <c r="AD751" i="15"/>
  <c r="I1303" i="18" s="1"/>
  <c r="AB751" i="15"/>
  <c r="AA751" i="15"/>
  <c r="Z751" i="15"/>
  <c r="X751" i="15"/>
  <c r="W751" i="15"/>
  <c r="S751" i="15"/>
  <c r="R751" i="15"/>
  <c r="P751" i="15"/>
  <c r="O751" i="15"/>
  <c r="L751" i="15"/>
  <c r="C751" i="15"/>
  <c r="B751" i="15"/>
  <c r="AK575" i="15"/>
  <c r="AJ575" i="15"/>
  <c r="AI575" i="15"/>
  <c r="AH575" i="15"/>
  <c r="AG575" i="15"/>
  <c r="AF575" i="15"/>
  <c r="AE575" i="15"/>
  <c r="AD575" i="15"/>
  <c r="AB575" i="15"/>
  <c r="AA575" i="15"/>
  <c r="Z575" i="15"/>
  <c r="X575" i="15"/>
  <c r="W575" i="15"/>
  <c r="S575" i="15"/>
  <c r="R575" i="15"/>
  <c r="P575" i="15"/>
  <c r="L575" i="15"/>
  <c r="C575" i="15"/>
  <c r="B575" i="15"/>
  <c r="AK543" i="15"/>
  <c r="AJ543" i="15"/>
  <c r="AI543" i="15"/>
  <c r="AH543" i="15"/>
  <c r="AG543" i="15"/>
  <c r="AF543" i="15"/>
  <c r="AE543" i="15"/>
  <c r="AD543" i="15"/>
  <c r="AB543" i="15"/>
  <c r="AA543" i="15"/>
  <c r="Z543" i="15"/>
  <c r="X543" i="15"/>
  <c r="W543" i="15"/>
  <c r="S543" i="15"/>
  <c r="R543" i="15"/>
  <c r="P543" i="15"/>
  <c r="L543" i="15"/>
  <c r="C543" i="15"/>
  <c r="B543" i="15"/>
  <c r="AK577" i="15"/>
  <c r="AJ577" i="15"/>
  <c r="AI577" i="15"/>
  <c r="AH577" i="15"/>
  <c r="AG577" i="15"/>
  <c r="AF577" i="15"/>
  <c r="AE577" i="15"/>
  <c r="AD577" i="15"/>
  <c r="AB577" i="15"/>
  <c r="AA577" i="15"/>
  <c r="Z577" i="15"/>
  <c r="X577" i="15"/>
  <c r="W577" i="15"/>
  <c r="S577" i="15"/>
  <c r="R577" i="15"/>
  <c r="P577" i="15"/>
  <c r="O577" i="15"/>
  <c r="L577" i="15"/>
  <c r="C577" i="15"/>
  <c r="B577" i="15"/>
  <c r="AK296" i="15"/>
  <c r="AJ296" i="15"/>
  <c r="AI296" i="15"/>
  <c r="AH296" i="15"/>
  <c r="AG296" i="15"/>
  <c r="AF296" i="15"/>
  <c r="AE296" i="15"/>
  <c r="AD296" i="15"/>
  <c r="AB296" i="15"/>
  <c r="AA296" i="15"/>
  <c r="Z296" i="15"/>
  <c r="X296" i="15"/>
  <c r="W296" i="15"/>
  <c r="S296" i="15"/>
  <c r="R296" i="15"/>
  <c r="P296" i="15"/>
  <c r="L296" i="15"/>
  <c r="C296" i="15"/>
  <c r="B296" i="15"/>
  <c r="AK352" i="15"/>
  <c r="Q158" i="18" s="1"/>
  <c r="AJ352" i="15"/>
  <c r="O158" i="18" s="1"/>
  <c r="AI352" i="15"/>
  <c r="M158" i="18" s="1"/>
  <c r="AH352" i="15"/>
  <c r="N158" i="18" s="1"/>
  <c r="AG352" i="15"/>
  <c r="L158" i="18" s="1"/>
  <c r="AF352" i="15"/>
  <c r="K158" i="18" s="1"/>
  <c r="AE352" i="15"/>
  <c r="J158" i="18" s="1"/>
  <c r="AD352" i="15"/>
  <c r="I158" i="18" s="1"/>
  <c r="AB352" i="15"/>
  <c r="AA352" i="15"/>
  <c r="Z352" i="15"/>
  <c r="X352" i="15"/>
  <c r="W352" i="15"/>
  <c r="S352" i="15"/>
  <c r="R352" i="15"/>
  <c r="P352" i="15"/>
  <c r="O352" i="15"/>
  <c r="L352" i="15"/>
  <c r="C352" i="15"/>
  <c r="B352" i="15"/>
  <c r="AK343" i="15"/>
  <c r="Q414" i="18" s="1"/>
  <c r="AJ343" i="15"/>
  <c r="O414" i="18" s="1"/>
  <c r="AI343" i="15"/>
  <c r="M414" i="18" s="1"/>
  <c r="AH343" i="15"/>
  <c r="N414" i="18" s="1"/>
  <c r="AG343" i="15"/>
  <c r="L414" i="18" s="1"/>
  <c r="AF343" i="15"/>
  <c r="K414" i="18" s="1"/>
  <c r="AE343" i="15"/>
  <c r="J414" i="18" s="1"/>
  <c r="AD343" i="15"/>
  <c r="I414" i="18" s="1"/>
  <c r="AB343" i="15"/>
  <c r="AA343" i="15"/>
  <c r="Z343" i="15"/>
  <c r="X343" i="15"/>
  <c r="W343" i="15"/>
  <c r="S343" i="15"/>
  <c r="R343" i="15"/>
  <c r="P343" i="15"/>
  <c r="L343" i="15"/>
  <c r="C343" i="15"/>
  <c r="B343" i="15"/>
  <c r="AK545" i="15"/>
  <c r="AJ545" i="15"/>
  <c r="AI545" i="15"/>
  <c r="AH545" i="15"/>
  <c r="AG545" i="15"/>
  <c r="AF545" i="15"/>
  <c r="AE545" i="15"/>
  <c r="AD545" i="15"/>
  <c r="AB545" i="15"/>
  <c r="AA545" i="15"/>
  <c r="Z545" i="15"/>
  <c r="X545" i="15"/>
  <c r="W545" i="15"/>
  <c r="S545" i="15"/>
  <c r="R545" i="15"/>
  <c r="P545" i="15"/>
  <c r="L545" i="15"/>
  <c r="C545" i="15"/>
  <c r="B545" i="15"/>
  <c r="AJ673" i="15"/>
  <c r="O864" i="18" s="1"/>
  <c r="AI673" i="15"/>
  <c r="M864" i="18" s="1"/>
  <c r="AH673" i="15"/>
  <c r="N864" i="18" s="1"/>
  <c r="AG673" i="15"/>
  <c r="L864" i="18" s="1"/>
  <c r="AF673" i="15"/>
  <c r="K864" i="18" s="1"/>
  <c r="AE673" i="15"/>
  <c r="J864" i="18" s="1"/>
  <c r="AD673" i="15"/>
  <c r="I864" i="18" s="1"/>
  <c r="Z673" i="15"/>
  <c r="S673" i="15"/>
  <c r="R673" i="15"/>
  <c r="P673" i="15"/>
  <c r="L673" i="15"/>
  <c r="AK673" i="15"/>
  <c r="Q864" i="18" s="1"/>
  <c r="C673" i="15"/>
  <c r="B673" i="15"/>
  <c r="AJ685" i="15"/>
  <c r="O926" i="18" s="1"/>
  <c r="AI685" i="15"/>
  <c r="M926" i="18" s="1"/>
  <c r="AH685" i="15"/>
  <c r="N926" i="18" s="1"/>
  <c r="AG685" i="15"/>
  <c r="L926" i="18" s="1"/>
  <c r="AF685" i="15"/>
  <c r="K926" i="18" s="1"/>
  <c r="AE685" i="15"/>
  <c r="J926" i="18" s="1"/>
  <c r="AD685" i="15"/>
  <c r="I926" i="18" s="1"/>
  <c r="Z685" i="15"/>
  <c r="S685" i="15"/>
  <c r="R685" i="15"/>
  <c r="P685" i="15"/>
  <c r="L685" i="15"/>
  <c r="AA685" i="15"/>
  <c r="C685" i="15"/>
  <c r="B685" i="15"/>
  <c r="AJ679" i="15"/>
  <c r="O895" i="18" s="1"/>
  <c r="AI679" i="15"/>
  <c r="M895" i="18" s="1"/>
  <c r="AH679" i="15"/>
  <c r="N895" i="18" s="1"/>
  <c r="AG679" i="15"/>
  <c r="L895" i="18" s="1"/>
  <c r="AF679" i="15"/>
  <c r="K895" i="18" s="1"/>
  <c r="AE679" i="15"/>
  <c r="J895" i="18" s="1"/>
  <c r="AD679" i="15"/>
  <c r="I895" i="18" s="1"/>
  <c r="Z679" i="15"/>
  <c r="S679" i="15"/>
  <c r="R679" i="15"/>
  <c r="P679" i="15"/>
  <c r="L679" i="15"/>
  <c r="AA679" i="15"/>
  <c r="C679" i="15"/>
  <c r="B679" i="15"/>
  <c r="AJ722" i="15"/>
  <c r="O1129" i="18" s="1"/>
  <c r="AI722" i="15"/>
  <c r="M1129" i="18" s="1"/>
  <c r="AH722" i="15"/>
  <c r="N1129" i="18" s="1"/>
  <c r="AG722" i="15"/>
  <c r="L1129" i="18" s="1"/>
  <c r="AF722" i="15"/>
  <c r="K1129" i="18" s="1"/>
  <c r="AE722" i="15"/>
  <c r="J1129" i="18" s="1"/>
  <c r="AD722" i="15"/>
  <c r="I1129" i="18" s="1"/>
  <c r="Z722" i="15"/>
  <c r="S722" i="15"/>
  <c r="R722" i="15"/>
  <c r="P722" i="15"/>
  <c r="L722" i="15"/>
  <c r="C722" i="15"/>
  <c r="B722" i="15"/>
  <c r="AJ333" i="15"/>
  <c r="AI333" i="15"/>
  <c r="AH333" i="15"/>
  <c r="AG333" i="15"/>
  <c r="AF333" i="15"/>
  <c r="AE333" i="15"/>
  <c r="AD333" i="15"/>
  <c r="Z333" i="15"/>
  <c r="S333" i="15"/>
  <c r="R333" i="15"/>
  <c r="P333" i="15"/>
  <c r="L333" i="15"/>
  <c r="O333" i="15"/>
  <c r="C333" i="15"/>
  <c r="B333" i="15"/>
  <c r="AJ435" i="15"/>
  <c r="O621" i="18" s="1"/>
  <c r="AI435" i="15"/>
  <c r="M621" i="18" s="1"/>
  <c r="AH435" i="15"/>
  <c r="N621" i="18" s="1"/>
  <c r="AG435" i="15"/>
  <c r="L621" i="18" s="1"/>
  <c r="AF435" i="15"/>
  <c r="K621" i="18" s="1"/>
  <c r="AE435" i="15"/>
  <c r="J621" i="18" s="1"/>
  <c r="AD435" i="15"/>
  <c r="I621" i="18" s="1"/>
  <c r="Z435" i="15"/>
  <c r="S435" i="15"/>
  <c r="R435" i="15"/>
  <c r="P435" i="15"/>
  <c r="L435" i="15"/>
  <c r="AA435" i="15"/>
  <c r="C435" i="15"/>
  <c r="B435" i="15"/>
  <c r="AJ767" i="15"/>
  <c r="AI767" i="15"/>
  <c r="AH767" i="15"/>
  <c r="AG767" i="15"/>
  <c r="AF767" i="15"/>
  <c r="AE767" i="15"/>
  <c r="AD767" i="15"/>
  <c r="Z767" i="15"/>
  <c r="S767" i="15"/>
  <c r="R767" i="15"/>
  <c r="P767" i="15"/>
  <c r="L767" i="15"/>
  <c r="C767" i="15"/>
  <c r="B767" i="15"/>
  <c r="AJ241" i="15"/>
  <c r="AI241" i="15"/>
  <c r="AH241" i="15"/>
  <c r="AG241" i="15"/>
  <c r="AF241" i="15"/>
  <c r="AE241" i="15"/>
  <c r="AD241" i="15"/>
  <c r="Z241" i="15"/>
  <c r="S241" i="15"/>
  <c r="R241" i="15"/>
  <c r="P241" i="15"/>
  <c r="L241" i="15"/>
  <c r="AK241" i="15"/>
  <c r="C241" i="15"/>
  <c r="B241" i="15"/>
  <c r="AJ63" i="15"/>
  <c r="O73" i="18" s="1"/>
  <c r="AI63" i="15"/>
  <c r="M73" i="18" s="1"/>
  <c r="AH63" i="15"/>
  <c r="N73" i="18" s="1"/>
  <c r="AG63" i="15"/>
  <c r="L73" i="18" s="1"/>
  <c r="AF63" i="15"/>
  <c r="K73" i="18" s="1"/>
  <c r="AE63" i="15"/>
  <c r="J73" i="18" s="1"/>
  <c r="AD63" i="15"/>
  <c r="I73" i="18" s="1"/>
  <c r="Z63" i="15"/>
  <c r="S63" i="15"/>
  <c r="R63" i="15"/>
  <c r="P63" i="15"/>
  <c r="L63" i="15"/>
  <c r="AA63" i="15"/>
  <c r="B63" i="15"/>
  <c r="AJ704" i="15"/>
  <c r="O1027" i="18" s="1"/>
  <c r="AI704" i="15"/>
  <c r="M1027" i="18" s="1"/>
  <c r="AH704" i="15"/>
  <c r="N1027" i="18" s="1"/>
  <c r="AG704" i="15"/>
  <c r="L1027" i="18" s="1"/>
  <c r="AF704" i="15"/>
  <c r="K1027" i="18" s="1"/>
  <c r="AE704" i="15"/>
  <c r="J1027" i="18" s="1"/>
  <c r="AD704" i="15"/>
  <c r="I1027" i="18" s="1"/>
  <c r="Z704" i="15"/>
  <c r="S704" i="15"/>
  <c r="R704" i="15"/>
  <c r="P704" i="15"/>
  <c r="L704" i="15"/>
  <c r="C704" i="15"/>
  <c r="B704" i="15"/>
  <c r="AJ34" i="15"/>
  <c r="AI34" i="15"/>
  <c r="AH34" i="15"/>
  <c r="AG34" i="15"/>
  <c r="AF34" i="15"/>
  <c r="AE34" i="15"/>
  <c r="AD34" i="15"/>
  <c r="Z34" i="15"/>
  <c r="S34" i="15"/>
  <c r="R34" i="15"/>
  <c r="P34" i="15"/>
  <c r="L34" i="15"/>
  <c r="AK34" i="15"/>
  <c r="B34" i="15"/>
  <c r="AJ686" i="15"/>
  <c r="O937" i="18" s="1"/>
  <c r="AI686" i="15"/>
  <c r="M937" i="18" s="1"/>
  <c r="AH686" i="15"/>
  <c r="N937" i="18" s="1"/>
  <c r="AG686" i="15"/>
  <c r="L937" i="18" s="1"/>
  <c r="AF686" i="15"/>
  <c r="K937" i="18" s="1"/>
  <c r="AE686" i="15"/>
  <c r="J937" i="18" s="1"/>
  <c r="AD686" i="15"/>
  <c r="I937" i="18" s="1"/>
  <c r="Z686" i="15"/>
  <c r="S686" i="15"/>
  <c r="R686" i="15"/>
  <c r="P686" i="15"/>
  <c r="L686" i="15"/>
  <c r="O343" i="15"/>
  <c r="C686" i="15"/>
  <c r="B686" i="15"/>
  <c r="AJ496" i="15"/>
  <c r="O794" i="18" s="1"/>
  <c r="AI496" i="15"/>
  <c r="M794" i="18" s="1"/>
  <c r="AH496" i="15"/>
  <c r="N794" i="18" s="1"/>
  <c r="AG496" i="15"/>
  <c r="L794" i="18" s="1"/>
  <c r="AF496" i="15"/>
  <c r="K794" i="18" s="1"/>
  <c r="AE496" i="15"/>
  <c r="J794" i="18" s="1"/>
  <c r="AD496" i="15"/>
  <c r="I794" i="18" s="1"/>
  <c r="Z496" i="15"/>
  <c r="S496" i="15"/>
  <c r="R496" i="15"/>
  <c r="P496" i="15"/>
  <c r="L496" i="15"/>
  <c r="AB496" i="15"/>
  <c r="C496" i="15"/>
  <c r="B496" i="15"/>
  <c r="AJ478" i="15"/>
  <c r="AI478" i="15"/>
  <c r="AH478" i="15"/>
  <c r="AG478" i="15"/>
  <c r="AF478" i="15"/>
  <c r="AE478" i="15"/>
  <c r="AD478" i="15"/>
  <c r="Z478" i="15"/>
  <c r="S478" i="15"/>
  <c r="R478" i="15"/>
  <c r="P478" i="15"/>
  <c r="L478" i="15"/>
  <c r="O373" i="15"/>
  <c r="C478" i="15"/>
  <c r="B478" i="15"/>
  <c r="AJ316" i="15"/>
  <c r="AI316" i="15"/>
  <c r="AH316" i="15"/>
  <c r="AG316" i="15"/>
  <c r="AF316" i="15"/>
  <c r="AE316" i="15"/>
  <c r="AD316" i="15"/>
  <c r="Z316" i="15"/>
  <c r="S316" i="15"/>
  <c r="R316" i="15"/>
  <c r="P316" i="15"/>
  <c r="L316" i="15"/>
  <c r="W316" i="15"/>
  <c r="C316" i="15"/>
  <c r="B316" i="15"/>
  <c r="AJ773" i="15"/>
  <c r="O1434" i="18" s="1"/>
  <c r="AI773" i="15"/>
  <c r="M1434" i="18" s="1"/>
  <c r="AH773" i="15"/>
  <c r="N1434" i="18" s="1"/>
  <c r="AG773" i="15"/>
  <c r="L1434" i="18" s="1"/>
  <c r="AF773" i="15"/>
  <c r="K1434" i="18" s="1"/>
  <c r="AE773" i="15"/>
  <c r="J1434" i="18" s="1"/>
  <c r="AD773" i="15"/>
  <c r="I1434" i="18" s="1"/>
  <c r="Z773" i="15"/>
  <c r="S773" i="15"/>
  <c r="R773" i="15"/>
  <c r="P773" i="15"/>
  <c r="L773" i="15"/>
  <c r="AK773" i="15"/>
  <c r="Q1434" i="18" s="1"/>
  <c r="C773" i="15"/>
  <c r="B773" i="15"/>
  <c r="AJ768" i="15"/>
  <c r="AI768" i="15"/>
  <c r="AH768" i="15"/>
  <c r="AG768" i="15"/>
  <c r="AF768" i="15"/>
  <c r="AE768" i="15"/>
  <c r="AD768" i="15"/>
  <c r="Z768" i="15"/>
  <c r="S768" i="15"/>
  <c r="R768" i="15"/>
  <c r="P768" i="15"/>
  <c r="O768" i="15"/>
  <c r="L768" i="15"/>
  <c r="AA768" i="15"/>
  <c r="C768" i="15"/>
  <c r="B768" i="15"/>
  <c r="AJ279" i="15"/>
  <c r="AI279" i="15"/>
  <c r="AH279" i="15"/>
  <c r="AG279" i="15"/>
  <c r="AF279" i="15"/>
  <c r="AE279" i="15"/>
  <c r="AD279" i="15"/>
  <c r="Z279" i="15"/>
  <c r="S279" i="15"/>
  <c r="R279" i="15"/>
  <c r="P279" i="15"/>
  <c r="L279" i="15"/>
  <c r="C279" i="15"/>
  <c r="B279" i="15"/>
  <c r="AJ479" i="15"/>
  <c r="AI479" i="15"/>
  <c r="AH479" i="15"/>
  <c r="AG479" i="15"/>
  <c r="AF479" i="15"/>
  <c r="AE479" i="15"/>
  <c r="AD479" i="15"/>
  <c r="Z479" i="15"/>
  <c r="S479" i="15"/>
  <c r="R479" i="15"/>
  <c r="P479" i="15"/>
  <c r="O479" i="15"/>
  <c r="L479" i="15"/>
  <c r="AB479" i="15"/>
  <c r="C479" i="15"/>
  <c r="B479" i="15"/>
  <c r="AJ761" i="15"/>
  <c r="O1363" i="18" s="1"/>
  <c r="AI761" i="15"/>
  <c r="M1363" i="18" s="1"/>
  <c r="AH761" i="15"/>
  <c r="N1363" i="18" s="1"/>
  <c r="AG761" i="15"/>
  <c r="L1363" i="18" s="1"/>
  <c r="AF761" i="15"/>
  <c r="K1363" i="18" s="1"/>
  <c r="AE761" i="15"/>
  <c r="J1363" i="18" s="1"/>
  <c r="AD761" i="15"/>
  <c r="I1363" i="18" s="1"/>
  <c r="Z761" i="15"/>
  <c r="S761" i="15"/>
  <c r="R761" i="15"/>
  <c r="P761" i="15"/>
  <c r="O761" i="15"/>
  <c r="L761" i="15"/>
  <c r="AA761" i="15"/>
  <c r="C761" i="15"/>
  <c r="B761" i="15"/>
  <c r="AJ756" i="15"/>
  <c r="O1333" i="18" s="1"/>
  <c r="AI756" i="15"/>
  <c r="M1333" i="18" s="1"/>
  <c r="AH756" i="15"/>
  <c r="N1333" i="18" s="1"/>
  <c r="AG756" i="15"/>
  <c r="L1333" i="18" s="1"/>
  <c r="AF756" i="15"/>
  <c r="K1333" i="18" s="1"/>
  <c r="AE756" i="15"/>
  <c r="J1333" i="18" s="1"/>
  <c r="AD756" i="15"/>
  <c r="I1333" i="18" s="1"/>
  <c r="Z756" i="15"/>
  <c r="S756" i="15"/>
  <c r="R756" i="15"/>
  <c r="P756" i="15"/>
  <c r="O756" i="15"/>
  <c r="L756" i="15"/>
  <c r="AA756" i="15"/>
  <c r="C756" i="15"/>
  <c r="B756" i="15"/>
  <c r="AJ359" i="15"/>
  <c r="O445" i="18" s="1"/>
  <c r="AI359" i="15"/>
  <c r="M445" i="18" s="1"/>
  <c r="AH359" i="15"/>
  <c r="N445" i="18" s="1"/>
  <c r="AG359" i="15"/>
  <c r="L445" i="18" s="1"/>
  <c r="AF359" i="15"/>
  <c r="K445" i="18" s="1"/>
  <c r="AE359" i="15"/>
  <c r="J445" i="18" s="1"/>
  <c r="AD359" i="15"/>
  <c r="I445" i="18" s="1"/>
  <c r="Z359" i="15"/>
  <c r="S359" i="15"/>
  <c r="R359" i="15"/>
  <c r="P359" i="15"/>
  <c r="L359" i="15"/>
  <c r="C359" i="15"/>
  <c r="B359" i="15"/>
  <c r="AJ283" i="15"/>
  <c r="AI283" i="15"/>
  <c r="AH283" i="15"/>
  <c r="AG283" i="15"/>
  <c r="AF283" i="15"/>
  <c r="AE283" i="15"/>
  <c r="AD283" i="15"/>
  <c r="Z283" i="15"/>
  <c r="S283" i="15"/>
  <c r="R283" i="15"/>
  <c r="P283" i="15"/>
  <c r="L283" i="15"/>
  <c r="AA283" i="15"/>
  <c r="C283" i="15"/>
  <c r="B283" i="15"/>
  <c r="AJ285" i="15"/>
  <c r="AI285" i="15"/>
  <c r="AH285" i="15"/>
  <c r="AG285" i="15"/>
  <c r="AF285" i="15"/>
  <c r="AE285" i="15"/>
  <c r="AD285" i="15"/>
  <c r="Z285" i="15"/>
  <c r="S285" i="15"/>
  <c r="R285" i="15"/>
  <c r="P285" i="15"/>
  <c r="L285" i="15"/>
  <c r="AA285" i="15"/>
  <c r="C285" i="15"/>
  <c r="B285" i="15"/>
  <c r="AJ744" i="15"/>
  <c r="AI744" i="15"/>
  <c r="AH744" i="15"/>
  <c r="AG744" i="15"/>
  <c r="L1255" i="18" s="1"/>
  <c r="AF744" i="15"/>
  <c r="K1255" i="18" s="1"/>
  <c r="AE744" i="15"/>
  <c r="AD744" i="15"/>
  <c r="Z744" i="15"/>
  <c r="S744" i="15"/>
  <c r="R744" i="15"/>
  <c r="P744" i="15"/>
  <c r="L744" i="15"/>
  <c r="AA744" i="15"/>
  <c r="C744" i="15"/>
  <c r="B744" i="15"/>
  <c r="AJ340" i="15"/>
  <c r="O402" i="18" s="1"/>
  <c r="AI340" i="15"/>
  <c r="M402" i="18" s="1"/>
  <c r="AH340" i="15"/>
  <c r="N402" i="18" s="1"/>
  <c r="AG340" i="15"/>
  <c r="L402" i="18" s="1"/>
  <c r="AF340" i="15"/>
  <c r="K402" i="18" s="1"/>
  <c r="AE340" i="15"/>
  <c r="J402" i="18" s="1"/>
  <c r="AD340" i="15"/>
  <c r="I402" i="18" s="1"/>
  <c r="Z340" i="15"/>
  <c r="S340" i="15"/>
  <c r="R340" i="15"/>
  <c r="P340" i="15"/>
  <c r="L340" i="15"/>
  <c r="AB340" i="15"/>
  <c r="C340" i="15"/>
  <c r="B340" i="15"/>
  <c r="AJ676" i="15"/>
  <c r="AI676" i="15"/>
  <c r="AH676" i="15"/>
  <c r="AG676" i="15"/>
  <c r="AF676" i="15"/>
  <c r="AE676" i="15"/>
  <c r="AD676" i="15"/>
  <c r="Z676" i="15"/>
  <c r="S676" i="15"/>
  <c r="R676" i="15"/>
  <c r="P676" i="15"/>
  <c r="L676" i="15"/>
  <c r="AK676" i="15"/>
  <c r="C676" i="15"/>
  <c r="B676" i="15"/>
  <c r="AJ466" i="15"/>
  <c r="O572" i="18" s="1"/>
  <c r="AI466" i="15"/>
  <c r="M572" i="18" s="1"/>
  <c r="AH466" i="15"/>
  <c r="N572" i="18" s="1"/>
  <c r="AG466" i="15"/>
  <c r="L572" i="18" s="1"/>
  <c r="AF466" i="15"/>
  <c r="K572" i="18" s="1"/>
  <c r="AE466" i="15"/>
  <c r="J572" i="18" s="1"/>
  <c r="AD466" i="15"/>
  <c r="I572" i="18" s="1"/>
  <c r="Z466" i="15"/>
  <c r="S466" i="15"/>
  <c r="R466" i="15"/>
  <c r="P466" i="15"/>
  <c r="L466" i="15"/>
  <c r="AB466" i="15"/>
  <c r="C466" i="15"/>
  <c r="B466" i="15"/>
  <c r="AJ443" i="15"/>
  <c r="O643" i="18" s="1"/>
  <c r="AI443" i="15"/>
  <c r="M643" i="18" s="1"/>
  <c r="AH443" i="15"/>
  <c r="N643" i="18" s="1"/>
  <c r="AG443" i="15"/>
  <c r="L643" i="18" s="1"/>
  <c r="AF443" i="15"/>
  <c r="K643" i="18" s="1"/>
  <c r="AE443" i="15"/>
  <c r="J643" i="18" s="1"/>
  <c r="AD443" i="15"/>
  <c r="I643" i="18" s="1"/>
  <c r="Z443" i="15"/>
  <c r="S443" i="15"/>
  <c r="R443" i="15"/>
  <c r="P443" i="15"/>
  <c r="L443" i="15"/>
  <c r="C443" i="15"/>
  <c r="B443" i="15"/>
  <c r="AJ312" i="15"/>
  <c r="O375" i="18" s="1"/>
  <c r="AI312" i="15"/>
  <c r="M375" i="18" s="1"/>
  <c r="AG312" i="15"/>
  <c r="L375" i="18" s="1"/>
  <c r="AF312" i="15"/>
  <c r="K375" i="18" s="1"/>
  <c r="AE312" i="15"/>
  <c r="J375" i="18" s="1"/>
  <c r="AD312" i="15"/>
  <c r="I375" i="18" s="1"/>
  <c r="Z312" i="15"/>
  <c r="S312" i="15"/>
  <c r="R312" i="15"/>
  <c r="P312" i="15"/>
  <c r="O312" i="15"/>
  <c r="L312" i="15"/>
  <c r="AB312" i="15"/>
  <c r="C312" i="15"/>
  <c r="B312" i="15"/>
  <c r="AJ508" i="15"/>
  <c r="AI508" i="15"/>
  <c r="AH508" i="15"/>
  <c r="AF508" i="15"/>
  <c r="AE508" i="15"/>
  <c r="AD508" i="15"/>
  <c r="Z508" i="15"/>
  <c r="S508" i="15"/>
  <c r="R508" i="15"/>
  <c r="P508" i="15"/>
  <c r="O508" i="15"/>
  <c r="L508" i="15"/>
  <c r="AB508" i="15"/>
  <c r="C508" i="15"/>
  <c r="B508" i="15"/>
  <c r="AJ507" i="15"/>
  <c r="AI507" i="15"/>
  <c r="AH507" i="15"/>
  <c r="AG507" i="15"/>
  <c r="AF507" i="15"/>
  <c r="AE507" i="15"/>
  <c r="AD507" i="15"/>
  <c r="Z507" i="15"/>
  <c r="S507" i="15"/>
  <c r="R507" i="15"/>
  <c r="P507" i="15"/>
  <c r="O507" i="15"/>
  <c r="L507" i="15"/>
  <c r="AA507" i="15"/>
  <c r="C507" i="15"/>
  <c r="B507" i="15"/>
  <c r="AJ280" i="15"/>
  <c r="AI280" i="15"/>
  <c r="AH280" i="15"/>
  <c r="AG280" i="15"/>
  <c r="AF280" i="15"/>
  <c r="AE280" i="15"/>
  <c r="AD280" i="15"/>
  <c r="Z280" i="15"/>
  <c r="S280" i="15"/>
  <c r="R280" i="15"/>
  <c r="P280" i="15"/>
  <c r="O280" i="15"/>
  <c r="L280" i="15"/>
  <c r="C280" i="15"/>
  <c r="B280" i="15"/>
  <c r="AJ671" i="15"/>
  <c r="AI671" i="15"/>
  <c r="AH671" i="15"/>
  <c r="AG671" i="15"/>
  <c r="AF671" i="15"/>
  <c r="AE671" i="15"/>
  <c r="AD671" i="15"/>
  <c r="Z671" i="15"/>
  <c r="S671" i="15"/>
  <c r="R671" i="15"/>
  <c r="P671" i="15"/>
  <c r="O671" i="15"/>
  <c r="L671" i="15"/>
  <c r="AK671" i="15"/>
  <c r="C671" i="15"/>
  <c r="B671" i="15"/>
  <c r="AJ406" i="15"/>
  <c r="O555" i="18" s="1"/>
  <c r="AI406" i="15"/>
  <c r="M555" i="18" s="1"/>
  <c r="AH406" i="15"/>
  <c r="N555" i="18" s="1"/>
  <c r="AG406" i="15"/>
  <c r="L555" i="18" s="1"/>
  <c r="AF406" i="15"/>
  <c r="K555" i="18" s="1"/>
  <c r="AE406" i="15"/>
  <c r="J555" i="18" s="1"/>
  <c r="AD406" i="15"/>
  <c r="I555" i="18" s="1"/>
  <c r="Z406" i="15"/>
  <c r="S406" i="15"/>
  <c r="R406" i="15"/>
  <c r="P406" i="15"/>
  <c r="O406" i="15"/>
  <c r="L406" i="15"/>
  <c r="AB406" i="15"/>
  <c r="B406" i="15"/>
  <c r="AJ781" i="15"/>
  <c r="O1619" i="18" s="1"/>
  <c r="AI781" i="15"/>
  <c r="AH781" i="15"/>
  <c r="AG781" i="15"/>
  <c r="AF781" i="15"/>
  <c r="AE781" i="15"/>
  <c r="AD781" i="15"/>
  <c r="Z781" i="15"/>
  <c r="S781" i="15"/>
  <c r="R781" i="15"/>
  <c r="P781" i="15"/>
  <c r="O781" i="15"/>
  <c r="L781" i="15"/>
  <c r="AK781" i="15"/>
  <c r="Q1619" i="18" s="1"/>
  <c r="C781" i="15"/>
  <c r="B781" i="15"/>
  <c r="AJ366" i="15"/>
  <c r="O460" i="18" s="1"/>
  <c r="AI366" i="15"/>
  <c r="M460" i="18" s="1"/>
  <c r="AH366" i="15"/>
  <c r="N460" i="18" s="1"/>
  <c r="AG366" i="15"/>
  <c r="L460" i="18" s="1"/>
  <c r="AF366" i="15"/>
  <c r="K460" i="18" s="1"/>
  <c r="AE366" i="15"/>
  <c r="J460" i="18" s="1"/>
  <c r="AD366" i="15"/>
  <c r="I460" i="18" s="1"/>
  <c r="Z366" i="15"/>
  <c r="S366" i="15"/>
  <c r="R366" i="15"/>
  <c r="P366" i="15"/>
  <c r="O366" i="15"/>
  <c r="L366" i="15"/>
  <c r="B366" i="15"/>
  <c r="AJ780" i="15"/>
  <c r="O1588" i="18" s="1"/>
  <c r="AI780" i="15"/>
  <c r="AH780" i="15"/>
  <c r="AG780" i="15"/>
  <c r="AF780" i="15"/>
  <c r="AE780" i="15"/>
  <c r="AD780" i="15"/>
  <c r="Z780" i="15"/>
  <c r="S780" i="15"/>
  <c r="R780" i="15"/>
  <c r="P780" i="15"/>
  <c r="O780" i="15"/>
  <c r="L780" i="15"/>
  <c r="AA780" i="15"/>
  <c r="C780" i="15"/>
  <c r="B780" i="15"/>
  <c r="AJ779" i="15"/>
  <c r="AI779" i="15"/>
  <c r="M1557" i="18" s="1"/>
  <c r="AH779" i="15"/>
  <c r="N1557" i="18" s="1"/>
  <c r="AG779" i="15"/>
  <c r="L1557" i="18" s="1"/>
  <c r="AF779" i="15"/>
  <c r="K1557" i="18" s="1"/>
  <c r="AE779" i="15"/>
  <c r="J1557" i="18" s="1"/>
  <c r="AD779" i="15"/>
  <c r="I1557" i="18" s="1"/>
  <c r="Z779" i="15"/>
  <c r="S779" i="15"/>
  <c r="R779" i="15"/>
  <c r="P779" i="15"/>
  <c r="O779" i="15"/>
  <c r="L779" i="15"/>
  <c r="AA779" i="15"/>
  <c r="C779" i="15"/>
  <c r="B779" i="15"/>
  <c r="C21" i="17"/>
  <c r="AJ647" i="15"/>
  <c r="AI647" i="15"/>
  <c r="AH647" i="15"/>
  <c r="AG647" i="15"/>
  <c r="AF647" i="15"/>
  <c r="AE647" i="15"/>
  <c r="AD647" i="15"/>
  <c r="Z647" i="15"/>
  <c r="S647" i="15"/>
  <c r="R647" i="15"/>
  <c r="P647" i="15"/>
  <c r="O647" i="15"/>
  <c r="L647" i="15"/>
  <c r="C647" i="15"/>
  <c r="B647" i="15"/>
  <c r="AJ610" i="15"/>
  <c r="AI610" i="15"/>
  <c r="AH610" i="15"/>
  <c r="AG610" i="15"/>
  <c r="AF610" i="15"/>
  <c r="AE610" i="15"/>
  <c r="AD610" i="15"/>
  <c r="Z610" i="15"/>
  <c r="S610" i="15"/>
  <c r="R610" i="15"/>
  <c r="P610" i="15"/>
  <c r="O610" i="15"/>
  <c r="L610" i="15"/>
  <c r="AA610" i="15"/>
  <c r="C610" i="15"/>
  <c r="B610" i="15"/>
  <c r="AJ568" i="15"/>
  <c r="AI568" i="15"/>
  <c r="AH568" i="15"/>
  <c r="AG568" i="15"/>
  <c r="AF568" i="15"/>
  <c r="AE568" i="15"/>
  <c r="AD568" i="15"/>
  <c r="Z568" i="15"/>
  <c r="S568" i="15"/>
  <c r="R568" i="15"/>
  <c r="P568" i="15"/>
  <c r="O568" i="15"/>
  <c r="L568" i="15"/>
  <c r="AA568" i="15"/>
  <c r="C568" i="15"/>
  <c r="B568" i="15"/>
  <c r="AJ524" i="15"/>
  <c r="AI524" i="15"/>
  <c r="AH524" i="15"/>
  <c r="AG524" i="15"/>
  <c r="AF524" i="15"/>
  <c r="AE524" i="15"/>
  <c r="AD524" i="15"/>
  <c r="Z524" i="15"/>
  <c r="S524" i="15"/>
  <c r="R524" i="15"/>
  <c r="P524" i="15"/>
  <c r="O524" i="15"/>
  <c r="L524" i="15"/>
  <c r="C524" i="15"/>
  <c r="B524" i="15"/>
  <c r="AJ325" i="15"/>
  <c r="AI325" i="15"/>
  <c r="AH325" i="15"/>
  <c r="AG325" i="15"/>
  <c r="AF325" i="15"/>
  <c r="AE325" i="15"/>
  <c r="AD325" i="15"/>
  <c r="Z325" i="15"/>
  <c r="S325" i="15"/>
  <c r="R325" i="15"/>
  <c r="P325" i="15"/>
  <c r="O325" i="15"/>
  <c r="L325" i="15"/>
  <c r="AA325" i="15"/>
  <c r="C325" i="15"/>
  <c r="B325" i="15"/>
  <c r="AJ301" i="15"/>
  <c r="AI301" i="15"/>
  <c r="AH301" i="15"/>
  <c r="AG301" i="15"/>
  <c r="AF301" i="15"/>
  <c r="AE301" i="15"/>
  <c r="AD301" i="15"/>
  <c r="Z301" i="15"/>
  <c r="S301" i="15"/>
  <c r="R301" i="15"/>
  <c r="P301" i="15"/>
  <c r="O301" i="15"/>
  <c r="L301" i="15"/>
  <c r="W301" i="15"/>
  <c r="C301" i="15"/>
  <c r="B301" i="15"/>
  <c r="AJ311" i="15"/>
  <c r="O383" i="18" s="1"/>
  <c r="AI311" i="15"/>
  <c r="M383" i="18" s="1"/>
  <c r="AH311" i="15"/>
  <c r="N383" i="18" s="1"/>
  <c r="AG311" i="15"/>
  <c r="L383" i="18" s="1"/>
  <c r="AF311" i="15"/>
  <c r="K383" i="18" s="1"/>
  <c r="AE311" i="15"/>
  <c r="J383" i="18" s="1"/>
  <c r="AD311" i="15"/>
  <c r="I383" i="18" s="1"/>
  <c r="Z311" i="15"/>
  <c r="S311" i="15"/>
  <c r="R311" i="15"/>
  <c r="P311" i="15"/>
  <c r="O311" i="15"/>
  <c r="L311" i="15"/>
  <c r="AK311" i="15"/>
  <c r="Q383" i="18" s="1"/>
  <c r="C311" i="15"/>
  <c r="B311" i="15"/>
  <c r="AJ262" i="15"/>
  <c r="AI262" i="15"/>
  <c r="AH262" i="15"/>
  <c r="AG262" i="15"/>
  <c r="AF262" i="15"/>
  <c r="AE262" i="15"/>
  <c r="AD262" i="15"/>
  <c r="Z262" i="15"/>
  <c r="S262" i="15"/>
  <c r="R262" i="15"/>
  <c r="P262" i="15"/>
  <c r="O262" i="15"/>
  <c r="L262" i="15"/>
  <c r="AB262" i="15"/>
  <c r="C262" i="15"/>
  <c r="B262" i="15"/>
  <c r="AJ678" i="15"/>
  <c r="O890" i="18" s="1"/>
  <c r="AI678" i="15"/>
  <c r="M890" i="18" s="1"/>
  <c r="AH678" i="15"/>
  <c r="N890" i="18" s="1"/>
  <c r="S678" i="15"/>
  <c r="R678" i="15"/>
  <c r="P678" i="15"/>
  <c r="O678" i="15"/>
  <c r="L678" i="15"/>
  <c r="C678" i="15"/>
  <c r="B678" i="15"/>
  <c r="AJ739" i="15"/>
  <c r="O1195" i="18" s="1"/>
  <c r="AI739" i="15"/>
  <c r="AH739" i="15"/>
  <c r="AG739" i="15"/>
  <c r="AF739" i="15"/>
  <c r="AE739" i="15"/>
  <c r="AD739" i="15"/>
  <c r="Z739" i="15"/>
  <c r="S739" i="15"/>
  <c r="R739" i="15"/>
  <c r="P739" i="15"/>
  <c r="O739" i="15"/>
  <c r="L739" i="15"/>
  <c r="AA739" i="15"/>
  <c r="C739" i="15"/>
  <c r="B739" i="15"/>
  <c r="AJ272" i="15"/>
  <c r="AI272" i="15"/>
  <c r="AH272" i="15"/>
  <c r="AG272" i="15"/>
  <c r="AF272" i="15"/>
  <c r="AE272" i="15"/>
  <c r="AD272" i="15"/>
  <c r="Z272" i="15"/>
  <c r="S272" i="15"/>
  <c r="R272" i="15"/>
  <c r="P272" i="15"/>
  <c r="L272" i="15"/>
  <c r="AB272" i="15"/>
  <c r="C272" i="15"/>
  <c r="B272" i="15"/>
  <c r="AJ775" i="15"/>
  <c r="O1453" i="18" s="1"/>
  <c r="AI775" i="15"/>
  <c r="M1453" i="18" s="1"/>
  <c r="AH775" i="15"/>
  <c r="N1453" i="18" s="1"/>
  <c r="AG775" i="15"/>
  <c r="L1453" i="18" s="1"/>
  <c r="AF775" i="15"/>
  <c r="K1453" i="18" s="1"/>
  <c r="AE775" i="15"/>
  <c r="J1453" i="18" s="1"/>
  <c r="AD775" i="15"/>
  <c r="I1453" i="18" s="1"/>
  <c r="Z775" i="15"/>
  <c r="S775" i="15"/>
  <c r="R775" i="15"/>
  <c r="P775" i="15"/>
  <c r="L775" i="15"/>
  <c r="AK775" i="15"/>
  <c r="Q1453" i="18" s="1"/>
  <c r="C775" i="15"/>
  <c r="B775" i="15"/>
  <c r="AJ270" i="15"/>
  <c r="AI270" i="15"/>
  <c r="AH270" i="15"/>
  <c r="AG270" i="15"/>
  <c r="AF270" i="15"/>
  <c r="AE270" i="15"/>
  <c r="AD270" i="15"/>
  <c r="Z270" i="15"/>
  <c r="S270" i="15"/>
  <c r="R270" i="15"/>
  <c r="P270" i="15"/>
  <c r="L270" i="15"/>
  <c r="AB270" i="15"/>
  <c r="C270" i="15"/>
  <c r="B270" i="15"/>
  <c r="AK705" i="15"/>
  <c r="Q1038" i="18" s="1"/>
  <c r="AJ705" i="15"/>
  <c r="O1038" i="18" s="1"/>
  <c r="AI705" i="15"/>
  <c r="M1038" i="18" s="1"/>
  <c r="AH705" i="15"/>
  <c r="N1038" i="18" s="1"/>
  <c r="AG705" i="15"/>
  <c r="L1038" i="18" s="1"/>
  <c r="AF705" i="15"/>
  <c r="K1038" i="18" s="1"/>
  <c r="AE705" i="15"/>
  <c r="J1038" i="18" s="1"/>
  <c r="AD705" i="15"/>
  <c r="I1038" i="18" s="1"/>
  <c r="AB705" i="15"/>
  <c r="AA705" i="15"/>
  <c r="Z705" i="15"/>
  <c r="X705" i="15"/>
  <c r="W705" i="15"/>
  <c r="S705" i="15"/>
  <c r="R705" i="15"/>
  <c r="P705" i="15"/>
  <c r="O705" i="15"/>
  <c r="L705" i="15"/>
  <c r="C705" i="15"/>
  <c r="B705" i="15"/>
  <c r="AJ423" i="15"/>
  <c r="O591" i="18" s="1"/>
  <c r="AI423" i="15"/>
  <c r="M591" i="18" s="1"/>
  <c r="AH423" i="15"/>
  <c r="N591" i="18" s="1"/>
  <c r="AG423" i="15"/>
  <c r="L591" i="18" s="1"/>
  <c r="AF423" i="15"/>
  <c r="K591" i="18" s="1"/>
  <c r="AE423" i="15"/>
  <c r="J591" i="18" s="1"/>
  <c r="AD423" i="15"/>
  <c r="I591" i="18" s="1"/>
  <c r="Z423" i="15"/>
  <c r="S423" i="15"/>
  <c r="R423" i="15"/>
  <c r="P423" i="15"/>
  <c r="L423" i="15"/>
  <c r="AB423" i="15"/>
  <c r="C423" i="15"/>
  <c r="B423" i="15"/>
  <c r="AJ730" i="15"/>
  <c r="AI730" i="15"/>
  <c r="AH730" i="15"/>
  <c r="AG730" i="15"/>
  <c r="AF730" i="15"/>
  <c r="AE730" i="15"/>
  <c r="AD730" i="15"/>
  <c r="Z730" i="15"/>
  <c r="S730" i="15"/>
  <c r="R730" i="15"/>
  <c r="P730" i="15"/>
  <c r="L730" i="15"/>
  <c r="AK730" i="15"/>
  <c r="C730" i="15"/>
  <c r="B730" i="15"/>
  <c r="AJ697" i="15"/>
  <c r="O986" i="18" s="1"/>
  <c r="AI697" i="15"/>
  <c r="M986" i="18" s="1"/>
  <c r="AH697" i="15"/>
  <c r="N986" i="18" s="1"/>
  <c r="AG697" i="15"/>
  <c r="L986" i="18" s="1"/>
  <c r="AF697" i="15"/>
  <c r="K986" i="18" s="1"/>
  <c r="AE697" i="15"/>
  <c r="J986" i="18" s="1"/>
  <c r="AD697" i="15"/>
  <c r="I986" i="18" s="1"/>
  <c r="Z697" i="15"/>
  <c r="S697" i="15"/>
  <c r="R697" i="15"/>
  <c r="P697" i="15"/>
  <c r="L697" i="15"/>
  <c r="AK697" i="15"/>
  <c r="Q986" i="18" s="1"/>
  <c r="C697" i="15"/>
  <c r="B697" i="15"/>
  <c r="AJ770" i="15"/>
  <c r="AI770" i="15"/>
  <c r="AH770" i="15"/>
  <c r="AG770" i="15"/>
  <c r="AF770" i="15"/>
  <c r="AE770" i="15"/>
  <c r="AD770" i="15"/>
  <c r="Z770" i="15"/>
  <c r="S770" i="15"/>
  <c r="R770" i="15"/>
  <c r="P770" i="15"/>
  <c r="L770" i="15"/>
  <c r="AB770" i="15"/>
  <c r="C770" i="15"/>
  <c r="B770" i="15"/>
  <c r="AJ73" i="15"/>
  <c r="O80" i="18" s="1"/>
  <c r="AI73" i="15"/>
  <c r="AH73" i="15"/>
  <c r="AG73" i="15"/>
  <c r="AF73" i="15"/>
  <c r="AE73" i="15"/>
  <c r="J80" i="18" s="1"/>
  <c r="AD73" i="15"/>
  <c r="Z73" i="15"/>
  <c r="S73" i="15"/>
  <c r="R73" i="15"/>
  <c r="P73" i="15"/>
  <c r="L73" i="15"/>
  <c r="AB73" i="15"/>
  <c r="B73" i="15"/>
  <c r="AJ50" i="15"/>
  <c r="O49" i="18" s="1"/>
  <c r="AI50" i="15"/>
  <c r="M49" i="18" s="1"/>
  <c r="AH50" i="15"/>
  <c r="AG50" i="15"/>
  <c r="AF50" i="15"/>
  <c r="AE50" i="15"/>
  <c r="AD50" i="15"/>
  <c r="Z50" i="15"/>
  <c r="S50" i="15"/>
  <c r="R50" i="15"/>
  <c r="P50" i="15"/>
  <c r="L50" i="15"/>
  <c r="AA50" i="15"/>
  <c r="B50" i="15"/>
  <c r="AJ667" i="15"/>
  <c r="O833" i="18" s="1"/>
  <c r="AI667" i="15"/>
  <c r="M833" i="18" s="1"/>
  <c r="AH667" i="15"/>
  <c r="N833" i="18" s="1"/>
  <c r="AG667" i="15"/>
  <c r="L833" i="18" s="1"/>
  <c r="AF667" i="15"/>
  <c r="K833" i="18" s="1"/>
  <c r="AE667" i="15"/>
  <c r="J833" i="18" s="1"/>
  <c r="AD667" i="15"/>
  <c r="I833" i="18" s="1"/>
  <c r="Z667" i="15"/>
  <c r="S667" i="15"/>
  <c r="R667" i="15"/>
  <c r="P667" i="15"/>
  <c r="L667" i="15"/>
  <c r="AA667" i="15"/>
  <c r="C25" i="17" s="1"/>
  <c r="C667" i="15"/>
  <c r="B667" i="15"/>
  <c r="AJ503" i="15"/>
  <c r="O802" i="18" s="1"/>
  <c r="AI503" i="15"/>
  <c r="M802" i="18" s="1"/>
  <c r="AH503" i="15"/>
  <c r="N802" i="18" s="1"/>
  <c r="AG503" i="15"/>
  <c r="L802" i="18" s="1"/>
  <c r="AF503" i="15"/>
  <c r="K802" i="18" s="1"/>
  <c r="AE503" i="15"/>
  <c r="J802" i="18" s="1"/>
  <c r="AD503" i="15"/>
  <c r="I802" i="18" s="1"/>
  <c r="Z503" i="15"/>
  <c r="S503" i="15"/>
  <c r="R503" i="15"/>
  <c r="P503" i="15"/>
  <c r="L503" i="15"/>
  <c r="C503" i="15"/>
  <c r="B503" i="15"/>
  <c r="AJ472" i="15"/>
  <c r="O711" i="18" s="1"/>
  <c r="AI472" i="15"/>
  <c r="M711" i="18" s="1"/>
  <c r="AH472" i="15"/>
  <c r="N711" i="18" s="1"/>
  <c r="AG472" i="15"/>
  <c r="L711" i="18" s="1"/>
  <c r="AF472" i="15"/>
  <c r="K711" i="18" s="1"/>
  <c r="AE472" i="15"/>
  <c r="J711" i="18" s="1"/>
  <c r="AD472" i="15"/>
  <c r="I711" i="18" s="1"/>
  <c r="Z472" i="15"/>
  <c r="S472" i="15"/>
  <c r="R472" i="15"/>
  <c r="P472" i="15"/>
  <c r="L472" i="15"/>
  <c r="AB472" i="15"/>
  <c r="C472" i="15"/>
  <c r="B472" i="15"/>
  <c r="AJ375" i="15"/>
  <c r="O479" i="18" s="1"/>
  <c r="AI375" i="15"/>
  <c r="M479" i="18" s="1"/>
  <c r="AH375" i="15"/>
  <c r="N479" i="18" s="1"/>
  <c r="AG375" i="15"/>
  <c r="L479" i="18" s="1"/>
  <c r="AF375" i="15"/>
  <c r="K479" i="18" s="1"/>
  <c r="AE375" i="15"/>
  <c r="J479" i="18" s="1"/>
  <c r="AD375" i="15"/>
  <c r="I479" i="18" s="1"/>
  <c r="Z375" i="15"/>
  <c r="S375" i="15"/>
  <c r="R375" i="15"/>
  <c r="P375" i="15"/>
  <c r="L375" i="15"/>
  <c r="AK375" i="15"/>
  <c r="Q479" i="18" s="1"/>
  <c r="C375" i="15"/>
  <c r="B375" i="15"/>
  <c r="AJ360" i="15"/>
  <c r="AI360" i="15"/>
  <c r="AH360" i="15"/>
  <c r="AG360" i="15"/>
  <c r="AF360" i="15"/>
  <c r="AE360" i="15"/>
  <c r="AD360" i="15"/>
  <c r="Z360" i="15"/>
  <c r="S360" i="15"/>
  <c r="R360" i="15"/>
  <c r="P360" i="15"/>
  <c r="L360" i="15"/>
  <c r="AA360" i="15"/>
  <c r="C360" i="15"/>
  <c r="B360" i="15"/>
  <c r="AJ234" i="15"/>
  <c r="AI234" i="15"/>
  <c r="AH234" i="15"/>
  <c r="AG234" i="15"/>
  <c r="AF234" i="15"/>
  <c r="AE234" i="15"/>
  <c r="AD234" i="15"/>
  <c r="Z234" i="15"/>
  <c r="S234" i="15"/>
  <c r="R234" i="15"/>
  <c r="P234" i="15"/>
  <c r="L234" i="15"/>
  <c r="AA234" i="15"/>
  <c r="B234" i="15"/>
  <c r="AJ224" i="15"/>
  <c r="O327" i="18" s="1"/>
  <c r="AI224" i="15"/>
  <c r="M327" i="18" s="1"/>
  <c r="AH224" i="15"/>
  <c r="N327" i="18" s="1"/>
  <c r="AG224" i="15"/>
  <c r="L327" i="18" s="1"/>
  <c r="AF224" i="15"/>
  <c r="K327" i="18" s="1"/>
  <c r="AE224" i="15"/>
  <c r="J327" i="18" s="1"/>
  <c r="AD224" i="15"/>
  <c r="I327" i="18" s="1"/>
  <c r="Z224" i="15"/>
  <c r="S224" i="15"/>
  <c r="R224" i="15"/>
  <c r="P224" i="15"/>
  <c r="L224" i="15"/>
  <c r="B224" i="15"/>
  <c r="AJ218" i="15"/>
  <c r="O297" i="18" s="1"/>
  <c r="AI218" i="15"/>
  <c r="M297" i="18" s="1"/>
  <c r="AH218" i="15"/>
  <c r="N297" i="18" s="1"/>
  <c r="AG218" i="15"/>
  <c r="L297" i="18" s="1"/>
  <c r="AF218" i="15"/>
  <c r="K297" i="18" s="1"/>
  <c r="AE218" i="15"/>
  <c r="J297" i="18" s="1"/>
  <c r="AD218" i="15"/>
  <c r="I297" i="18" s="1"/>
  <c r="Z218" i="15"/>
  <c r="S218" i="15"/>
  <c r="R218" i="15"/>
  <c r="P218" i="15"/>
  <c r="L218" i="15"/>
  <c r="AB218" i="15"/>
  <c r="B218" i="15"/>
  <c r="AJ222" i="15"/>
  <c r="AI222" i="15"/>
  <c r="AH222" i="15"/>
  <c r="AG222" i="15"/>
  <c r="AF222" i="15"/>
  <c r="AE222" i="15"/>
  <c r="AD222" i="15"/>
  <c r="Z222" i="15"/>
  <c r="S222" i="15"/>
  <c r="R222" i="15"/>
  <c r="P222" i="15"/>
  <c r="L222" i="15"/>
  <c r="AA222" i="15"/>
  <c r="C222" i="15"/>
  <c r="B222" i="15"/>
  <c r="AJ208" i="15"/>
  <c r="AI208" i="15"/>
  <c r="AH208" i="15"/>
  <c r="AG208" i="15"/>
  <c r="AF208" i="15"/>
  <c r="AE208" i="15"/>
  <c r="AD208" i="15"/>
  <c r="Z208" i="15"/>
  <c r="S208" i="15"/>
  <c r="R208" i="15"/>
  <c r="P208" i="15"/>
  <c r="L208" i="15"/>
  <c r="C208" i="15"/>
  <c r="B208" i="15"/>
  <c r="AJ258" i="15"/>
  <c r="O725" i="18" s="1"/>
  <c r="AI258" i="15"/>
  <c r="M725" i="18" s="1"/>
  <c r="AH258" i="15"/>
  <c r="AG258" i="15"/>
  <c r="AF258" i="15"/>
  <c r="K725" i="18" s="1"/>
  <c r="AE258" i="15"/>
  <c r="J725" i="18" s="1"/>
  <c r="AD258" i="15"/>
  <c r="I725" i="18" s="1"/>
  <c r="Z258" i="15"/>
  <c r="S258" i="15"/>
  <c r="R258" i="15"/>
  <c r="P258" i="15"/>
  <c r="O258" i="15"/>
  <c r="L258" i="15"/>
  <c r="AK258" i="15"/>
  <c r="C258" i="15"/>
  <c r="B258" i="15"/>
  <c r="AJ630" i="15"/>
  <c r="AI630" i="15"/>
  <c r="AH630" i="15"/>
  <c r="AG630" i="15"/>
  <c r="AF630" i="15"/>
  <c r="AE630" i="15"/>
  <c r="AD630" i="15"/>
  <c r="Z630" i="15"/>
  <c r="S630" i="15"/>
  <c r="R630" i="15"/>
  <c r="P630" i="15"/>
  <c r="L630" i="15"/>
  <c r="AB630" i="15"/>
  <c r="C630" i="15"/>
  <c r="B630" i="15"/>
  <c r="AJ628" i="15"/>
  <c r="AI628" i="15"/>
  <c r="AH628" i="15"/>
  <c r="AG628" i="15"/>
  <c r="AF628" i="15"/>
  <c r="AE628" i="15"/>
  <c r="AD628" i="15"/>
  <c r="Z628" i="15"/>
  <c r="S628" i="15"/>
  <c r="R628" i="15"/>
  <c r="P628" i="15"/>
  <c r="L628" i="15"/>
  <c r="C628" i="15"/>
  <c r="B628" i="15"/>
  <c r="AK455" i="15"/>
  <c r="Q673" i="18" s="1"/>
  <c r="AJ455" i="15"/>
  <c r="O673" i="18" s="1"/>
  <c r="AI455" i="15"/>
  <c r="M673" i="18" s="1"/>
  <c r="AH455" i="15"/>
  <c r="N673" i="18" s="1"/>
  <c r="AG455" i="15"/>
  <c r="L673" i="18" s="1"/>
  <c r="AF455" i="15"/>
  <c r="K673" i="18" s="1"/>
  <c r="AE455" i="15"/>
  <c r="J673" i="18" s="1"/>
  <c r="AD455" i="15"/>
  <c r="I673" i="18" s="1"/>
  <c r="AB455" i="15"/>
  <c r="AA455" i="15"/>
  <c r="Z455" i="15"/>
  <c r="X455" i="15"/>
  <c r="W455" i="15"/>
  <c r="S455" i="15"/>
  <c r="R455" i="15"/>
  <c r="P455" i="15"/>
  <c r="O455" i="15"/>
  <c r="L455" i="15"/>
  <c r="B455" i="15"/>
  <c r="AJ694" i="15"/>
  <c r="O978" i="18" s="1"/>
  <c r="AI694" i="15"/>
  <c r="M978" i="18" s="1"/>
  <c r="AH694" i="15"/>
  <c r="N978" i="18" s="1"/>
  <c r="AG694" i="15"/>
  <c r="L978" i="18" s="1"/>
  <c r="AF694" i="15"/>
  <c r="K978" i="18" s="1"/>
  <c r="AE694" i="15"/>
  <c r="J978" i="18" s="1"/>
  <c r="AD694" i="15"/>
  <c r="I978" i="18" s="1"/>
  <c r="Z694" i="15"/>
  <c r="S694" i="15"/>
  <c r="R694" i="15"/>
  <c r="P694" i="15"/>
  <c r="L694" i="15"/>
  <c r="AB694" i="15"/>
  <c r="C694" i="15"/>
  <c r="B694" i="15"/>
  <c r="AJ688" i="15"/>
  <c r="O948" i="18" s="1"/>
  <c r="AI688" i="15"/>
  <c r="M948" i="18" s="1"/>
  <c r="AH688" i="15"/>
  <c r="N948" i="18" s="1"/>
  <c r="AG688" i="15"/>
  <c r="L948" i="18" s="1"/>
  <c r="AF688" i="15"/>
  <c r="K948" i="18" s="1"/>
  <c r="AE688" i="15"/>
  <c r="J948" i="18" s="1"/>
  <c r="AD688" i="15"/>
  <c r="I948" i="18" s="1"/>
  <c r="Z688" i="15"/>
  <c r="S688" i="15"/>
  <c r="R688" i="15"/>
  <c r="P688" i="15"/>
  <c r="O688" i="15"/>
  <c r="L688" i="15"/>
  <c r="C688" i="15"/>
  <c r="B688" i="15"/>
  <c r="AJ373" i="15"/>
  <c r="O111" i="18" s="1"/>
  <c r="AI373" i="15"/>
  <c r="M111" i="18" s="1"/>
  <c r="AH373" i="15"/>
  <c r="N111" i="18" s="1"/>
  <c r="AG373" i="15"/>
  <c r="L111" i="18" s="1"/>
  <c r="AF373" i="15"/>
  <c r="K111" i="18" s="1"/>
  <c r="AE373" i="15"/>
  <c r="J111" i="18" s="1"/>
  <c r="AD373" i="15"/>
  <c r="I111" i="18" s="1"/>
  <c r="Z373" i="15"/>
  <c r="S373" i="15"/>
  <c r="R373" i="15"/>
  <c r="P373" i="15"/>
  <c r="L373" i="15"/>
  <c r="AA373" i="15"/>
  <c r="C373" i="15"/>
  <c r="B373" i="15"/>
  <c r="AK703" i="15"/>
  <c r="Q1016" i="18" s="1"/>
  <c r="AJ703" i="15"/>
  <c r="AI703" i="15"/>
  <c r="M1016" i="18" s="1"/>
  <c r="AH703" i="15"/>
  <c r="N1016" i="18" s="1"/>
  <c r="AG703" i="15"/>
  <c r="L1016" i="18" s="1"/>
  <c r="AF703" i="15"/>
  <c r="K1016" i="18" s="1"/>
  <c r="AE703" i="15"/>
  <c r="J1016" i="18" s="1"/>
  <c r="AD703" i="15"/>
  <c r="I1016" i="18" s="1"/>
  <c r="AB703" i="15"/>
  <c r="AA703" i="15"/>
  <c r="Z703" i="15"/>
  <c r="X703" i="15"/>
  <c r="W703" i="15"/>
  <c r="S703" i="15"/>
  <c r="R703" i="15"/>
  <c r="P703" i="15"/>
  <c r="O703" i="15"/>
  <c r="L703" i="15"/>
  <c r="C703" i="15"/>
  <c r="B703" i="15"/>
  <c r="AJ385" i="15"/>
  <c r="AI385" i="15"/>
  <c r="AH385" i="15"/>
  <c r="AG385" i="15"/>
  <c r="AF385" i="15"/>
  <c r="AE385" i="15"/>
  <c r="AD385" i="15"/>
  <c r="Z385" i="15"/>
  <c r="S385" i="15"/>
  <c r="R385" i="15"/>
  <c r="P385" i="15"/>
  <c r="O385" i="15"/>
  <c r="L385" i="15"/>
  <c r="C385" i="15"/>
  <c r="B385" i="15"/>
  <c r="AJ370" i="15"/>
  <c r="AI370" i="15"/>
  <c r="AH370" i="15"/>
  <c r="AG370" i="15"/>
  <c r="AF370" i="15"/>
  <c r="AE370" i="15"/>
  <c r="AD370" i="15"/>
  <c r="Z370" i="15"/>
  <c r="S370" i="15"/>
  <c r="R370" i="15"/>
  <c r="P370" i="15"/>
  <c r="O370" i="15"/>
  <c r="L370" i="15"/>
  <c r="AK370" i="15"/>
  <c r="C370" i="15"/>
  <c r="B370" i="15"/>
  <c r="AK411" i="15"/>
  <c r="Q561" i="18" s="1"/>
  <c r="AJ411" i="15"/>
  <c r="O561" i="18" s="1"/>
  <c r="AI411" i="15"/>
  <c r="M561" i="18" s="1"/>
  <c r="AH411" i="15"/>
  <c r="N561" i="18" s="1"/>
  <c r="AG411" i="15"/>
  <c r="L561" i="18" s="1"/>
  <c r="AF411" i="15"/>
  <c r="K561" i="18" s="1"/>
  <c r="AE411" i="15"/>
  <c r="J561" i="18" s="1"/>
  <c r="AD411" i="15"/>
  <c r="I561" i="18" s="1"/>
  <c r="AB411" i="15"/>
  <c r="AA411" i="15"/>
  <c r="Z411" i="15"/>
  <c r="X411" i="15"/>
  <c r="W411" i="15"/>
  <c r="S411" i="15"/>
  <c r="R411" i="15"/>
  <c r="P411" i="15"/>
  <c r="O411" i="15"/>
  <c r="L411" i="15"/>
  <c r="B411" i="15"/>
  <c r="AJ399" i="15"/>
  <c r="O530" i="18" s="1"/>
  <c r="AI399" i="15"/>
  <c r="M530" i="18" s="1"/>
  <c r="AH399" i="15"/>
  <c r="N530" i="18" s="1"/>
  <c r="AG399" i="15"/>
  <c r="L530" i="18" s="1"/>
  <c r="AF399" i="15"/>
  <c r="K530" i="18" s="1"/>
  <c r="AE399" i="15"/>
  <c r="J530" i="18" s="1"/>
  <c r="AD399" i="15"/>
  <c r="I530" i="18" s="1"/>
  <c r="Z399" i="15"/>
  <c r="S399" i="15"/>
  <c r="R399" i="15"/>
  <c r="P399" i="15"/>
  <c r="O399" i="15"/>
  <c r="L399" i="15"/>
  <c r="C399" i="15"/>
  <c r="B399" i="15"/>
  <c r="AJ386" i="15"/>
  <c r="O499" i="18" s="1"/>
  <c r="AI386" i="15"/>
  <c r="M499" i="18" s="1"/>
  <c r="AH386" i="15"/>
  <c r="N499" i="18" s="1"/>
  <c r="AG386" i="15"/>
  <c r="L499" i="18" s="1"/>
  <c r="AF386" i="15"/>
  <c r="K499" i="18" s="1"/>
  <c r="AE386" i="15"/>
  <c r="J499" i="18" s="1"/>
  <c r="AD386" i="15"/>
  <c r="I499" i="18" s="1"/>
  <c r="Z386" i="15"/>
  <c r="S386" i="15"/>
  <c r="R386" i="15"/>
  <c r="P386" i="15"/>
  <c r="O386" i="15"/>
  <c r="L386" i="15"/>
  <c r="AK386" i="15"/>
  <c r="Q499" i="18" s="1"/>
  <c r="C386" i="15"/>
  <c r="B386" i="15"/>
  <c r="AJ388" i="15"/>
  <c r="O142" i="18" s="1"/>
  <c r="AI388" i="15"/>
  <c r="M142" i="18" s="1"/>
  <c r="AH388" i="15"/>
  <c r="N142" i="18" s="1"/>
  <c r="AG388" i="15"/>
  <c r="L142" i="18" s="1"/>
  <c r="AF388" i="15"/>
  <c r="K142" i="18" s="1"/>
  <c r="AE388" i="15"/>
  <c r="J142" i="18" s="1"/>
  <c r="AD388" i="15"/>
  <c r="I142" i="18" s="1"/>
  <c r="Z388" i="15"/>
  <c r="S388" i="15"/>
  <c r="R388" i="15"/>
  <c r="P388" i="15"/>
  <c r="L388" i="15"/>
  <c r="C388" i="15"/>
  <c r="B388" i="15"/>
  <c r="AK447" i="15"/>
  <c r="Q106" i="18" s="1"/>
  <c r="AJ447" i="15"/>
  <c r="O106" i="18" s="1"/>
  <c r="AI447" i="15"/>
  <c r="M106" i="18" s="1"/>
  <c r="AH447" i="15"/>
  <c r="N106" i="18" s="1"/>
  <c r="AG447" i="15"/>
  <c r="L106" i="18" s="1"/>
  <c r="AF447" i="15"/>
  <c r="K106" i="18" s="1"/>
  <c r="AE447" i="15"/>
  <c r="J106" i="18" s="1"/>
  <c r="AD447" i="15"/>
  <c r="I106" i="18" s="1"/>
  <c r="AB447" i="15"/>
  <c r="AA447" i="15"/>
  <c r="Z447" i="15"/>
  <c r="X447" i="15"/>
  <c r="W447" i="15"/>
  <c r="S447" i="15"/>
  <c r="R447" i="15"/>
  <c r="P447" i="15"/>
  <c r="O447" i="15"/>
  <c r="L447" i="15"/>
  <c r="C447" i="15"/>
  <c r="B447" i="15"/>
  <c r="AJ434" i="15"/>
  <c r="O75" i="18" s="1"/>
  <c r="AI434" i="15"/>
  <c r="M75" i="18" s="1"/>
  <c r="AH434" i="15"/>
  <c r="N75" i="18" s="1"/>
  <c r="AG434" i="15"/>
  <c r="L75" i="18" s="1"/>
  <c r="AF434" i="15"/>
  <c r="K75" i="18" s="1"/>
  <c r="AE434" i="15"/>
  <c r="J75" i="18" s="1"/>
  <c r="AD434" i="15"/>
  <c r="I75" i="18" s="1"/>
  <c r="Z434" i="15"/>
  <c r="S434" i="15"/>
  <c r="R434" i="15"/>
  <c r="P434" i="15"/>
  <c r="O434" i="15"/>
  <c r="L434" i="15"/>
  <c r="AB434" i="15"/>
  <c r="C434" i="15"/>
  <c r="B434" i="15"/>
  <c r="AK743" i="15"/>
  <c r="Q1253" i="18" s="1"/>
  <c r="AJ743" i="15"/>
  <c r="O1253" i="18" s="1"/>
  <c r="AI743" i="15"/>
  <c r="M1253" i="18" s="1"/>
  <c r="AH743" i="15"/>
  <c r="N1253" i="18" s="1"/>
  <c r="AG743" i="15"/>
  <c r="L1253" i="18" s="1"/>
  <c r="AF743" i="15"/>
  <c r="K1253" i="18" s="1"/>
  <c r="AE743" i="15"/>
  <c r="J1253" i="18" s="1"/>
  <c r="AD743" i="15"/>
  <c r="I1253" i="18" s="1"/>
  <c r="AB743" i="15"/>
  <c r="AA743" i="15"/>
  <c r="Z743" i="15"/>
  <c r="X743" i="15"/>
  <c r="W743" i="15"/>
  <c r="S743" i="15"/>
  <c r="R743" i="15"/>
  <c r="P743" i="15"/>
  <c r="O743" i="15"/>
  <c r="L743" i="15"/>
  <c r="C743" i="15"/>
  <c r="B743" i="15"/>
  <c r="AJ281" i="15"/>
  <c r="AI281" i="15"/>
  <c r="AH281" i="15"/>
  <c r="AG281" i="15"/>
  <c r="AF281" i="15"/>
  <c r="AE281" i="15"/>
  <c r="AD281" i="15"/>
  <c r="Z281" i="15"/>
  <c r="S281" i="15"/>
  <c r="R281" i="15"/>
  <c r="P281" i="15"/>
  <c r="O281" i="15"/>
  <c r="L281" i="15"/>
  <c r="AB281" i="15"/>
  <c r="C281" i="15"/>
  <c r="B281" i="15"/>
  <c r="AK482" i="15"/>
  <c r="AJ482" i="15"/>
  <c r="O735" i="18" s="1"/>
  <c r="AI482" i="15"/>
  <c r="M735" i="18" s="1"/>
  <c r="AH482" i="15"/>
  <c r="N735" i="18" s="1"/>
  <c r="AG482" i="15"/>
  <c r="L735" i="18" s="1"/>
  <c r="AF482" i="15"/>
  <c r="K735" i="18" s="1"/>
  <c r="AE482" i="15"/>
  <c r="J735" i="18" s="1"/>
  <c r="AD482" i="15"/>
  <c r="I735" i="18" s="1"/>
  <c r="AB482" i="15"/>
  <c r="AA482" i="15"/>
  <c r="Z482" i="15"/>
  <c r="X482" i="15"/>
  <c r="W482" i="15"/>
  <c r="S482" i="15"/>
  <c r="R482" i="15"/>
  <c r="P482" i="15"/>
  <c r="L482" i="15"/>
  <c r="C482" i="15"/>
  <c r="B482" i="15"/>
  <c r="AK664" i="15"/>
  <c r="AJ664" i="15"/>
  <c r="AI664" i="15"/>
  <c r="AH664" i="15"/>
  <c r="AG664" i="15"/>
  <c r="AF664" i="15"/>
  <c r="AE664" i="15"/>
  <c r="AD664" i="15"/>
  <c r="AB664" i="15"/>
  <c r="AA664" i="15"/>
  <c r="Z664" i="15"/>
  <c r="X664" i="15"/>
  <c r="W664" i="15"/>
  <c r="S664" i="15"/>
  <c r="R664" i="15"/>
  <c r="P664" i="15"/>
  <c r="L664" i="15"/>
  <c r="C664" i="15"/>
  <c r="B664" i="15"/>
  <c r="AJ487" i="15"/>
  <c r="AI487" i="15"/>
  <c r="AH487" i="15"/>
  <c r="AG487" i="15"/>
  <c r="AF487" i="15"/>
  <c r="AE487" i="15"/>
  <c r="AD487" i="15"/>
  <c r="Z487" i="15"/>
  <c r="S487" i="15"/>
  <c r="R487" i="15"/>
  <c r="P487" i="15"/>
  <c r="L487" i="15"/>
  <c r="AK487" i="15"/>
  <c r="C487" i="15"/>
  <c r="B487" i="15"/>
  <c r="AJ546" i="15"/>
  <c r="AI546" i="15"/>
  <c r="AH546" i="15"/>
  <c r="AG546" i="15"/>
  <c r="AF546" i="15"/>
  <c r="AE546" i="15"/>
  <c r="AD546" i="15"/>
  <c r="Z546" i="15"/>
  <c r="S546" i="15"/>
  <c r="R546" i="15"/>
  <c r="P546" i="15"/>
  <c r="L546" i="15"/>
  <c r="AK546" i="15"/>
  <c r="C546" i="15"/>
  <c r="B546" i="15"/>
  <c r="AJ361" i="15"/>
  <c r="AI361" i="15"/>
  <c r="AH361" i="15"/>
  <c r="AG361" i="15"/>
  <c r="AF361" i="15"/>
  <c r="AE361" i="15"/>
  <c r="AD361" i="15"/>
  <c r="Z361" i="15"/>
  <c r="S361" i="15"/>
  <c r="R361" i="15"/>
  <c r="P361" i="15"/>
  <c r="L361" i="15"/>
  <c r="AK361" i="15"/>
  <c r="C361" i="15"/>
  <c r="B361" i="15"/>
  <c r="AJ765" i="15"/>
  <c r="AI765" i="15"/>
  <c r="AH765" i="15"/>
  <c r="AG765" i="15"/>
  <c r="AF765" i="15"/>
  <c r="AE765" i="15"/>
  <c r="AD765" i="15"/>
  <c r="Z765" i="15"/>
  <c r="S765" i="15"/>
  <c r="R765" i="15"/>
  <c r="P765" i="15"/>
  <c r="L765" i="15"/>
  <c r="AB765" i="15"/>
  <c r="C765" i="15"/>
  <c r="B765" i="15"/>
  <c r="AK746" i="15"/>
  <c r="Q1272" i="18" s="1"/>
  <c r="AJ746" i="15"/>
  <c r="O1272" i="18" s="1"/>
  <c r="AI746" i="15"/>
  <c r="M1272" i="18" s="1"/>
  <c r="AH746" i="15"/>
  <c r="N1272" i="18" s="1"/>
  <c r="AG746" i="15"/>
  <c r="L1272" i="18" s="1"/>
  <c r="AF746" i="15"/>
  <c r="K1272" i="18" s="1"/>
  <c r="AE746" i="15"/>
  <c r="J1272" i="18" s="1"/>
  <c r="AD746" i="15"/>
  <c r="I1272" i="18" s="1"/>
  <c r="AB746" i="15"/>
  <c r="AA746" i="15"/>
  <c r="Z746" i="15"/>
  <c r="X746" i="15"/>
  <c r="W746" i="15"/>
  <c r="S746" i="15"/>
  <c r="R746" i="15"/>
  <c r="P746" i="15"/>
  <c r="L746" i="15"/>
  <c r="C746" i="15"/>
  <c r="B746" i="15"/>
  <c r="AJ306" i="15"/>
  <c r="O376" i="18" s="1"/>
  <c r="AI306" i="15"/>
  <c r="M376" i="18" s="1"/>
  <c r="AH306" i="15"/>
  <c r="N376" i="18" s="1"/>
  <c r="AG306" i="15"/>
  <c r="L376" i="18" s="1"/>
  <c r="AF306" i="15"/>
  <c r="K376" i="18" s="1"/>
  <c r="AE306" i="15"/>
  <c r="J376" i="18" s="1"/>
  <c r="AD306" i="15"/>
  <c r="I376" i="18" s="1"/>
  <c r="Z306" i="15"/>
  <c r="S306" i="15"/>
  <c r="R306" i="15"/>
  <c r="P306" i="15"/>
  <c r="L306" i="15"/>
  <c r="AK306" i="15"/>
  <c r="Q376" i="18" s="1"/>
  <c r="C306" i="15"/>
  <c r="B306" i="15"/>
  <c r="AK393" i="15"/>
  <c r="Q522" i="18" s="1"/>
  <c r="AJ393" i="15"/>
  <c r="O522" i="18" s="1"/>
  <c r="AI393" i="15"/>
  <c r="M522" i="18" s="1"/>
  <c r="AH393" i="15"/>
  <c r="N522" i="18" s="1"/>
  <c r="AG393" i="15"/>
  <c r="L522" i="18" s="1"/>
  <c r="AF393" i="15"/>
  <c r="K522" i="18" s="1"/>
  <c r="AE393" i="15"/>
  <c r="J522" i="18" s="1"/>
  <c r="AD393" i="15"/>
  <c r="I522" i="18" s="1"/>
  <c r="AB393" i="15"/>
  <c r="AA393" i="15"/>
  <c r="Z393" i="15"/>
  <c r="X393" i="15"/>
  <c r="W393" i="15"/>
  <c r="S393" i="15"/>
  <c r="R393" i="15"/>
  <c r="P393" i="15"/>
  <c r="L393" i="15"/>
  <c r="C393" i="15"/>
  <c r="B393" i="15"/>
  <c r="AK199" i="15"/>
  <c r="Q267" i="18" s="1"/>
  <c r="AJ199" i="15"/>
  <c r="O267" i="18" s="1"/>
  <c r="AI199" i="15"/>
  <c r="M267" i="18" s="1"/>
  <c r="AH199" i="15"/>
  <c r="N267" i="18" s="1"/>
  <c r="AG199" i="15"/>
  <c r="L267" i="18" s="1"/>
  <c r="AF199" i="15"/>
  <c r="K267" i="18" s="1"/>
  <c r="AE199" i="15"/>
  <c r="J267" i="18" s="1"/>
  <c r="AD199" i="15"/>
  <c r="I267" i="18" s="1"/>
  <c r="AB199" i="15"/>
  <c r="AA199" i="15"/>
  <c r="Z199" i="15"/>
  <c r="X199" i="15"/>
  <c r="W199" i="15"/>
  <c r="G14" i="9" s="1"/>
  <c r="S199" i="15"/>
  <c r="R199" i="15"/>
  <c r="P199" i="15"/>
  <c r="L199" i="15"/>
  <c r="B199" i="15"/>
  <c r="AJ217" i="15"/>
  <c r="O237" i="18" s="1"/>
  <c r="AI217" i="15"/>
  <c r="M237" i="18" s="1"/>
  <c r="AH217" i="15"/>
  <c r="N237" i="18" s="1"/>
  <c r="AG217" i="15"/>
  <c r="L237" i="18" s="1"/>
  <c r="AF217" i="15"/>
  <c r="K237" i="18" s="1"/>
  <c r="AE217" i="15"/>
  <c r="J237" i="18" s="1"/>
  <c r="AD217" i="15"/>
  <c r="I237" i="18" s="1"/>
  <c r="Z217" i="15"/>
  <c r="S217" i="15"/>
  <c r="R217" i="15"/>
  <c r="P217" i="15"/>
  <c r="L217" i="15"/>
  <c r="C217" i="15"/>
  <c r="B217" i="15"/>
  <c r="AK625" i="15"/>
  <c r="AJ625" i="15"/>
  <c r="AI625" i="15"/>
  <c r="AH625" i="15"/>
  <c r="AG625" i="15"/>
  <c r="AF625" i="15"/>
  <c r="AE625" i="15"/>
  <c r="AD625" i="15"/>
  <c r="AB625" i="15"/>
  <c r="AA625" i="15"/>
  <c r="Z625" i="15"/>
  <c r="X625" i="15"/>
  <c r="W625" i="15"/>
  <c r="S625" i="15"/>
  <c r="R625" i="15"/>
  <c r="P625" i="15"/>
  <c r="O625" i="15"/>
  <c r="L625" i="15"/>
  <c r="C625" i="15"/>
  <c r="B625" i="15"/>
  <c r="AJ623" i="15"/>
  <c r="AI623" i="15"/>
  <c r="AH623" i="15"/>
  <c r="AG623" i="15"/>
  <c r="AF623" i="15"/>
  <c r="AE623" i="15"/>
  <c r="AD623" i="15"/>
  <c r="Z623" i="15"/>
  <c r="S623" i="15"/>
  <c r="R623" i="15"/>
  <c r="P623" i="15"/>
  <c r="O623" i="15"/>
  <c r="L623" i="15"/>
  <c r="C623" i="15"/>
  <c r="B623" i="15"/>
  <c r="AJ621" i="15"/>
  <c r="AI621" i="15"/>
  <c r="AH621" i="15"/>
  <c r="AG621" i="15"/>
  <c r="AF621" i="15"/>
  <c r="AE621" i="15"/>
  <c r="AD621" i="15"/>
  <c r="Z621" i="15"/>
  <c r="S621" i="15"/>
  <c r="R621" i="15"/>
  <c r="P621" i="15"/>
  <c r="O621" i="15"/>
  <c r="L621" i="15"/>
  <c r="AA621" i="15"/>
  <c r="C621" i="15"/>
  <c r="B621" i="15"/>
  <c r="AJ576" i="15"/>
  <c r="AI576" i="15"/>
  <c r="AH576" i="15"/>
  <c r="AG576" i="15"/>
  <c r="AF576" i="15"/>
  <c r="AE576" i="15"/>
  <c r="AD576" i="15"/>
  <c r="Z576" i="15"/>
  <c r="S576" i="15"/>
  <c r="R576" i="15"/>
  <c r="P576" i="15"/>
  <c r="L576" i="15"/>
  <c r="C576" i="15"/>
  <c r="B576" i="15"/>
  <c r="AK257" i="15"/>
  <c r="AJ257" i="15"/>
  <c r="AI257" i="15"/>
  <c r="AH257" i="15"/>
  <c r="AG257" i="15"/>
  <c r="AF257" i="15"/>
  <c r="AE257" i="15"/>
  <c r="AD257" i="15"/>
  <c r="AB257" i="15"/>
  <c r="AA257" i="15"/>
  <c r="Z257" i="15"/>
  <c r="X257" i="15"/>
  <c r="W257" i="15"/>
  <c r="S257" i="15"/>
  <c r="R257" i="15"/>
  <c r="P257" i="15"/>
  <c r="L257" i="15"/>
  <c r="C257" i="15"/>
  <c r="B257" i="15"/>
  <c r="AJ166" i="15"/>
  <c r="AH166" i="15"/>
  <c r="AG166" i="15"/>
  <c r="AF166" i="15"/>
  <c r="AE166" i="15"/>
  <c r="AD166" i="15"/>
  <c r="Z166" i="15"/>
  <c r="S166" i="15"/>
  <c r="R166" i="15"/>
  <c r="P166" i="15"/>
  <c r="L166" i="15"/>
  <c r="B166" i="15"/>
  <c r="AJ302" i="15"/>
  <c r="AI302" i="15"/>
  <c r="AH302" i="15"/>
  <c r="AG302" i="15"/>
  <c r="AF302" i="15"/>
  <c r="AE302" i="15"/>
  <c r="AD302" i="15"/>
  <c r="Z302" i="15"/>
  <c r="S302" i="15"/>
  <c r="R302" i="15"/>
  <c r="P302" i="15"/>
  <c r="O302" i="15"/>
  <c r="L302" i="15"/>
  <c r="AA302" i="15"/>
  <c r="C302" i="15"/>
  <c r="B302" i="15"/>
  <c r="AJ648" i="15"/>
  <c r="AI648" i="15"/>
  <c r="AH648" i="15"/>
  <c r="AG648" i="15"/>
  <c r="AF648" i="15"/>
  <c r="AE648" i="15"/>
  <c r="AD648" i="15"/>
  <c r="Z648" i="15"/>
  <c r="S648" i="15"/>
  <c r="R648" i="15"/>
  <c r="P648" i="15"/>
  <c r="L648" i="15"/>
  <c r="C648" i="15"/>
  <c r="B648" i="15"/>
  <c r="AJ672" i="15"/>
  <c r="O859" i="18" s="1"/>
  <c r="AI672" i="15"/>
  <c r="M859" i="18" s="1"/>
  <c r="AH672" i="15"/>
  <c r="N859" i="18" s="1"/>
  <c r="AF672" i="15"/>
  <c r="K859" i="18" s="1"/>
  <c r="AE672" i="15"/>
  <c r="J859" i="18" s="1"/>
  <c r="AD672" i="15"/>
  <c r="I859" i="18" s="1"/>
  <c r="Z672" i="15"/>
  <c r="S672" i="15"/>
  <c r="R672" i="15"/>
  <c r="P672" i="15"/>
  <c r="L672" i="15"/>
  <c r="C672" i="15"/>
  <c r="B672" i="15"/>
  <c r="AJ497" i="15"/>
  <c r="AI497" i="15"/>
  <c r="AH497" i="15"/>
  <c r="AF497" i="15"/>
  <c r="AE497" i="15"/>
  <c r="AD497" i="15"/>
  <c r="Z497" i="15"/>
  <c r="S497" i="15"/>
  <c r="R497" i="15"/>
  <c r="P497" i="15"/>
  <c r="L497" i="15"/>
  <c r="C497" i="15"/>
  <c r="B497" i="15"/>
  <c r="AJ684" i="15"/>
  <c r="O921" i="18" s="1"/>
  <c r="AI684" i="15"/>
  <c r="M921" i="18" s="1"/>
  <c r="AH684" i="15"/>
  <c r="N921" i="18" s="1"/>
  <c r="AG684" i="15"/>
  <c r="L921" i="18" s="1"/>
  <c r="AF684" i="15"/>
  <c r="K921" i="18" s="1"/>
  <c r="AE684" i="15"/>
  <c r="J921" i="18" s="1"/>
  <c r="AD684" i="15"/>
  <c r="I921" i="18" s="1"/>
  <c r="Z684" i="15"/>
  <c r="S684" i="15"/>
  <c r="R684" i="15"/>
  <c r="P684" i="15"/>
  <c r="L684" i="15"/>
  <c r="W684" i="15"/>
  <c r="C684" i="15"/>
  <c r="B684" i="15"/>
  <c r="AK537" i="15"/>
  <c r="AJ537" i="15"/>
  <c r="AI537" i="15"/>
  <c r="AH537" i="15"/>
  <c r="AG537" i="15"/>
  <c r="AF537" i="15"/>
  <c r="AE537" i="15"/>
  <c r="AD537" i="15"/>
  <c r="AB537" i="15"/>
  <c r="AA537" i="15"/>
  <c r="Z537" i="15"/>
  <c r="X537" i="15"/>
  <c r="W537" i="15"/>
  <c r="S537" i="15"/>
  <c r="R537" i="15"/>
  <c r="P537" i="15"/>
  <c r="O537" i="15"/>
  <c r="L537" i="15"/>
  <c r="C537" i="15"/>
  <c r="B537" i="15"/>
  <c r="D20" i="17"/>
  <c r="C20" i="17"/>
  <c r="D14" i="17"/>
  <c r="C14" i="17"/>
  <c r="F42" i="16"/>
  <c r="E42" i="16"/>
  <c r="J398" i="18" l="1"/>
  <c r="M385" i="18"/>
  <c r="O385" i="18"/>
  <c r="I385" i="18"/>
  <c r="J385" i="18"/>
  <c r="K385" i="18"/>
  <c r="L385" i="18"/>
  <c r="I398" i="18"/>
  <c r="K398" i="18"/>
  <c r="L398" i="18"/>
  <c r="M398" i="18"/>
  <c r="O398" i="18"/>
  <c r="O370" i="18"/>
  <c r="L370" i="18"/>
  <c r="N370" i="18"/>
  <c r="M370" i="18"/>
  <c r="I370" i="18"/>
  <c r="J370" i="18"/>
  <c r="K370" i="18"/>
  <c r="C28" i="17"/>
  <c r="D28" i="17"/>
  <c r="O369" i="18"/>
  <c r="O368" i="18"/>
  <c r="K368" i="18"/>
  <c r="L368" i="18"/>
  <c r="M368" i="18"/>
  <c r="I368" i="18"/>
  <c r="J368" i="18"/>
  <c r="I367" i="18"/>
  <c r="J367" i="18"/>
  <c r="K367" i="18"/>
  <c r="L367" i="18"/>
  <c r="M367" i="18"/>
  <c r="K365" i="18"/>
  <c r="O365" i="18"/>
  <c r="M365" i="18"/>
  <c r="I365" i="18"/>
  <c r="J365" i="18"/>
  <c r="N365" i="18"/>
  <c r="O364" i="18"/>
  <c r="K364" i="18"/>
  <c r="M364" i="18"/>
  <c r="I364" i="18"/>
  <c r="J364" i="18"/>
  <c r="N538" i="18"/>
  <c r="M354" i="18"/>
  <c r="O507" i="18"/>
  <c r="O538" i="18"/>
  <c r="Q538" i="18"/>
  <c r="I476" i="18"/>
  <c r="J476" i="18"/>
  <c r="I507" i="18"/>
  <c r="K476" i="18"/>
  <c r="J507" i="18"/>
  <c r="I538" i="18"/>
  <c r="L476" i="18"/>
  <c r="K507" i="18"/>
  <c r="J538" i="18"/>
  <c r="M476" i="18"/>
  <c r="L507" i="18"/>
  <c r="K538" i="18"/>
  <c r="N476" i="18"/>
  <c r="M507" i="18"/>
  <c r="L538" i="18"/>
  <c r="O476" i="18"/>
  <c r="N507" i="18"/>
  <c r="M538" i="18"/>
  <c r="O354" i="18"/>
  <c r="N80" i="18"/>
  <c r="L80" i="18"/>
  <c r="K49" i="18"/>
  <c r="I49" i="18"/>
  <c r="J49" i="18"/>
  <c r="K354" i="18"/>
  <c r="I80" i="18"/>
  <c r="L49" i="18"/>
  <c r="N49" i="18"/>
  <c r="K80" i="18"/>
  <c r="M80" i="18"/>
  <c r="L354" i="18"/>
  <c r="I361" i="18"/>
  <c r="J361" i="18"/>
  <c r="K361" i="18"/>
  <c r="M361" i="18"/>
  <c r="O361" i="18"/>
  <c r="I354" i="18"/>
  <c r="J354" i="18"/>
  <c r="N354" i="18"/>
  <c r="K344" i="18"/>
  <c r="L344" i="18"/>
  <c r="N344" i="18"/>
  <c r="M344" i="18"/>
  <c r="O344" i="18"/>
  <c r="Q346" i="18"/>
  <c r="L406" i="18"/>
  <c r="I1378" i="18"/>
  <c r="I1382" i="18"/>
  <c r="J1378" i="18"/>
  <c r="J1382" i="18"/>
  <c r="M1164" i="18"/>
  <c r="M1168" i="18"/>
  <c r="N1164" i="18"/>
  <c r="N1168" i="18"/>
  <c r="K1378" i="18"/>
  <c r="K1382" i="18"/>
  <c r="I1408" i="18"/>
  <c r="I1412" i="18"/>
  <c r="Q1164" i="18"/>
  <c r="Q1168" i="18"/>
  <c r="O1164" i="18"/>
  <c r="O1168" i="18"/>
  <c r="I406" i="18"/>
  <c r="L1378" i="18"/>
  <c r="L1382" i="18"/>
  <c r="J1408" i="18"/>
  <c r="J1412" i="18"/>
  <c r="J406" i="18"/>
  <c r="K406" i="18"/>
  <c r="L1408" i="18"/>
  <c r="L1412" i="18"/>
  <c r="M406" i="18"/>
  <c r="O1378" i="18"/>
  <c r="O1382" i="18"/>
  <c r="N406" i="18"/>
  <c r="N1378" i="18"/>
  <c r="N1382" i="18"/>
  <c r="N1408" i="18"/>
  <c r="N1412" i="18"/>
  <c r="J1257" i="18"/>
  <c r="J1261" i="18"/>
  <c r="O406" i="18"/>
  <c r="K1408" i="18"/>
  <c r="K1412" i="18"/>
  <c r="O1408" i="18"/>
  <c r="O1412" i="18"/>
  <c r="I1164" i="18"/>
  <c r="I1168" i="18"/>
  <c r="L1257" i="18"/>
  <c r="L1261" i="18"/>
  <c r="J1164" i="18"/>
  <c r="J1168" i="18"/>
  <c r="N1257" i="18"/>
  <c r="N1261" i="18"/>
  <c r="M1408" i="18"/>
  <c r="M1412" i="18"/>
  <c r="K1257" i="18"/>
  <c r="K1261" i="18"/>
  <c r="K1164" i="18"/>
  <c r="K1168" i="18"/>
  <c r="M1257" i="18"/>
  <c r="M1261" i="18"/>
  <c r="I1257" i="18"/>
  <c r="I1261" i="18"/>
  <c r="O1012" i="18"/>
  <c r="O1016" i="18"/>
  <c r="L1164" i="18"/>
  <c r="L1168" i="18"/>
  <c r="Q1257" i="18"/>
  <c r="Q1261" i="18"/>
  <c r="O1257" i="18"/>
  <c r="O1261" i="18"/>
  <c r="M1378" i="18"/>
  <c r="M1382" i="18"/>
  <c r="L346" i="18"/>
  <c r="N346" i="18"/>
  <c r="O346" i="18"/>
  <c r="O357" i="18"/>
  <c r="I346" i="18"/>
  <c r="J346" i="18"/>
  <c r="K346" i="18"/>
  <c r="M346" i="18"/>
  <c r="I360" i="18"/>
  <c r="J360" i="18"/>
  <c r="K360" i="18"/>
  <c r="M360" i="18"/>
  <c r="O360" i="18"/>
  <c r="N357" i="18"/>
  <c r="M357" i="18"/>
  <c r="K357" i="18"/>
  <c r="J357" i="18"/>
  <c r="I357" i="18"/>
  <c r="L357" i="18"/>
  <c r="M355" i="18"/>
  <c r="N355" i="18"/>
  <c r="I355" i="18"/>
  <c r="J355" i="18"/>
  <c r="K355" i="18"/>
  <c r="L355" i="18"/>
  <c r="O358" i="18"/>
  <c r="L358" i="18"/>
  <c r="N358" i="18"/>
  <c r="I358" i="18"/>
  <c r="J358" i="18"/>
  <c r="K358" i="18"/>
  <c r="M358" i="18"/>
  <c r="M980" i="18"/>
  <c r="K920" i="18"/>
  <c r="Q980" i="18"/>
  <c r="K980" i="18"/>
  <c r="O950" i="18"/>
  <c r="M827" i="18"/>
  <c r="O1010" i="18"/>
  <c r="O827" i="18"/>
  <c r="Q1100" i="18"/>
  <c r="O734" i="18"/>
  <c r="Q889" i="18"/>
  <c r="O1070" i="18"/>
  <c r="O796" i="18"/>
  <c r="Q1070" i="18"/>
  <c r="O1100" i="18"/>
  <c r="O1436" i="18"/>
  <c r="K49" i="19" s="1"/>
  <c r="O1464" i="18"/>
  <c r="K50" i="19" s="1"/>
  <c r="O1226" i="18"/>
  <c r="O1255" i="18"/>
  <c r="O980" i="18"/>
  <c r="Q1010" i="18"/>
  <c r="O1162" i="18"/>
  <c r="O1557" i="18"/>
  <c r="K53" i="19" s="1"/>
  <c r="O920" i="18"/>
  <c r="O858" i="18"/>
  <c r="Q858" i="18"/>
  <c r="O889" i="18"/>
  <c r="M1070" i="18"/>
  <c r="I827" i="18"/>
  <c r="J980" i="18"/>
  <c r="I1010" i="18"/>
  <c r="L1100" i="18"/>
  <c r="M734" i="18"/>
  <c r="J827" i="18"/>
  <c r="K524" i="18"/>
  <c r="K1619" i="18"/>
  <c r="G55" i="19" s="1"/>
  <c r="J524" i="18"/>
  <c r="J1619" i="18"/>
  <c r="F55" i="19" s="1"/>
  <c r="N524" i="18"/>
  <c r="N1619" i="18"/>
  <c r="J55" i="19" s="1"/>
  <c r="I524" i="18"/>
  <c r="I1619" i="18"/>
  <c r="E55" i="19" s="1"/>
  <c r="M524" i="18"/>
  <c r="M1619" i="18"/>
  <c r="I55" i="19" s="1"/>
  <c r="L524" i="18"/>
  <c r="L1619" i="18"/>
  <c r="H55" i="19" s="1"/>
  <c r="I493" i="18"/>
  <c r="I1588" i="18"/>
  <c r="E54" i="19" s="1"/>
  <c r="K493" i="18"/>
  <c r="K1588" i="18"/>
  <c r="G54" i="19" s="1"/>
  <c r="J493" i="18"/>
  <c r="J1588" i="18"/>
  <c r="F54" i="19" s="1"/>
  <c r="L493" i="18"/>
  <c r="L1588" i="18"/>
  <c r="H54" i="19" s="1"/>
  <c r="N493" i="18"/>
  <c r="N1588" i="18"/>
  <c r="J54" i="19" s="1"/>
  <c r="M493" i="18"/>
  <c r="M1588" i="18"/>
  <c r="I54" i="19" s="1"/>
  <c r="N1255" i="18"/>
  <c r="N1100" i="18"/>
  <c r="I889" i="18"/>
  <c r="N920" i="18"/>
  <c r="L950" i="18"/>
  <c r="M920" i="18"/>
  <c r="N858" i="18"/>
  <c r="L889" i="18"/>
  <c r="J1070" i="18"/>
  <c r="J1010" i="18"/>
  <c r="I920" i="18"/>
  <c r="L980" i="18"/>
  <c r="M1255" i="18"/>
  <c r="J920" i="18"/>
  <c r="I950" i="18"/>
  <c r="N980" i="18"/>
  <c r="L1010" i="18"/>
  <c r="N1070" i="18"/>
  <c r="M796" i="18"/>
  <c r="K1010" i="18"/>
  <c r="M1100" i="18"/>
  <c r="I1464" i="18"/>
  <c r="E50" i="19" s="1"/>
  <c r="I1495" i="18"/>
  <c r="E51" i="19" s="1"/>
  <c r="I858" i="18"/>
  <c r="L920" i="18"/>
  <c r="K950" i="18"/>
  <c r="M1010" i="18"/>
  <c r="L1464" i="18"/>
  <c r="H50" i="19" s="1"/>
  <c r="L1495" i="18"/>
  <c r="H51" i="19" s="1"/>
  <c r="J858" i="18"/>
  <c r="M1464" i="18"/>
  <c r="I50" i="19" s="1"/>
  <c r="M1495" i="18"/>
  <c r="I51" i="19" s="1"/>
  <c r="J1464" i="18"/>
  <c r="F50" i="19" s="1"/>
  <c r="J1495" i="18"/>
  <c r="F51" i="19" s="1"/>
  <c r="N1010" i="18"/>
  <c r="I734" i="18"/>
  <c r="K858" i="18"/>
  <c r="J889" i="18"/>
  <c r="N950" i="18"/>
  <c r="K1464" i="18"/>
  <c r="G50" i="19" s="1"/>
  <c r="K1495" i="18"/>
  <c r="G51" i="19" s="1"/>
  <c r="J734" i="18"/>
  <c r="L858" i="18"/>
  <c r="K889" i="18"/>
  <c r="M950" i="18"/>
  <c r="I1070" i="18"/>
  <c r="K827" i="18"/>
  <c r="K734" i="18"/>
  <c r="Q920" i="18"/>
  <c r="I1100" i="18"/>
  <c r="L827" i="18"/>
  <c r="L734" i="18"/>
  <c r="I796" i="18"/>
  <c r="M858" i="18"/>
  <c r="N889" i="18"/>
  <c r="Q950" i="18"/>
  <c r="K1070" i="18"/>
  <c r="J1100" i="18"/>
  <c r="J950" i="18"/>
  <c r="I1255" i="18"/>
  <c r="J1255" i="18"/>
  <c r="N734" i="18"/>
  <c r="J796" i="18"/>
  <c r="M889" i="18"/>
  <c r="I980" i="18"/>
  <c r="L1070" i="18"/>
  <c r="K1100" i="18"/>
  <c r="K796" i="18"/>
  <c r="Q1436" i="18"/>
  <c r="L49" i="19" s="1"/>
  <c r="I340" i="18"/>
  <c r="K705" i="18"/>
  <c r="J1376" i="18"/>
  <c r="I1376" i="18"/>
  <c r="K1376" i="18"/>
  <c r="L1376" i="18"/>
  <c r="M1376" i="18"/>
  <c r="O1376" i="18"/>
  <c r="O340" i="18"/>
  <c r="O705" i="18"/>
  <c r="I705" i="18"/>
  <c r="M462" i="18"/>
  <c r="M1162" i="18"/>
  <c r="I369" i="18"/>
  <c r="I1436" i="18"/>
  <c r="E49" i="19" s="1"/>
  <c r="J369" i="18"/>
  <c r="J1436" i="18"/>
  <c r="F49" i="19" s="1"/>
  <c r="K369" i="18"/>
  <c r="K1436" i="18"/>
  <c r="G49" i="19" s="1"/>
  <c r="L369" i="18"/>
  <c r="L1436" i="18"/>
  <c r="H49" i="19" s="1"/>
  <c r="N1436" i="18"/>
  <c r="J49" i="19" s="1"/>
  <c r="O1042" i="18"/>
  <c r="O1040" i="18"/>
  <c r="O1193" i="18"/>
  <c r="K41" i="19" s="1"/>
  <c r="M369" i="18"/>
  <c r="M1436" i="18"/>
  <c r="I49" i="19" s="1"/>
  <c r="Q341" i="18"/>
  <c r="J705" i="18"/>
  <c r="Q1042" i="18"/>
  <c r="Q1040" i="18"/>
  <c r="I462" i="18"/>
  <c r="I1162" i="18"/>
  <c r="L705" i="18"/>
  <c r="J462" i="18"/>
  <c r="J1162" i="18"/>
  <c r="N705" i="18"/>
  <c r="O1133" i="18"/>
  <c r="O1131" i="18"/>
  <c r="O767" i="18"/>
  <c r="O765" i="18"/>
  <c r="M705" i="18"/>
  <c r="Q1133" i="18"/>
  <c r="Q1131" i="18"/>
  <c r="K462" i="18"/>
  <c r="K1162" i="18"/>
  <c r="L462" i="18"/>
  <c r="L1162" i="18"/>
  <c r="N462" i="18"/>
  <c r="N1162" i="18"/>
  <c r="O1224" i="18"/>
  <c r="M1133" i="18"/>
  <c r="M1131" i="18"/>
  <c r="N767" i="18"/>
  <c r="N765" i="18"/>
  <c r="M767" i="18"/>
  <c r="M765" i="18"/>
  <c r="M1226" i="18"/>
  <c r="M1224" i="18"/>
  <c r="I1195" i="18"/>
  <c r="I1193" i="18"/>
  <c r="I1042" i="18"/>
  <c r="I1040" i="18"/>
  <c r="J1195" i="18"/>
  <c r="J1193" i="18"/>
  <c r="J1042" i="18"/>
  <c r="J1040" i="18"/>
  <c r="K1195" i="18"/>
  <c r="K1193" i="18"/>
  <c r="K1042" i="18"/>
  <c r="K1040" i="18"/>
  <c r="J767" i="18"/>
  <c r="J765" i="18"/>
  <c r="L1195" i="18"/>
  <c r="L1193" i="18"/>
  <c r="L1042" i="18"/>
  <c r="L1040" i="18"/>
  <c r="N1226" i="18"/>
  <c r="N1224" i="18"/>
  <c r="N1195" i="18"/>
  <c r="N1193" i="18"/>
  <c r="I1133" i="18"/>
  <c r="I1131" i="18"/>
  <c r="N1042" i="18"/>
  <c r="N1040" i="18"/>
  <c r="L1226" i="18"/>
  <c r="L1224" i="18"/>
  <c r="N1133" i="18"/>
  <c r="N1131" i="18"/>
  <c r="M1195" i="18"/>
  <c r="M1193" i="18"/>
  <c r="I1226" i="18"/>
  <c r="I1224" i="18"/>
  <c r="J1133" i="18"/>
  <c r="J1131" i="18"/>
  <c r="M1042" i="18"/>
  <c r="M1040" i="18"/>
  <c r="I767" i="18"/>
  <c r="I765" i="18"/>
  <c r="J1226" i="18"/>
  <c r="J1224" i="18"/>
  <c r="K1133" i="18"/>
  <c r="K1131" i="18"/>
  <c r="K1226" i="18"/>
  <c r="K1224" i="18"/>
  <c r="L1133" i="18"/>
  <c r="L1131" i="18"/>
  <c r="K767" i="18"/>
  <c r="K765" i="18"/>
  <c r="K340" i="18"/>
  <c r="O341" i="18"/>
  <c r="N340" i="18"/>
  <c r="Q340" i="18"/>
  <c r="M340" i="18"/>
  <c r="J340" i="18"/>
  <c r="L340" i="18"/>
  <c r="M341" i="18"/>
  <c r="I341" i="18"/>
  <c r="J341" i="18"/>
  <c r="K341" i="18"/>
  <c r="L341" i="18"/>
  <c r="N341" i="18"/>
  <c r="O339" i="18"/>
  <c r="O616" i="18"/>
  <c r="O646" i="18"/>
  <c r="N1012" i="18"/>
  <c r="Q736" i="18"/>
  <c r="Q735" i="18"/>
  <c r="Q646" i="18"/>
  <c r="J646" i="18"/>
  <c r="I616" i="18"/>
  <c r="K646" i="18"/>
  <c r="J616" i="18"/>
  <c r="L646" i="18"/>
  <c r="L982" i="18"/>
  <c r="K616" i="18"/>
  <c r="M646" i="18"/>
  <c r="L616" i="18"/>
  <c r="N646" i="18"/>
  <c r="M616" i="18"/>
  <c r="N616" i="18"/>
  <c r="I646" i="18"/>
  <c r="I1012" i="18"/>
  <c r="J1012" i="18"/>
  <c r="F35" i="19" s="1"/>
  <c r="K982" i="18"/>
  <c r="O952" i="18"/>
  <c r="Q339" i="18"/>
  <c r="I386" i="18"/>
  <c r="J386" i="18"/>
  <c r="K1012" i="18"/>
  <c r="M798" i="18"/>
  <c r="M1012" i="18"/>
  <c r="K386" i="18"/>
  <c r="G75" i="9"/>
  <c r="C39" i="15"/>
  <c r="G45" i="19"/>
  <c r="K44" i="19"/>
  <c r="H46" i="19"/>
  <c r="Q982" i="18"/>
  <c r="I798" i="18"/>
  <c r="M339" i="18"/>
  <c r="L339" i="18"/>
  <c r="N339" i="18"/>
  <c r="O464" i="18"/>
  <c r="J417" i="18"/>
  <c r="L587" i="18"/>
  <c r="I339" i="18"/>
  <c r="J339" i="18"/>
  <c r="K339" i="18"/>
  <c r="N526" i="18"/>
  <c r="L386" i="18"/>
  <c r="O982" i="18"/>
  <c r="I587" i="18"/>
  <c r="K417" i="18"/>
  <c r="J557" i="18"/>
  <c r="O798" i="18"/>
  <c r="M417" i="18"/>
  <c r="O417" i="18"/>
  <c r="O587" i="18"/>
  <c r="H45" i="19"/>
  <c r="L44" i="19"/>
  <c r="C116" i="15"/>
  <c r="C51" i="15"/>
  <c r="C41" i="15"/>
  <c r="H2" i="18"/>
  <c r="K58" i="19"/>
  <c r="H58" i="19"/>
  <c r="E58" i="19"/>
  <c r="L59" i="19"/>
  <c r="I59" i="19"/>
  <c r="F59" i="19"/>
  <c r="K56" i="19"/>
  <c r="H56" i="19"/>
  <c r="E56" i="19"/>
  <c r="L57" i="19"/>
  <c r="I57" i="19"/>
  <c r="F57" i="19"/>
  <c r="K52" i="19"/>
  <c r="H52" i="19"/>
  <c r="E52" i="19"/>
  <c r="J60" i="19"/>
  <c r="G60" i="19"/>
  <c r="K61" i="19"/>
  <c r="H61" i="19"/>
  <c r="E61" i="19"/>
  <c r="J58" i="19"/>
  <c r="G58" i="19"/>
  <c r="K59" i="19"/>
  <c r="H59" i="19"/>
  <c r="E59" i="19"/>
  <c r="K60" i="19"/>
  <c r="H60" i="19"/>
  <c r="J56" i="19"/>
  <c r="G56" i="19"/>
  <c r="J53" i="19"/>
  <c r="K57" i="19"/>
  <c r="H57" i="19"/>
  <c r="E57" i="19"/>
  <c r="F61" i="19"/>
  <c r="J52" i="19"/>
  <c r="G52" i="19"/>
  <c r="I53" i="19"/>
  <c r="K54" i="19"/>
  <c r="L55" i="19"/>
  <c r="L61" i="19"/>
  <c r="L60" i="19"/>
  <c r="I60" i="19"/>
  <c r="F60" i="19"/>
  <c r="H53" i="19"/>
  <c r="J61" i="19"/>
  <c r="G61" i="19"/>
  <c r="L58" i="19"/>
  <c r="I58" i="19"/>
  <c r="F58" i="19"/>
  <c r="G53" i="19"/>
  <c r="J59" i="19"/>
  <c r="G59" i="19"/>
  <c r="L51" i="19"/>
  <c r="E60" i="19"/>
  <c r="L56" i="19"/>
  <c r="I56" i="19"/>
  <c r="F56" i="19"/>
  <c r="F53" i="19"/>
  <c r="J57" i="19"/>
  <c r="G57" i="19"/>
  <c r="K55" i="19"/>
  <c r="I61" i="19"/>
  <c r="L52" i="19"/>
  <c r="I52" i="19"/>
  <c r="F52" i="19"/>
  <c r="E53" i="19"/>
  <c r="K51" i="19"/>
  <c r="C455" i="15"/>
  <c r="C224" i="15"/>
  <c r="J45" i="19"/>
  <c r="E46" i="19"/>
  <c r="C23" i="15"/>
  <c r="O707" i="18"/>
  <c r="Q1012" i="18"/>
  <c r="I45" i="19"/>
  <c r="F46" i="19"/>
  <c r="O526" i="18"/>
  <c r="K45" i="19"/>
  <c r="G46" i="19"/>
  <c r="C230" i="15"/>
  <c r="J46" i="19"/>
  <c r="E44" i="19"/>
  <c r="C410" i="15"/>
  <c r="C49" i="15"/>
  <c r="O386" i="18"/>
  <c r="C406" i="15"/>
  <c r="I46" i="19"/>
  <c r="F44" i="19"/>
  <c r="K46" i="19"/>
  <c r="G44" i="19"/>
  <c r="M386" i="18"/>
  <c r="C117" i="15"/>
  <c r="H44" i="19"/>
  <c r="I526" i="18"/>
  <c r="M557" i="18"/>
  <c r="K707" i="18"/>
  <c r="E45" i="19"/>
  <c r="J44" i="19"/>
  <c r="O557" i="18"/>
  <c r="L1012" i="18"/>
  <c r="J798" i="18"/>
  <c r="M587" i="18"/>
  <c r="F45" i="19"/>
  <c r="I44" i="19"/>
  <c r="O829" i="18"/>
  <c r="O703" i="18"/>
  <c r="O495" i="18"/>
  <c r="O1404" i="18"/>
  <c r="L495" i="18"/>
  <c r="O860" i="18"/>
  <c r="O736" i="18"/>
  <c r="O1072" i="18"/>
  <c r="O922" i="18"/>
  <c r="O1102" i="18"/>
  <c r="Q1072" i="18"/>
  <c r="O647" i="18"/>
  <c r="O448" i="18"/>
  <c r="O617" i="18"/>
  <c r="O891" i="18"/>
  <c r="O732" i="18"/>
  <c r="Q1102" i="18"/>
  <c r="O371" i="18"/>
  <c r="K495" i="18"/>
  <c r="L526" i="18"/>
  <c r="L798" i="18"/>
  <c r="J982" i="18"/>
  <c r="M982" i="18"/>
  <c r="J464" i="18"/>
  <c r="M464" i="18"/>
  <c r="L464" i="18"/>
  <c r="I464" i="18"/>
  <c r="N464" i="18"/>
  <c r="I371" i="18"/>
  <c r="M371" i="18"/>
  <c r="K464" i="18"/>
  <c r="J371" i="18"/>
  <c r="L371" i="18"/>
  <c r="I557" i="18"/>
  <c r="N557" i="18"/>
  <c r="J707" i="18"/>
  <c r="M707" i="18"/>
  <c r="L891" i="18"/>
  <c r="K952" i="18"/>
  <c r="I829" i="18"/>
  <c r="N829" i="18"/>
  <c r="J952" i="18"/>
  <c r="M952" i="18"/>
  <c r="Q647" i="18"/>
  <c r="J495" i="18"/>
  <c r="M495" i="18"/>
  <c r="K526" i="18"/>
  <c r="L557" i="18"/>
  <c r="I417" i="18"/>
  <c r="N417" i="18"/>
  <c r="I707" i="18"/>
  <c r="N707" i="18"/>
  <c r="K798" i="18"/>
  <c r="I982" i="18"/>
  <c r="N982" i="18"/>
  <c r="K587" i="18"/>
  <c r="K891" i="18"/>
  <c r="I952" i="18"/>
  <c r="N952" i="18"/>
  <c r="K557" i="18"/>
  <c r="L707" i="18"/>
  <c r="K829" i="18"/>
  <c r="J587" i="18"/>
  <c r="K371" i="18"/>
  <c r="J891" i="18"/>
  <c r="J829" i="18"/>
  <c r="M829" i="18"/>
  <c r="I617" i="18"/>
  <c r="N617" i="18"/>
  <c r="I891" i="18"/>
  <c r="N891" i="18"/>
  <c r="J922" i="18"/>
  <c r="M922" i="18"/>
  <c r="K860" i="18"/>
  <c r="K736" i="18"/>
  <c r="K647" i="18"/>
  <c r="I495" i="18"/>
  <c r="N495" i="18"/>
  <c r="J526" i="18"/>
  <c r="M526" i="18"/>
  <c r="J617" i="18"/>
  <c r="M617" i="18"/>
  <c r="M891" i="18"/>
  <c r="L952" i="18"/>
  <c r="L736" i="18"/>
  <c r="L647" i="18"/>
  <c r="K617" i="18"/>
  <c r="L922" i="18"/>
  <c r="I860" i="18"/>
  <c r="N860" i="18"/>
  <c r="I736" i="18"/>
  <c r="N736" i="18"/>
  <c r="I647" i="18"/>
  <c r="M647" i="18"/>
  <c r="L617" i="18"/>
  <c r="I922" i="18"/>
  <c r="N922" i="18"/>
  <c r="J860" i="18"/>
  <c r="M860" i="18"/>
  <c r="J736" i="18"/>
  <c r="M736" i="18"/>
  <c r="J647" i="18"/>
  <c r="N647" i="18"/>
  <c r="L829" i="18"/>
  <c r="L1102" i="18"/>
  <c r="I1072" i="18"/>
  <c r="N1072" i="18"/>
  <c r="I1102" i="18"/>
  <c r="N1102" i="18"/>
  <c r="J1072" i="18"/>
  <c r="M1072" i="18"/>
  <c r="J1102" i="18"/>
  <c r="M1102" i="18"/>
  <c r="K1072" i="18"/>
  <c r="K922" i="18"/>
  <c r="K1102" i="18"/>
  <c r="L1072" i="18"/>
  <c r="O602" i="18"/>
  <c r="O763" i="18"/>
  <c r="O632" i="18"/>
  <c r="O825" i="18"/>
  <c r="O662" i="18"/>
  <c r="O887" i="18"/>
  <c r="Q602" i="18"/>
  <c r="Q763" i="18"/>
  <c r="Q632" i="18"/>
  <c r="Q825" i="18"/>
  <c r="Q662" i="18"/>
  <c r="Q887" i="18"/>
  <c r="L602" i="18"/>
  <c r="L763" i="18"/>
  <c r="M632" i="18"/>
  <c r="M825" i="18"/>
  <c r="J602" i="18"/>
  <c r="J763" i="18"/>
  <c r="M602" i="18"/>
  <c r="M763" i="18"/>
  <c r="L632" i="18"/>
  <c r="L825" i="18"/>
  <c r="I662" i="18"/>
  <c r="I887" i="18"/>
  <c r="N662" i="18"/>
  <c r="N887" i="18"/>
  <c r="J1404" i="18"/>
  <c r="M1404" i="18"/>
  <c r="K703" i="18"/>
  <c r="K732" i="18"/>
  <c r="K602" i="18"/>
  <c r="K763" i="18"/>
  <c r="I632" i="18"/>
  <c r="I825" i="18"/>
  <c r="N632" i="18"/>
  <c r="N825" i="18"/>
  <c r="J662" i="18"/>
  <c r="J887" i="18"/>
  <c r="M662" i="18"/>
  <c r="M887" i="18"/>
  <c r="K1404" i="18"/>
  <c r="L703" i="18"/>
  <c r="L732" i="18"/>
  <c r="J632" i="18"/>
  <c r="J825" i="18"/>
  <c r="K662" i="18"/>
  <c r="K887" i="18"/>
  <c r="L1404" i="18"/>
  <c r="I703" i="18"/>
  <c r="N703" i="18"/>
  <c r="I732" i="18"/>
  <c r="N732" i="18"/>
  <c r="I602" i="18"/>
  <c r="I763" i="18"/>
  <c r="N602" i="18"/>
  <c r="N763" i="18"/>
  <c r="K632" i="18"/>
  <c r="K825" i="18"/>
  <c r="L662" i="18"/>
  <c r="L887" i="18"/>
  <c r="I1404" i="18"/>
  <c r="N1404" i="18"/>
  <c r="J703" i="18"/>
  <c r="M703" i="18"/>
  <c r="J732" i="18"/>
  <c r="M732" i="18"/>
  <c r="I448" i="18"/>
  <c r="N448" i="18"/>
  <c r="K448" i="18"/>
  <c r="L448" i="18"/>
  <c r="J448" i="18"/>
  <c r="M448" i="18"/>
  <c r="P200" i="18"/>
  <c r="P204" i="18"/>
  <c r="P208" i="18"/>
  <c r="P216" i="18"/>
  <c r="P220" i="18"/>
  <c r="Q183" i="15" s="1"/>
  <c r="P376" i="18"/>
  <c r="P384" i="18"/>
  <c r="P392" i="18"/>
  <c r="P400" i="18"/>
  <c r="P524" i="18"/>
  <c r="P536" i="18"/>
  <c r="P544" i="18"/>
  <c r="P552" i="18"/>
  <c r="P560" i="18"/>
  <c r="P572" i="18"/>
  <c r="P580" i="18"/>
  <c r="P584" i="18"/>
  <c r="P596" i="18"/>
  <c r="P604" i="18"/>
  <c r="P624" i="18"/>
  <c r="P652" i="18"/>
  <c r="P676" i="18"/>
  <c r="O343" i="18"/>
  <c r="P9" i="18"/>
  <c r="P13" i="18"/>
  <c r="P25" i="18"/>
  <c r="P57" i="18"/>
  <c r="P85" i="18"/>
  <c r="P101" i="18"/>
  <c r="P113" i="18"/>
  <c r="P129" i="18"/>
  <c r="P137" i="18"/>
  <c r="P145" i="18"/>
  <c r="P161" i="18"/>
  <c r="P173" i="18"/>
  <c r="P225" i="18"/>
  <c r="P229" i="18"/>
  <c r="P237" i="18"/>
  <c r="P245" i="18"/>
  <c r="P257" i="18"/>
  <c r="P269" i="18"/>
  <c r="P277" i="18"/>
  <c r="P285" i="18"/>
  <c r="P293" i="18"/>
  <c r="P297" i="18"/>
  <c r="P305" i="18"/>
  <c r="P309" i="18"/>
  <c r="J343" i="18"/>
  <c r="M343" i="18"/>
  <c r="K343" i="18"/>
  <c r="L343" i="18"/>
  <c r="I343" i="18"/>
  <c r="N343" i="18"/>
  <c r="AC230" i="15"/>
  <c r="AL230" i="15" s="1"/>
  <c r="O342" i="18"/>
  <c r="I342" i="18"/>
  <c r="N342" i="18"/>
  <c r="L342" i="18"/>
  <c r="J342" i="18"/>
  <c r="M342" i="18"/>
  <c r="K342" i="18"/>
  <c r="I306" i="18"/>
  <c r="J306" i="18"/>
  <c r="K306" i="18"/>
  <c r="L306" i="18"/>
  <c r="M306" i="18"/>
  <c r="N306" i="18"/>
  <c r="O306" i="18"/>
  <c r="I457" i="18"/>
  <c r="J457" i="18"/>
  <c r="K457" i="18"/>
  <c r="L457" i="18"/>
  <c r="M457" i="18"/>
  <c r="N457" i="18"/>
  <c r="O457" i="18"/>
  <c r="Q457" i="18"/>
  <c r="L430" i="18"/>
  <c r="M430" i="18"/>
  <c r="N430" i="18"/>
  <c r="O430" i="18"/>
  <c r="Q430" i="18"/>
  <c r="I430" i="18"/>
  <c r="J430" i="18"/>
  <c r="K430" i="18"/>
  <c r="I312" i="18"/>
  <c r="J312" i="18"/>
  <c r="N312" i="18"/>
  <c r="M312" i="18"/>
  <c r="O312" i="18"/>
  <c r="K312" i="18"/>
  <c r="L312" i="18"/>
  <c r="AC226" i="15"/>
  <c r="AL226" i="15" s="1"/>
  <c r="C440" i="15"/>
  <c r="AC181" i="15"/>
  <c r="AL181" i="15" s="1"/>
  <c r="AC196" i="15"/>
  <c r="AL196" i="15" s="1"/>
  <c r="AC231" i="15"/>
  <c r="AL231" i="15" s="1"/>
  <c r="AC184" i="15"/>
  <c r="AL184" i="15" s="1"/>
  <c r="AC253" i="15"/>
  <c r="AL253" i="15" s="1"/>
  <c r="AC219" i="15"/>
  <c r="AL219" i="15" s="1"/>
  <c r="AC172" i="15"/>
  <c r="AL172" i="15" s="1"/>
  <c r="P5" i="18"/>
  <c r="P17" i="18"/>
  <c r="P33" i="18"/>
  <c r="P41" i="18"/>
  <c r="P45" i="18"/>
  <c r="P49" i="18"/>
  <c r="P53" i="18"/>
  <c r="P65" i="18"/>
  <c r="P77" i="18"/>
  <c r="P81" i="18"/>
  <c r="P93" i="18"/>
  <c r="P97" i="18"/>
  <c r="P109" i="18"/>
  <c r="P121" i="18"/>
  <c r="P141" i="18"/>
  <c r="P153" i="18"/>
  <c r="P165" i="18"/>
  <c r="P253" i="18"/>
  <c r="P261" i="18"/>
  <c r="P289" i="18"/>
  <c r="P301" i="18"/>
  <c r="AC182" i="15"/>
  <c r="AL182" i="15" s="1"/>
  <c r="AC169" i="15"/>
  <c r="AL169" i="15" s="1"/>
  <c r="AC175" i="15"/>
  <c r="AL175" i="15" s="1"/>
  <c r="AC215" i="15"/>
  <c r="AL215" i="15" s="1"/>
  <c r="AC173" i="15"/>
  <c r="AL173" i="15" s="1"/>
  <c r="AC195" i="15"/>
  <c r="AL195" i="15" s="1"/>
  <c r="AC206" i="15"/>
  <c r="AL206" i="15" s="1"/>
  <c r="AC180" i="15"/>
  <c r="AL180" i="15" s="1"/>
  <c r="C50" i="15"/>
  <c r="P196" i="18"/>
  <c r="P212" i="18"/>
  <c r="P364" i="18"/>
  <c r="P372" i="18"/>
  <c r="P388" i="18"/>
  <c r="C227" i="15"/>
  <c r="P408" i="18"/>
  <c r="P532" i="18"/>
  <c r="P556" i="18"/>
  <c r="P568" i="18"/>
  <c r="P576" i="18"/>
  <c r="P592" i="18"/>
  <c r="P620" i="18"/>
  <c r="P632" i="18"/>
  <c r="AC229" i="15"/>
  <c r="AL229" i="15" s="1"/>
  <c r="C379" i="15"/>
  <c r="AC129" i="15"/>
  <c r="AL129" i="15" s="1"/>
  <c r="AC176" i="15"/>
  <c r="AL176" i="15" s="1"/>
  <c r="AC177" i="15"/>
  <c r="AL177" i="15" s="1"/>
  <c r="AC66" i="15"/>
  <c r="AL66" i="15" s="1"/>
  <c r="AC227" i="15"/>
  <c r="AL227" i="15" s="1"/>
  <c r="AC39" i="15"/>
  <c r="AL39" i="15" s="1"/>
  <c r="C218" i="15"/>
  <c r="J308" i="18"/>
  <c r="N308" i="18"/>
  <c r="K308" i="18"/>
  <c r="O308" i="18"/>
  <c r="L308" i="18"/>
  <c r="I308" i="18"/>
  <c r="M308" i="18"/>
  <c r="N282" i="18"/>
  <c r="M282" i="18"/>
  <c r="O282" i="18"/>
  <c r="I282" i="18"/>
  <c r="J282" i="18"/>
  <c r="K282" i="18"/>
  <c r="M281" i="18"/>
  <c r="N281" i="18"/>
  <c r="O281" i="18"/>
  <c r="I281" i="18"/>
  <c r="J281" i="18"/>
  <c r="K281" i="18"/>
  <c r="L281" i="18"/>
  <c r="K288" i="18"/>
  <c r="I288" i="18"/>
  <c r="O279" i="18"/>
  <c r="I279" i="18"/>
  <c r="J279" i="18"/>
  <c r="K279" i="18"/>
  <c r="L279" i="18"/>
  <c r="M279" i="18"/>
  <c r="N279" i="18"/>
  <c r="N288" i="18"/>
  <c r="O288" i="18"/>
  <c r="L288" i="18"/>
  <c r="M288" i="18"/>
  <c r="J288" i="18"/>
  <c r="J250" i="18"/>
  <c r="K822" i="18"/>
  <c r="M822" i="18"/>
  <c r="O822" i="18"/>
  <c r="I822" i="18"/>
  <c r="J822" i="18"/>
  <c r="N336" i="18"/>
  <c r="O336" i="18"/>
  <c r="I336" i="18"/>
  <c r="J336" i="18"/>
  <c r="K336" i="18"/>
  <c r="L336" i="18"/>
  <c r="M336" i="18"/>
  <c r="I252" i="18"/>
  <c r="J252" i="18"/>
  <c r="K252" i="18"/>
  <c r="L252" i="18"/>
  <c r="M252" i="18"/>
  <c r="N252" i="18"/>
  <c r="O252" i="18"/>
  <c r="Q252" i="18"/>
  <c r="N250" i="18"/>
  <c r="M250" i="18"/>
  <c r="Q250" i="18"/>
  <c r="O295" i="18"/>
  <c r="K250" i="18"/>
  <c r="I295" i="18"/>
  <c r="L250" i="18"/>
  <c r="J295" i="18"/>
  <c r="K295" i="18"/>
  <c r="L295" i="18"/>
  <c r="O250" i="18"/>
  <c r="M295" i="18"/>
  <c r="N295" i="18"/>
  <c r="I250" i="18"/>
  <c r="L282" i="18"/>
  <c r="O219" i="18"/>
  <c r="L219" i="18"/>
  <c r="J219" i="18"/>
  <c r="M219" i="18"/>
  <c r="Q219" i="18"/>
  <c r="I219" i="18"/>
  <c r="K219" i="18"/>
  <c r="N219" i="18"/>
  <c r="I276" i="18"/>
  <c r="J276" i="18"/>
  <c r="K276" i="18"/>
  <c r="L276" i="18"/>
  <c r="M276" i="18"/>
  <c r="N276" i="18"/>
  <c r="O276" i="18"/>
  <c r="Q276" i="18"/>
  <c r="P368" i="18"/>
  <c r="P380" i="18"/>
  <c r="P396" i="18"/>
  <c r="P404" i="18"/>
  <c r="P412" i="18"/>
  <c r="P520" i="18"/>
  <c r="P528" i="18"/>
  <c r="P540" i="18"/>
  <c r="P548" i="18"/>
  <c r="P564" i="18"/>
  <c r="P588" i="18"/>
  <c r="P600" i="18"/>
  <c r="P608" i="18"/>
  <c r="P616" i="18"/>
  <c r="P628" i="18"/>
  <c r="P636" i="18"/>
  <c r="P644" i="18"/>
  <c r="P656" i="18"/>
  <c r="P664" i="18"/>
  <c r="P672" i="18"/>
  <c r="P680" i="18"/>
  <c r="P640" i="18"/>
  <c r="P648" i="18"/>
  <c r="P660" i="18"/>
  <c r="P668" i="18"/>
  <c r="AC127" i="15"/>
  <c r="AL127" i="15" s="1"/>
  <c r="AC233" i="15"/>
  <c r="AL233" i="15" s="1"/>
  <c r="AC266" i="15"/>
  <c r="AL266" i="15" s="1"/>
  <c r="AC152" i="15"/>
  <c r="AL152" i="15" s="1"/>
  <c r="AC228" i="15"/>
  <c r="AL228" i="15" s="1"/>
  <c r="AC159" i="15"/>
  <c r="AL159" i="15" s="1"/>
  <c r="AC168" i="15"/>
  <c r="AL168" i="15" s="1"/>
  <c r="AC187" i="15"/>
  <c r="AL187" i="15" s="1"/>
  <c r="AC203" i="15"/>
  <c r="AL203" i="15" s="1"/>
  <c r="AC130" i="15"/>
  <c r="AL130" i="15" s="1"/>
  <c r="AC221" i="15"/>
  <c r="AL221" i="15" s="1"/>
  <c r="AC131" i="15"/>
  <c r="AL131" i="15" s="1"/>
  <c r="AC141" i="15"/>
  <c r="AL141" i="15" s="1"/>
  <c r="AC132" i="15"/>
  <c r="AL132" i="15" s="1"/>
  <c r="AC143" i="15"/>
  <c r="AL143" i="15" s="1"/>
  <c r="AC135" i="15"/>
  <c r="AL135" i="15" s="1"/>
  <c r="AC121" i="15"/>
  <c r="AL121" i="15" s="1"/>
  <c r="AC154" i="15"/>
  <c r="AL154" i="15" s="1"/>
  <c r="P21" i="18"/>
  <c r="P29" i="18"/>
  <c r="P37" i="18"/>
  <c r="P61" i="18"/>
  <c r="P69" i="18"/>
  <c r="P73" i="18"/>
  <c r="P89" i="18"/>
  <c r="P105" i="18"/>
  <c r="P117" i="18"/>
  <c r="P125" i="18"/>
  <c r="P133" i="18"/>
  <c r="P149" i="18"/>
  <c r="P157" i="18"/>
  <c r="P169" i="18"/>
  <c r="P233" i="18"/>
  <c r="P241" i="18"/>
  <c r="P249" i="18"/>
  <c r="P265" i="18"/>
  <c r="P273" i="18"/>
  <c r="P281" i="18"/>
  <c r="P313" i="18"/>
  <c r="AC128" i="15"/>
  <c r="AL128" i="15" s="1"/>
  <c r="AC124" i="15"/>
  <c r="AL124" i="15" s="1"/>
  <c r="AC142" i="15"/>
  <c r="AL142" i="15" s="1"/>
  <c r="AC133" i="15"/>
  <c r="AL133" i="15" s="1"/>
  <c r="AC155" i="15"/>
  <c r="AL155" i="15" s="1"/>
  <c r="AC160" i="15"/>
  <c r="AL160" i="15" s="1"/>
  <c r="L124" i="18"/>
  <c r="I201" i="18"/>
  <c r="N201" i="18"/>
  <c r="J201" i="18"/>
  <c r="K201" i="18"/>
  <c r="O201" i="18"/>
  <c r="L201" i="18"/>
  <c r="J216" i="18"/>
  <c r="N216" i="18"/>
  <c r="K216" i="18"/>
  <c r="O216" i="18"/>
  <c r="L216" i="18"/>
  <c r="Q216" i="18"/>
  <c r="I216" i="18"/>
  <c r="M216" i="18"/>
  <c r="I124" i="18"/>
  <c r="N124" i="18"/>
  <c r="O309" i="18"/>
  <c r="I309" i="18"/>
  <c r="M309" i="18"/>
  <c r="J309" i="18"/>
  <c r="N309" i="18"/>
  <c r="K309" i="18"/>
  <c r="L309" i="18"/>
  <c r="J170" i="18"/>
  <c r="K170" i="18"/>
  <c r="O170" i="18"/>
  <c r="L170" i="18"/>
  <c r="I170" i="18"/>
  <c r="N170" i="18"/>
  <c r="J124" i="18"/>
  <c r="AC72" i="15"/>
  <c r="AL72" i="15" s="1"/>
  <c r="AC80" i="15"/>
  <c r="AL80" i="15" s="1"/>
  <c r="AC108" i="15"/>
  <c r="AL108" i="15" s="1"/>
  <c r="AC47" i="15"/>
  <c r="AL47" i="15" s="1"/>
  <c r="AC19" i="15"/>
  <c r="AL19" i="15" s="1"/>
  <c r="AC27" i="15"/>
  <c r="AL27" i="15" s="1"/>
  <c r="AC105" i="15"/>
  <c r="AL105" i="15" s="1"/>
  <c r="AC53" i="15"/>
  <c r="AL53" i="15" s="1"/>
  <c r="AC78" i="15"/>
  <c r="AL78" i="15" s="1"/>
  <c r="AC55" i="15"/>
  <c r="AL55" i="15" s="1"/>
  <c r="AC9" i="15"/>
  <c r="AL9" i="15" s="1"/>
  <c r="AC33" i="15"/>
  <c r="AL33" i="15" s="1"/>
  <c r="AC93" i="15"/>
  <c r="AL93" i="15" s="1"/>
  <c r="AC22" i="15"/>
  <c r="AL22" i="15" s="1"/>
  <c r="AC10" i="15"/>
  <c r="AL10" i="15" s="1"/>
  <c r="AC60" i="15"/>
  <c r="AL60" i="15" s="1"/>
  <c r="AC75" i="15"/>
  <c r="AL75" i="15" s="1"/>
  <c r="AC106" i="15"/>
  <c r="AL106" i="15" s="1"/>
  <c r="AC42" i="15"/>
  <c r="AL42" i="15" s="1"/>
  <c r="AC64" i="15"/>
  <c r="AL64" i="15" s="1"/>
  <c r="AC70" i="15"/>
  <c r="AL70" i="15" s="1"/>
  <c r="AC119" i="15"/>
  <c r="AL119" i="15" s="1"/>
  <c r="AC7" i="15"/>
  <c r="AL7" i="15" s="1"/>
  <c r="AC11" i="15"/>
  <c r="AL11" i="15" s="1"/>
  <c r="AC107" i="15"/>
  <c r="AL107" i="15" s="1"/>
  <c r="AC77" i="15"/>
  <c r="AL77" i="15" s="1"/>
  <c r="AC84" i="15"/>
  <c r="AL84" i="15" s="1"/>
  <c r="AC115" i="15"/>
  <c r="AL115" i="15" s="1"/>
  <c r="AC21" i="15"/>
  <c r="AL21" i="15" s="1"/>
  <c r="AC56" i="15"/>
  <c r="AL56" i="15" s="1"/>
  <c r="C19" i="15"/>
  <c r="O124" i="18"/>
  <c r="AC123" i="15"/>
  <c r="AL123" i="15" s="1"/>
  <c r="AC71" i="15"/>
  <c r="AL71" i="15" s="1"/>
  <c r="AC146" i="15"/>
  <c r="AL146" i="15" s="1"/>
  <c r="AC185" i="15"/>
  <c r="AL185" i="15" s="1"/>
  <c r="AC109" i="15"/>
  <c r="AL109" i="15" s="1"/>
  <c r="AC197" i="15"/>
  <c r="AL197" i="15" s="1"/>
  <c r="AC163" i="15"/>
  <c r="AL163" i="15" s="1"/>
  <c r="AC100" i="15"/>
  <c r="AL100" i="15" s="1"/>
  <c r="AC94" i="15"/>
  <c r="AL94" i="15" s="1"/>
  <c r="AC54" i="15"/>
  <c r="AL54" i="15" s="1"/>
  <c r="AC85" i="15"/>
  <c r="AL85" i="15" s="1"/>
  <c r="AC86" i="15"/>
  <c r="AL86" i="15" s="1"/>
  <c r="K124" i="18"/>
  <c r="C17" i="15"/>
  <c r="AC38" i="15"/>
  <c r="AL38" i="15" s="1"/>
  <c r="AC65" i="15"/>
  <c r="AL65" i="15" s="1"/>
  <c r="P4" i="18"/>
  <c r="P8" i="18"/>
  <c r="P12" i="18"/>
  <c r="P16" i="18"/>
  <c r="P20" i="18"/>
  <c r="P24" i="18"/>
  <c r="P28" i="18"/>
  <c r="P32" i="18"/>
  <c r="P36" i="18"/>
  <c r="P40" i="18"/>
  <c r="P44" i="18"/>
  <c r="P48" i="18"/>
  <c r="P52" i="18"/>
  <c r="P56" i="18"/>
  <c r="P60" i="18"/>
  <c r="P64" i="18"/>
  <c r="P68" i="18"/>
  <c r="P72" i="18"/>
  <c r="P76" i="18"/>
  <c r="P80" i="18"/>
  <c r="P84" i="18"/>
  <c r="P88" i="18"/>
  <c r="P92" i="18"/>
  <c r="P96" i="18"/>
  <c r="P100" i="18"/>
  <c r="P104" i="18"/>
  <c r="C97" i="15"/>
  <c r="P108" i="18"/>
  <c r="Q101" i="15" s="1"/>
  <c r="P112" i="18"/>
  <c r="P116" i="18"/>
  <c r="P120" i="18"/>
  <c r="P124" i="18"/>
  <c r="Q112" i="15" s="1"/>
  <c r="P128" i="18"/>
  <c r="P132" i="18"/>
  <c r="P136" i="18"/>
  <c r="P140" i="18"/>
  <c r="P144" i="18"/>
  <c r="P148" i="18"/>
  <c r="P152" i="18"/>
  <c r="P156" i="18"/>
  <c r="P160" i="18"/>
  <c r="P164" i="18"/>
  <c r="P168" i="18"/>
  <c r="P172" i="18"/>
  <c r="P176" i="18"/>
  <c r="P180" i="18"/>
  <c r="P184" i="18"/>
  <c r="P188" i="18"/>
  <c r="P192" i="18"/>
  <c r="P224" i="18"/>
  <c r="P228" i="18"/>
  <c r="P232" i="18"/>
  <c r="P236" i="18"/>
  <c r="P240" i="18"/>
  <c r="P244" i="18"/>
  <c r="P248" i="18"/>
  <c r="P252" i="18"/>
  <c r="P256" i="18"/>
  <c r="P260" i="18"/>
  <c r="P264" i="18"/>
  <c r="P268" i="18"/>
  <c r="P272" i="18"/>
  <c r="P276" i="18"/>
  <c r="P280" i="18"/>
  <c r="P284" i="18"/>
  <c r="P288" i="18"/>
  <c r="P292" i="18"/>
  <c r="P296" i="18"/>
  <c r="P300" i="18"/>
  <c r="P304" i="18"/>
  <c r="P308" i="18"/>
  <c r="Q225" i="15" s="1"/>
  <c r="P312" i="18"/>
  <c r="P316" i="18"/>
  <c r="P320" i="18"/>
  <c r="P324" i="18"/>
  <c r="P328" i="18"/>
  <c r="P332" i="18"/>
  <c r="P336" i="18"/>
  <c r="P340" i="18"/>
  <c r="P344" i="18"/>
  <c r="P348" i="18"/>
  <c r="P352" i="18"/>
  <c r="P356" i="18"/>
  <c r="P360" i="18"/>
  <c r="P416" i="18"/>
  <c r="P420" i="18"/>
  <c r="P424" i="18"/>
  <c r="P428" i="18"/>
  <c r="P432" i="18"/>
  <c r="P436" i="18"/>
  <c r="P440" i="18"/>
  <c r="P444" i="18"/>
  <c r="P448" i="18"/>
  <c r="P452" i="18"/>
  <c r="P456" i="18"/>
  <c r="P460" i="18"/>
  <c r="P464" i="18"/>
  <c r="Q371" i="15" s="1"/>
  <c r="P468" i="18"/>
  <c r="P472" i="18"/>
  <c r="P476" i="18"/>
  <c r="P480" i="18"/>
  <c r="P484" i="18"/>
  <c r="P488" i="18"/>
  <c r="P492" i="18"/>
  <c r="P496" i="18"/>
  <c r="P500" i="18"/>
  <c r="P504" i="18"/>
  <c r="Q387" i="15" s="1"/>
  <c r="P508" i="18"/>
  <c r="P512" i="18"/>
  <c r="P516" i="18"/>
  <c r="P684" i="18"/>
  <c r="P688" i="18"/>
  <c r="P692" i="18"/>
  <c r="P696" i="18"/>
  <c r="P700" i="18"/>
  <c r="P704" i="18"/>
  <c r="P708" i="18"/>
  <c r="P712" i="18"/>
  <c r="L139" i="18"/>
  <c r="I139" i="18"/>
  <c r="N139" i="18"/>
  <c r="J139" i="18"/>
  <c r="K139" i="18"/>
  <c r="O139" i="18"/>
  <c r="L95" i="18"/>
  <c r="Q95" i="18"/>
  <c r="I95" i="18"/>
  <c r="N95" i="18"/>
  <c r="J95" i="18"/>
  <c r="M95" i="18"/>
  <c r="K95" i="18"/>
  <c r="O95" i="18"/>
  <c r="J108" i="18"/>
  <c r="K108" i="18"/>
  <c r="O108" i="18"/>
  <c r="L108" i="18"/>
  <c r="I108" i="18"/>
  <c r="N108" i="18"/>
  <c r="L71" i="18"/>
  <c r="K71" i="18"/>
  <c r="O71" i="18"/>
  <c r="J71" i="18"/>
  <c r="M71" i="18"/>
  <c r="I71" i="18"/>
  <c r="N71" i="18"/>
  <c r="I69" i="18"/>
  <c r="M69" i="18"/>
  <c r="J69" i="18"/>
  <c r="N69" i="18"/>
  <c r="K69" i="18"/>
  <c r="O69" i="18"/>
  <c r="L69" i="18"/>
  <c r="I62" i="18"/>
  <c r="N62" i="18"/>
  <c r="L62" i="18"/>
  <c r="J62" i="18"/>
  <c r="M62" i="18"/>
  <c r="K62" i="18"/>
  <c r="O62" i="18"/>
  <c r="O50" i="18"/>
  <c r="O77" i="18"/>
  <c r="J77" i="18"/>
  <c r="K77" i="18"/>
  <c r="L77" i="18"/>
  <c r="I77" i="18"/>
  <c r="N77" i="18"/>
  <c r="L50" i="18"/>
  <c r="J50" i="18"/>
  <c r="M50" i="18"/>
  <c r="K50" i="18"/>
  <c r="I50" i="18"/>
  <c r="N50" i="18"/>
  <c r="O33" i="18"/>
  <c r="L33" i="18"/>
  <c r="Q33" i="18"/>
  <c r="K33" i="18"/>
  <c r="I33" i="18"/>
  <c r="N33" i="18"/>
  <c r="J33" i="18"/>
  <c r="M33" i="18"/>
  <c r="P178" i="18"/>
  <c r="P182" i="18"/>
  <c r="P186" i="18"/>
  <c r="P190" i="18"/>
  <c r="P194" i="18"/>
  <c r="P198" i="18"/>
  <c r="P202" i="18"/>
  <c r="P206" i="18"/>
  <c r="P210" i="18"/>
  <c r="P214" i="18"/>
  <c r="P218" i="18"/>
  <c r="P222" i="18"/>
  <c r="P226" i="18"/>
  <c r="P230" i="18"/>
  <c r="P234" i="18"/>
  <c r="P382" i="18"/>
  <c r="P390" i="18"/>
  <c r="P283" i="18"/>
  <c r="P287" i="18"/>
  <c r="P291" i="18"/>
  <c r="Q220" i="15" s="1"/>
  <c r="P295" i="18"/>
  <c r="P299" i="18"/>
  <c r="P303" i="18"/>
  <c r="P307" i="18"/>
  <c r="P311" i="18"/>
  <c r="P315" i="18"/>
  <c r="P319" i="18"/>
  <c r="P323" i="18"/>
  <c r="P327" i="18"/>
  <c r="P331" i="18"/>
  <c r="P335" i="18"/>
  <c r="P339" i="18"/>
  <c r="P343" i="18"/>
  <c r="P347" i="18"/>
  <c r="P351" i="18"/>
  <c r="Q261" i="15" s="1"/>
  <c r="P355" i="18"/>
  <c r="P359" i="18"/>
  <c r="P363" i="18"/>
  <c r="P367" i="18"/>
  <c r="P371" i="18"/>
  <c r="P375" i="18"/>
  <c r="P379" i="18"/>
  <c r="P383" i="18"/>
  <c r="P387" i="18"/>
  <c r="P586" i="18"/>
  <c r="P590" i="18"/>
  <c r="P594" i="18"/>
  <c r="P598" i="18"/>
  <c r="P602" i="18"/>
  <c r="P606" i="18"/>
  <c r="P610" i="18"/>
  <c r="P614" i="18"/>
  <c r="P618" i="18"/>
  <c r="P622" i="18"/>
  <c r="P626" i="18"/>
  <c r="P630" i="18"/>
  <c r="P634" i="18"/>
  <c r="P638" i="18"/>
  <c r="P391" i="18"/>
  <c r="P395" i="18"/>
  <c r="P399" i="18"/>
  <c r="P403" i="18"/>
  <c r="P407" i="18"/>
  <c r="P411" i="18"/>
  <c r="Q342" i="15" s="1"/>
  <c r="P415" i="18"/>
  <c r="P419" i="18"/>
  <c r="P423" i="18"/>
  <c r="P427" i="18"/>
  <c r="P431" i="18"/>
  <c r="P435" i="18"/>
  <c r="P439" i="18"/>
  <c r="P443" i="18"/>
  <c r="P447" i="18"/>
  <c r="P451" i="18"/>
  <c r="P455" i="18"/>
  <c r="P459" i="18"/>
  <c r="P463" i="18"/>
  <c r="P467" i="18"/>
  <c r="P471" i="18"/>
  <c r="P475" i="18"/>
  <c r="P479" i="18"/>
  <c r="P483" i="18"/>
  <c r="P487" i="18"/>
  <c r="P491" i="18"/>
  <c r="P495" i="18"/>
  <c r="Q780" i="15" s="1"/>
  <c r="P499" i="18"/>
  <c r="P503" i="18"/>
  <c r="P507" i="18"/>
  <c r="P511" i="18"/>
  <c r="P515" i="18"/>
  <c r="P519" i="18"/>
  <c r="P523" i="18"/>
  <c r="P527" i="18"/>
  <c r="P531" i="18"/>
  <c r="P535" i="18"/>
  <c r="P539" i="18"/>
  <c r="P543" i="18"/>
  <c r="P547" i="18"/>
  <c r="P551" i="18"/>
  <c r="P555" i="18"/>
  <c r="P559" i="18"/>
  <c r="P563" i="18"/>
  <c r="P567" i="18"/>
  <c r="P571" i="18"/>
  <c r="P575" i="18"/>
  <c r="P579" i="18"/>
  <c r="P583" i="18"/>
  <c r="P587" i="18"/>
  <c r="Q423" i="15" s="1"/>
  <c r="P591" i="18"/>
  <c r="P595" i="18"/>
  <c r="P599" i="18"/>
  <c r="P603" i="18"/>
  <c r="P607" i="18"/>
  <c r="P611" i="18"/>
  <c r="P615" i="18"/>
  <c r="P619" i="18"/>
  <c r="P623" i="18"/>
  <c r="P627" i="18"/>
  <c r="P631" i="18"/>
  <c r="P635" i="18"/>
  <c r="P639" i="18"/>
  <c r="P643" i="18"/>
  <c r="P647" i="18"/>
  <c r="P651" i="18"/>
  <c r="P655" i="18"/>
  <c r="P659" i="18"/>
  <c r="P663" i="18"/>
  <c r="P667" i="18"/>
  <c r="P671" i="18"/>
  <c r="P675" i="18"/>
  <c r="P679" i="18"/>
  <c r="P683" i="18"/>
  <c r="P687" i="18"/>
  <c r="P691" i="18"/>
  <c r="P695" i="18"/>
  <c r="P699" i="18"/>
  <c r="P703" i="18"/>
  <c r="P707" i="18"/>
  <c r="P711" i="18"/>
  <c r="P715" i="18"/>
  <c r="P719" i="18"/>
  <c r="P723" i="18"/>
  <c r="P727" i="18"/>
  <c r="P177" i="18"/>
  <c r="P181" i="18"/>
  <c r="P185" i="18"/>
  <c r="P189" i="18"/>
  <c r="P193" i="18"/>
  <c r="Q165" i="15" s="1"/>
  <c r="P197" i="18"/>
  <c r="P201" i="18"/>
  <c r="P205" i="18"/>
  <c r="P209" i="18"/>
  <c r="P213" i="18"/>
  <c r="P217" i="18"/>
  <c r="P221" i="18"/>
  <c r="P317" i="18"/>
  <c r="P321" i="18"/>
  <c r="Q232" i="15" s="1"/>
  <c r="P325" i="18"/>
  <c r="P329" i="18"/>
  <c r="P333" i="18"/>
  <c r="P337" i="18"/>
  <c r="P341" i="18"/>
  <c r="P345" i="18"/>
  <c r="P349" i="18"/>
  <c r="P353" i="18"/>
  <c r="P357" i="18"/>
  <c r="P361" i="18"/>
  <c r="P365" i="18"/>
  <c r="P369" i="18"/>
  <c r="P373" i="18"/>
  <c r="P377" i="18"/>
  <c r="P381" i="18"/>
  <c r="P385" i="18"/>
  <c r="P389" i="18"/>
  <c r="P2" i="18"/>
  <c r="P6" i="18"/>
  <c r="P10" i="18"/>
  <c r="P14" i="18"/>
  <c r="P18" i="18"/>
  <c r="Q16" i="15" s="1"/>
  <c r="P22" i="18"/>
  <c r="P26" i="18"/>
  <c r="Q19" i="15" s="1"/>
  <c r="P30" i="18"/>
  <c r="P34" i="18"/>
  <c r="P38" i="18"/>
  <c r="P42" i="18"/>
  <c r="P46" i="18"/>
  <c r="P50" i="18"/>
  <c r="P54" i="18"/>
  <c r="P58" i="18"/>
  <c r="P62" i="18"/>
  <c r="P66" i="18"/>
  <c r="P70" i="18"/>
  <c r="Q57" i="15" s="1"/>
  <c r="P74" i="18"/>
  <c r="Q69" i="15" s="1"/>
  <c r="P78" i="18"/>
  <c r="P82" i="18"/>
  <c r="P86" i="18"/>
  <c r="P90" i="18"/>
  <c r="P94" i="18"/>
  <c r="P98" i="18"/>
  <c r="P102" i="18"/>
  <c r="P106" i="18"/>
  <c r="P110" i="18"/>
  <c r="P114" i="18"/>
  <c r="P118" i="18"/>
  <c r="P122" i="18"/>
  <c r="P126" i="18"/>
  <c r="P130" i="18"/>
  <c r="P134" i="18"/>
  <c r="P138" i="18"/>
  <c r="P142" i="18"/>
  <c r="P146" i="18"/>
  <c r="P150" i="18"/>
  <c r="P154" i="18"/>
  <c r="P158" i="18"/>
  <c r="P162" i="18"/>
  <c r="P166" i="18"/>
  <c r="P170" i="18"/>
  <c r="Q151" i="15" s="1"/>
  <c r="P174" i="18"/>
  <c r="P238" i="18"/>
  <c r="P242" i="18"/>
  <c r="P246" i="18"/>
  <c r="P250" i="18"/>
  <c r="P254" i="18"/>
  <c r="P258" i="18"/>
  <c r="P262" i="18"/>
  <c r="P266" i="18"/>
  <c r="P270" i="18"/>
  <c r="P274" i="18"/>
  <c r="P278" i="18"/>
  <c r="Q204" i="15" s="1"/>
  <c r="P282" i="18"/>
  <c r="P286" i="18"/>
  <c r="P290" i="18"/>
  <c r="P294" i="18"/>
  <c r="P298" i="18"/>
  <c r="P302" i="18"/>
  <c r="P306" i="18"/>
  <c r="P310" i="18"/>
  <c r="P314" i="18"/>
  <c r="P318" i="18"/>
  <c r="P322" i="18"/>
  <c r="P326" i="18"/>
  <c r="P330" i="18"/>
  <c r="P334" i="18"/>
  <c r="P338" i="18"/>
  <c r="Q237" i="15" s="1"/>
  <c r="P342" i="18"/>
  <c r="P346" i="18"/>
  <c r="P350" i="18"/>
  <c r="P354" i="18"/>
  <c r="P358" i="18"/>
  <c r="P362" i="18"/>
  <c r="P366" i="18"/>
  <c r="Q346" i="15" s="1"/>
  <c r="P370" i="18"/>
  <c r="P374" i="18"/>
  <c r="P378" i="18"/>
  <c r="P386" i="18"/>
  <c r="P3" i="18"/>
  <c r="P7" i="18"/>
  <c r="P11" i="18"/>
  <c r="P15" i="18"/>
  <c r="P19" i="18"/>
  <c r="P23" i="18"/>
  <c r="P27" i="18"/>
  <c r="P31" i="18"/>
  <c r="P35" i="18"/>
  <c r="P39" i="18"/>
  <c r="P43" i="18"/>
  <c r="P47" i="18"/>
  <c r="Q40" i="15" s="1"/>
  <c r="P51" i="18"/>
  <c r="P55" i="18"/>
  <c r="P59" i="18"/>
  <c r="P63" i="18"/>
  <c r="P67" i="18"/>
  <c r="P71" i="18"/>
  <c r="P75" i="18"/>
  <c r="P79" i="18"/>
  <c r="P83" i="18"/>
  <c r="P87" i="18"/>
  <c r="P91" i="18"/>
  <c r="P95" i="18"/>
  <c r="P99" i="18"/>
  <c r="P103" i="18"/>
  <c r="P107" i="18"/>
  <c r="P111" i="18"/>
  <c r="P115" i="18"/>
  <c r="P119" i="18"/>
  <c r="P123" i="18"/>
  <c r="P127" i="18"/>
  <c r="P131" i="18"/>
  <c r="P135" i="18"/>
  <c r="P139" i="18"/>
  <c r="P143" i="18"/>
  <c r="P147" i="18"/>
  <c r="P151" i="18"/>
  <c r="P155" i="18"/>
  <c r="P159" i="18"/>
  <c r="P163" i="18"/>
  <c r="P167" i="18"/>
  <c r="P171" i="18"/>
  <c r="P175" i="18"/>
  <c r="P179" i="18"/>
  <c r="P183" i="18"/>
  <c r="P187" i="18"/>
  <c r="P191" i="18"/>
  <c r="P195" i="18"/>
  <c r="P199" i="18"/>
  <c r="P203" i="18"/>
  <c r="P207" i="18"/>
  <c r="P211" i="18"/>
  <c r="Q170" i="15" s="1"/>
  <c r="P215" i="18"/>
  <c r="P219" i="18"/>
  <c r="P223" i="18"/>
  <c r="P227" i="18"/>
  <c r="P231" i="18"/>
  <c r="Q186" i="15" s="1"/>
  <c r="P235" i="18"/>
  <c r="P239" i="18"/>
  <c r="P243" i="18"/>
  <c r="P247" i="18"/>
  <c r="P251" i="18"/>
  <c r="P255" i="18"/>
  <c r="P259" i="18"/>
  <c r="P263" i="18"/>
  <c r="P267" i="18"/>
  <c r="P271" i="18"/>
  <c r="P275" i="18"/>
  <c r="P279" i="18"/>
  <c r="Q209" i="15" s="1"/>
  <c r="P393" i="18"/>
  <c r="P397" i="18"/>
  <c r="P401" i="18"/>
  <c r="P405" i="18"/>
  <c r="P409" i="18"/>
  <c r="P413" i="18"/>
  <c r="P417" i="18"/>
  <c r="P421" i="18"/>
  <c r="P425" i="18"/>
  <c r="P429" i="18"/>
  <c r="Q351" i="15" s="1"/>
  <c r="P433" i="18"/>
  <c r="Q357" i="15" s="1"/>
  <c r="P437" i="18"/>
  <c r="P441" i="18"/>
  <c r="P445" i="18"/>
  <c r="P449" i="18"/>
  <c r="P453" i="18"/>
  <c r="P457" i="18"/>
  <c r="P461" i="18"/>
  <c r="P465" i="18"/>
  <c r="P469" i="18"/>
  <c r="P473" i="18"/>
  <c r="P477" i="18"/>
  <c r="P481" i="18"/>
  <c r="P485" i="18"/>
  <c r="P489" i="18"/>
  <c r="P493" i="18"/>
  <c r="P497" i="18"/>
  <c r="P501" i="18"/>
  <c r="P505" i="18"/>
  <c r="P509" i="18"/>
  <c r="P513" i="18"/>
  <c r="P517" i="18"/>
  <c r="P521" i="18"/>
  <c r="P525" i="18"/>
  <c r="P529" i="18"/>
  <c r="P533" i="18"/>
  <c r="P537" i="18"/>
  <c r="P541" i="18"/>
  <c r="P545" i="18"/>
  <c r="P549" i="18"/>
  <c r="P553" i="18"/>
  <c r="Q404" i="15" s="1"/>
  <c r="P557" i="18"/>
  <c r="P561" i="18"/>
  <c r="P565" i="18"/>
  <c r="P569" i="18"/>
  <c r="P573" i="18"/>
  <c r="P577" i="18"/>
  <c r="P581" i="18"/>
  <c r="P585" i="18"/>
  <c r="P589" i="18"/>
  <c r="P593" i="18"/>
  <c r="P597" i="18"/>
  <c r="P601" i="18"/>
  <c r="P605" i="18"/>
  <c r="P609" i="18"/>
  <c r="P613" i="18"/>
  <c r="P617" i="18"/>
  <c r="P621" i="18"/>
  <c r="P625" i="18"/>
  <c r="P629" i="18"/>
  <c r="P633" i="18"/>
  <c r="P637" i="18"/>
  <c r="P641" i="18"/>
  <c r="P645" i="18"/>
  <c r="P649" i="18"/>
  <c r="P653" i="18"/>
  <c r="P657" i="18"/>
  <c r="P661" i="18"/>
  <c r="P665" i="18"/>
  <c r="P669" i="18"/>
  <c r="P673" i="18"/>
  <c r="P677" i="18"/>
  <c r="Q456" i="15" s="1"/>
  <c r="P681" i="18"/>
  <c r="P685" i="18"/>
  <c r="P689" i="18"/>
  <c r="P693" i="18"/>
  <c r="P697" i="18"/>
  <c r="P701" i="18"/>
  <c r="P705" i="18"/>
  <c r="P709" i="18"/>
  <c r="P713" i="18"/>
  <c r="P717" i="18"/>
  <c r="P721" i="18"/>
  <c r="P725" i="18"/>
  <c r="P729" i="18"/>
  <c r="P394" i="18"/>
  <c r="P398" i="18"/>
  <c r="P402" i="18"/>
  <c r="P406" i="18"/>
  <c r="P410" i="18"/>
  <c r="P414" i="18"/>
  <c r="P418" i="18"/>
  <c r="P422" i="18"/>
  <c r="P426" i="18"/>
  <c r="P430" i="18"/>
  <c r="P434" i="18"/>
  <c r="P438" i="18"/>
  <c r="P442" i="18"/>
  <c r="Q358" i="15" s="1"/>
  <c r="P446" i="18"/>
  <c r="P450" i="18"/>
  <c r="P454" i="18"/>
  <c r="P458" i="18"/>
  <c r="P462" i="18"/>
  <c r="P466" i="18"/>
  <c r="P470" i="18"/>
  <c r="P474" i="18"/>
  <c r="P478" i="18"/>
  <c r="P482" i="18"/>
  <c r="P486" i="18"/>
  <c r="P490" i="18"/>
  <c r="P494" i="18"/>
  <c r="P498" i="18"/>
  <c r="P502" i="18"/>
  <c r="P506" i="18"/>
  <c r="P510" i="18"/>
  <c r="P514" i="18"/>
  <c r="P518" i="18"/>
  <c r="P522" i="18"/>
  <c r="P526" i="18"/>
  <c r="P530" i="18"/>
  <c r="P534" i="18"/>
  <c r="P538" i="18"/>
  <c r="P542" i="18"/>
  <c r="P546" i="18"/>
  <c r="P550" i="18"/>
  <c r="P554" i="18"/>
  <c r="P558" i="18"/>
  <c r="P562" i="18"/>
  <c r="P566" i="18"/>
  <c r="P570" i="18"/>
  <c r="P574" i="18"/>
  <c r="P578" i="18"/>
  <c r="P582" i="18"/>
  <c r="P642" i="18"/>
  <c r="P646" i="18"/>
  <c r="P650" i="18"/>
  <c r="P654" i="18"/>
  <c r="P658" i="18"/>
  <c r="P662" i="18"/>
  <c r="P666" i="18"/>
  <c r="P670" i="18"/>
  <c r="P674" i="18"/>
  <c r="P678" i="18"/>
  <c r="P682" i="18"/>
  <c r="P686" i="18"/>
  <c r="P690" i="18"/>
  <c r="P694" i="18"/>
  <c r="P698" i="18"/>
  <c r="P702" i="18"/>
  <c r="P706" i="18"/>
  <c r="P710" i="18"/>
  <c r="P714" i="18"/>
  <c r="P718" i="18"/>
  <c r="P722" i="18"/>
  <c r="P726" i="18"/>
  <c r="P730" i="18"/>
  <c r="P731" i="18"/>
  <c r="P612" i="18"/>
  <c r="P716" i="18"/>
  <c r="P720" i="18"/>
  <c r="P724" i="18"/>
  <c r="P728" i="18"/>
  <c r="C52" i="15"/>
  <c r="C20" i="15"/>
  <c r="C120" i="15"/>
  <c r="C146" i="15"/>
  <c r="C72" i="15"/>
  <c r="C80" i="15"/>
  <c r="C108" i="15"/>
  <c r="C81" i="15"/>
  <c r="C109" i="15"/>
  <c r="C82" i="15"/>
  <c r="C93" i="15"/>
  <c r="C21" i="15"/>
  <c r="C102" i="15"/>
  <c r="C22" i="15"/>
  <c r="C25" i="15"/>
  <c r="C27" i="15"/>
  <c r="C33" i="15"/>
  <c r="C105" i="15"/>
  <c r="C163" i="15"/>
  <c r="C185" i="15"/>
  <c r="C107" i="15"/>
  <c r="C84" i="15"/>
  <c r="C94" i="15"/>
  <c r="C36" i="15"/>
  <c r="C60" i="15"/>
  <c r="C86" i="15"/>
  <c r="C100" i="15"/>
  <c r="C75" i="15"/>
  <c r="C197" i="15"/>
  <c r="C28" i="15"/>
  <c r="C85" i="15"/>
  <c r="C123" i="15"/>
  <c r="C76" i="15"/>
  <c r="C106" i="15"/>
  <c r="C47" i="15"/>
  <c r="C70" i="15"/>
  <c r="C119" i="15"/>
  <c r="C128" i="15"/>
  <c r="C203" i="15"/>
  <c r="C143" i="15"/>
  <c r="C266" i="15"/>
  <c r="C130" i="15"/>
  <c r="C135" i="15"/>
  <c r="C62" i="15"/>
  <c r="C124" i="15"/>
  <c r="C121" i="15"/>
  <c r="C152" i="15"/>
  <c r="C221" i="15"/>
  <c r="C154" i="15"/>
  <c r="C228" i="15"/>
  <c r="C131" i="15"/>
  <c r="C136" i="15"/>
  <c r="C58" i="15"/>
  <c r="C126" i="15"/>
  <c r="C168" i="15"/>
  <c r="C155" i="15"/>
  <c r="C132" i="15"/>
  <c r="C64" i="15"/>
  <c r="C115" i="15"/>
  <c r="C187" i="15"/>
  <c r="C233" i="15"/>
  <c r="C129" i="15"/>
  <c r="C55" i="15"/>
  <c r="C122" i="15"/>
  <c r="C141" i="15"/>
  <c r="C156" i="15"/>
  <c r="C56" i="15"/>
  <c r="C127" i="15"/>
  <c r="C142" i="15"/>
  <c r="C133" i="15"/>
  <c r="C96" i="15"/>
  <c r="C226" i="15"/>
  <c r="C165" i="15"/>
  <c r="C189" i="15"/>
  <c r="C30" i="15"/>
  <c r="C138" i="15"/>
  <c r="C345" i="15"/>
  <c r="C4" i="15"/>
  <c r="C3" i="15"/>
  <c r="C2" i="15"/>
  <c r="C275" i="15"/>
  <c r="C225" i="15"/>
  <c r="C134" i="15"/>
  <c r="C10" i="15"/>
  <c r="C7" i="15"/>
  <c r="C8" i="15"/>
  <c r="C9" i="15"/>
  <c r="C11" i="15"/>
  <c r="C69" i="15"/>
  <c r="C42" i="15"/>
  <c r="C53" i="15"/>
  <c r="C44" i="15"/>
  <c r="C160" i="15"/>
  <c r="C176" i="15"/>
  <c r="C219" i="15"/>
  <c r="C196" i="15"/>
  <c r="C77" i="15"/>
  <c r="C43" i="15"/>
  <c r="C54" i="15"/>
  <c r="C180" i="15"/>
  <c r="C169" i="15"/>
  <c r="C173" i="15"/>
  <c r="C172" i="15"/>
  <c r="C231" i="15"/>
  <c r="C78" i="15"/>
  <c r="C71" i="15"/>
  <c r="C59" i="15"/>
  <c r="C181" i="15"/>
  <c r="C184" i="15"/>
  <c r="C182" i="15"/>
  <c r="C45" i="15"/>
  <c r="C175" i="15"/>
  <c r="C195" i="15"/>
  <c r="C177" i="15"/>
  <c r="C253" i="15"/>
  <c r="C87" i="15"/>
  <c r="C159" i="15"/>
  <c r="C206" i="15"/>
  <c r="C215" i="15"/>
  <c r="L18" i="18"/>
  <c r="Q18" i="18"/>
  <c r="I18" i="18"/>
  <c r="M18" i="18"/>
  <c r="J18" i="18"/>
  <c r="N18" i="18"/>
  <c r="K18" i="18"/>
  <c r="O18" i="18"/>
  <c r="K46" i="18"/>
  <c r="O46" i="18"/>
  <c r="L46" i="18"/>
  <c r="I46" i="18"/>
  <c r="N46" i="18"/>
  <c r="J46" i="18"/>
  <c r="O821" i="18"/>
  <c r="I821" i="18"/>
  <c r="K821" i="18"/>
  <c r="J821" i="18"/>
  <c r="M821" i="18"/>
  <c r="G59" i="9"/>
  <c r="G57" i="9"/>
  <c r="U572" i="15"/>
  <c r="G4" i="9"/>
  <c r="G53" i="9"/>
  <c r="I61" i="18"/>
  <c r="M61" i="18"/>
  <c r="J61" i="18"/>
  <c r="N61" i="18"/>
  <c r="K61" i="18"/>
  <c r="O61" i="18"/>
  <c r="L61" i="18"/>
  <c r="I192" i="18"/>
  <c r="N192" i="18"/>
  <c r="J192" i="18"/>
  <c r="M192" i="18"/>
  <c r="K192" i="18"/>
  <c r="O192" i="18"/>
  <c r="L192" i="18"/>
  <c r="Q192" i="18"/>
  <c r="I222" i="18"/>
  <c r="M222" i="18"/>
  <c r="J222" i="18"/>
  <c r="N222" i="18"/>
  <c r="K222" i="18"/>
  <c r="O222" i="18"/>
  <c r="AC3" i="15"/>
  <c r="AL3" i="15" s="1"/>
  <c r="I65" i="18"/>
  <c r="M65" i="18"/>
  <c r="J65" i="18"/>
  <c r="N65" i="18"/>
  <c r="K65" i="18"/>
  <c r="O65" i="18"/>
  <c r="L65" i="18"/>
  <c r="Q65" i="18"/>
  <c r="I15" i="18"/>
  <c r="N15" i="18"/>
  <c r="J15" i="18"/>
  <c r="K15" i="18"/>
  <c r="O15" i="18"/>
  <c r="L15" i="18"/>
  <c r="O161" i="18"/>
  <c r="C547" i="15"/>
  <c r="C548" i="15"/>
  <c r="K3" i="18"/>
  <c r="O3" i="18"/>
  <c r="L3" i="18"/>
  <c r="Q3" i="18"/>
  <c r="I3" i="18"/>
  <c r="M3" i="18"/>
  <c r="J3" i="18"/>
  <c r="N3" i="18"/>
  <c r="Q30" i="18"/>
  <c r="I30" i="18"/>
  <c r="J30" i="18"/>
  <c r="K30" i="18"/>
  <c r="L30" i="18"/>
  <c r="M30" i="18"/>
  <c r="N30" i="18"/>
  <c r="O30" i="18"/>
  <c r="D30" i="17"/>
  <c r="C26" i="17"/>
  <c r="D26" i="17"/>
  <c r="E26" i="16"/>
  <c r="F26" i="16"/>
  <c r="C449" i="15"/>
  <c r="C475" i="15"/>
  <c r="C747" i="15"/>
  <c r="C236" i="15"/>
  <c r="C760" i="15"/>
  <c r="C723" i="15"/>
  <c r="C755" i="15"/>
  <c r="C239" i="15"/>
  <c r="C484" i="15"/>
  <c r="C331" i="15"/>
  <c r="C356" i="15"/>
  <c r="C357" i="15"/>
  <c r="O44" i="18"/>
  <c r="I44" i="18"/>
  <c r="N44" i="18"/>
  <c r="J44" i="18"/>
  <c r="M44" i="18"/>
  <c r="K44" i="18"/>
  <c r="L44" i="18"/>
  <c r="C419" i="15"/>
  <c r="C240" i="15"/>
  <c r="C429" i="15"/>
  <c r="C486" i="15"/>
  <c r="C376" i="15"/>
  <c r="C516" i="15"/>
  <c r="C517" i="15"/>
  <c r="C90" i="15"/>
  <c r="C89" i="15"/>
  <c r="C162" i="15"/>
  <c r="C161" i="15"/>
  <c r="C211" i="15"/>
  <c r="C210" i="15"/>
  <c r="C243" i="15"/>
  <c r="C242" i="15"/>
  <c r="C367" i="15"/>
  <c r="C368" i="15"/>
  <c r="C702" i="15"/>
  <c r="C696" i="15"/>
  <c r="C318" i="15"/>
  <c r="C319" i="15"/>
  <c r="C535" i="15"/>
  <c r="C542" i="15"/>
  <c r="C616" i="15"/>
  <c r="C617" i="15"/>
  <c r="C31" i="15"/>
  <c r="C32" i="15"/>
  <c r="C139" i="15"/>
  <c r="C140" i="15"/>
  <c r="C354" i="15"/>
  <c r="C353" i="15"/>
  <c r="C409" i="15"/>
  <c r="C408" i="15"/>
  <c r="C433" i="15"/>
  <c r="C432" i="15"/>
  <c r="C458" i="15"/>
  <c r="C457" i="15"/>
  <c r="C338" i="15"/>
  <c r="C750" i="15"/>
  <c r="C706" i="15"/>
  <c r="C757" i="15"/>
  <c r="C681" i="15"/>
  <c r="C709" i="15"/>
  <c r="C369" i="15"/>
  <c r="C384" i="15"/>
  <c r="C15" i="15"/>
  <c r="C14" i="15"/>
  <c r="C111" i="15"/>
  <c r="C110" i="15"/>
  <c r="C200" i="15"/>
  <c r="C201" i="15"/>
  <c r="C212" i="15"/>
  <c r="C213" i="15"/>
  <c r="C244" i="15"/>
  <c r="C245" i="15"/>
  <c r="C334" i="15"/>
  <c r="C335" i="15"/>
  <c r="C395" i="15"/>
  <c r="C396" i="15"/>
  <c r="C437" i="15"/>
  <c r="C424" i="15"/>
  <c r="C541" i="15"/>
  <c r="C534" i="15"/>
  <c r="C570" i="15"/>
  <c r="C569" i="15"/>
  <c r="C91" i="15"/>
  <c r="C92" i="15"/>
  <c r="C500" i="15"/>
  <c r="C405" i="15"/>
  <c r="C572" i="15"/>
  <c r="C561" i="15"/>
  <c r="C573" i="15"/>
  <c r="C582" i="15"/>
  <c r="C533" i="15"/>
  <c r="C591" i="15"/>
  <c r="C596" i="15"/>
  <c r="C598" i="15"/>
  <c r="C605" i="15"/>
  <c r="C612" i="15"/>
  <c r="C618" i="15"/>
  <c r="C632" i="15"/>
  <c r="C635" i="15"/>
  <c r="C790" i="15"/>
  <c r="C785" i="15"/>
  <c r="C198" i="15"/>
  <c r="C147" i="15"/>
  <c r="C501" i="15"/>
  <c r="C578" i="15"/>
  <c r="C560" i="15"/>
  <c r="C574" i="15"/>
  <c r="C532" i="15"/>
  <c r="C590" i="15"/>
  <c r="C597" i="15"/>
  <c r="C600" i="15"/>
  <c r="C608" i="15"/>
  <c r="C660" i="15"/>
  <c r="C274" i="15"/>
  <c r="C267" i="15"/>
  <c r="C786" i="15"/>
  <c r="C99" i="15"/>
  <c r="C418" i="15"/>
  <c r="C559" i="15"/>
  <c r="C564" i="15"/>
  <c r="C594" i="15"/>
  <c r="C614" i="15"/>
  <c r="C784" i="15"/>
  <c r="C381" i="15"/>
  <c r="C571" i="15"/>
  <c r="C562" i="15"/>
  <c r="C580" i="15"/>
  <c r="C553" i="15"/>
  <c r="C592" i="15"/>
  <c r="C602" i="15"/>
  <c r="C601" i="15"/>
  <c r="C609" i="15"/>
  <c r="C407" i="15"/>
  <c r="C634" i="15"/>
  <c r="C782" i="15"/>
  <c r="C787" i="15"/>
  <c r="C148" i="15"/>
  <c r="C583" i="15"/>
  <c r="C607" i="15"/>
  <c r="C633" i="15"/>
  <c r="C394" i="15"/>
  <c r="C626" i="15"/>
  <c r="C563" i="15"/>
  <c r="C581" i="15"/>
  <c r="C586" i="15"/>
  <c r="C593" i="15"/>
  <c r="C603" i="15"/>
  <c r="C606" i="15"/>
  <c r="C604" i="15"/>
  <c r="C631" i="15"/>
  <c r="C636" i="15"/>
  <c r="C783" i="15"/>
  <c r="C800" i="15"/>
  <c r="C589" i="15"/>
  <c r="C599" i="15"/>
  <c r="C637" i="15"/>
  <c r="C46" i="15"/>
  <c r="C305" i="15"/>
  <c r="C304" i="15"/>
  <c r="C383" i="15"/>
  <c r="C382" i="15"/>
  <c r="C420" i="15"/>
  <c r="C421" i="15"/>
  <c r="C445" i="15"/>
  <c r="C446" i="15"/>
  <c r="C468" i="15"/>
  <c r="C469" i="15"/>
  <c r="C254" i="15"/>
  <c r="C269" i="15"/>
  <c r="C307" i="15"/>
  <c r="E15" i="16"/>
  <c r="F15" i="16"/>
  <c r="AI166" i="15"/>
  <c r="M170" i="18" s="1"/>
  <c r="O684" i="15"/>
  <c r="O316" i="15"/>
  <c r="O388" i="15"/>
  <c r="O288" i="15"/>
  <c r="L21" i="18"/>
  <c r="I21" i="18"/>
  <c r="M21" i="18"/>
  <c r="J21" i="18"/>
  <c r="N21" i="18"/>
  <c r="K21" i="18"/>
  <c r="O21" i="18"/>
  <c r="O217" i="15"/>
  <c r="O199" i="15"/>
  <c r="O546" i="15"/>
  <c r="O694" i="15"/>
  <c r="O630" i="15"/>
  <c r="O286" i="15"/>
  <c r="O749" i="15"/>
  <c r="O491" i="15"/>
  <c r="O284" i="15"/>
  <c r="O648" i="15"/>
  <c r="O257" i="15"/>
  <c r="O746" i="15"/>
  <c r="O472" i="15"/>
  <c r="O50" i="15"/>
  <c r="O697" i="15"/>
  <c r="O423" i="15"/>
  <c r="O393" i="15"/>
  <c r="O361" i="15"/>
  <c r="O770" i="15"/>
  <c r="O272" i="15"/>
  <c r="O595" i="15"/>
  <c r="O12" i="15"/>
  <c r="O714" i="15"/>
  <c r="O332" i="15"/>
  <c r="O673" i="15"/>
  <c r="O735" i="15"/>
  <c r="O777" i="15"/>
  <c r="O336" i="15"/>
  <c r="O740" i="15"/>
  <c r="O460" i="15"/>
  <c r="O165" i="15"/>
  <c r="O248" i="15"/>
  <c r="O549" i="15"/>
  <c r="O295" i="15"/>
  <c r="O748" i="15"/>
  <c r="O513" i="15"/>
  <c r="O137" i="15"/>
  <c r="O448" i="15"/>
  <c r="O357" i="15"/>
  <c r="O483" i="15"/>
  <c r="O725" i="15"/>
  <c r="O371" i="15"/>
  <c r="O509" i="15"/>
  <c r="O271" i="15"/>
  <c r="O153" i="15"/>
  <c r="O512" i="15"/>
  <c r="O259" i="15"/>
  <c r="O114" i="15"/>
  <c r="O337" i="15"/>
  <c r="O252" i="15"/>
  <c r="O492" i="15"/>
  <c r="O511" i="15"/>
  <c r="O708" i="15"/>
  <c r="O435" i="15"/>
  <c r="O306" i="15"/>
  <c r="O765" i="15"/>
  <c r="O667" i="15"/>
  <c r="O775" i="15"/>
  <c r="O767" i="15"/>
  <c r="O685" i="15"/>
  <c r="O503" i="15"/>
  <c r="O73" i="15"/>
  <c r="O730" i="15"/>
  <c r="O270" i="15"/>
  <c r="O241" i="15"/>
  <c r="O679" i="15"/>
  <c r="O576" i="15"/>
  <c r="O218" i="15"/>
  <c r="O704" i="15"/>
  <c r="O628" i="15"/>
  <c r="O208" i="15"/>
  <c r="O360" i="15"/>
  <c r="O375" i="15"/>
  <c r="O496" i="15"/>
  <c r="O222" i="15"/>
  <c r="O234" i="15"/>
  <c r="O478" i="15"/>
  <c r="O63" i="15"/>
  <c r="O224" i="15"/>
  <c r="AK478" i="15"/>
  <c r="Q732" i="18" s="1"/>
  <c r="O183" i="15"/>
  <c r="O670" i="15"/>
  <c r="O544" i="15"/>
  <c r="O682" i="15"/>
  <c r="O158" i="15"/>
  <c r="O297" i="15"/>
  <c r="O216" i="15"/>
  <c r="O113" i="15"/>
  <c r="O79" i="15"/>
  <c r="O37" i="15"/>
  <c r="O34" i="15"/>
  <c r="O722" i="15"/>
  <c r="L541" i="18"/>
  <c r="I541" i="18"/>
  <c r="M541" i="18"/>
  <c r="J541" i="18"/>
  <c r="N541" i="18"/>
  <c r="K541" i="18"/>
  <c r="O541" i="18"/>
  <c r="C16" i="15"/>
  <c r="C459" i="15"/>
  <c r="C273" i="15"/>
  <c r="C731" i="15"/>
  <c r="O686" i="15"/>
  <c r="AB686" i="15"/>
  <c r="O514" i="15"/>
  <c r="O543" i="15"/>
  <c r="AA443" i="15"/>
  <c r="O95" i="15"/>
  <c r="O320" i="15"/>
  <c r="O61" i="15"/>
  <c r="O450" i="15"/>
  <c r="O118" i="15"/>
  <c r="O327" i="15"/>
  <c r="O289" i="15"/>
  <c r="O624" i="15"/>
  <c r="O374" i="15"/>
  <c r="O192" i="15"/>
  <c r="O700" i="15"/>
  <c r="O145" i="15"/>
  <c r="O613" i="15"/>
  <c r="O190" i="15"/>
  <c r="O444" i="15"/>
  <c r="O144" i="15"/>
  <c r="O566" i="15"/>
  <c r="O235" i="15"/>
  <c r="O629" i="15"/>
  <c r="O209" i="15"/>
  <c r="O348" i="15"/>
  <c r="O347" i="15"/>
  <c r="O29" i="15"/>
  <c r="O349" i="15"/>
  <c r="O346" i="15"/>
  <c r="O627" i="15"/>
  <c r="O204" i="15"/>
  <c r="O622" i="15"/>
  <c r="O279" i="15"/>
  <c r="O487" i="15"/>
  <c r="O443" i="15"/>
  <c r="O664" i="15"/>
  <c r="O482" i="15"/>
  <c r="O575" i="15"/>
  <c r="O676" i="15"/>
  <c r="O744" i="15"/>
  <c r="O283" i="15"/>
  <c r="O466" i="15"/>
  <c r="O340" i="15"/>
  <c r="O285" i="15"/>
  <c r="O359" i="15"/>
  <c r="AH312" i="15"/>
  <c r="N385" i="18" s="1"/>
  <c r="O545" i="15"/>
  <c r="O296" i="15"/>
  <c r="AG508" i="15"/>
  <c r="H643" i="18"/>
  <c r="H644" i="18" s="1"/>
  <c r="H645" i="18" s="1"/>
  <c r="H646" i="18" s="1"/>
  <c r="H647" i="18" s="1"/>
  <c r="H648" i="18" s="1"/>
  <c r="H649" i="18" s="1"/>
  <c r="H650" i="18" s="1"/>
  <c r="H651" i="18" s="1"/>
  <c r="H652" i="18" s="1"/>
  <c r="H653" i="18" s="1"/>
  <c r="H654" i="18" s="1"/>
  <c r="H655" i="18" s="1"/>
  <c r="H656" i="18" s="1"/>
  <c r="H657" i="18" s="1"/>
  <c r="H658" i="18" s="1"/>
  <c r="H659" i="18" s="1"/>
  <c r="H660" i="18" s="1"/>
  <c r="H661" i="18" s="1"/>
  <c r="H662" i="18" s="1"/>
  <c r="H663" i="18" s="1"/>
  <c r="H664" i="18" s="1"/>
  <c r="H665" i="18" s="1"/>
  <c r="H666" i="18" s="1"/>
  <c r="H667" i="18" s="1"/>
  <c r="H668" i="18" s="1"/>
  <c r="H669" i="18" s="1"/>
  <c r="H670" i="18" s="1"/>
  <c r="H671" i="18" s="1"/>
  <c r="H672" i="18" s="1"/>
  <c r="C171" i="15"/>
  <c r="C170" i="15"/>
  <c r="C238" i="15"/>
  <c r="K258" i="18"/>
  <c r="O258" i="18"/>
  <c r="I258" i="18"/>
  <c r="N258" i="18"/>
  <c r="Q771" i="15"/>
  <c r="Q419" i="15"/>
  <c r="Q289" i="15"/>
  <c r="Q298" i="15"/>
  <c r="Q521" i="15"/>
  <c r="Q584" i="15"/>
  <c r="Q691" i="15"/>
  <c r="Q705" i="15"/>
  <c r="Q282" i="15"/>
  <c r="Q292" i="15"/>
  <c r="Q551" i="15"/>
  <c r="Q309" i="15"/>
  <c r="Q61" i="15"/>
  <c r="Q73" i="15"/>
  <c r="Q158" i="15"/>
  <c r="Q74" i="15"/>
  <c r="Q113" i="15"/>
  <c r="Q308" i="15"/>
  <c r="Q673" i="15"/>
  <c r="Q463" i="15"/>
  <c r="Q686" i="15"/>
  <c r="Q300" i="15"/>
  <c r="Q320" i="15"/>
  <c r="Q568" i="15"/>
  <c r="Q503" i="15"/>
  <c r="Q344" i="15"/>
  <c r="Q327" i="15"/>
  <c r="Q543" i="15"/>
  <c r="Q522" i="15"/>
  <c r="Q579" i="15"/>
  <c r="Q5" i="15"/>
  <c r="Q95" i="15"/>
  <c r="Q114" i="15"/>
  <c r="Q125" i="15"/>
  <c r="Q214" i="15"/>
  <c r="Q374" i="15"/>
  <c r="H398" i="18"/>
  <c r="H399" i="18" s="1"/>
  <c r="H400" i="18" s="1"/>
  <c r="H401" i="18" s="1"/>
  <c r="H402" i="18" s="1"/>
  <c r="H403" i="18" s="1"/>
  <c r="H404" i="18" s="1"/>
  <c r="H405" i="18" s="1"/>
  <c r="H406" i="18" s="1"/>
  <c r="H407" i="18" s="1"/>
  <c r="H408" i="18" s="1"/>
  <c r="H409" i="18" s="1"/>
  <c r="H410" i="18" s="1"/>
  <c r="H411" i="18" s="1"/>
  <c r="H412" i="18" s="1"/>
  <c r="H413" i="18" s="1"/>
  <c r="H414" i="18" s="1"/>
  <c r="H415" i="18" s="1"/>
  <c r="H416" i="18" s="1"/>
  <c r="H417" i="18" s="1"/>
  <c r="H418" i="18" s="1"/>
  <c r="H419" i="18" s="1"/>
  <c r="H420" i="18" s="1"/>
  <c r="H421" i="18" s="1"/>
  <c r="H422" i="18" s="1"/>
  <c r="H423" i="18" s="1"/>
  <c r="H424" i="18" s="1"/>
  <c r="H425" i="18" s="1"/>
  <c r="H426" i="18" s="1"/>
  <c r="H427" i="18" s="1"/>
  <c r="H428" i="18" s="1"/>
  <c r="H491" i="18"/>
  <c r="H492" i="18" s="1"/>
  <c r="H493" i="18" s="1"/>
  <c r="H494" i="18" s="1"/>
  <c r="H495" i="18" s="1"/>
  <c r="H496" i="18" s="1"/>
  <c r="H497" i="18" s="1"/>
  <c r="H498" i="18" s="1"/>
  <c r="H499" i="18" s="1"/>
  <c r="H500" i="18" s="1"/>
  <c r="H501" i="18" s="1"/>
  <c r="H502" i="18" s="1"/>
  <c r="H503" i="18" s="1"/>
  <c r="H504" i="18" s="1"/>
  <c r="H505" i="18" s="1"/>
  <c r="H506" i="18" s="1"/>
  <c r="H507" i="18" s="1"/>
  <c r="H508" i="18" s="1"/>
  <c r="H509" i="18" s="1"/>
  <c r="H510" i="18" s="1"/>
  <c r="H511" i="18" s="1"/>
  <c r="H512" i="18" s="1"/>
  <c r="H513" i="18" s="1"/>
  <c r="H514" i="18" s="1"/>
  <c r="H515" i="18" s="1"/>
  <c r="H516" i="18" s="1"/>
  <c r="H517" i="18" s="1"/>
  <c r="H518" i="18" s="1"/>
  <c r="H519" i="18" s="1"/>
  <c r="H520" i="18" s="1"/>
  <c r="H521" i="18" s="1"/>
  <c r="H583" i="18"/>
  <c r="H584" i="18" s="1"/>
  <c r="H585" i="18" s="1"/>
  <c r="H586" i="18" s="1"/>
  <c r="H587" i="18" s="1"/>
  <c r="H588" i="18" s="1"/>
  <c r="H589" i="18" s="1"/>
  <c r="H590" i="18" s="1"/>
  <c r="H591" i="18" s="1"/>
  <c r="H592" i="18" s="1"/>
  <c r="H593" i="18" s="1"/>
  <c r="H594" i="18" s="1"/>
  <c r="H595" i="18" s="1"/>
  <c r="H596" i="18" s="1"/>
  <c r="H597" i="18" s="1"/>
  <c r="H598" i="18" s="1"/>
  <c r="H599" i="18" s="1"/>
  <c r="H600" i="18" s="1"/>
  <c r="H601" i="18" s="1"/>
  <c r="H602" i="18" s="1"/>
  <c r="H603" i="18" s="1"/>
  <c r="H604" i="18" s="1"/>
  <c r="H605" i="18" s="1"/>
  <c r="H606" i="18" s="1"/>
  <c r="H607" i="18" s="1"/>
  <c r="H608" i="18" s="1"/>
  <c r="H609" i="18" s="1"/>
  <c r="H610" i="18" s="1"/>
  <c r="H611" i="18" s="1"/>
  <c r="H612" i="18" s="1"/>
  <c r="H703" i="18"/>
  <c r="H704" i="18" s="1"/>
  <c r="H705" i="18" s="1"/>
  <c r="H706" i="18" s="1"/>
  <c r="H707" i="18" s="1"/>
  <c r="H708" i="18" s="1"/>
  <c r="H709" i="18" s="1"/>
  <c r="H710" i="18" s="1"/>
  <c r="H711" i="18" s="1"/>
  <c r="H712" i="18" s="1"/>
  <c r="H713" i="18" s="1"/>
  <c r="H714" i="18" s="1"/>
  <c r="H715" i="18" s="1"/>
  <c r="H716" i="18" s="1"/>
  <c r="H717" i="18" s="1"/>
  <c r="H718" i="18" s="1"/>
  <c r="H719" i="18" s="1"/>
  <c r="H720" i="18" s="1"/>
  <c r="H721" i="18" s="1"/>
  <c r="H722" i="18" s="1"/>
  <c r="H723" i="18" s="1"/>
  <c r="H724" i="18" s="1"/>
  <c r="H725" i="18" s="1"/>
  <c r="H726" i="18" s="1"/>
  <c r="H727" i="18" s="1"/>
  <c r="H728" i="18" s="1"/>
  <c r="H729" i="18" s="1"/>
  <c r="H730" i="18" s="1"/>
  <c r="H731" i="18" s="1"/>
  <c r="C389" i="15"/>
  <c r="C753" i="15"/>
  <c r="C456" i="15"/>
  <c r="C295" i="15"/>
  <c r="C12" i="15"/>
  <c r="C668" i="15"/>
  <c r="C504" i="15"/>
  <c r="C680" i="15"/>
  <c r="C493" i="15"/>
  <c r="C291" i="15"/>
  <c r="C627" i="15"/>
  <c r="C112" i="15"/>
  <c r="C624" i="15"/>
  <c r="C629" i="15"/>
  <c r="C622" i="15"/>
  <c r="C235" i="15"/>
  <c r="C204" i="15"/>
  <c r="C374" i="15"/>
  <c r="C209" i="15"/>
  <c r="C674" i="15"/>
  <c r="C260" i="15"/>
  <c r="C351" i="15"/>
  <c r="C37" i="15"/>
  <c r="C79" i="15"/>
  <c r="C511" i="15"/>
  <c r="C714" i="15"/>
  <c r="C708" i="15"/>
  <c r="C438" i="15"/>
  <c r="C762" i="15"/>
  <c r="C725" i="15"/>
  <c r="C740" i="15"/>
  <c r="C332" i="15"/>
  <c r="C735" i="15"/>
  <c r="C74" i="15"/>
  <c r="C13" i="15"/>
  <c r="C355" i="15"/>
  <c r="C430" i="15"/>
  <c r="C95" i="15"/>
  <c r="C61" i="15"/>
  <c r="C118" i="15"/>
  <c r="C450" i="15"/>
  <c r="C327" i="15"/>
  <c r="C320" i="15"/>
  <c r="C289" i="15"/>
  <c r="C491" i="15"/>
  <c r="C284" i="15"/>
  <c r="C286" i="15"/>
  <c r="C749" i="15"/>
  <c r="C216" i="15"/>
  <c r="C183" i="15"/>
  <c r="C158" i="15"/>
  <c r="C113" i="15"/>
  <c r="C513" i="15"/>
  <c r="C549" i="15"/>
  <c r="C512" i="15"/>
  <c r="C413" i="15"/>
  <c r="C752" i="15"/>
  <c r="C742" i="15"/>
  <c r="C675" i="15"/>
  <c r="C663" i="15"/>
  <c r="C137" i="15"/>
  <c r="C114" i="15"/>
  <c r="C271" i="15"/>
  <c r="C595" i="15"/>
  <c r="C259" i="15"/>
  <c r="C248" i="15"/>
  <c r="C371" i="15"/>
  <c r="C748" i="15"/>
  <c r="C666" i="15"/>
  <c r="C502" i="15"/>
  <c r="C476" i="15"/>
  <c r="C192" i="15"/>
  <c r="C145" i="15"/>
  <c r="C190" i="15"/>
  <c r="C144" i="15"/>
  <c r="C700" i="15"/>
  <c r="C613" i="15"/>
  <c r="C444" i="15"/>
  <c r="C566" i="15"/>
  <c r="C297" i="15"/>
  <c r="C682" i="15"/>
  <c r="C544" i="15"/>
  <c r="C670" i="15"/>
  <c r="C483" i="15"/>
  <c r="C460" i="15"/>
  <c r="C492" i="15"/>
  <c r="C448" i="15"/>
  <c r="C692" i="15"/>
  <c r="C699" i="15"/>
  <c r="C693" i="15"/>
  <c r="C277" i="15"/>
  <c r="C436" i="15"/>
  <c r="C763" i="15"/>
  <c r="C365" i="15"/>
  <c r="C471" i="15"/>
  <c r="C687" i="15"/>
  <c r="C442" i="15"/>
  <c r="C772" i="15"/>
  <c r="C462" i="15"/>
  <c r="C380" i="15"/>
  <c r="C495" i="15"/>
  <c r="C510" i="15"/>
  <c r="C764" i="15"/>
  <c r="C350" i="15"/>
  <c r="C83" i="15"/>
  <c r="C339" i="15"/>
  <c r="C252" i="15"/>
  <c r="C29" i="15"/>
  <c r="C348" i="15"/>
  <c r="C347" i="15"/>
  <c r="C349" i="15"/>
  <c r="C346" i="15"/>
  <c r="C514" i="15"/>
  <c r="C336" i="15"/>
  <c r="C777" i="15"/>
  <c r="C337" i="15"/>
  <c r="Q324" i="15"/>
  <c r="H188" i="18"/>
  <c r="H189" i="18" s="1"/>
  <c r="H190" i="18" s="1"/>
  <c r="H191" i="18" s="1"/>
  <c r="H192" i="18" s="1"/>
  <c r="H193" i="18" s="1"/>
  <c r="H194" i="18" s="1"/>
  <c r="H195" i="18" s="1"/>
  <c r="H196" i="18" s="1"/>
  <c r="H197" i="18" s="1"/>
  <c r="H198" i="18" s="1"/>
  <c r="H199" i="18" s="1"/>
  <c r="H200" i="18" s="1"/>
  <c r="H201" i="18" s="1"/>
  <c r="H202" i="18" s="1"/>
  <c r="H203" i="18" s="1"/>
  <c r="H204" i="18" s="1"/>
  <c r="H205" i="18" s="1"/>
  <c r="H206" i="18" s="1"/>
  <c r="H207" i="18" s="1"/>
  <c r="H208" i="18" s="1"/>
  <c r="H209" i="18" s="1"/>
  <c r="H210" i="18" s="1"/>
  <c r="H211" i="18" s="1"/>
  <c r="H212" i="18" s="1"/>
  <c r="H213" i="18" s="1"/>
  <c r="H214" i="18" s="1"/>
  <c r="H215" i="18" s="1"/>
  <c r="H216" i="18" s="1"/>
  <c r="H217" i="18" s="1"/>
  <c r="H126" i="18"/>
  <c r="H127" i="18" s="1"/>
  <c r="H128" i="18" s="1"/>
  <c r="H129" i="18" s="1"/>
  <c r="H130" i="18" s="1"/>
  <c r="H131" i="18" s="1"/>
  <c r="H132" i="18" s="1"/>
  <c r="H133" i="18" s="1"/>
  <c r="H134" i="18" s="1"/>
  <c r="H135" i="18" s="1"/>
  <c r="H136" i="18" s="1"/>
  <c r="H137" i="18" s="1"/>
  <c r="H138" i="18" s="1"/>
  <c r="H139" i="18" s="1"/>
  <c r="H140" i="18" s="1"/>
  <c r="H141" i="18" s="1"/>
  <c r="H142" i="18" s="1"/>
  <c r="H143" i="18" s="1"/>
  <c r="H144" i="18" s="1"/>
  <c r="H145" i="18" s="1"/>
  <c r="H146" i="18" s="1"/>
  <c r="H147" i="18" s="1"/>
  <c r="H148" i="18" s="1"/>
  <c r="H149" i="18" s="1"/>
  <c r="H150" i="18" s="1"/>
  <c r="H151" i="18" s="1"/>
  <c r="H152" i="18" s="1"/>
  <c r="H153" i="18" s="1"/>
  <c r="H154" i="18" s="1"/>
  <c r="H155" i="18" s="1"/>
  <c r="H156" i="18" s="1"/>
  <c r="H338" i="18"/>
  <c r="H339" i="18" s="1"/>
  <c r="H340" i="18" s="1"/>
  <c r="H341" i="18" s="1"/>
  <c r="H342" i="18" s="1"/>
  <c r="H343" i="18" s="1"/>
  <c r="H344" i="18" s="1"/>
  <c r="H345" i="18" s="1"/>
  <c r="H346" i="18" s="1"/>
  <c r="H347" i="18" s="1"/>
  <c r="H348" i="18" s="1"/>
  <c r="H349" i="18" s="1"/>
  <c r="H350" i="18" s="1"/>
  <c r="H351" i="18" s="1"/>
  <c r="H352" i="18" s="1"/>
  <c r="H353" i="18" s="1"/>
  <c r="H354" i="18" s="1"/>
  <c r="H355" i="18" s="1"/>
  <c r="H356" i="18" s="1"/>
  <c r="H357" i="18" s="1"/>
  <c r="H358" i="18" s="1"/>
  <c r="H359" i="18" s="1"/>
  <c r="H360" i="18" s="1"/>
  <c r="H361" i="18" s="1"/>
  <c r="H362" i="18" s="1"/>
  <c r="H363" i="18" s="1"/>
  <c r="H364" i="18" s="1"/>
  <c r="H365" i="18" s="1"/>
  <c r="H366" i="18" s="1"/>
  <c r="H522" i="18"/>
  <c r="H523" i="18" s="1"/>
  <c r="H524" i="18" s="1"/>
  <c r="H525" i="18" s="1"/>
  <c r="H526" i="18" s="1"/>
  <c r="H527" i="18" s="1"/>
  <c r="H528" i="18" s="1"/>
  <c r="H529" i="18" s="1"/>
  <c r="H530" i="18" s="1"/>
  <c r="H531" i="18" s="1"/>
  <c r="H532" i="18" s="1"/>
  <c r="H533" i="18" s="1"/>
  <c r="H534" i="18" s="1"/>
  <c r="H535" i="18" s="1"/>
  <c r="H536" i="18" s="1"/>
  <c r="H537" i="18" s="1"/>
  <c r="H538" i="18" s="1"/>
  <c r="H539" i="18" s="1"/>
  <c r="H540" i="18" s="1"/>
  <c r="H541" i="18" s="1"/>
  <c r="H542" i="18" s="1"/>
  <c r="H543" i="18" s="1"/>
  <c r="H544" i="18" s="1"/>
  <c r="H545" i="18" s="1"/>
  <c r="H546" i="18" s="1"/>
  <c r="H547" i="18" s="1"/>
  <c r="H548" i="18" s="1"/>
  <c r="H549" i="18" s="1"/>
  <c r="H550" i="18" s="1"/>
  <c r="H551" i="18" s="1"/>
  <c r="H552" i="18" s="1"/>
  <c r="H673" i="18"/>
  <c r="H674" i="18" s="1"/>
  <c r="H675" i="18" s="1"/>
  <c r="H676" i="18" s="1"/>
  <c r="H677" i="18" s="1"/>
  <c r="H678" i="18" s="1"/>
  <c r="H679" i="18" s="1"/>
  <c r="H680" i="18" s="1"/>
  <c r="H681" i="18" s="1"/>
  <c r="H682" i="18" s="1"/>
  <c r="H683" i="18" s="1"/>
  <c r="H684" i="18" s="1"/>
  <c r="H685" i="18" s="1"/>
  <c r="H686" i="18" s="1"/>
  <c r="H687" i="18" s="1"/>
  <c r="H688" i="18" s="1"/>
  <c r="H689" i="18" s="1"/>
  <c r="H690" i="18" s="1"/>
  <c r="H691" i="18" s="1"/>
  <c r="H692" i="18" s="1"/>
  <c r="H693" i="18" s="1"/>
  <c r="H694" i="18" s="1"/>
  <c r="H695" i="18" s="1"/>
  <c r="H696" i="18" s="1"/>
  <c r="H697" i="18" s="1"/>
  <c r="H698" i="18" s="1"/>
  <c r="H699" i="18" s="1"/>
  <c r="H700" i="18" s="1"/>
  <c r="H701" i="18" s="1"/>
  <c r="H702" i="18" s="1"/>
  <c r="AA166" i="15"/>
  <c r="F20" i="17"/>
  <c r="H20" i="17" s="1"/>
  <c r="AC363" i="15"/>
  <c r="AL363" i="15" s="1"/>
  <c r="Q595" i="15"/>
  <c r="Q271" i="15"/>
  <c r="Q523" i="15"/>
  <c r="Q509" i="15"/>
  <c r="Q725" i="15"/>
  <c r="Q248" i="15"/>
  <c r="Q484" i="15"/>
  <c r="Q504" i="15"/>
  <c r="Q680" i="15"/>
  <c r="Q273" i="15"/>
  <c r="Q615" i="15"/>
  <c r="Q502" i="15"/>
  <c r="Q238" i="15"/>
  <c r="Q291" i="15"/>
  <c r="Q355" i="15"/>
  <c r="Q624" i="15"/>
  <c r="Q629" i="15"/>
  <c r="Q303" i="15"/>
  <c r="Q118" i="15"/>
  <c r="Q450" i="15"/>
  <c r="Q260" i="15"/>
  <c r="Q331" i="15"/>
  <c r="Q491" i="15"/>
  <c r="Q284" i="15"/>
  <c r="Q742" i="15"/>
  <c r="Q752" i="15"/>
  <c r="Q389" i="15"/>
  <c r="Q401" i="15"/>
  <c r="Q79" i="15"/>
  <c r="Q731" i="15"/>
  <c r="Q736" i="15"/>
  <c r="Q438" i="15"/>
  <c r="Q216" i="15"/>
  <c r="Q762" i="15"/>
  <c r="Q766" i="15"/>
  <c r="Q663" i="15"/>
  <c r="Q675" i="15"/>
  <c r="Q753" i="15"/>
  <c r="Q398" i="15"/>
  <c r="Q714" i="15"/>
  <c r="Q513" i="15"/>
  <c r="Q549" i="15"/>
  <c r="W620" i="15"/>
  <c r="AB620" i="15"/>
  <c r="AK620" i="15"/>
  <c r="W256" i="15"/>
  <c r="AB256" i="15"/>
  <c r="AK256" i="15"/>
  <c r="Q258" i="18" s="1"/>
  <c r="X620" i="15"/>
  <c r="X256" i="15"/>
  <c r="O620" i="15"/>
  <c r="Q712" i="15"/>
  <c r="Q718" i="15"/>
  <c r="Q727" i="15"/>
  <c r="Q732" i="15"/>
  <c r="Q247" i="15"/>
  <c r="Q249" i="15"/>
  <c r="Q431" i="15"/>
  <c r="Q465" i="15"/>
  <c r="Q477" i="15"/>
  <c r="Q281" i="15"/>
  <c r="Q524" i="15"/>
  <c r="Q781" i="15"/>
  <c r="Q279" i="15"/>
  <c r="Q493" i="15"/>
  <c r="Q514" i="15"/>
  <c r="Q295" i="15"/>
  <c r="Q348" i="15"/>
  <c r="Q336" i="15"/>
  <c r="Q436" i="15"/>
  <c r="Q444" i="15"/>
  <c r="Q682" i="15"/>
  <c r="Q710" i="15"/>
  <c r="Q669" i="15"/>
  <c r="Q747" i="15"/>
  <c r="Q716" i="15"/>
  <c r="Q103" i="15"/>
  <c r="Q290" i="15"/>
  <c r="Q728" i="15"/>
  <c r="Q506" i="15"/>
  <c r="Q356" i="15"/>
  <c r="Q760" i="15"/>
  <c r="Q723" i="15"/>
  <c r="Q665" i="15"/>
  <c r="Q422" i="15"/>
  <c r="Q789" i="15"/>
  <c r="H248" i="18"/>
  <c r="H249" i="18" s="1"/>
  <c r="H250" i="18" s="1"/>
  <c r="H251" i="18" s="1"/>
  <c r="H252" i="18" s="1"/>
  <c r="H253" i="18" s="1"/>
  <c r="H254" i="18" s="1"/>
  <c r="H255" i="18" s="1"/>
  <c r="H256" i="18" s="1"/>
  <c r="H257" i="18" s="1"/>
  <c r="H258" i="18" s="1"/>
  <c r="H259" i="18" s="1"/>
  <c r="H260" i="18" s="1"/>
  <c r="H261" i="18" s="1"/>
  <c r="H262" i="18" s="1"/>
  <c r="H263" i="18" s="1"/>
  <c r="H264" i="18" s="1"/>
  <c r="H265" i="18" s="1"/>
  <c r="H266" i="18" s="1"/>
  <c r="H267" i="18" s="1"/>
  <c r="H268" i="18" s="1"/>
  <c r="H269" i="18" s="1"/>
  <c r="H270" i="18" s="1"/>
  <c r="H271" i="18" s="1"/>
  <c r="H272" i="18" s="1"/>
  <c r="H273" i="18" s="1"/>
  <c r="H274" i="18" s="1"/>
  <c r="H275" i="18" s="1"/>
  <c r="H276" i="18" s="1"/>
  <c r="H277" i="18" s="1"/>
  <c r="Q202" i="15"/>
  <c r="H308" i="18"/>
  <c r="H309" i="18" s="1"/>
  <c r="H310" i="18" s="1"/>
  <c r="H311" i="18" s="1"/>
  <c r="H312" i="18" s="1"/>
  <c r="H313" i="18" s="1"/>
  <c r="H314" i="18" s="1"/>
  <c r="H315" i="18" s="1"/>
  <c r="H316" i="18" s="1"/>
  <c r="H317" i="18" s="1"/>
  <c r="H318" i="18" s="1"/>
  <c r="H319" i="18" s="1"/>
  <c r="H320" i="18" s="1"/>
  <c r="H321" i="18" s="1"/>
  <c r="H322" i="18" s="1"/>
  <c r="H323" i="18" s="1"/>
  <c r="H324" i="18" s="1"/>
  <c r="H325" i="18" s="1"/>
  <c r="H326" i="18" s="1"/>
  <c r="H327" i="18" s="1"/>
  <c r="H328" i="18" s="1"/>
  <c r="H329" i="18" s="1"/>
  <c r="H330" i="18" s="1"/>
  <c r="H331" i="18" s="1"/>
  <c r="H332" i="18" s="1"/>
  <c r="H333" i="18" s="1"/>
  <c r="H334" i="18" s="1"/>
  <c r="H335" i="18" s="1"/>
  <c r="H336" i="18" s="1"/>
  <c r="H337" i="18" s="1"/>
  <c r="H218" i="18"/>
  <c r="H219" i="18" s="1"/>
  <c r="H220" i="18" s="1"/>
  <c r="H221" i="18" s="1"/>
  <c r="H222" i="18" s="1"/>
  <c r="H223" i="18" s="1"/>
  <c r="H224" i="18" s="1"/>
  <c r="H225" i="18" s="1"/>
  <c r="H226" i="18" s="1"/>
  <c r="H227" i="18" s="1"/>
  <c r="H228" i="18" s="1"/>
  <c r="H229" i="18" s="1"/>
  <c r="H230" i="18" s="1"/>
  <c r="H231" i="18" s="1"/>
  <c r="H232" i="18" s="1"/>
  <c r="H233" i="18" s="1"/>
  <c r="H234" i="18" s="1"/>
  <c r="H235" i="18" s="1"/>
  <c r="H236" i="18" s="1"/>
  <c r="H237" i="18" s="1"/>
  <c r="H238" i="18" s="1"/>
  <c r="H239" i="18" s="1"/>
  <c r="H240" i="18" s="1"/>
  <c r="H241" i="18" s="1"/>
  <c r="H242" i="18" s="1"/>
  <c r="H243" i="18" s="1"/>
  <c r="H244" i="18" s="1"/>
  <c r="H245" i="18" s="1"/>
  <c r="H246" i="18" s="1"/>
  <c r="H247" i="18" s="1"/>
  <c r="H367" i="18"/>
  <c r="H368" i="18" s="1"/>
  <c r="H369" i="18" s="1"/>
  <c r="H370" i="18" s="1"/>
  <c r="H371" i="18" s="1"/>
  <c r="H372" i="18" s="1"/>
  <c r="H373" i="18" s="1"/>
  <c r="H374" i="18" s="1"/>
  <c r="H375" i="18" s="1"/>
  <c r="H376" i="18" s="1"/>
  <c r="H377" i="18" s="1"/>
  <c r="H378" i="18" s="1"/>
  <c r="H379" i="18" s="1"/>
  <c r="H380" i="18" s="1"/>
  <c r="H381" i="18" s="1"/>
  <c r="H382" i="18" s="1"/>
  <c r="H383" i="18" s="1"/>
  <c r="H384" i="18" s="1"/>
  <c r="H385" i="18" s="1"/>
  <c r="H386" i="18" s="1"/>
  <c r="H387" i="18" s="1"/>
  <c r="H388" i="18" s="1"/>
  <c r="H389" i="18" s="1"/>
  <c r="H390" i="18" s="1"/>
  <c r="H391" i="18" s="1"/>
  <c r="H392" i="18" s="1"/>
  <c r="H393" i="18" s="1"/>
  <c r="H394" i="18" s="1"/>
  <c r="H395" i="18" s="1"/>
  <c r="H396" i="18" s="1"/>
  <c r="H397" i="18" s="1"/>
  <c r="H3" i="18"/>
  <c r="H4" i="18" s="1"/>
  <c r="H5" i="18" s="1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H95" i="18"/>
  <c r="H96" i="18" s="1"/>
  <c r="H97" i="18" s="1"/>
  <c r="H98" i="18" s="1"/>
  <c r="H99" i="18" s="1"/>
  <c r="H100" i="18" s="1"/>
  <c r="H101" i="18" s="1"/>
  <c r="H102" i="18" s="1"/>
  <c r="H103" i="18" s="1"/>
  <c r="H104" i="18" s="1"/>
  <c r="H105" i="18" s="1"/>
  <c r="H106" i="18" s="1"/>
  <c r="H107" i="18" s="1"/>
  <c r="H108" i="18" s="1"/>
  <c r="H109" i="18" s="1"/>
  <c r="H110" i="18" s="1"/>
  <c r="H111" i="18" s="1"/>
  <c r="H112" i="18" s="1"/>
  <c r="H113" i="18" s="1"/>
  <c r="H114" i="18" s="1"/>
  <c r="H115" i="18" s="1"/>
  <c r="H116" i="18" s="1"/>
  <c r="H117" i="18" s="1"/>
  <c r="H118" i="18" s="1"/>
  <c r="H119" i="18" s="1"/>
  <c r="H120" i="18" s="1"/>
  <c r="H121" i="18" s="1"/>
  <c r="H122" i="18" s="1"/>
  <c r="H123" i="18" s="1"/>
  <c r="H124" i="18" s="1"/>
  <c r="H125" i="18" s="1"/>
  <c r="H157" i="18"/>
  <c r="H158" i="18" s="1"/>
  <c r="H159" i="18" s="1"/>
  <c r="H160" i="18" s="1"/>
  <c r="H161" i="18" s="1"/>
  <c r="H162" i="18" s="1"/>
  <c r="H163" i="18" s="1"/>
  <c r="H164" i="18" s="1"/>
  <c r="H165" i="18" s="1"/>
  <c r="H166" i="18" s="1"/>
  <c r="H167" i="18" s="1"/>
  <c r="H168" i="18" s="1"/>
  <c r="H169" i="18" s="1"/>
  <c r="H170" i="18" s="1"/>
  <c r="H171" i="18" s="1"/>
  <c r="H172" i="18" s="1"/>
  <c r="H173" i="18" s="1"/>
  <c r="H174" i="18" s="1"/>
  <c r="H175" i="18" s="1"/>
  <c r="H176" i="18" s="1"/>
  <c r="H177" i="18" s="1"/>
  <c r="H178" i="18" s="1"/>
  <c r="H179" i="18" s="1"/>
  <c r="H180" i="18" s="1"/>
  <c r="H181" i="18" s="1"/>
  <c r="H182" i="18" s="1"/>
  <c r="H183" i="18" s="1"/>
  <c r="H184" i="18" s="1"/>
  <c r="H185" i="18" s="1"/>
  <c r="H186" i="18" s="1"/>
  <c r="H187" i="18" s="1"/>
  <c r="H278" i="18"/>
  <c r="H279" i="18" s="1"/>
  <c r="H280" i="18" s="1"/>
  <c r="H281" i="18" s="1"/>
  <c r="H282" i="18" s="1"/>
  <c r="H283" i="18" s="1"/>
  <c r="H284" i="18" s="1"/>
  <c r="H285" i="18" s="1"/>
  <c r="H286" i="18" s="1"/>
  <c r="H287" i="18" s="1"/>
  <c r="H288" i="18" s="1"/>
  <c r="H289" i="18" s="1"/>
  <c r="H290" i="18" s="1"/>
  <c r="H291" i="18" s="1"/>
  <c r="H292" i="18" s="1"/>
  <c r="H293" i="18" s="1"/>
  <c r="H294" i="18" s="1"/>
  <c r="H295" i="18" s="1"/>
  <c r="H296" i="18" s="1"/>
  <c r="H297" i="18" s="1"/>
  <c r="H298" i="18" s="1"/>
  <c r="H299" i="18" s="1"/>
  <c r="H300" i="18" s="1"/>
  <c r="H301" i="18" s="1"/>
  <c r="H302" i="18" s="1"/>
  <c r="H303" i="18" s="1"/>
  <c r="H304" i="18" s="1"/>
  <c r="H305" i="18" s="1"/>
  <c r="H306" i="18" s="1"/>
  <c r="H307" i="18" s="1"/>
  <c r="H460" i="18"/>
  <c r="H461" i="18" s="1"/>
  <c r="H462" i="18" s="1"/>
  <c r="H463" i="18" s="1"/>
  <c r="H464" i="18" s="1"/>
  <c r="H465" i="18" s="1"/>
  <c r="H466" i="18" s="1"/>
  <c r="H467" i="18" s="1"/>
  <c r="H468" i="18" s="1"/>
  <c r="H469" i="18" s="1"/>
  <c r="H470" i="18" s="1"/>
  <c r="H471" i="18" s="1"/>
  <c r="H472" i="18" s="1"/>
  <c r="H473" i="18" s="1"/>
  <c r="H474" i="18" s="1"/>
  <c r="H475" i="18" s="1"/>
  <c r="H476" i="18" s="1"/>
  <c r="H477" i="18" s="1"/>
  <c r="H478" i="18" s="1"/>
  <c r="H479" i="18" s="1"/>
  <c r="H480" i="18" s="1"/>
  <c r="H481" i="18" s="1"/>
  <c r="H482" i="18" s="1"/>
  <c r="H483" i="18" s="1"/>
  <c r="H484" i="18" s="1"/>
  <c r="H485" i="18" s="1"/>
  <c r="H486" i="18" s="1"/>
  <c r="H487" i="18" s="1"/>
  <c r="H488" i="18" s="1"/>
  <c r="H489" i="18" s="1"/>
  <c r="H490" i="18" s="1"/>
  <c r="Q372" i="15"/>
  <c r="H429" i="18"/>
  <c r="H430" i="18" s="1"/>
  <c r="H431" i="18" s="1"/>
  <c r="H432" i="18" s="1"/>
  <c r="H433" i="18" s="1"/>
  <c r="H434" i="18" s="1"/>
  <c r="H435" i="18" s="1"/>
  <c r="H436" i="18" s="1"/>
  <c r="H437" i="18" s="1"/>
  <c r="H438" i="18" s="1"/>
  <c r="H439" i="18" s="1"/>
  <c r="H440" i="18" s="1"/>
  <c r="H441" i="18" s="1"/>
  <c r="H442" i="18" s="1"/>
  <c r="H443" i="18" s="1"/>
  <c r="H444" i="18" s="1"/>
  <c r="H445" i="18" s="1"/>
  <c r="H446" i="18" s="1"/>
  <c r="H447" i="18" s="1"/>
  <c r="H448" i="18" s="1"/>
  <c r="H449" i="18" s="1"/>
  <c r="H450" i="18" s="1"/>
  <c r="H451" i="18" s="1"/>
  <c r="H452" i="18" s="1"/>
  <c r="H453" i="18" s="1"/>
  <c r="H454" i="18" s="1"/>
  <c r="H455" i="18" s="1"/>
  <c r="H456" i="18" s="1"/>
  <c r="H457" i="18" s="1"/>
  <c r="H458" i="18" s="1"/>
  <c r="H459" i="18" s="1"/>
  <c r="H613" i="18"/>
  <c r="H614" i="18" s="1"/>
  <c r="H615" i="18" s="1"/>
  <c r="H616" i="18" s="1"/>
  <c r="H617" i="18" s="1"/>
  <c r="H618" i="18" s="1"/>
  <c r="H619" i="18" s="1"/>
  <c r="H620" i="18" s="1"/>
  <c r="H621" i="18" s="1"/>
  <c r="H622" i="18" s="1"/>
  <c r="H623" i="18" s="1"/>
  <c r="H624" i="18" s="1"/>
  <c r="H625" i="18" s="1"/>
  <c r="H626" i="18" s="1"/>
  <c r="H627" i="18" s="1"/>
  <c r="H628" i="18" s="1"/>
  <c r="H629" i="18" s="1"/>
  <c r="H630" i="18" s="1"/>
  <c r="H631" i="18" s="1"/>
  <c r="H632" i="18" s="1"/>
  <c r="H633" i="18" s="1"/>
  <c r="H634" i="18" s="1"/>
  <c r="H635" i="18" s="1"/>
  <c r="H636" i="18" s="1"/>
  <c r="H637" i="18" s="1"/>
  <c r="H638" i="18" s="1"/>
  <c r="H639" i="18" s="1"/>
  <c r="H640" i="18" s="1"/>
  <c r="H641" i="18" s="1"/>
  <c r="H642" i="18" s="1"/>
  <c r="H553" i="18"/>
  <c r="H554" i="18" s="1"/>
  <c r="H555" i="18" s="1"/>
  <c r="H556" i="18" s="1"/>
  <c r="H557" i="18" s="1"/>
  <c r="H558" i="18" s="1"/>
  <c r="H559" i="18" s="1"/>
  <c r="H560" i="18" s="1"/>
  <c r="H561" i="18" s="1"/>
  <c r="H562" i="18" s="1"/>
  <c r="H563" i="18" s="1"/>
  <c r="H564" i="18" s="1"/>
  <c r="H565" i="18" s="1"/>
  <c r="H566" i="18" s="1"/>
  <c r="H567" i="18" s="1"/>
  <c r="H568" i="18" s="1"/>
  <c r="H569" i="18" s="1"/>
  <c r="H570" i="18" s="1"/>
  <c r="H571" i="18" s="1"/>
  <c r="H572" i="18" s="1"/>
  <c r="H573" i="18" s="1"/>
  <c r="H574" i="18" s="1"/>
  <c r="H575" i="18" s="1"/>
  <c r="H576" i="18" s="1"/>
  <c r="H577" i="18" s="1"/>
  <c r="H578" i="18" s="1"/>
  <c r="H579" i="18" s="1"/>
  <c r="H580" i="18" s="1"/>
  <c r="H581" i="18" s="1"/>
  <c r="H582" i="18" s="1"/>
  <c r="Q482" i="15"/>
  <c r="Q537" i="15"/>
  <c r="Q411" i="15"/>
  <c r="Q399" i="15"/>
  <c r="Q386" i="15"/>
  <c r="Q301" i="15"/>
  <c r="Q325" i="15"/>
  <c r="Q472" i="15"/>
  <c r="Q443" i="15"/>
  <c r="Q466" i="15"/>
  <c r="H64" i="18"/>
  <c r="H65" i="18" s="1"/>
  <c r="H66" i="18" s="1"/>
  <c r="H67" i="18" s="1"/>
  <c r="H68" i="18" s="1"/>
  <c r="H69" i="18" s="1"/>
  <c r="H70" i="18" s="1"/>
  <c r="H71" i="18" s="1"/>
  <c r="H72" i="18" s="1"/>
  <c r="H73" i="18" s="1"/>
  <c r="H74" i="18" s="1"/>
  <c r="H75" i="18" s="1"/>
  <c r="H76" i="18" s="1"/>
  <c r="H77" i="18" s="1"/>
  <c r="H78" i="18" s="1"/>
  <c r="H79" i="18" s="1"/>
  <c r="H80" i="18" s="1"/>
  <c r="H81" i="18" s="1"/>
  <c r="H82" i="18" s="1"/>
  <c r="H83" i="18" s="1"/>
  <c r="H84" i="18" s="1"/>
  <c r="H85" i="18" s="1"/>
  <c r="H86" i="18" s="1"/>
  <c r="H87" i="18" s="1"/>
  <c r="H88" i="18" s="1"/>
  <c r="H89" i="18" s="1"/>
  <c r="H90" i="18" s="1"/>
  <c r="H91" i="18" s="1"/>
  <c r="H92" i="18" s="1"/>
  <c r="H93" i="18" s="1"/>
  <c r="H94" i="18" s="1"/>
  <c r="Q167" i="15"/>
  <c r="F14" i="16"/>
  <c r="AB370" i="15"/>
  <c r="AK373" i="15"/>
  <c r="AB301" i="15"/>
  <c r="AA694" i="15"/>
  <c r="AA630" i="15"/>
  <c r="AA406" i="15"/>
  <c r="W373" i="15"/>
  <c r="AA684" i="15"/>
  <c r="K167" i="18"/>
  <c r="O167" i="18"/>
  <c r="I43" i="18"/>
  <c r="N43" i="18"/>
  <c r="K74" i="18"/>
  <c r="O74" i="18"/>
  <c r="F13" i="17"/>
  <c r="H13" i="17" s="1"/>
  <c r="X302" i="15"/>
  <c r="F25" i="16" s="1"/>
  <c r="L136" i="18"/>
  <c r="Q136" i="18"/>
  <c r="I156" i="18"/>
  <c r="N156" i="18"/>
  <c r="K187" i="18"/>
  <c r="O187" i="18"/>
  <c r="L277" i="18"/>
  <c r="Q277" i="18"/>
  <c r="K307" i="18"/>
  <c r="O307" i="18"/>
  <c r="K337" i="18"/>
  <c r="O337" i="18"/>
  <c r="I366" i="18"/>
  <c r="W730" i="15"/>
  <c r="W779" i="15"/>
  <c r="X340" i="15"/>
  <c r="W285" i="15"/>
  <c r="H8" i="16"/>
  <c r="D8" i="16" s="1"/>
  <c r="H9" i="16"/>
  <c r="D9" i="16" s="1"/>
  <c r="X779" i="15"/>
  <c r="X285" i="15"/>
  <c r="J32" i="18"/>
  <c r="L63" i="18"/>
  <c r="Q63" i="18"/>
  <c r="K490" i="18"/>
  <c r="O490" i="18"/>
  <c r="AB730" i="15"/>
  <c r="AK340" i="15"/>
  <c r="AA691" i="15"/>
  <c r="AK691" i="15"/>
  <c r="AK648" i="15"/>
  <c r="AB648" i="15"/>
  <c r="AK208" i="15"/>
  <c r="W208" i="15"/>
  <c r="X311" i="15"/>
  <c r="AK279" i="15"/>
  <c r="W279" i="15"/>
  <c r="AB704" i="15"/>
  <c r="AA704" i="15"/>
  <c r="AA333" i="15"/>
  <c r="AK333" i="15"/>
  <c r="X685" i="15"/>
  <c r="AA434" i="15"/>
  <c r="AB399" i="15"/>
  <c r="AK399" i="15"/>
  <c r="AB224" i="15"/>
  <c r="AK224" i="15"/>
  <c r="AK503" i="15"/>
  <c r="Q802" i="18" s="1"/>
  <c r="AB503" i="15"/>
  <c r="D24" i="17" s="1"/>
  <c r="W697" i="15"/>
  <c r="AK316" i="15"/>
  <c r="AB316" i="15"/>
  <c r="W478" i="15"/>
  <c r="X704" i="15"/>
  <c r="AB767" i="15"/>
  <c r="X767" i="15"/>
  <c r="F39" i="16" s="1"/>
  <c r="E14" i="16"/>
  <c r="AK217" i="15"/>
  <c r="AB217" i="15"/>
  <c r="X399" i="15"/>
  <c r="X222" i="15"/>
  <c r="X224" i="15"/>
  <c r="AK280" i="15"/>
  <c r="W280" i="15"/>
  <c r="AB279" i="15"/>
  <c r="K94" i="18"/>
  <c r="O94" i="18"/>
  <c r="L217" i="18"/>
  <c r="Q217" i="18"/>
  <c r="J247" i="18"/>
  <c r="M247" i="18"/>
  <c r="J428" i="18"/>
  <c r="M428" i="18"/>
  <c r="J459" i="18"/>
  <c r="M459" i="18"/>
  <c r="AK285" i="15"/>
  <c r="K32" i="18"/>
  <c r="O32" i="18"/>
  <c r="I63" i="18"/>
  <c r="L105" i="18"/>
  <c r="Q105" i="18"/>
  <c r="J125" i="18"/>
  <c r="M125" i="18"/>
  <c r="J156" i="18"/>
  <c r="M156" i="18"/>
  <c r="L187" i="18"/>
  <c r="Q187" i="18"/>
  <c r="I228" i="18"/>
  <c r="N228" i="18"/>
  <c r="I277" i="18"/>
  <c r="N277" i="18"/>
  <c r="L337" i="18"/>
  <c r="Q337" i="18"/>
  <c r="L521" i="18"/>
  <c r="Q521" i="18"/>
  <c r="L582" i="18"/>
  <c r="Q582" i="18"/>
  <c r="L642" i="18"/>
  <c r="Q642" i="18"/>
  <c r="L702" i="18"/>
  <c r="H24" i="19" s="1"/>
  <c r="Q702" i="18"/>
  <c r="L24" i="19" s="1"/>
  <c r="F16" i="17"/>
  <c r="H16" i="17" s="1"/>
  <c r="J63" i="18"/>
  <c r="K217" i="18"/>
  <c r="O217" i="18"/>
  <c r="I247" i="18"/>
  <c r="N247" i="18"/>
  <c r="J397" i="18"/>
  <c r="I428" i="18"/>
  <c r="N428" i="18"/>
  <c r="I521" i="18"/>
  <c r="N521" i="18"/>
  <c r="K552" i="18"/>
  <c r="O552" i="18"/>
  <c r="I582" i="18"/>
  <c r="N582" i="18"/>
  <c r="K612" i="18"/>
  <c r="O612" i="18"/>
  <c r="I642" i="18"/>
  <c r="N642" i="18"/>
  <c r="K672" i="18"/>
  <c r="O672" i="18"/>
  <c r="I702" i="18"/>
  <c r="E24" i="19" s="1"/>
  <c r="N702" i="18"/>
  <c r="J24" i="19" s="1"/>
  <c r="K731" i="18"/>
  <c r="O731" i="18"/>
  <c r="X576" i="15"/>
  <c r="AA576" i="15"/>
  <c r="AB623" i="15"/>
  <c r="X623" i="15"/>
  <c r="AA623" i="15"/>
  <c r="X166" i="15"/>
  <c r="AB258" i="15"/>
  <c r="AA781" i="15"/>
  <c r="AA671" i="15"/>
  <c r="W676" i="15"/>
  <c r="W283" i="15"/>
  <c r="W773" i="15"/>
  <c r="AK667" i="15"/>
  <c r="AK568" i="15"/>
  <c r="W258" i="15"/>
  <c r="AA472" i="15"/>
  <c r="W667" i="15"/>
  <c r="AA73" i="15"/>
  <c r="AA697" i="15"/>
  <c r="W568" i="15"/>
  <c r="W781" i="15"/>
  <c r="W671" i="15"/>
  <c r="AA676" i="15"/>
  <c r="AB285" i="15"/>
  <c r="AK283" i="15"/>
  <c r="AB773" i="15"/>
  <c r="C12" i="17"/>
  <c r="W217" i="15"/>
  <c r="W370" i="15"/>
  <c r="AB208" i="15"/>
  <c r="W503" i="15"/>
  <c r="X667" i="15"/>
  <c r="AA770" i="15"/>
  <c r="AA270" i="15"/>
  <c r="C30" i="17" s="1"/>
  <c r="X568" i="15"/>
  <c r="AK779" i="15"/>
  <c r="Q1557" i="18" s="1"/>
  <c r="L53" i="19" s="1"/>
  <c r="AB280" i="15"/>
  <c r="AB478" i="15"/>
  <c r="AA767" i="15"/>
  <c r="AK685" i="15"/>
  <c r="Q926" i="18" s="1"/>
  <c r="I12" i="18"/>
  <c r="N12" i="18"/>
  <c r="J136" i="18"/>
  <c r="M136" i="18"/>
  <c r="I167" i="18"/>
  <c r="N167" i="18"/>
  <c r="K198" i="18"/>
  <c r="O198" i="18"/>
  <c r="J12" i="18"/>
  <c r="M12" i="18"/>
  <c r="I32" i="18"/>
  <c r="N32" i="18"/>
  <c r="L43" i="18"/>
  <c r="Q43" i="18"/>
  <c r="K63" i="18"/>
  <c r="O63" i="18"/>
  <c r="J74" i="18"/>
  <c r="L94" i="18"/>
  <c r="Q94" i="18"/>
  <c r="K105" i="18"/>
  <c r="O105" i="18"/>
  <c r="L125" i="18"/>
  <c r="Q125" i="18"/>
  <c r="K156" i="18"/>
  <c r="O156" i="18"/>
  <c r="J167" i="18"/>
  <c r="M167" i="18"/>
  <c r="L198" i="18"/>
  <c r="Q198" i="18"/>
  <c r="I217" i="18"/>
  <c r="N217" i="18"/>
  <c r="L228" i="18"/>
  <c r="Q228" i="18"/>
  <c r="J277" i="18"/>
  <c r="I307" i="18"/>
  <c r="N307" i="18"/>
  <c r="L397" i="18"/>
  <c r="Q397" i="18"/>
  <c r="K428" i="18"/>
  <c r="O428" i="18"/>
  <c r="K459" i="18"/>
  <c r="O459" i="18"/>
  <c r="L490" i="18"/>
  <c r="Q490" i="18"/>
  <c r="L552" i="18"/>
  <c r="Q552" i="18"/>
  <c r="L612" i="18"/>
  <c r="Q612" i="18"/>
  <c r="L672" i="18"/>
  <c r="Q672" i="18"/>
  <c r="L731" i="18"/>
  <c r="Q731" i="18"/>
  <c r="I94" i="18"/>
  <c r="N94" i="18"/>
  <c r="I125" i="18"/>
  <c r="N125" i="18"/>
  <c r="J187" i="18"/>
  <c r="L247" i="18"/>
  <c r="Q247" i="18"/>
  <c r="J307" i="18"/>
  <c r="M307" i="18"/>
  <c r="J337" i="18"/>
  <c r="M337" i="18"/>
  <c r="K366" i="18"/>
  <c r="O366" i="18"/>
  <c r="I397" i="18"/>
  <c r="N397" i="18"/>
  <c r="L459" i="18"/>
  <c r="Q459" i="18"/>
  <c r="I490" i="18"/>
  <c r="N490" i="18"/>
  <c r="K521" i="18"/>
  <c r="O521" i="18"/>
  <c r="I552" i="18"/>
  <c r="N552" i="18"/>
  <c r="K582" i="18"/>
  <c r="O582" i="18"/>
  <c r="I612" i="18"/>
  <c r="N612" i="18"/>
  <c r="K642" i="18"/>
  <c r="O642" i="18"/>
  <c r="I672" i="18"/>
  <c r="N672" i="18"/>
  <c r="K702" i="18"/>
  <c r="G24" i="19" s="1"/>
  <c r="O702" i="18"/>
  <c r="K24" i="19" s="1"/>
  <c r="I731" i="18"/>
  <c r="N731" i="18"/>
  <c r="F10" i="17"/>
  <c r="H10" i="17" s="1"/>
  <c r="C18" i="17"/>
  <c r="AK684" i="15"/>
  <c r="Q921" i="18" s="1"/>
  <c r="X684" i="15"/>
  <c r="AB684" i="15"/>
  <c r="W648" i="15"/>
  <c r="W302" i="15"/>
  <c r="E25" i="16" s="1"/>
  <c r="AB302" i="15"/>
  <c r="AK302" i="15"/>
  <c r="W166" i="15"/>
  <c r="AB166" i="15"/>
  <c r="AK166" i="15"/>
  <c r="Q124" i="18" s="1"/>
  <c r="AB576" i="15"/>
  <c r="W576" i="15"/>
  <c r="AK576" i="15"/>
  <c r="AB306" i="15"/>
  <c r="AA306" i="15"/>
  <c r="X306" i="15"/>
  <c r="AA487" i="15"/>
  <c r="AB234" i="15"/>
  <c r="AA375" i="15"/>
  <c r="AA775" i="15"/>
  <c r="E2" i="16"/>
  <c r="AB739" i="15"/>
  <c r="AA262" i="15"/>
  <c r="AA311" i="15"/>
  <c r="AK524" i="15"/>
  <c r="X524" i="15"/>
  <c r="AB524" i="15"/>
  <c r="AB366" i="15"/>
  <c r="AA366" i="15"/>
  <c r="X761" i="15"/>
  <c r="X479" i="15"/>
  <c r="AK623" i="15"/>
  <c r="AA765" i="15"/>
  <c r="AB361" i="15"/>
  <c r="W546" i="15"/>
  <c r="W487" i="15"/>
  <c r="AB487" i="15"/>
  <c r="AA386" i="15"/>
  <c r="AA370" i="15"/>
  <c r="AB373" i="15"/>
  <c r="AA258" i="15"/>
  <c r="AA208" i="15"/>
  <c r="W234" i="15"/>
  <c r="AK234" i="15"/>
  <c r="Q357" i="18" s="1"/>
  <c r="W375" i="15"/>
  <c r="AB375" i="15"/>
  <c r="AA503" i="15"/>
  <c r="C24" i="17" s="1"/>
  <c r="AB697" i="15"/>
  <c r="AA730" i="15"/>
  <c r="W775" i="15"/>
  <c r="E21" i="16" s="1"/>
  <c r="AB775" i="15"/>
  <c r="F2" i="16"/>
  <c r="W739" i="15"/>
  <c r="AK739" i="15"/>
  <c r="Q1195" i="18" s="1"/>
  <c r="W311" i="15"/>
  <c r="AB311" i="15"/>
  <c r="AA301" i="15"/>
  <c r="X301" i="15"/>
  <c r="AK301" i="15"/>
  <c r="W524" i="15"/>
  <c r="AB647" i="15"/>
  <c r="AA647" i="15"/>
  <c r="AB359" i="15"/>
  <c r="X359" i="15"/>
  <c r="AK359" i="15"/>
  <c r="Q445" i="18" s="1"/>
  <c r="AK765" i="15"/>
  <c r="X487" i="15"/>
  <c r="AB386" i="15"/>
  <c r="AA399" i="15"/>
  <c r="AB222" i="15"/>
  <c r="AA218" i="15"/>
  <c r="AA224" i="15"/>
  <c r="X234" i="15"/>
  <c r="X375" i="15"/>
  <c r="AK423" i="15"/>
  <c r="Q591" i="18" s="1"/>
  <c r="AA423" i="15"/>
  <c r="X775" i="15"/>
  <c r="F21" i="16" s="1"/>
  <c r="AA272" i="15"/>
  <c r="AK272" i="15"/>
  <c r="W272" i="15"/>
  <c r="E23" i="16" s="1"/>
  <c r="X739" i="15"/>
  <c r="AA508" i="15"/>
  <c r="AK312" i="15"/>
  <c r="W312" i="15"/>
  <c r="AA312" i="15"/>
  <c r="X765" i="15"/>
  <c r="W361" i="15"/>
  <c r="AB546" i="15"/>
  <c r="AA281" i="15"/>
  <c r="W386" i="15"/>
  <c r="W399" i="15"/>
  <c r="X370" i="15"/>
  <c r="X373" i="15"/>
  <c r="X258" i="15"/>
  <c r="X208" i="15"/>
  <c r="W222" i="15"/>
  <c r="AK222" i="15"/>
  <c r="W224" i="15"/>
  <c r="X503" i="15"/>
  <c r="AB667" i="15"/>
  <c r="D25" i="17" s="1"/>
  <c r="F25" i="17" s="1"/>
  <c r="H25" i="17" s="1"/>
  <c r="X730" i="15"/>
  <c r="W423" i="15"/>
  <c r="X272" i="15"/>
  <c r="F23" i="16" s="1"/>
  <c r="AA524" i="15"/>
  <c r="AB761" i="15"/>
  <c r="D18" i="17" s="1"/>
  <c r="W761" i="15"/>
  <c r="AK761" i="15"/>
  <c r="Q1363" i="18" s="1"/>
  <c r="L46" i="19" s="1"/>
  <c r="AK479" i="15"/>
  <c r="Q705" i="18" s="1"/>
  <c r="W479" i="15"/>
  <c r="AB671" i="15"/>
  <c r="AA280" i="15"/>
  <c r="AB283" i="15"/>
  <c r="AA773" i="15"/>
  <c r="X496" i="15"/>
  <c r="AA686" i="15"/>
  <c r="AB34" i="15"/>
  <c r="AK704" i="15"/>
  <c r="Q1027" i="18" s="1"/>
  <c r="W241" i="15"/>
  <c r="W685" i="15"/>
  <c r="AB685" i="15"/>
  <c r="AB673" i="15"/>
  <c r="AK686" i="15"/>
  <c r="Q937" i="18" s="1"/>
  <c r="AB568" i="15"/>
  <c r="AB779" i="15"/>
  <c r="AB781" i="15"/>
  <c r="X280" i="15"/>
  <c r="AA466" i="15"/>
  <c r="AB676" i="15"/>
  <c r="X283" i="15"/>
  <c r="X773" i="15"/>
  <c r="AA496" i="15"/>
  <c r="X686" i="15"/>
  <c r="F7" i="16" s="1"/>
  <c r="W34" i="15"/>
  <c r="AB241" i="15"/>
  <c r="AK767" i="15"/>
  <c r="X333" i="15"/>
  <c r="F41" i="16" s="1"/>
  <c r="W673" i="15"/>
  <c r="E38" i="16" s="1"/>
  <c r="AK496" i="15"/>
  <c r="Q794" i="18" s="1"/>
  <c r="D12" i="17"/>
  <c r="X691" i="15"/>
  <c r="K12" i="18"/>
  <c r="O12" i="18"/>
  <c r="J43" i="18"/>
  <c r="L74" i="18"/>
  <c r="I105" i="18"/>
  <c r="N105" i="18"/>
  <c r="I136" i="18"/>
  <c r="N136" i="18"/>
  <c r="J198" i="18"/>
  <c r="K228" i="18"/>
  <c r="O228" i="18"/>
  <c r="L12" i="18"/>
  <c r="Q12" i="18"/>
  <c r="L32" i="18"/>
  <c r="Q32" i="18"/>
  <c r="K43" i="18"/>
  <c r="O43" i="18"/>
  <c r="E44" i="16"/>
  <c r="F44" i="16"/>
  <c r="C8" i="17"/>
  <c r="D8" i="17"/>
  <c r="O745" i="15"/>
  <c r="H42" i="16"/>
  <c r="F14" i="17"/>
  <c r="H14" i="17" s="1"/>
  <c r="W621" i="15"/>
  <c r="AB621" i="15"/>
  <c r="AA688" i="15"/>
  <c r="AK688" i="15"/>
  <c r="Q948" i="18" s="1"/>
  <c r="X688" i="15"/>
  <c r="AB688" i="15"/>
  <c r="W688" i="15"/>
  <c r="AA648" i="15"/>
  <c r="X621" i="15"/>
  <c r="AK621" i="15"/>
  <c r="AA217" i="15"/>
  <c r="AA361" i="15"/>
  <c r="E35" i="16"/>
  <c r="AA546" i="15"/>
  <c r="AA388" i="15"/>
  <c r="AK388" i="15"/>
  <c r="X388" i="15"/>
  <c r="AB388" i="15"/>
  <c r="W388" i="15"/>
  <c r="AA385" i="15"/>
  <c r="AK385" i="15"/>
  <c r="X385" i="15"/>
  <c r="AB385" i="15"/>
  <c r="W385" i="15"/>
  <c r="AA628" i="15"/>
  <c r="AK628" i="15"/>
  <c r="X628" i="15"/>
  <c r="AB628" i="15"/>
  <c r="W628" i="15"/>
  <c r="X648" i="15"/>
  <c r="O691" i="15"/>
  <c r="W623" i="15"/>
  <c r="X217" i="15"/>
  <c r="W306" i="15"/>
  <c r="W765" i="15"/>
  <c r="X361" i="15"/>
  <c r="X546" i="15"/>
  <c r="X281" i="15"/>
  <c r="AK281" i="15"/>
  <c r="X434" i="15"/>
  <c r="AK434" i="15"/>
  <c r="Q616" i="18" s="1"/>
  <c r="X694" i="15"/>
  <c r="AK694" i="15"/>
  <c r="Q978" i="18" s="1"/>
  <c r="X630" i="15"/>
  <c r="AK630" i="15"/>
  <c r="X218" i="15"/>
  <c r="AK218" i="15"/>
  <c r="Q297" i="18" s="1"/>
  <c r="W360" i="15"/>
  <c r="AB360" i="15"/>
  <c r="X472" i="15"/>
  <c r="AK472" i="15"/>
  <c r="Q711" i="18" s="1"/>
  <c r="W50" i="15"/>
  <c r="AB50" i="15"/>
  <c r="X73" i="15"/>
  <c r="AK73" i="15"/>
  <c r="X770" i="15"/>
  <c r="AK770" i="15"/>
  <c r="X270" i="15"/>
  <c r="AK270" i="15"/>
  <c r="Q358" i="18" s="1"/>
  <c r="X262" i="15"/>
  <c r="AK262" i="15"/>
  <c r="W325" i="15"/>
  <c r="AB325" i="15"/>
  <c r="W610" i="15"/>
  <c r="AB610" i="15"/>
  <c r="X647" i="15"/>
  <c r="AK647" i="15"/>
  <c r="D21" i="17"/>
  <c r="F21" i="17" s="1"/>
  <c r="H21" i="17" s="1"/>
  <c r="W780" i="15"/>
  <c r="AB780" i="15"/>
  <c r="X366" i="15"/>
  <c r="AK366" i="15"/>
  <c r="Q460" i="18" s="1"/>
  <c r="X406" i="15"/>
  <c r="AK406" i="15"/>
  <c r="W507" i="15"/>
  <c r="AB507" i="15"/>
  <c r="X508" i="15"/>
  <c r="F33" i="16" s="1"/>
  <c r="AK508" i="15"/>
  <c r="W443" i="15"/>
  <c r="AB443" i="15"/>
  <c r="X466" i="15"/>
  <c r="AK466" i="15"/>
  <c r="Q572" i="18" s="1"/>
  <c r="AA340" i="15"/>
  <c r="W744" i="15"/>
  <c r="AB744" i="15"/>
  <c r="AA359" i="15"/>
  <c r="W756" i="15"/>
  <c r="AB756" i="15"/>
  <c r="W768" i="15"/>
  <c r="AB768" i="15"/>
  <c r="W63" i="15"/>
  <c r="AB63" i="15"/>
  <c r="W435" i="15"/>
  <c r="AB435" i="15"/>
  <c r="AA722" i="15"/>
  <c r="W679" i="15"/>
  <c r="AB679" i="15"/>
  <c r="X360" i="15"/>
  <c r="AK360" i="15"/>
  <c r="Q448" i="18" s="1"/>
  <c r="X50" i="15"/>
  <c r="AK50" i="15"/>
  <c r="AK678" i="15"/>
  <c r="Q890" i="18" s="1"/>
  <c r="X325" i="15"/>
  <c r="AK325" i="15"/>
  <c r="X610" i="15"/>
  <c r="AK610" i="15"/>
  <c r="X780" i="15"/>
  <c r="AK780" i="15"/>
  <c r="Q1588" i="18" s="1"/>
  <c r="L54" i="19" s="1"/>
  <c r="X507" i="15"/>
  <c r="AK507" i="15"/>
  <c r="X443" i="15"/>
  <c r="AK443" i="15"/>
  <c r="Q643" i="18" s="1"/>
  <c r="W340" i="15"/>
  <c r="X744" i="15"/>
  <c r="AK744" i="15"/>
  <c r="W359" i="15"/>
  <c r="X756" i="15"/>
  <c r="AK756" i="15"/>
  <c r="Q1333" i="18" s="1"/>
  <c r="L45" i="19" s="1"/>
  <c r="AA479" i="15"/>
  <c r="AA279" i="15"/>
  <c r="X768" i="15"/>
  <c r="AK768" i="15"/>
  <c r="AA316" i="15"/>
  <c r="AA478" i="15"/>
  <c r="W496" i="15"/>
  <c r="W686" i="15"/>
  <c r="E7" i="16" s="1"/>
  <c r="AA34" i="15"/>
  <c r="W704" i="15"/>
  <c r="X63" i="15"/>
  <c r="F43" i="16" s="1"/>
  <c r="AK63" i="15"/>
  <c r="AA241" i="15"/>
  <c r="W767" i="15"/>
  <c r="E39" i="16" s="1"/>
  <c r="X435" i="15"/>
  <c r="AK435" i="15"/>
  <c r="Q621" i="18" s="1"/>
  <c r="W333" i="15"/>
  <c r="E41" i="16" s="1"/>
  <c r="AB333" i="15"/>
  <c r="W722" i="15"/>
  <c r="AB722" i="15"/>
  <c r="X679" i="15"/>
  <c r="AK679" i="15"/>
  <c r="Q895" i="18" s="1"/>
  <c r="AA673" i="15"/>
  <c r="X722" i="15"/>
  <c r="AK722" i="15"/>
  <c r="Q1129" i="18" s="1"/>
  <c r="W281" i="15"/>
  <c r="W434" i="15"/>
  <c r="X386" i="15"/>
  <c r="W694" i="15"/>
  <c r="W630" i="15"/>
  <c r="W218" i="15"/>
  <c r="W472" i="15"/>
  <c r="W73" i="15"/>
  <c r="W770" i="15"/>
  <c r="X697" i="15"/>
  <c r="X423" i="15"/>
  <c r="W270" i="15"/>
  <c r="W262" i="15"/>
  <c r="G78" i="9" s="1"/>
  <c r="U85" i="15" s="1"/>
  <c r="W647" i="15"/>
  <c r="W366" i="15"/>
  <c r="X781" i="15"/>
  <c r="W406" i="15"/>
  <c r="G60" i="9" s="1"/>
  <c r="U19" i="15" s="1"/>
  <c r="X671" i="15"/>
  <c r="W508" i="15"/>
  <c r="X312" i="15"/>
  <c r="W466" i="15"/>
  <c r="X676" i="15"/>
  <c r="X279" i="15"/>
  <c r="X316" i="15"/>
  <c r="X478" i="15"/>
  <c r="X34" i="15"/>
  <c r="X241" i="15"/>
  <c r="X673" i="15"/>
  <c r="F38" i="16" s="1"/>
  <c r="N63" i="18"/>
  <c r="I74" i="18"/>
  <c r="N74" i="18"/>
  <c r="J94" i="18"/>
  <c r="M94" i="18"/>
  <c r="J105" i="18"/>
  <c r="M105" i="18"/>
  <c r="K125" i="18"/>
  <c r="O125" i="18"/>
  <c r="K136" i="18"/>
  <c r="O136" i="18"/>
  <c r="L156" i="18"/>
  <c r="Q156" i="18"/>
  <c r="L167" i="18"/>
  <c r="Q167" i="18"/>
  <c r="I187" i="18"/>
  <c r="N187" i="18"/>
  <c r="I198" i="18"/>
  <c r="N198" i="18"/>
  <c r="J217" i="18"/>
  <c r="M217" i="18"/>
  <c r="J228" i="18"/>
  <c r="M228" i="18"/>
  <c r="K247" i="18"/>
  <c r="O247" i="18"/>
  <c r="K277" i="18"/>
  <c r="O277" i="18"/>
  <c r="L307" i="18"/>
  <c r="I337" i="18"/>
  <c r="N337" i="18"/>
  <c r="J366" i="18"/>
  <c r="M366" i="18"/>
  <c r="K397" i="18"/>
  <c r="O397" i="18"/>
  <c r="L428" i="18"/>
  <c r="Q428" i="18"/>
  <c r="I459" i="18"/>
  <c r="N459" i="18"/>
  <c r="J490" i="18"/>
  <c r="M490" i="18"/>
  <c r="AA745" i="15"/>
  <c r="M63" i="18"/>
  <c r="M74" i="18"/>
  <c r="M187" i="18"/>
  <c r="M198" i="18"/>
  <c r="L258" i="18"/>
  <c r="W745" i="15"/>
  <c r="AB745" i="15"/>
  <c r="M32" i="18"/>
  <c r="M43" i="18"/>
  <c r="W691" i="15"/>
  <c r="X745" i="15"/>
  <c r="J258" i="18"/>
  <c r="M258" i="18"/>
  <c r="M277" i="18"/>
  <c r="M397" i="18"/>
  <c r="J521" i="18"/>
  <c r="M521" i="18"/>
  <c r="J552" i="18"/>
  <c r="M552" i="18"/>
  <c r="J582" i="18"/>
  <c r="M582" i="18"/>
  <c r="J612" i="18"/>
  <c r="M612" i="18"/>
  <c r="J642" i="18"/>
  <c r="M642" i="18"/>
  <c r="J672" i="18"/>
  <c r="M672" i="18"/>
  <c r="J702" i="18"/>
  <c r="F24" i="19" s="1"/>
  <c r="M702" i="18"/>
  <c r="I24" i="19" s="1"/>
  <c r="J731" i="18"/>
  <c r="M731" i="18"/>
  <c r="Q375" i="18" l="1"/>
  <c r="Q385" i="18"/>
  <c r="Q370" i="18"/>
  <c r="F28" i="17"/>
  <c r="H28" i="17" s="1"/>
  <c r="K42" i="19"/>
  <c r="G43" i="19"/>
  <c r="E35" i="19"/>
  <c r="K48" i="19"/>
  <c r="H43" i="19"/>
  <c r="K38" i="19"/>
  <c r="H48" i="19"/>
  <c r="Q111" i="18"/>
  <c r="Q476" i="18"/>
  <c r="Q142" i="18"/>
  <c r="Q507" i="18"/>
  <c r="Q80" i="18"/>
  <c r="G47" i="19"/>
  <c r="E43" i="19"/>
  <c r="F40" i="19"/>
  <c r="I47" i="19"/>
  <c r="I43" i="19"/>
  <c r="F48" i="19"/>
  <c r="J40" i="19"/>
  <c r="J48" i="19"/>
  <c r="K47" i="19"/>
  <c r="F47" i="19"/>
  <c r="K40" i="19"/>
  <c r="H47" i="19"/>
  <c r="F43" i="19"/>
  <c r="J43" i="19"/>
  <c r="E48" i="19"/>
  <c r="K35" i="19"/>
  <c r="H40" i="19"/>
  <c r="G48" i="19"/>
  <c r="I48" i="19"/>
  <c r="E47" i="19"/>
  <c r="Q344" i="18"/>
  <c r="Q354" i="18"/>
  <c r="I40" i="19"/>
  <c r="G40" i="19"/>
  <c r="E40" i="19"/>
  <c r="K43" i="19"/>
  <c r="Q1378" i="18"/>
  <c r="Q1382" i="18"/>
  <c r="Q1408" i="18"/>
  <c r="Q1412" i="18"/>
  <c r="Q829" i="18"/>
  <c r="Q833" i="18"/>
  <c r="Q526" i="18"/>
  <c r="Q530" i="18"/>
  <c r="Q952" i="18"/>
  <c r="Q956" i="18"/>
  <c r="N371" i="18"/>
  <c r="N375" i="18"/>
  <c r="Q402" i="18"/>
  <c r="Q406" i="18"/>
  <c r="G62" i="9"/>
  <c r="U9" i="15" s="1"/>
  <c r="G61" i="9"/>
  <c r="U72" i="15" s="1"/>
  <c r="I37" i="19"/>
  <c r="I30" i="19"/>
  <c r="I32" i="19"/>
  <c r="J37" i="19"/>
  <c r="H37" i="19"/>
  <c r="G34" i="19"/>
  <c r="K37" i="19"/>
  <c r="I34" i="19"/>
  <c r="E33" i="19"/>
  <c r="K30" i="19"/>
  <c r="K32" i="19"/>
  <c r="J38" i="19"/>
  <c r="H32" i="19"/>
  <c r="G30" i="19"/>
  <c r="I33" i="19"/>
  <c r="G37" i="19"/>
  <c r="I38" i="19"/>
  <c r="F37" i="19"/>
  <c r="F32" i="19"/>
  <c r="G33" i="19"/>
  <c r="H33" i="19"/>
  <c r="H35" i="19"/>
  <c r="E34" i="19"/>
  <c r="E32" i="19"/>
  <c r="L38" i="19"/>
  <c r="G32" i="19"/>
  <c r="F33" i="19"/>
  <c r="J33" i="19"/>
  <c r="I35" i="19"/>
  <c r="J30" i="19"/>
  <c r="K33" i="19"/>
  <c r="G38" i="19"/>
  <c r="E38" i="19"/>
  <c r="J32" i="19"/>
  <c r="L37" i="19"/>
  <c r="J34" i="19"/>
  <c r="E37" i="19"/>
  <c r="H38" i="19"/>
  <c r="K34" i="19"/>
  <c r="F34" i="19"/>
  <c r="J35" i="19"/>
  <c r="Q1226" i="18"/>
  <c r="Q1255" i="18"/>
  <c r="L43" i="19" s="1"/>
  <c r="Q734" i="18"/>
  <c r="L26" i="19" s="1"/>
  <c r="K39" i="19"/>
  <c r="G35" i="19"/>
  <c r="E30" i="19"/>
  <c r="H34" i="19"/>
  <c r="F38" i="19"/>
  <c r="F30" i="19"/>
  <c r="L36" i="19"/>
  <c r="J42" i="19"/>
  <c r="F36" i="19"/>
  <c r="J27" i="19"/>
  <c r="K20" i="19"/>
  <c r="L39" i="19"/>
  <c r="H42" i="19"/>
  <c r="K36" i="19"/>
  <c r="H36" i="19"/>
  <c r="E36" i="19"/>
  <c r="K27" i="19"/>
  <c r="H39" i="19"/>
  <c r="F39" i="19"/>
  <c r="E39" i="19"/>
  <c r="G36" i="19"/>
  <c r="I42" i="19"/>
  <c r="F15" i="19"/>
  <c r="I15" i="19"/>
  <c r="I36" i="19"/>
  <c r="J36" i="19"/>
  <c r="F27" i="19"/>
  <c r="E42" i="19"/>
  <c r="J41" i="19"/>
  <c r="G41" i="19"/>
  <c r="E41" i="19"/>
  <c r="G39" i="19"/>
  <c r="F42" i="19"/>
  <c r="F20" i="19"/>
  <c r="J39" i="19"/>
  <c r="F41" i="19"/>
  <c r="Q343" i="18"/>
  <c r="I27" i="19"/>
  <c r="G27" i="19"/>
  <c r="Q1193" i="18"/>
  <c r="L41" i="19" s="1"/>
  <c r="Q464" i="18"/>
  <c r="Q1162" i="18"/>
  <c r="L40" i="19" s="1"/>
  <c r="Q1224" i="18"/>
  <c r="K31" i="19"/>
  <c r="E27" i="19"/>
  <c r="H41" i="19"/>
  <c r="I41" i="19"/>
  <c r="E29" i="19"/>
  <c r="I39" i="19"/>
  <c r="I14" i="19"/>
  <c r="K18" i="19"/>
  <c r="G42" i="19"/>
  <c r="E20" i="19"/>
  <c r="Q557" i="18"/>
  <c r="Q555" i="18"/>
  <c r="I29" i="19"/>
  <c r="E26" i="19"/>
  <c r="G14" i="19"/>
  <c r="K15" i="19"/>
  <c r="K13" i="19"/>
  <c r="I18" i="19"/>
  <c r="E23" i="19"/>
  <c r="K23" i="19"/>
  <c r="K22" i="19"/>
  <c r="K17" i="19"/>
  <c r="G18" i="19"/>
  <c r="F14" i="19"/>
  <c r="H17" i="19"/>
  <c r="G29" i="19"/>
  <c r="H31" i="19"/>
  <c r="G20" i="19"/>
  <c r="H22" i="19"/>
  <c r="H20" i="19"/>
  <c r="F17" i="19"/>
  <c r="E14" i="19"/>
  <c r="G15" i="19"/>
  <c r="J22" i="19"/>
  <c r="L35" i="19"/>
  <c r="L34" i="19"/>
  <c r="K25" i="19"/>
  <c r="I26" i="19"/>
  <c r="I17" i="19"/>
  <c r="G25" i="19"/>
  <c r="I25" i="19"/>
  <c r="F31" i="19"/>
  <c r="E18" i="19"/>
  <c r="Q707" i="18"/>
  <c r="H29" i="19"/>
  <c r="F18" i="19"/>
  <c r="E15" i="19"/>
  <c r="H23" i="19"/>
  <c r="F13" i="19"/>
  <c r="E17" i="19"/>
  <c r="F21" i="19"/>
  <c r="E13" i="19"/>
  <c r="G26" i="19"/>
  <c r="H26" i="19"/>
  <c r="H18" i="19"/>
  <c r="E25" i="19"/>
  <c r="I13" i="19"/>
  <c r="J23" i="19"/>
  <c r="J17" i="19"/>
  <c r="H21" i="19"/>
  <c r="G22" i="19"/>
  <c r="K26" i="19"/>
  <c r="I31" i="19"/>
  <c r="J31" i="19"/>
  <c r="K29" i="19"/>
  <c r="G23" i="19"/>
  <c r="F26" i="19"/>
  <c r="F22" i="19"/>
  <c r="F29" i="19"/>
  <c r="I20" i="19"/>
  <c r="J18" i="19"/>
  <c r="G13" i="19"/>
  <c r="G17" i="19"/>
  <c r="F23" i="19"/>
  <c r="J16" i="19"/>
  <c r="E31" i="19"/>
  <c r="J26" i="19"/>
  <c r="G31" i="19"/>
  <c r="H16" i="19"/>
  <c r="E21" i="19"/>
  <c r="K16" i="19"/>
  <c r="F25" i="19"/>
  <c r="I21" i="19"/>
  <c r="K14" i="19"/>
  <c r="H14" i="19"/>
  <c r="E22" i="19"/>
  <c r="Q779" i="15"/>
  <c r="K21" i="19"/>
  <c r="I23" i="19"/>
  <c r="G21" i="19"/>
  <c r="I22" i="19"/>
  <c r="J20" i="19"/>
  <c r="G58" i="9"/>
  <c r="Q495" i="18"/>
  <c r="Q617" i="18"/>
  <c r="L22" i="19" s="1"/>
  <c r="Q371" i="18"/>
  <c r="Q891" i="18"/>
  <c r="L31" i="19" s="1"/>
  <c r="Q922" i="18"/>
  <c r="L32" i="19" s="1"/>
  <c r="G64" i="9"/>
  <c r="U120" i="15" s="1"/>
  <c r="Q1404" i="18"/>
  <c r="Q703" i="18"/>
  <c r="L23" i="19"/>
  <c r="Q171" i="15"/>
  <c r="F29" i="16"/>
  <c r="I28" i="19"/>
  <c r="Q336" i="18"/>
  <c r="Q342" i="18"/>
  <c r="E16" i="19"/>
  <c r="G16" i="19"/>
  <c r="F16" i="19"/>
  <c r="I16" i="19"/>
  <c r="Q306" i="18"/>
  <c r="Q279" i="18"/>
  <c r="K28" i="19"/>
  <c r="Q312" i="18"/>
  <c r="Q307" i="18"/>
  <c r="Q327" i="18"/>
  <c r="Q308" i="18"/>
  <c r="Q309" i="18"/>
  <c r="J11" i="19"/>
  <c r="Q282" i="18"/>
  <c r="G28" i="19"/>
  <c r="Q281" i="18"/>
  <c r="E28" i="19"/>
  <c r="F28" i="19"/>
  <c r="Q288" i="18"/>
  <c r="F11" i="19"/>
  <c r="I12" i="19"/>
  <c r="G11" i="19"/>
  <c r="H11" i="19"/>
  <c r="I11" i="19"/>
  <c r="E11" i="19"/>
  <c r="K11" i="19"/>
  <c r="Q237" i="18"/>
  <c r="Q295" i="18"/>
  <c r="E12" i="19"/>
  <c r="F12" i="19"/>
  <c r="J12" i="19"/>
  <c r="K12" i="19"/>
  <c r="H12" i="19"/>
  <c r="G12" i="19"/>
  <c r="M201" i="18"/>
  <c r="I8" i="19" s="1"/>
  <c r="U86" i="15"/>
  <c r="U228" i="15"/>
  <c r="M77" i="18"/>
  <c r="I4" i="19" s="1"/>
  <c r="M124" i="18"/>
  <c r="M139" i="18"/>
  <c r="I6" i="19" s="1"/>
  <c r="M108" i="18"/>
  <c r="Q71" i="18"/>
  <c r="Q73" i="18"/>
  <c r="U626" i="15"/>
  <c r="U47" i="15"/>
  <c r="U71" i="15"/>
  <c r="Q49" i="18"/>
  <c r="Q69" i="18"/>
  <c r="Q62" i="18"/>
  <c r="E6" i="19"/>
  <c r="J6" i="19"/>
  <c r="J19" i="19"/>
  <c r="Q50" i="18"/>
  <c r="Q6" i="15"/>
  <c r="Q10" i="15"/>
  <c r="Q7" i="15"/>
  <c r="Q11" i="15"/>
  <c r="Q8" i="15"/>
  <c r="Q9" i="15"/>
  <c r="Q47" i="15"/>
  <c r="Q70" i="15"/>
  <c r="Q119" i="15"/>
  <c r="Q128" i="15"/>
  <c r="Q203" i="15"/>
  <c r="Q143" i="15"/>
  <c r="Q266" i="15"/>
  <c r="Q130" i="15"/>
  <c r="Q135" i="15"/>
  <c r="Q58" i="15"/>
  <c r="Q126" i="15"/>
  <c r="Q168" i="15"/>
  <c r="Q155" i="15"/>
  <c r="Q132" i="15"/>
  <c r="Q64" i="15"/>
  <c r="Q115" i="15"/>
  <c r="Q187" i="15"/>
  <c r="Q233" i="15"/>
  <c r="Q129" i="15"/>
  <c r="Q62" i="15"/>
  <c r="Q124" i="15"/>
  <c r="Q121" i="15"/>
  <c r="Q152" i="15"/>
  <c r="Q221" i="15"/>
  <c r="Q154" i="15"/>
  <c r="Q228" i="15"/>
  <c r="Q131" i="15"/>
  <c r="Q136" i="15"/>
  <c r="Q55" i="15"/>
  <c r="Q122" i="15"/>
  <c r="Q141" i="15"/>
  <c r="Q156" i="15"/>
  <c r="Q56" i="15"/>
  <c r="Q127" i="15"/>
  <c r="Q142" i="15"/>
  <c r="Q133" i="15"/>
  <c r="Q52" i="15"/>
  <c r="Q20" i="15"/>
  <c r="Q120" i="15"/>
  <c r="Q146" i="15"/>
  <c r="Q72" i="15"/>
  <c r="Q80" i="15"/>
  <c r="Q108" i="15"/>
  <c r="Q81" i="15"/>
  <c r="Q93" i="15"/>
  <c r="Q21" i="15"/>
  <c r="Q28" i="15"/>
  <c r="Q123" i="15"/>
  <c r="Q94" i="15"/>
  <c r="Q102" i="15"/>
  <c r="Q25" i="15"/>
  <c r="Q27" i="15"/>
  <c r="Q33" i="15"/>
  <c r="Q105" i="15"/>
  <c r="Q163" i="15"/>
  <c r="Q185" i="15"/>
  <c r="Q107" i="15"/>
  <c r="Q109" i="15"/>
  <c r="Q82" i="15"/>
  <c r="Q84" i="15"/>
  <c r="Q85" i="15"/>
  <c r="Q76" i="15"/>
  <c r="Q106" i="15"/>
  <c r="Q22" i="15"/>
  <c r="Q36" i="15"/>
  <c r="Q60" i="15"/>
  <c r="Q86" i="15"/>
  <c r="Q100" i="15"/>
  <c r="Q75" i="15"/>
  <c r="Q197" i="15"/>
  <c r="Q42" i="15"/>
  <c r="Q53" i="15"/>
  <c r="Q44" i="15"/>
  <c r="Q160" i="15"/>
  <c r="Q176" i="15"/>
  <c r="Q219" i="15"/>
  <c r="Q196" i="15"/>
  <c r="Q77" i="15"/>
  <c r="Q59" i="15"/>
  <c r="Q184" i="15"/>
  <c r="Q182" i="15"/>
  <c r="Q87" i="15"/>
  <c r="Q175" i="15"/>
  <c r="Q195" i="15"/>
  <c r="Q43" i="15"/>
  <c r="Q54" i="15"/>
  <c r="Q180" i="15"/>
  <c r="Q169" i="15"/>
  <c r="Q173" i="15"/>
  <c r="Q172" i="15"/>
  <c r="Q231" i="15"/>
  <c r="Q78" i="15"/>
  <c r="Q71" i="15"/>
  <c r="Q181" i="15"/>
  <c r="Q177" i="15"/>
  <c r="Q253" i="15"/>
  <c r="Q45" i="15"/>
  <c r="Q159" i="15"/>
  <c r="Q206" i="15"/>
  <c r="Q215" i="15"/>
  <c r="Q13" i="15"/>
  <c r="Q23" i="15"/>
  <c r="Q4" i="15"/>
  <c r="Q2" i="15"/>
  <c r="Q3" i="15"/>
  <c r="M46" i="18"/>
  <c r="I3" i="19" s="1"/>
  <c r="U557" i="15"/>
  <c r="U317" i="15"/>
  <c r="U331" i="15"/>
  <c r="G79" i="9"/>
  <c r="U533" i="15"/>
  <c r="U657" i="15"/>
  <c r="U644" i="15"/>
  <c r="U515" i="15"/>
  <c r="G51" i="9"/>
  <c r="U278" i="15" s="1"/>
  <c r="U319" i="15"/>
  <c r="U541" i="15"/>
  <c r="U570" i="15"/>
  <c r="U595" i="15"/>
  <c r="U321" i="15"/>
  <c r="U523" i="15"/>
  <c r="U647" i="15"/>
  <c r="U328" i="15"/>
  <c r="U247" i="15"/>
  <c r="U316" i="15"/>
  <c r="U322" i="15"/>
  <c r="G21" i="9"/>
  <c r="U46" i="15"/>
  <c r="U99" i="15"/>
  <c r="U148" i="15"/>
  <c r="U147" i="15"/>
  <c r="U164" i="15"/>
  <c r="G6" i="9"/>
  <c r="U373" i="15" s="1"/>
  <c r="G65" i="9"/>
  <c r="E29" i="16"/>
  <c r="G73" i="9"/>
  <c r="U169" i="15" s="1"/>
  <c r="E33" i="16"/>
  <c r="H33" i="16" s="1"/>
  <c r="G7" i="9"/>
  <c r="U327" i="15"/>
  <c r="U320" i="15"/>
  <c r="U537" i="15"/>
  <c r="U609" i="15"/>
  <c r="U604" i="15"/>
  <c r="U567" i="15"/>
  <c r="G43" i="9"/>
  <c r="G5" i="9"/>
  <c r="U544" i="15"/>
  <c r="U588" i="15"/>
  <c r="U546" i="15"/>
  <c r="U623" i="15"/>
  <c r="U621" i="15"/>
  <c r="U630" i="15"/>
  <c r="U628" i="15"/>
  <c r="U548" i="15"/>
  <c r="U329" i="15"/>
  <c r="G8" i="9"/>
  <c r="U65" i="15" s="1"/>
  <c r="G74" i="9"/>
  <c r="U249" i="15" s="1"/>
  <c r="U522" i="15"/>
  <c r="U566" i="15"/>
  <c r="U653" i="15"/>
  <c r="U613" i="15"/>
  <c r="U509" i="15"/>
  <c r="U642" i="15"/>
  <c r="U656" i="15"/>
  <c r="U662" i="15"/>
  <c r="U561" i="15"/>
  <c r="U573" i="15"/>
  <c r="U582" i="15"/>
  <c r="U591" i="15"/>
  <c r="U596" i="15"/>
  <c r="U559" i="15"/>
  <c r="U580" i="15"/>
  <c r="U589" i="15"/>
  <c r="U602" i="15"/>
  <c r="U637" i="15"/>
  <c r="U599" i="15"/>
  <c r="U606" i="15"/>
  <c r="U633" i="15"/>
  <c r="U563" i="15"/>
  <c r="U593" i="15"/>
  <c r="U553" i="15"/>
  <c r="U585" i="15"/>
  <c r="U259" i="15"/>
  <c r="U518" i="15"/>
  <c r="U527" i="15"/>
  <c r="U540" i="15"/>
  <c r="U529" i="15"/>
  <c r="U655" i="15"/>
  <c r="U641" i="15"/>
  <c r="U661" i="15"/>
  <c r="U632" i="15"/>
  <c r="U562" i="15"/>
  <c r="U574" i="15"/>
  <c r="U583" i="15"/>
  <c r="U586" i="15"/>
  <c r="U592" i="15"/>
  <c r="U597" i="15"/>
  <c r="U636" i="15"/>
  <c r="U600" i="15"/>
  <c r="U560" i="15"/>
  <c r="U564" i="15"/>
  <c r="U594" i="15"/>
  <c r="U603" i="15"/>
  <c r="U581" i="15"/>
  <c r="U590" i="15"/>
  <c r="U552" i="15"/>
  <c r="U539" i="15"/>
  <c r="U526" i="15"/>
  <c r="U528" i="15"/>
  <c r="U330" i="15"/>
  <c r="U531" i="15"/>
  <c r="E43" i="16"/>
  <c r="H43" i="16" s="1"/>
  <c r="Q61" i="18"/>
  <c r="Q15" i="18"/>
  <c r="M15" i="18"/>
  <c r="I2" i="19" s="1"/>
  <c r="Q461" i="15"/>
  <c r="Q205" i="15"/>
  <c r="Q189" i="15"/>
  <c r="Q769" i="15"/>
  <c r="Q575" i="15"/>
  <c r="Q774" i="15"/>
  <c r="Q657" i="15"/>
  <c r="Q476" i="15"/>
  <c r="F30" i="17"/>
  <c r="H30" i="17" s="1"/>
  <c r="G19" i="19"/>
  <c r="H10" i="19"/>
  <c r="F19" i="19"/>
  <c r="H19" i="19"/>
  <c r="H7" i="19"/>
  <c r="I19" i="19"/>
  <c r="F26" i="17"/>
  <c r="H26" i="17" s="1"/>
  <c r="F2" i="19"/>
  <c r="E4" i="19"/>
  <c r="F6" i="19"/>
  <c r="G10" i="19"/>
  <c r="J10" i="19"/>
  <c r="E19" i="19"/>
  <c r="G3" i="19"/>
  <c r="K19" i="19"/>
  <c r="K10" i="19"/>
  <c r="F10" i="19"/>
  <c r="I7" i="19"/>
  <c r="F5" i="19"/>
  <c r="G6" i="19"/>
  <c r="K2" i="19"/>
  <c r="H26" i="16"/>
  <c r="Q738" i="15"/>
  <c r="Q749" i="15"/>
  <c r="Q743" i="15"/>
  <c r="Q734" i="15"/>
  <c r="Q311" i="15"/>
  <c r="Q667" i="15"/>
  <c r="G2" i="19"/>
  <c r="Q390" i="15"/>
  <c r="Q497" i="15"/>
  <c r="Q75" i="18"/>
  <c r="Q44" i="18"/>
  <c r="F36" i="16"/>
  <c r="E36" i="16"/>
  <c r="Q192" i="15"/>
  <c r="Q485" i="15"/>
  <c r="Q711" i="15"/>
  <c r="Q417" i="15"/>
  <c r="Q332" i="15"/>
  <c r="Q310" i="15"/>
  <c r="Q475" i="15"/>
  <c r="Q408" i="15"/>
  <c r="Q409" i="15"/>
  <c r="Q616" i="15"/>
  <c r="Q617" i="15"/>
  <c r="Q211" i="15"/>
  <c r="Q210" i="15"/>
  <c r="Q91" i="15"/>
  <c r="Q92" i="15"/>
  <c r="Q200" i="15"/>
  <c r="Q201" i="15"/>
  <c r="Q24" i="15"/>
  <c r="Q570" i="15"/>
  <c r="Q569" i="15"/>
  <c r="Q445" i="15"/>
  <c r="Q446" i="15"/>
  <c r="Q420" i="15"/>
  <c r="Q421" i="15"/>
  <c r="Q383" i="15"/>
  <c r="Q382" i="15"/>
  <c r="Q500" i="15"/>
  <c r="Q405" i="15"/>
  <c r="Q572" i="15"/>
  <c r="Q561" i="15"/>
  <c r="Q573" i="15"/>
  <c r="Q582" i="15"/>
  <c r="Q533" i="15"/>
  <c r="Q591" i="15"/>
  <c r="Q501" i="15"/>
  <c r="Q578" i="15"/>
  <c r="Q560" i="15"/>
  <c r="Q574" i="15"/>
  <c r="Q532" i="15"/>
  <c r="Q590" i="15"/>
  <c r="Q596" i="15"/>
  <c r="Q598" i="15"/>
  <c r="Q605" i="15"/>
  <c r="Q612" i="15"/>
  <c r="Q618" i="15"/>
  <c r="Q632" i="15"/>
  <c r="Q635" i="15"/>
  <c r="Q790" i="15"/>
  <c r="Q785" i="15"/>
  <c r="Q198" i="15"/>
  <c r="Q147" i="15"/>
  <c r="Q783" i="15"/>
  <c r="Q589" i="15"/>
  <c r="Q601" i="15"/>
  <c r="Q614" i="15"/>
  <c r="Q267" i="15"/>
  <c r="Q381" i="15"/>
  <c r="Q571" i="15"/>
  <c r="Q562" i="15"/>
  <c r="Q580" i="15"/>
  <c r="Q553" i="15"/>
  <c r="Q592" i="15"/>
  <c r="Q597" i="15"/>
  <c r="Q599" i="15"/>
  <c r="Q606" i="15"/>
  <c r="Q609" i="15"/>
  <c r="Q660" i="15"/>
  <c r="Q633" i="15"/>
  <c r="Q636" i="15"/>
  <c r="Q782" i="15"/>
  <c r="Q786" i="15"/>
  <c r="Q46" i="15"/>
  <c r="Q637" i="15"/>
  <c r="Q603" i="15"/>
  <c r="Q608" i="15"/>
  <c r="Q631" i="15"/>
  <c r="Q784" i="15"/>
  <c r="Q148" i="15"/>
  <c r="Q394" i="15"/>
  <c r="Q626" i="15"/>
  <c r="Q563" i="15"/>
  <c r="Q581" i="15"/>
  <c r="Q586" i="15"/>
  <c r="Q593" i="15"/>
  <c r="Q602" i="15"/>
  <c r="Q600" i="15"/>
  <c r="Q607" i="15"/>
  <c r="Q604" i="15"/>
  <c r="Q407" i="15"/>
  <c r="Q274" i="15"/>
  <c r="Q787" i="15"/>
  <c r="Q99" i="15"/>
  <c r="Q418" i="15"/>
  <c r="Q559" i="15"/>
  <c r="Q564" i="15"/>
  <c r="Q583" i="15"/>
  <c r="Q594" i="15"/>
  <c r="Q634" i="15"/>
  <c r="Q800" i="15"/>
  <c r="Q432" i="15"/>
  <c r="Q433" i="15"/>
  <c r="Q468" i="15"/>
  <c r="Q469" i="15"/>
  <c r="Q31" i="15"/>
  <c r="Q32" i="15"/>
  <c r="Q702" i="15"/>
  <c r="Q696" i="15"/>
  <c r="Q424" i="15"/>
  <c r="Q437" i="15"/>
  <c r="Q367" i="15"/>
  <c r="Q368" i="15"/>
  <c r="Q242" i="15"/>
  <c r="Q243" i="15"/>
  <c r="Q212" i="15"/>
  <c r="Q213" i="15"/>
  <c r="Q516" i="15"/>
  <c r="Q517" i="15"/>
  <c r="Q458" i="15"/>
  <c r="Q457" i="15"/>
  <c r="Q139" i="15"/>
  <c r="Q140" i="15"/>
  <c r="Q318" i="15"/>
  <c r="Q319" i="15"/>
  <c r="Q534" i="15"/>
  <c r="Q541" i="15"/>
  <c r="Q395" i="15"/>
  <c r="Q396" i="15"/>
  <c r="Q244" i="15"/>
  <c r="Q245" i="15"/>
  <c r="Q89" i="15"/>
  <c r="Q90" i="15"/>
  <c r="Q15" i="15"/>
  <c r="Q14" i="15"/>
  <c r="Q354" i="15"/>
  <c r="Q353" i="15"/>
  <c r="Q313" i="15"/>
  <c r="Q535" i="15"/>
  <c r="Q542" i="15"/>
  <c r="Q334" i="15"/>
  <c r="Q335" i="15"/>
  <c r="Q162" i="15"/>
  <c r="Q161" i="15"/>
  <c r="Q110" i="15"/>
  <c r="Q111" i="15"/>
  <c r="Q369" i="15"/>
  <c r="Q384" i="15"/>
  <c r="Q304" i="15"/>
  <c r="Q305" i="15"/>
  <c r="Q296" i="15"/>
  <c r="Q733" i="15"/>
  <c r="Q668" i="15"/>
  <c r="D22" i="17"/>
  <c r="C22" i="17"/>
  <c r="G9" i="19"/>
  <c r="F19" i="16"/>
  <c r="E19" i="16"/>
  <c r="Q314" i="15"/>
  <c r="H39" i="16"/>
  <c r="Q286" i="15"/>
  <c r="Q745" i="15"/>
  <c r="Q735" i="15"/>
  <c r="Q708" i="15"/>
  <c r="K3" i="19"/>
  <c r="H23" i="16"/>
  <c r="C23" i="16" s="1"/>
  <c r="H21" i="16"/>
  <c r="C21" i="16" s="1"/>
  <c r="H25" i="16"/>
  <c r="D25" i="16" s="1"/>
  <c r="H15" i="16"/>
  <c r="C15" i="16" s="1"/>
  <c r="F18" i="16"/>
  <c r="E18" i="16"/>
  <c r="F24" i="17"/>
  <c r="H24" i="17" s="1"/>
  <c r="Q541" i="18"/>
  <c r="E5" i="19"/>
  <c r="Q439" i="15"/>
  <c r="Q709" i="15"/>
  <c r="Q672" i="15"/>
  <c r="Q239" i="15"/>
  <c r="Q473" i="15"/>
  <c r="Q188" i="15"/>
  <c r="Q412" i="15"/>
  <c r="Q345" i="15"/>
  <c r="Q264" i="15"/>
  <c r="Q486" i="15"/>
  <c r="Q429" i="15"/>
  <c r="Q35" i="15"/>
  <c r="Q681" i="15"/>
  <c r="Q240" i="15"/>
  <c r="Q254" i="15"/>
  <c r="Q287" i="15"/>
  <c r="Q376" i="15"/>
  <c r="Q21" i="18"/>
  <c r="AC63" i="15"/>
  <c r="AL63" i="15" s="1"/>
  <c r="E17" i="16"/>
  <c r="F17" i="16"/>
  <c r="C6" i="17"/>
  <c r="F12" i="17"/>
  <c r="H12" i="17" s="1"/>
  <c r="D6" i="17"/>
  <c r="Q223" i="15"/>
  <c r="Q321" i="15"/>
  <c r="Q750" i="15"/>
  <c r="Q30" i="15"/>
  <c r="Q338" i="15"/>
  <c r="Q174" i="15"/>
  <c r="Q494" i="15"/>
  <c r="Q315" i="15"/>
  <c r="Q741" i="15"/>
  <c r="Q757" i="15"/>
  <c r="Q425" i="15"/>
  <c r="Q706" i="15"/>
  <c r="Q88" i="15"/>
  <c r="Q449" i="15"/>
  <c r="Q138" i="15"/>
  <c r="D23" i="17"/>
  <c r="Q37" i="15"/>
  <c r="Q470" i="15"/>
  <c r="E10" i="19"/>
  <c r="F3" i="16"/>
  <c r="F8" i="19"/>
  <c r="J5" i="19"/>
  <c r="G7" i="19"/>
  <c r="E2" i="19"/>
  <c r="E3" i="19"/>
  <c r="K9" i="19"/>
  <c r="K6" i="19"/>
  <c r="K5" i="19"/>
  <c r="H6" i="19"/>
  <c r="H5" i="19"/>
  <c r="G8" i="19"/>
  <c r="K7" i="19"/>
  <c r="E7" i="19"/>
  <c r="J3" i="19"/>
  <c r="H4" i="19"/>
  <c r="H3" i="19"/>
  <c r="H9" i="19"/>
  <c r="H8" i="19"/>
  <c r="F7" i="19"/>
  <c r="J9" i="19"/>
  <c r="K4" i="19"/>
  <c r="H2" i="19"/>
  <c r="K8" i="19"/>
  <c r="E9" i="19"/>
  <c r="G4" i="19"/>
  <c r="J8" i="19"/>
  <c r="F9" i="19"/>
  <c r="E8" i="19"/>
  <c r="G5" i="19"/>
  <c r="F4" i="19"/>
  <c r="I9" i="19"/>
  <c r="J7" i="19"/>
  <c r="J4" i="19"/>
  <c r="F3" i="19"/>
  <c r="Q577" i="15"/>
  <c r="E12" i="16"/>
  <c r="F12" i="16"/>
  <c r="Q620" i="15"/>
  <c r="E16" i="16"/>
  <c r="D11" i="17"/>
  <c r="C11" i="17"/>
  <c r="F16" i="16"/>
  <c r="Q235" i="15"/>
  <c r="Q511" i="15"/>
  <c r="Q505" i="15"/>
  <c r="Q674" i="15"/>
  <c r="Q441" i="15"/>
  <c r="Q440" i="15"/>
  <c r="C23" i="17"/>
  <c r="F18" i="17"/>
  <c r="H18" i="17" s="1"/>
  <c r="Q627" i="15"/>
  <c r="Q256" i="15"/>
  <c r="Q255" i="15"/>
  <c r="Q377" i="15"/>
  <c r="Q362" i="15"/>
  <c r="Q701" i="15"/>
  <c r="Q695" i="15"/>
  <c r="Q164" i="15"/>
  <c r="Q207" i="15"/>
  <c r="Q299" i="15"/>
  <c r="Q293" i="15"/>
  <c r="Q178" i="15"/>
  <c r="Q179" i="15"/>
  <c r="Q565" i="15"/>
  <c r="Q619" i="15"/>
  <c r="Q611" i="15"/>
  <c r="Q751" i="15"/>
  <c r="D15" i="17"/>
  <c r="C15" i="17"/>
  <c r="Q453" i="15"/>
  <c r="Q330" i="15"/>
  <c r="Q193" i="15"/>
  <c r="Q194" i="15"/>
  <c r="Q116" i="15"/>
  <c r="Q117" i="15"/>
  <c r="Q430" i="15"/>
  <c r="Q230" i="15"/>
  <c r="Q229" i="15"/>
  <c r="Q262" i="15"/>
  <c r="Q678" i="15"/>
  <c r="Q739" i="15"/>
  <c r="Q740" i="15"/>
  <c r="Q730" i="15"/>
  <c r="Q746" i="15"/>
  <c r="Q306" i="15"/>
  <c r="Q697" i="15"/>
  <c r="Q770" i="15"/>
  <c r="Q352" i="15"/>
  <c r="Q776" i="15"/>
  <c r="Q758" i="15"/>
  <c r="Q544" i="15"/>
  <c r="Q365" i="15"/>
  <c r="Q428" i="15"/>
  <c r="Q427" i="15"/>
  <c r="Q707" i="15"/>
  <c r="Q719" i="15"/>
  <c r="Q259" i="15"/>
  <c r="Q775" i="15"/>
  <c r="Q361" i="15"/>
  <c r="Q765" i="15"/>
  <c r="Q272" i="15"/>
  <c r="Q670" i="15"/>
  <c r="Q270" i="15"/>
  <c r="Q217" i="15"/>
  <c r="Q483" i="15"/>
  <c r="Q222" i="15"/>
  <c r="Q684" i="15"/>
  <c r="Q83" i="15"/>
  <c r="Q460" i="15"/>
  <c r="Q288" i="15"/>
  <c r="Q763" i="15"/>
  <c r="Q380" i="15"/>
  <c r="Q350" i="15"/>
  <c r="Q277" i="15"/>
  <c r="Q764" i="15"/>
  <c r="Q416" i="15"/>
  <c r="Q415" i="15"/>
  <c r="Q403" i="15"/>
  <c r="Q451" i="15"/>
  <c r="Q540" i="15"/>
  <c r="Q539" i="15"/>
  <c r="Q17" i="15"/>
  <c r="Q18" i="15"/>
  <c r="Q689" i="15"/>
  <c r="Q683" i="15"/>
  <c r="Q729" i="15"/>
  <c r="Q677" i="15"/>
  <c r="Q276" i="15"/>
  <c r="Q278" i="15"/>
  <c r="Q713" i="15"/>
  <c r="Q724" i="15"/>
  <c r="Q474" i="15"/>
  <c r="Q294" i="15"/>
  <c r="Q251" i="15"/>
  <c r="Q250" i="15"/>
  <c r="Q666" i="15"/>
  <c r="Q340" i="15"/>
  <c r="Q479" i="15"/>
  <c r="Q676" i="15"/>
  <c r="Q761" i="15"/>
  <c r="Q366" i="15"/>
  <c r="Q664" i="15"/>
  <c r="Q487" i="15"/>
  <c r="Q756" i="15"/>
  <c r="Q137" i="15"/>
  <c r="Q50" i="15"/>
  <c r="Q426" i="15"/>
  <c r="Q685" i="15"/>
  <c r="Q679" i="15"/>
  <c r="Q754" i="15"/>
  <c r="Q748" i="15"/>
  <c r="Q744" i="15"/>
  <c r="Q269" i="15"/>
  <c r="Q302" i="15"/>
  <c r="Q236" i="15"/>
  <c r="Q297" i="15"/>
  <c r="Q496" i="15"/>
  <c r="Q478" i="15"/>
  <c r="Q492" i="15"/>
  <c r="Q190" i="15"/>
  <c r="Q145" i="15"/>
  <c r="Q442" i="15"/>
  <c r="Q471" i="15"/>
  <c r="Q462" i="15"/>
  <c r="Q227" i="15"/>
  <c r="Q226" i="15"/>
  <c r="Q788" i="15"/>
  <c r="Q364" i="15"/>
  <c r="Q567" i="15"/>
  <c r="Q556" i="15"/>
  <c r="Q530" i="15"/>
  <c r="Q527" i="15"/>
  <c r="Q66" i="15"/>
  <c r="Q65" i="15"/>
  <c r="Q265" i="15"/>
  <c r="Q268" i="15"/>
  <c r="Q547" i="15"/>
  <c r="Q548" i="15"/>
  <c r="Q512" i="15"/>
  <c r="Q630" i="15"/>
  <c r="Q628" i="15"/>
  <c r="Q625" i="15"/>
  <c r="Q623" i="15"/>
  <c r="Q621" i="15"/>
  <c r="Q258" i="15"/>
  <c r="Q576" i="15"/>
  <c r="Q773" i="15"/>
  <c r="Q388" i="15"/>
  <c r="Q768" i="15"/>
  <c r="Q703" i="15"/>
  <c r="Q385" i="15"/>
  <c r="Q370" i="15"/>
  <c r="Q316" i="15"/>
  <c r="Q144" i="15"/>
  <c r="Q208" i="15"/>
  <c r="Q545" i="15"/>
  <c r="Q700" i="15"/>
  <c r="Q413" i="15"/>
  <c r="Q613" i="15"/>
  <c r="Q687" i="15"/>
  <c r="Q566" i="15"/>
  <c r="Q414" i="15"/>
  <c r="Q402" i="15"/>
  <c r="Q328" i="15"/>
  <c r="Q329" i="15"/>
  <c r="Q149" i="15"/>
  <c r="Q150" i="15"/>
  <c r="Q48" i="15"/>
  <c r="Q49" i="15"/>
  <c r="Q317" i="15"/>
  <c r="Q400" i="15"/>
  <c r="Q554" i="15"/>
  <c r="Q538" i="15"/>
  <c r="Q587" i="15"/>
  <c r="Q588" i="15"/>
  <c r="Q341" i="15"/>
  <c r="Q519" i="15"/>
  <c r="Q510" i="15"/>
  <c r="Q448" i="15"/>
  <c r="E34" i="16"/>
  <c r="F34" i="16"/>
  <c r="E31" i="16"/>
  <c r="F31" i="16"/>
  <c r="E3" i="16"/>
  <c r="D19" i="17"/>
  <c r="C19" i="17"/>
  <c r="H38" i="16"/>
  <c r="D5" i="17"/>
  <c r="Q26" i="15"/>
  <c r="Q307" i="15"/>
  <c r="Q157" i="15"/>
  <c r="Q41" i="15"/>
  <c r="Q454" i="15"/>
  <c r="Q585" i="15"/>
  <c r="Q755" i="15"/>
  <c r="Q698" i="15"/>
  <c r="Q653" i="15"/>
  <c r="Q134" i="15"/>
  <c r="Q737" i="15"/>
  <c r="Q515" i="15"/>
  <c r="Q191" i="15"/>
  <c r="Q51" i="15"/>
  <c r="Q104" i="15"/>
  <c r="Q778" i="15"/>
  <c r="Q759" i="15"/>
  <c r="Q690" i="15"/>
  <c r="Q622" i="15"/>
  <c r="Q699" i="15"/>
  <c r="Q777" i="15"/>
  <c r="Q337" i="15"/>
  <c r="Q693" i="15"/>
  <c r="Q717" i="15"/>
  <c r="Q692" i="15"/>
  <c r="Q726" i="15"/>
  <c r="Q550" i="15"/>
  <c r="Q459" i="15"/>
  <c r="Q275" i="15"/>
  <c r="Q347" i="15"/>
  <c r="Q349" i="15"/>
  <c r="Q252" i="15"/>
  <c r="Q29" i="15"/>
  <c r="Q721" i="15"/>
  <c r="Q772" i="15"/>
  <c r="Q339" i="15"/>
  <c r="Q520" i="15"/>
  <c r="Q495" i="15"/>
  <c r="Q98" i="15"/>
  <c r="Q12" i="15"/>
  <c r="Q153" i="15"/>
  <c r="Q199" i="15"/>
  <c r="Q257" i="15"/>
  <c r="C7" i="17"/>
  <c r="D7" i="17"/>
  <c r="Q326" i="15"/>
  <c r="Q518" i="15"/>
  <c r="Q96" i="15"/>
  <c r="Q97" i="15"/>
  <c r="Q322" i="15"/>
  <c r="Q323" i="15"/>
  <c r="Q526" i="15"/>
  <c r="Q525" i="15"/>
  <c r="Q536" i="15"/>
  <c r="Q531" i="15"/>
  <c r="Q392" i="15"/>
  <c r="Q391" i="15"/>
  <c r="Q452" i="15"/>
  <c r="Q464" i="15"/>
  <c r="Q558" i="15"/>
  <c r="Q557" i="15"/>
  <c r="Q67" i="15"/>
  <c r="Q68" i="15"/>
  <c r="Q360" i="15"/>
  <c r="Q375" i="15"/>
  <c r="Q648" i="15"/>
  <c r="Q393" i="15"/>
  <c r="Q333" i="15"/>
  <c r="Q722" i="15"/>
  <c r="Q379" i="15"/>
  <c r="Q378" i="15"/>
  <c r="Q39" i="15"/>
  <c r="Q38" i="15"/>
  <c r="Q363" i="15"/>
  <c r="Q241" i="15"/>
  <c r="Q34" i="15"/>
  <c r="Q704" i="15"/>
  <c r="Q435" i="15"/>
  <c r="Q767" i="15"/>
  <c r="Q63" i="15"/>
  <c r="Q720" i="15"/>
  <c r="Q715" i="15"/>
  <c r="Q528" i="15"/>
  <c r="Q529" i="15"/>
  <c r="Q552" i="15"/>
  <c r="Q555" i="15"/>
  <c r="Q397" i="15"/>
  <c r="Q410" i="15"/>
  <c r="Q467" i="15"/>
  <c r="Q488" i="15"/>
  <c r="Q263" i="15"/>
  <c r="Q246" i="15"/>
  <c r="Q343" i="15"/>
  <c r="Q312" i="15"/>
  <c r="Q508" i="15"/>
  <c r="Q507" i="15"/>
  <c r="H14" i="16"/>
  <c r="C14" i="16" s="1"/>
  <c r="C2" i="17"/>
  <c r="C8" i="16"/>
  <c r="Q280" i="15"/>
  <c r="Q671" i="15"/>
  <c r="Q406" i="15"/>
  <c r="Q218" i="15"/>
  <c r="Q234" i="15"/>
  <c r="Q224" i="15"/>
  <c r="Q447" i="15"/>
  <c r="Q434" i="15"/>
  <c r="Q546" i="15"/>
  <c r="Q359" i="15"/>
  <c r="Q283" i="15"/>
  <c r="Q285" i="15"/>
  <c r="Q647" i="15"/>
  <c r="Q610" i="15"/>
  <c r="Q455" i="15"/>
  <c r="Q694" i="15"/>
  <c r="Q688" i="15"/>
  <c r="Q373" i="15"/>
  <c r="Q166" i="15"/>
  <c r="C9" i="16"/>
  <c r="D2" i="17"/>
  <c r="H2" i="16"/>
  <c r="C2" i="16" s="1"/>
  <c r="H41" i="16"/>
  <c r="F8" i="17"/>
  <c r="H8" i="17" s="1"/>
  <c r="F35" i="16"/>
  <c r="H35" i="16" s="1"/>
  <c r="H7" i="16"/>
  <c r="D7" i="16" s="1"/>
  <c r="I10" i="19"/>
  <c r="H44" i="16"/>
  <c r="U258" i="15" l="1"/>
  <c r="U175" i="15"/>
  <c r="U309" i="15"/>
  <c r="U737" i="15"/>
  <c r="U313" i="15"/>
  <c r="L19" i="19"/>
  <c r="U450" i="15"/>
  <c r="U388" i="15"/>
  <c r="U385" i="15"/>
  <c r="U412" i="15"/>
  <c r="U400" i="15"/>
  <c r="U474" i="15"/>
  <c r="L33" i="19"/>
  <c r="U5" i="15"/>
  <c r="U102" i="15"/>
  <c r="U271" i="15"/>
  <c r="L48" i="19"/>
  <c r="L42" i="19"/>
  <c r="U251" i="15"/>
  <c r="U248" i="15"/>
  <c r="L20" i="19"/>
  <c r="U246" i="15"/>
  <c r="C33" i="16"/>
  <c r="D33" i="16"/>
  <c r="U250" i="15"/>
  <c r="U254" i="15"/>
  <c r="U338" i="15"/>
  <c r="U394" i="15"/>
  <c r="U381" i="15"/>
  <c r="U753" i="15"/>
  <c r="U718" i="15"/>
  <c r="U430" i="15"/>
  <c r="U700" i="15"/>
  <c r="U356" i="15"/>
  <c r="U670" i="15"/>
  <c r="U351" i="15"/>
  <c r="U694" i="15"/>
  <c r="U773" i="15"/>
  <c r="U728" i="15"/>
  <c r="U478" i="15"/>
  <c r="U496" i="15"/>
  <c r="U87" i="15"/>
  <c r="U205" i="15"/>
  <c r="U747" i="15"/>
  <c r="U486" i="15"/>
  <c r="U188" i="15"/>
  <c r="U693" i="15"/>
  <c r="U41" i="15"/>
  <c r="U669" i="15"/>
  <c r="U363" i="15"/>
  <c r="U88" i="15"/>
  <c r="U767" i="15"/>
  <c r="U465" i="15"/>
  <c r="U134" i="15"/>
  <c r="U365" i="15"/>
  <c r="U772" i="15"/>
  <c r="U727" i="15"/>
  <c r="U26" i="15"/>
  <c r="U380" i="15"/>
  <c r="U157" i="15"/>
  <c r="U442" i="15"/>
  <c r="U393" i="15"/>
  <c r="U717" i="15"/>
  <c r="U174" i="15"/>
  <c r="U223" i="15"/>
  <c r="U757" i="15"/>
  <c r="U454" i="15"/>
  <c r="U237" i="15"/>
  <c r="U663" i="15"/>
  <c r="U429" i="15"/>
  <c r="U687" i="15"/>
  <c r="U417" i="15"/>
  <c r="U732" i="15"/>
  <c r="U105" i="15"/>
  <c r="U495" i="15"/>
  <c r="U350" i="15"/>
  <c r="U477" i="15"/>
  <c r="U398" i="15"/>
  <c r="U240" i="15"/>
  <c r="U743" i="15"/>
  <c r="U307" i="15"/>
  <c r="U332" i="15"/>
  <c r="U44" i="15"/>
  <c r="U370" i="15"/>
  <c r="H29" i="16"/>
  <c r="C29" i="16" s="1"/>
  <c r="U405" i="15"/>
  <c r="U418" i="15"/>
  <c r="U733" i="15"/>
  <c r="U229" i="15"/>
  <c r="U226" i="15"/>
  <c r="U253" i="15"/>
  <c r="U219" i="15"/>
  <c r="U231" i="15"/>
  <c r="U195" i="15"/>
  <c r="U180" i="15"/>
  <c r="U159" i="15"/>
  <c r="U100" i="15"/>
  <c r="U121" i="15"/>
  <c r="U141" i="15"/>
  <c r="U135" i="15"/>
  <c r="U124" i="15"/>
  <c r="I5" i="19"/>
  <c r="U108" i="15"/>
  <c r="U93" i="15"/>
  <c r="U146" i="15"/>
  <c r="U163" i="15"/>
  <c r="U197" i="15"/>
  <c r="U123" i="15"/>
  <c r="U185" i="15"/>
  <c r="U76" i="15"/>
  <c r="U78" i="15"/>
  <c r="U55" i="15"/>
  <c r="U59" i="15"/>
  <c r="U171" i="15"/>
  <c r="U53" i="15"/>
  <c r="U42" i="15"/>
  <c r="U33" i="15"/>
  <c r="U66" i="15"/>
  <c r="U352" i="15"/>
  <c r="U63" i="15"/>
  <c r="U37" i="15"/>
  <c r="U360" i="15"/>
  <c r="U150" i="15"/>
  <c r="U179" i="15"/>
  <c r="U217" i="15"/>
  <c r="U18" i="15"/>
  <c r="U68" i="15"/>
  <c r="U375" i="15"/>
  <c r="U117" i="15"/>
  <c r="U97" i="15"/>
  <c r="U256" i="15"/>
  <c r="U49" i="15"/>
  <c r="U611" i="15"/>
  <c r="U524" i="15"/>
  <c r="U568" i="15"/>
  <c r="U610" i="15"/>
  <c r="U534" i="15"/>
  <c r="U424" i="15"/>
  <c r="U542" i="15"/>
  <c r="U535" i="15"/>
  <c r="U517" i="15"/>
  <c r="U576" i="15"/>
  <c r="U455" i="15"/>
  <c r="U625" i="15"/>
  <c r="U323" i="15"/>
  <c r="U194" i="15"/>
  <c r="U682" i="15"/>
  <c r="U325" i="15"/>
  <c r="U577" i="15"/>
  <c r="U712" i="15"/>
  <c r="U262" i="15"/>
  <c r="U569" i="15"/>
  <c r="U318" i="15"/>
  <c r="U301" i="15"/>
  <c r="U768" i="15"/>
  <c r="U404" i="15"/>
  <c r="U587" i="15"/>
  <c r="U648" i="15"/>
  <c r="U311" i="15"/>
  <c r="U547" i="15"/>
  <c r="U512" i="15"/>
  <c r="U549" i="15"/>
  <c r="U513" i="15"/>
  <c r="U511" i="15"/>
  <c r="U437" i="15"/>
  <c r="U617" i="15"/>
  <c r="U516" i="15"/>
  <c r="U616" i="15"/>
  <c r="U269" i="15"/>
  <c r="U748" i="15"/>
  <c r="U57" i="15"/>
  <c r="U339" i="15"/>
  <c r="U514" i="15"/>
  <c r="U579" i="15"/>
  <c r="U35" i="15"/>
  <c r="U341" i="15"/>
  <c r="U705" i="15"/>
  <c r="U343" i="15"/>
  <c r="U291" i="15"/>
  <c r="U706" i="15"/>
  <c r="U723" i="15"/>
  <c r="U264" i="15"/>
  <c r="U333" i="15"/>
  <c r="U508" i="15"/>
  <c r="U236" i="15"/>
  <c r="U260" i="15"/>
  <c r="U681" i="15"/>
  <c r="U711" i="15"/>
  <c r="U722" i="15"/>
  <c r="U627" i="15"/>
  <c r="U235" i="15"/>
  <c r="U462" i="15"/>
  <c r="U347" i="15"/>
  <c r="U629" i="15"/>
  <c r="U374" i="15"/>
  <c r="U622" i="15"/>
  <c r="U95" i="15"/>
  <c r="U624" i="15"/>
  <c r="U118" i="15"/>
  <c r="U510" i="15"/>
  <c r="U144" i="15"/>
  <c r="U192" i="15"/>
  <c r="U449" i="15"/>
  <c r="U738" i="15"/>
  <c r="U61" i="15"/>
  <c r="U190" i="15"/>
  <c r="U346" i="15"/>
  <c r="U436" i="15"/>
  <c r="U348" i="15"/>
  <c r="U461" i="15"/>
  <c r="U473" i="15"/>
  <c r="U763" i="15"/>
  <c r="U145" i="15"/>
  <c r="U29" i="15"/>
  <c r="U349" i="15"/>
  <c r="U620" i="15"/>
  <c r="U575" i="15"/>
  <c r="U543" i="15"/>
  <c r="U545" i="15"/>
  <c r="U359" i="15"/>
  <c r="U664" i="15"/>
  <c r="U296" i="15"/>
  <c r="U688" i="15"/>
  <c r="U676" i="15"/>
  <c r="U466" i="15"/>
  <c r="U443" i="15"/>
  <c r="U487" i="15"/>
  <c r="U654" i="15"/>
  <c r="U639" i="15"/>
  <c r="U651" i="15"/>
  <c r="U640" i="15"/>
  <c r="U652" i="15"/>
  <c r="U649" i="15"/>
  <c r="U646" i="15"/>
  <c r="U650" i="15"/>
  <c r="U638" i="15"/>
  <c r="U643" i="15"/>
  <c r="U658" i="15"/>
  <c r="U645" i="15"/>
  <c r="U659" i="15"/>
  <c r="U598" i="15"/>
  <c r="U605" i="15"/>
  <c r="U612" i="15"/>
  <c r="U635" i="15"/>
  <c r="U607" i="15"/>
  <c r="U578" i="15"/>
  <c r="U532" i="15"/>
  <c r="U608" i="15"/>
  <c r="U631" i="15"/>
  <c r="U571" i="15"/>
  <c r="U601" i="15"/>
  <c r="U634" i="15"/>
  <c r="U520" i="15"/>
  <c r="U277" i="15"/>
  <c r="U752" i="15"/>
  <c r="U675" i="15"/>
  <c r="U550" i="15"/>
  <c r="U699" i="15"/>
  <c r="U742" i="15"/>
  <c r="U519" i="15"/>
  <c r="U762" i="15"/>
  <c r="U758" i="15"/>
  <c r="U471" i="15"/>
  <c r="U556" i="15"/>
  <c r="U326" i="15"/>
  <c r="U555" i="15"/>
  <c r="U530" i="15"/>
  <c r="U525" i="15"/>
  <c r="U619" i="15"/>
  <c r="U558" i="15"/>
  <c r="U538" i="15"/>
  <c r="U536" i="15"/>
  <c r="U565" i="15"/>
  <c r="U366" i="15"/>
  <c r="U554" i="15"/>
  <c r="U507" i="15"/>
  <c r="U272" i="15"/>
  <c r="U166" i="15"/>
  <c r="C26" i="16"/>
  <c r="D26" i="16"/>
  <c r="H36" i="16"/>
  <c r="F22" i="17"/>
  <c r="H22" i="17" s="1"/>
  <c r="H19" i="16"/>
  <c r="C19" i="16" s="1"/>
  <c r="C25" i="16"/>
  <c r="D21" i="16"/>
  <c r="D23" i="16"/>
  <c r="D15" i="16"/>
  <c r="H18" i="16"/>
  <c r="C18" i="16" s="1"/>
  <c r="F6" i="17"/>
  <c r="H6" i="17" s="1"/>
  <c r="H17" i="16"/>
  <c r="C17" i="16" s="1"/>
  <c r="F23" i="17"/>
  <c r="H23" i="17" s="1"/>
  <c r="H3" i="16"/>
  <c r="D3" i="16" s="1"/>
  <c r="C5" i="17"/>
  <c r="F5" i="17" s="1"/>
  <c r="H5" i="17" s="1"/>
  <c r="F15" i="17"/>
  <c r="H15" i="17" s="1"/>
  <c r="F11" i="17"/>
  <c r="H11" i="17" s="1"/>
  <c r="H12" i="16"/>
  <c r="C12" i="16" s="1"/>
  <c r="H16" i="16"/>
  <c r="D16" i="16" s="1"/>
  <c r="H34" i="16"/>
  <c r="H31" i="16"/>
  <c r="F19" i="17"/>
  <c r="H19" i="17" s="1"/>
  <c r="F7" i="17"/>
  <c r="H7" i="17" s="1"/>
  <c r="F2" i="17"/>
  <c r="H2" i="17" s="1"/>
  <c r="D14" i="16"/>
  <c r="D2" i="16"/>
  <c r="C7" i="16"/>
  <c r="C34" i="16" l="1"/>
  <c r="D34" i="16"/>
  <c r="C31" i="16"/>
  <c r="D31" i="16"/>
  <c r="D29" i="16"/>
  <c r="D19" i="16"/>
  <c r="D18" i="16"/>
  <c r="D17" i="16"/>
  <c r="C3" i="16"/>
  <c r="C16" i="16"/>
  <c r="D12" i="16"/>
  <c r="AC339" i="15"/>
  <c r="AL339" i="15" s="1"/>
  <c r="D4" i="17"/>
  <c r="C4" i="17" l="1"/>
  <c r="F4" i="17" s="1"/>
  <c r="H4" i="17" s="1"/>
  <c r="O773" i="15" l="1"/>
  <c r="W584" i="15"/>
  <c r="AK342" i="15"/>
  <c r="Q411" i="18" s="1"/>
  <c r="AK497" i="15"/>
  <c r="AB101" i="15"/>
  <c r="AK151" i="15"/>
  <c r="Q170" i="18" s="1"/>
  <c r="L7" i="19" s="1"/>
  <c r="AA308" i="15"/>
  <c r="AK167" i="15"/>
  <c r="Q201" i="18" s="1"/>
  <c r="L8" i="19" s="1"/>
  <c r="AK287" i="15"/>
  <c r="W287" i="15"/>
  <c r="W125" i="15"/>
  <c r="AK261" i="15"/>
  <c r="Q351" i="18" s="1"/>
  <c r="AB324" i="15"/>
  <c r="X672" i="15"/>
  <c r="AK665" i="15"/>
  <c r="Q827" i="18" s="1"/>
  <c r="L29" i="19" s="1"/>
  <c r="AK69" i="15"/>
  <c r="W358" i="15"/>
  <c r="AA232" i="15"/>
  <c r="AB422" i="15"/>
  <c r="AB665" i="15"/>
  <c r="W298" i="15"/>
  <c r="X789" i="15"/>
  <c r="AH551" i="15"/>
  <c r="AB372" i="15"/>
  <c r="AK186" i="15"/>
  <c r="Q231" i="18" s="1"/>
  <c r="L9" i="19" s="1"/>
  <c r="AC392" i="15"/>
  <c r="AL392" i="15" s="1"/>
  <c r="AA521" i="15"/>
  <c r="AK521" i="15"/>
  <c r="O497" i="15"/>
  <c r="Q365" i="18" l="1"/>
  <c r="Q798" i="18"/>
  <c r="Q796" i="18"/>
  <c r="Q767" i="18"/>
  <c r="Q765" i="18"/>
  <c r="Q77" i="18"/>
  <c r="Q74" i="18"/>
  <c r="AC792" i="15"/>
  <c r="AL792" i="15" s="1"/>
  <c r="AC640" i="15"/>
  <c r="AL640" i="15" s="1"/>
  <c r="AC791" i="15"/>
  <c r="AL791" i="15" s="1"/>
  <c r="AC656" i="15"/>
  <c r="AL656" i="15" s="1"/>
  <c r="AC794" i="15"/>
  <c r="AL794" i="15" s="1"/>
  <c r="AC795" i="15"/>
  <c r="AL795" i="15" s="1"/>
  <c r="AC646" i="15"/>
  <c r="AL646" i="15" s="1"/>
  <c r="AC662" i="15"/>
  <c r="AL662" i="15" s="1"/>
  <c r="AC799" i="15"/>
  <c r="AL799" i="15" s="1"/>
  <c r="AC793" i="15"/>
  <c r="AL793" i="15" s="1"/>
  <c r="AC728" i="15"/>
  <c r="AL728" i="15" s="1"/>
  <c r="AC723" i="15"/>
  <c r="AL723" i="15" s="1"/>
  <c r="AC309" i="15"/>
  <c r="AL309" i="15" s="1"/>
  <c r="AC465" i="15"/>
  <c r="AL465" i="15" s="1"/>
  <c r="AC701" i="15"/>
  <c r="AL701" i="15" s="1"/>
  <c r="AC477" i="15"/>
  <c r="AL477" i="15" s="1"/>
  <c r="AC366" i="15"/>
  <c r="AL366" i="15" s="1"/>
  <c r="AC780" i="15"/>
  <c r="AL780" i="15" s="1"/>
  <c r="AC736" i="15"/>
  <c r="AL736" i="15" s="1"/>
  <c r="AC771" i="15"/>
  <c r="AL771" i="15" s="1"/>
  <c r="AC649" i="15"/>
  <c r="AL649" i="15" s="1"/>
  <c r="AC650" i="15"/>
  <c r="AL650" i="15" s="1"/>
  <c r="AC756" i="15"/>
  <c r="AL756" i="15" s="1"/>
  <c r="AC407" i="15"/>
  <c r="AL407" i="15" s="1"/>
  <c r="AC603" i="15"/>
  <c r="AL603" i="15" s="1"/>
  <c r="AC598" i="15"/>
  <c r="AL598" i="15" s="1"/>
  <c r="AC274" i="15"/>
  <c r="AL274" i="15" s="1"/>
  <c r="AC633" i="15"/>
  <c r="AL633" i="15" s="1"/>
  <c r="AC614" i="15"/>
  <c r="AL614" i="15" s="1"/>
  <c r="AC602" i="15"/>
  <c r="AL602" i="15" s="1"/>
  <c r="AC573" i="15"/>
  <c r="AL573" i="15" s="1"/>
  <c r="AC785" i="15"/>
  <c r="AL785" i="15" s="1"/>
  <c r="AC606" i="15"/>
  <c r="AL606" i="15" s="1"/>
  <c r="AC607" i="15"/>
  <c r="AL607" i="15" s="1"/>
  <c r="AC519" i="15"/>
  <c r="AL519" i="15" s="1"/>
  <c r="AC536" i="15"/>
  <c r="AL536" i="15" s="1"/>
  <c r="AC557" i="15"/>
  <c r="AL557" i="15" s="1"/>
  <c r="AC418" i="15"/>
  <c r="AL418" i="15" s="1"/>
  <c r="AC738" i="15"/>
  <c r="AL738" i="15" s="1"/>
  <c r="AC713" i="15"/>
  <c r="AL713" i="15" s="1"/>
  <c r="AC550" i="15"/>
  <c r="AL550" i="15" s="1"/>
  <c r="AC384" i="15"/>
  <c r="AL384" i="15" s="1"/>
  <c r="AC493" i="15"/>
  <c r="AL493" i="15" s="1"/>
  <c r="AC401" i="15"/>
  <c r="AL401" i="15" s="1"/>
  <c r="AC752" i="15"/>
  <c r="AL752" i="15" s="1"/>
  <c r="AC669" i="15"/>
  <c r="AL669" i="15" s="1"/>
  <c r="AC277" i="15"/>
  <c r="AL277" i="15" s="1"/>
  <c r="AC350" i="15"/>
  <c r="AL350" i="15" s="1"/>
  <c r="AC456" i="15"/>
  <c r="AL456" i="15" s="1"/>
  <c r="AC585" i="15"/>
  <c r="AL585" i="15" s="1"/>
  <c r="AC549" i="15"/>
  <c r="AL549" i="15" s="1"/>
  <c r="AC385" i="15"/>
  <c r="AL385" i="15" s="1"/>
  <c r="AC370" i="15"/>
  <c r="AL370" i="15" s="1"/>
  <c r="AC288" i="15"/>
  <c r="AL288" i="15" s="1"/>
  <c r="AC388" i="15"/>
  <c r="AL388" i="15" s="1"/>
  <c r="AC310" i="15"/>
  <c r="AL310" i="15" s="1"/>
  <c r="AC711" i="15"/>
  <c r="AL711" i="15" s="1"/>
  <c r="AC356" i="15"/>
  <c r="AL356" i="15" s="1"/>
  <c r="AC745" i="15"/>
  <c r="AL745" i="15" s="1"/>
  <c r="AC246" i="15"/>
  <c r="AL246" i="15" s="1"/>
  <c r="AC263" i="15"/>
  <c r="AL263" i="15" s="1"/>
  <c r="AC778" i="15"/>
  <c r="AL778" i="15" s="1"/>
  <c r="AC639" i="15"/>
  <c r="AL639" i="15" s="1"/>
  <c r="AC641" i="15"/>
  <c r="AL641" i="15" s="1"/>
  <c r="AC638" i="15"/>
  <c r="AL638" i="15" s="1"/>
  <c r="AC451" i="15"/>
  <c r="AL451" i="15" s="1"/>
  <c r="AC677" i="15"/>
  <c r="AL677" i="15" s="1"/>
  <c r="AC581" i="15"/>
  <c r="AL581" i="15" s="1"/>
  <c r="AC561" i="15"/>
  <c r="AL561" i="15" s="1"/>
  <c r="AC790" i="15"/>
  <c r="AL790" i="15" s="1"/>
  <c r="AC783" i="15"/>
  <c r="AL783" i="15" s="1"/>
  <c r="AC593" i="15"/>
  <c r="AL593" i="15" s="1"/>
  <c r="AC634" i="15"/>
  <c r="AL634" i="15" s="1"/>
  <c r="AC637" i="15"/>
  <c r="AL637" i="15" s="1"/>
  <c r="AC533" i="15"/>
  <c r="AL533" i="15" s="1"/>
  <c r="AC626" i="15"/>
  <c r="AL626" i="15" s="1"/>
  <c r="AC636" i="15"/>
  <c r="AL636" i="15" s="1"/>
  <c r="AC787" i="15"/>
  <c r="AL787" i="15" s="1"/>
  <c r="AC529" i="15"/>
  <c r="AL529" i="15" s="1"/>
  <c r="AC552" i="15"/>
  <c r="AL552" i="15" s="1"/>
  <c r="AC518" i="15"/>
  <c r="AL518" i="15" s="1"/>
  <c r="AC381" i="15"/>
  <c r="AL381" i="15" s="1"/>
  <c r="AC394" i="15"/>
  <c r="AL394" i="15" s="1"/>
  <c r="AC769" i="15"/>
  <c r="AL769" i="15" s="1"/>
  <c r="AC369" i="15"/>
  <c r="AL369" i="15" s="1"/>
  <c r="AC720" i="15"/>
  <c r="AL720" i="15" s="1"/>
  <c r="AC680" i="15"/>
  <c r="AL680" i="15" s="1"/>
  <c r="AC742" i="15"/>
  <c r="AL742" i="15" s="1"/>
  <c r="AC715" i="15"/>
  <c r="AL715" i="15" s="1"/>
  <c r="AC495" i="15"/>
  <c r="AL495" i="15" s="1"/>
  <c r="AC699" i="15"/>
  <c r="AL699" i="15" s="1"/>
  <c r="AC772" i="15"/>
  <c r="AL772" i="15" s="1"/>
  <c r="AC393" i="15"/>
  <c r="AL393" i="15" s="1"/>
  <c r="AC257" i="15"/>
  <c r="AL257" i="15" s="1"/>
  <c r="AC703" i="15"/>
  <c r="AL703" i="15" s="1"/>
  <c r="AC316" i="15"/>
  <c r="AL316" i="15" s="1"/>
  <c r="AC340" i="15"/>
  <c r="AL340" i="15" s="1"/>
  <c r="AC751" i="15"/>
  <c r="AL751" i="15" s="1"/>
  <c r="AC681" i="15"/>
  <c r="AL681" i="15" s="1"/>
  <c r="AC413" i="15"/>
  <c r="AL413" i="15" s="1"/>
  <c r="AC404" i="15"/>
  <c r="AL404" i="15" s="1"/>
  <c r="AC417" i="15"/>
  <c r="AL417" i="15" s="1"/>
  <c r="AC691" i="15"/>
  <c r="AL691" i="15" s="1"/>
  <c r="AC747" i="15"/>
  <c r="AL747" i="15" s="1"/>
  <c r="AC651" i="15"/>
  <c r="AL651" i="15" s="1"/>
  <c r="AC644" i="15"/>
  <c r="AL644" i="15" s="1"/>
  <c r="AC643" i="15"/>
  <c r="AL643" i="15" s="1"/>
  <c r="AC727" i="15"/>
  <c r="AL727" i="15" s="1"/>
  <c r="AC761" i="15"/>
  <c r="AL761" i="15" s="1"/>
  <c r="AC800" i="15"/>
  <c r="AL800" i="15" s="1"/>
  <c r="AC582" i="15"/>
  <c r="AL582" i="15" s="1"/>
  <c r="AC583" i="15"/>
  <c r="AL583" i="15" s="1"/>
  <c r="AC562" i="15"/>
  <c r="AL562" i="15" s="1"/>
  <c r="AC564" i="15"/>
  <c r="AL564" i="15" s="1"/>
  <c r="AC784" i="15"/>
  <c r="AL784" i="15" s="1"/>
  <c r="AC563" i="15"/>
  <c r="AL563" i="15" s="1"/>
  <c r="AC596" i="15"/>
  <c r="AL596" i="15" s="1"/>
  <c r="AC574" i="15"/>
  <c r="AL574" i="15" s="1"/>
  <c r="AC586" i="15"/>
  <c r="AL586" i="15" s="1"/>
  <c r="AC590" i="15"/>
  <c r="AL590" i="15" s="1"/>
  <c r="AC540" i="15"/>
  <c r="AL540" i="15" s="1"/>
  <c r="AC558" i="15"/>
  <c r="AL558" i="15" s="1"/>
  <c r="AC527" i="15"/>
  <c r="AL527" i="15" s="1"/>
  <c r="AC733" i="15"/>
  <c r="AL733" i="15" s="1"/>
  <c r="AC238" i="15"/>
  <c r="AL238" i="15" s="1"/>
  <c r="AC280" i="15"/>
  <c r="AL280" i="15" s="1"/>
  <c r="AC484" i="15"/>
  <c r="AL484" i="15" s="1"/>
  <c r="AC762" i="15"/>
  <c r="AL762" i="15" s="1"/>
  <c r="AC365" i="15"/>
  <c r="AL365" i="15" s="1"/>
  <c r="AC663" i="15"/>
  <c r="AL663" i="15" s="1"/>
  <c r="AC717" i="15"/>
  <c r="AL717" i="15" s="1"/>
  <c r="AC380" i="15"/>
  <c r="AL380" i="15" s="1"/>
  <c r="AC648" i="15"/>
  <c r="AL648" i="15" s="1"/>
  <c r="AC411" i="15"/>
  <c r="AL411" i="15" s="1"/>
  <c r="AC307" i="15"/>
  <c r="AL307" i="15" s="1"/>
  <c r="AC338" i="15"/>
  <c r="AL338" i="15" s="1"/>
  <c r="AC251" i="15"/>
  <c r="AL251" i="15" s="1"/>
  <c r="AC250" i="15"/>
  <c r="AL250" i="15" s="1"/>
  <c r="AC722" i="15"/>
  <c r="AL722" i="15" s="1"/>
  <c r="AC471" i="15"/>
  <c r="AL471" i="15" s="1"/>
  <c r="AC645" i="15"/>
  <c r="AL645" i="15" s="1"/>
  <c r="AC652" i="15"/>
  <c r="AL652" i="15" s="1"/>
  <c r="AC642" i="15"/>
  <c r="AL642" i="15" s="1"/>
  <c r="AC658" i="15"/>
  <c r="AL658" i="15" s="1"/>
  <c r="AC732" i="15"/>
  <c r="AL732" i="15" s="1"/>
  <c r="AC580" i="15"/>
  <c r="AL580" i="15" s="1"/>
  <c r="AC560" i="15"/>
  <c r="AL560" i="15" s="1"/>
  <c r="AC591" i="15"/>
  <c r="AL591" i="15" s="1"/>
  <c r="AC592" i="15"/>
  <c r="AL592" i="15" s="1"/>
  <c r="AC599" i="15"/>
  <c r="AL599" i="15" s="1"/>
  <c r="AC594" i="15"/>
  <c r="AL594" i="15" s="1"/>
  <c r="AC559" i="15"/>
  <c r="AL559" i="15" s="1"/>
  <c r="AC572" i="15"/>
  <c r="AL572" i="15" s="1"/>
  <c r="AC635" i="15"/>
  <c r="AL635" i="15" s="1"/>
  <c r="AC597" i="15"/>
  <c r="AL597" i="15" s="1"/>
  <c r="AC589" i="15"/>
  <c r="AL589" i="15" s="1"/>
  <c r="AC631" i="15"/>
  <c r="AL631" i="15" s="1"/>
  <c r="AC788" i="15"/>
  <c r="AL788" i="15" s="1"/>
  <c r="AC555" i="15"/>
  <c r="AL555" i="15" s="1"/>
  <c r="AC507" i="15"/>
  <c r="AL507" i="15" s="1"/>
  <c r="AC405" i="15"/>
  <c r="AL405" i="15" s="1"/>
  <c r="AC236" i="15"/>
  <c r="AL236" i="15" s="1"/>
  <c r="AC447" i="15"/>
  <c r="AL447" i="15" s="1"/>
  <c r="AC281" i="15"/>
  <c r="AL281" i="15" s="1"/>
  <c r="AC716" i="15"/>
  <c r="AL716" i="15" s="1"/>
  <c r="AC647" i="15"/>
  <c r="AL647" i="15" s="1"/>
  <c r="AC389" i="15"/>
  <c r="AL389" i="15" s="1"/>
  <c r="AC675" i="15"/>
  <c r="AL675" i="15" s="1"/>
  <c r="AC693" i="15"/>
  <c r="AL693" i="15" s="1"/>
  <c r="AC442" i="15"/>
  <c r="AL442" i="15" s="1"/>
  <c r="AC687" i="15"/>
  <c r="AL687" i="15" s="1"/>
  <c r="AC269" i="15"/>
  <c r="AL269" i="15" s="1"/>
  <c r="AC312" i="15"/>
  <c r="AL312" i="15" s="1"/>
  <c r="AC508" i="15"/>
  <c r="AL508" i="15" s="1"/>
  <c r="AC737" i="15"/>
  <c r="AL737" i="15" s="1"/>
  <c r="AC470" i="15"/>
  <c r="AL470" i="15" s="1"/>
  <c r="AC249" i="15"/>
  <c r="AL249" i="15" s="1"/>
  <c r="AC247" i="15"/>
  <c r="AL247" i="15" s="1"/>
  <c r="AC333" i="15"/>
  <c r="AL333" i="15" s="1"/>
  <c r="AC685" i="15"/>
  <c r="AL685" i="15" s="1"/>
  <c r="AC272" i="15"/>
  <c r="AL272" i="15" s="1"/>
  <c r="AC735" i="15"/>
  <c r="AL735" i="15" s="1"/>
  <c r="AC270" i="15"/>
  <c r="AL270" i="15" s="1"/>
  <c r="AC770" i="15"/>
  <c r="AL770" i="15" s="1"/>
  <c r="AC492" i="15"/>
  <c r="AL492" i="15" s="1"/>
  <c r="AC730" i="15"/>
  <c r="AL730" i="15" s="1"/>
  <c r="AC371" i="15"/>
  <c r="AL371" i="15" s="1"/>
  <c r="AC670" i="15"/>
  <c r="AL670" i="15" s="1"/>
  <c r="AC423" i="15"/>
  <c r="AL423" i="15" s="1"/>
  <c r="AC694" i="15"/>
  <c r="AL694" i="15" s="1"/>
  <c r="AC260" i="15"/>
  <c r="AL260" i="15" s="1"/>
  <c r="AC750" i="15"/>
  <c r="AL750" i="15" s="1"/>
  <c r="AC487" i="15"/>
  <c r="AL487" i="15" s="1"/>
  <c r="AC443" i="15"/>
  <c r="AL443" i="15" s="1"/>
  <c r="AC429" i="15"/>
  <c r="AL429" i="15" s="1"/>
  <c r="AC755" i="15"/>
  <c r="AL755" i="15" s="1"/>
  <c r="AC697" i="15"/>
  <c r="AL697" i="15" s="1"/>
  <c r="AC332" i="15"/>
  <c r="AL332" i="15" s="1"/>
  <c r="AC472" i="15"/>
  <c r="AL472" i="15" s="1"/>
  <c r="AC455" i="15"/>
  <c r="AL455" i="15" s="1"/>
  <c r="AC740" i="15"/>
  <c r="AL740" i="15" s="1"/>
  <c r="AC248" i="15"/>
  <c r="AL248" i="15" s="1"/>
  <c r="AC478" i="15"/>
  <c r="AL478" i="15" s="1"/>
  <c r="AC357" i="15"/>
  <c r="AL357" i="15" s="1"/>
  <c r="AC279" i="15"/>
  <c r="AL279" i="15" s="1"/>
  <c r="AC444" i="15"/>
  <c r="AL444" i="15" s="1"/>
  <c r="AC676" i="15"/>
  <c r="AL676" i="15" s="1"/>
  <c r="AC292" i="15"/>
  <c r="AL292" i="15" s="1"/>
  <c r="AC757" i="15"/>
  <c r="AL757" i="15" s="1"/>
  <c r="AC240" i="15"/>
  <c r="AL240" i="15" s="1"/>
  <c r="AC706" i="15"/>
  <c r="AL706" i="15" s="1"/>
  <c r="AC688" i="15"/>
  <c r="AL688" i="15" s="1"/>
  <c r="AC306" i="15"/>
  <c r="AL306" i="15" s="1"/>
  <c r="AC259" i="15"/>
  <c r="AL259" i="15" s="1"/>
  <c r="AC765" i="15"/>
  <c r="AL765" i="15" s="1"/>
  <c r="AC667" i="15"/>
  <c r="AL667" i="15" s="1"/>
  <c r="AC767" i="15"/>
  <c r="AL767" i="15" s="1"/>
  <c r="AC496" i="15"/>
  <c r="AL496" i="15" s="1"/>
  <c r="AC509" i="15"/>
  <c r="AL509" i="15" s="1"/>
  <c r="AC241" i="15"/>
  <c r="AL241" i="15" s="1"/>
  <c r="AC746" i="15"/>
  <c r="AL746" i="15" s="1"/>
  <c r="AC448" i="15"/>
  <c r="AL448" i="15" s="1"/>
  <c r="AC351" i="15"/>
  <c r="AL351" i="15" s="1"/>
  <c r="AC657" i="15"/>
  <c r="AL657" i="15" s="1"/>
  <c r="AC254" i="15"/>
  <c r="AL254" i="15" s="1"/>
  <c r="AC709" i="15"/>
  <c r="AL709" i="15" s="1"/>
  <c r="AC664" i="15"/>
  <c r="AL664" i="15" s="1"/>
  <c r="AC425" i="15"/>
  <c r="AL425" i="15" s="1"/>
  <c r="AC454" i="15"/>
  <c r="AL454" i="15" s="1"/>
  <c r="AC386" i="15"/>
  <c r="AL386" i="15" s="1"/>
  <c r="AC760" i="15"/>
  <c r="AL760" i="15" s="1"/>
  <c r="AC291" i="15"/>
  <c r="AL291" i="15" s="1"/>
  <c r="AC679" i="15"/>
  <c r="AL679" i="15" s="1"/>
  <c r="AC682" i="15"/>
  <c r="AL682" i="15" s="1"/>
  <c r="AC271" i="15"/>
  <c r="AL271" i="15" s="1"/>
  <c r="AC435" i="15"/>
  <c r="AL435" i="15" s="1"/>
  <c r="AC725" i="15"/>
  <c r="AL725" i="15" s="1"/>
  <c r="AC673" i="15"/>
  <c r="AL673" i="15" s="1"/>
  <c r="AC483" i="15"/>
  <c r="AL483" i="15" s="1"/>
  <c r="AC503" i="15"/>
  <c r="AL503" i="15" s="1"/>
  <c r="AC775" i="15"/>
  <c r="AL775" i="15" s="1"/>
  <c r="AC460" i="15"/>
  <c r="AL460" i="15" s="1"/>
  <c r="AC674" i="15"/>
  <c r="AL674" i="15" s="1"/>
  <c r="AC398" i="15"/>
  <c r="AL398" i="15" s="1"/>
  <c r="AC376" i="15"/>
  <c r="AL376" i="15" s="1"/>
  <c r="AC486" i="15"/>
  <c r="AL486" i="15" s="1"/>
  <c r="AC466" i="15"/>
  <c r="AL466" i="15" s="1"/>
  <c r="AC475" i="15"/>
  <c r="AL475" i="15" s="1"/>
  <c r="AC399" i="15"/>
  <c r="AL399" i="15" s="1"/>
  <c r="AC705" i="15"/>
  <c r="AL705" i="15" s="1"/>
  <c r="X6" i="15"/>
  <c r="AB232" i="15"/>
  <c r="AK789" i="15"/>
  <c r="Q1860" i="18" s="1"/>
  <c r="L63" i="19" s="1"/>
  <c r="AC620" i="15"/>
  <c r="AL620" i="15" s="1"/>
  <c r="X232" i="15"/>
  <c r="AA789" i="15"/>
  <c r="AH665" i="15"/>
  <c r="N827" i="18" s="1"/>
  <c r="J29" i="19" s="1"/>
  <c r="W232" i="15"/>
  <c r="AA665" i="15"/>
  <c r="AA69" i="15"/>
  <c r="AB672" i="15"/>
  <c r="X342" i="15"/>
  <c r="W372" i="15"/>
  <c r="AA672" i="15"/>
  <c r="X261" i="15"/>
  <c r="AA342" i="15"/>
  <c r="AA372" i="15"/>
  <c r="AA422" i="15"/>
  <c r="AB342" i="15"/>
  <c r="AB551" i="15"/>
  <c r="D9" i="17" s="1"/>
  <c r="AA298" i="15"/>
  <c r="AB125" i="15"/>
  <c r="AA287" i="15"/>
  <c r="X308" i="15"/>
  <c r="X372" i="15"/>
  <c r="X298" i="15"/>
  <c r="W422" i="15"/>
  <c r="AB789" i="15"/>
  <c r="W261" i="15"/>
  <c r="AA125" i="15"/>
  <c r="AB308" i="15"/>
  <c r="W551" i="15"/>
  <c r="AB186" i="15"/>
  <c r="AB298" i="15"/>
  <c r="X422" i="15"/>
  <c r="F32" i="16" s="1"/>
  <c r="X101" i="15"/>
  <c r="AC678" i="15"/>
  <c r="AL678" i="15" s="1"/>
  <c r="AK344" i="15"/>
  <c r="Q417" i="18" s="1"/>
  <c r="O261" i="15"/>
  <c r="O220" i="15"/>
  <c r="AC34" i="15"/>
  <c r="AL34" i="15" s="1"/>
  <c r="AC25" i="15"/>
  <c r="AL25" i="15" s="1"/>
  <c r="AC12" i="15"/>
  <c r="AL12" i="15" s="1"/>
  <c r="AC36" i="15"/>
  <c r="AL36" i="15" s="1"/>
  <c r="AC16" i="15"/>
  <c r="AL16" i="15" s="1"/>
  <c r="AC13" i="15"/>
  <c r="AL13" i="15" s="1"/>
  <c r="AB6" i="15"/>
  <c r="AK6" i="15"/>
  <c r="Q11" i="18" s="1"/>
  <c r="L2" i="19" s="1"/>
  <c r="AH6" i="15"/>
  <c r="N11" i="18" s="1"/>
  <c r="J2" i="19" s="1"/>
  <c r="AC46" i="15"/>
  <c r="AL46" i="15" s="1"/>
  <c r="AC29" i="15"/>
  <c r="AL29" i="15" s="1"/>
  <c r="AA6" i="15"/>
  <c r="AC52" i="15"/>
  <c r="AL52" i="15" s="1"/>
  <c r="AC15" i="15"/>
  <c r="AL15" i="15" s="1"/>
  <c r="AC17" i="15"/>
  <c r="AL17" i="15" s="1"/>
  <c r="AC14" i="15"/>
  <c r="AL14" i="15" s="1"/>
  <c r="AC23" i="15"/>
  <c r="AL23" i="15" s="1"/>
  <c r="AC18" i="15"/>
  <c r="AL18" i="15" s="1"/>
  <c r="AC50" i="15"/>
  <c r="AL50" i="15" s="1"/>
  <c r="O298" i="15"/>
  <c r="AC600" i="15"/>
  <c r="AL600" i="15" s="1"/>
  <c r="W186" i="15"/>
  <c r="O344" i="15"/>
  <c r="AA344" i="15"/>
  <c r="O789" i="15"/>
  <c r="O300" i="15"/>
  <c r="O232" i="15"/>
  <c r="O151" i="15"/>
  <c r="O69" i="15"/>
  <c r="O551" i="15"/>
  <c r="O358" i="15"/>
  <c r="AC630" i="15"/>
  <c r="AL630" i="15" s="1"/>
  <c r="AC243" i="15"/>
  <c r="AL243" i="15" s="1"/>
  <c r="X282" i="15"/>
  <c r="AB282" i="15"/>
  <c r="AA282" i="15"/>
  <c r="AA358" i="15"/>
  <c r="AC68" i="15"/>
  <c r="AL68" i="15" s="1"/>
  <c r="AC79" i="15"/>
  <c r="AL79" i="15" s="1"/>
  <c r="AK282" i="15"/>
  <c r="Q366" i="18" s="1"/>
  <c r="AK324" i="15"/>
  <c r="Q398" i="18" s="1"/>
  <c r="AA324" i="15"/>
  <c r="W324" i="15"/>
  <c r="AC666" i="15"/>
  <c r="AL666" i="15" s="1"/>
  <c r="AC224" i="15"/>
  <c r="AL224" i="15" s="1"/>
  <c r="AC282" i="15"/>
  <c r="AL282" i="15" s="1"/>
  <c r="W344" i="15"/>
  <c r="W314" i="15"/>
  <c r="AC217" i="15"/>
  <c r="AL217" i="15" s="1"/>
  <c r="AH521" i="15"/>
  <c r="AB521" i="15"/>
  <c r="AA186" i="15"/>
  <c r="AB344" i="15"/>
  <c r="O40" i="15"/>
  <c r="O584" i="15"/>
  <c r="O282" i="15"/>
  <c r="O342" i="15"/>
  <c r="O665" i="15"/>
  <c r="O166" i="15"/>
  <c r="O101" i="15"/>
  <c r="O6" i="15"/>
  <c r="AC551" i="15"/>
  <c r="AL551" i="15" s="1"/>
  <c r="AC554" i="15"/>
  <c r="AL554" i="15" s="1"/>
  <c r="AK551" i="15"/>
  <c r="AA551" i="15"/>
  <c r="C9" i="17" s="1"/>
  <c r="AK298" i="15"/>
  <c r="AH298" i="15"/>
  <c r="W6" i="15"/>
  <c r="AH422" i="15"/>
  <c r="AK422" i="15"/>
  <c r="AB358" i="15"/>
  <c r="X69" i="15"/>
  <c r="W69" i="15"/>
  <c r="AB69" i="15"/>
  <c r="AC440" i="15"/>
  <c r="AL440" i="15" s="1"/>
  <c r="X665" i="15"/>
  <c r="X521" i="15"/>
  <c r="AK372" i="15"/>
  <c r="Q473" i="18" s="1"/>
  <c r="L17" i="19" s="1"/>
  <c r="X324" i="15"/>
  <c r="AC789" i="15"/>
  <c r="AL789" i="15" s="1"/>
  <c r="AC622" i="15"/>
  <c r="AL622" i="15" s="1"/>
  <c r="X344" i="15"/>
  <c r="AG344" i="15"/>
  <c r="L417" i="18" s="1"/>
  <c r="H15" i="19" s="1"/>
  <c r="AC532" i="15"/>
  <c r="AL532" i="15" s="1"/>
  <c r="AC463" i="15"/>
  <c r="AL463" i="15" s="1"/>
  <c r="AC759" i="15"/>
  <c r="AL759" i="15" s="1"/>
  <c r="AC764" i="15"/>
  <c r="AL764" i="15" s="1"/>
  <c r="AC278" i="15"/>
  <c r="AL278" i="15" s="1"/>
  <c r="AC153" i="15"/>
  <c r="AL153" i="15" s="1"/>
  <c r="AC331" i="15"/>
  <c r="AL331" i="15" s="1"/>
  <c r="AC149" i="15"/>
  <c r="AL149" i="15" s="1"/>
  <c r="AC368" i="15"/>
  <c r="AL368" i="15" s="1"/>
  <c r="AC255" i="15"/>
  <c r="AL255" i="15" s="1"/>
  <c r="AC629" i="15"/>
  <c r="AL629" i="15" s="1"/>
  <c r="AC88" i="15"/>
  <c r="AL88" i="15" s="1"/>
  <c r="AC782" i="15"/>
  <c r="AL782" i="15" s="1"/>
  <c r="AC797" i="15"/>
  <c r="AL797" i="15" s="1"/>
  <c r="AC134" i="15"/>
  <c r="AL134" i="15" s="1"/>
  <c r="AC354" i="15"/>
  <c r="AL354" i="15" s="1"/>
  <c r="AC450" i="15"/>
  <c r="AL450" i="15" s="1"/>
  <c r="AC665" i="15"/>
  <c r="AL665" i="15" s="1"/>
  <c r="AC283" i="15"/>
  <c r="AL283" i="15" s="1"/>
  <c r="AC396" i="15"/>
  <c r="AL396" i="15" s="1"/>
  <c r="AC317" i="15"/>
  <c r="AL317" i="15" s="1"/>
  <c r="AC104" i="15"/>
  <c r="AL104" i="15" s="1"/>
  <c r="AC161" i="15"/>
  <c r="AL161" i="15" s="1"/>
  <c r="AC421" i="15"/>
  <c r="AL421" i="15" s="1"/>
  <c r="AC768" i="15"/>
  <c r="AL768" i="15" s="1"/>
  <c r="AC605" i="15"/>
  <c r="AL605" i="15" s="1"/>
  <c r="AC359" i="15"/>
  <c r="AL359" i="15" s="1"/>
  <c r="AC200" i="15"/>
  <c r="AL200" i="15" s="1"/>
  <c r="AC779" i="15"/>
  <c r="AL779" i="15" s="1"/>
  <c r="AC304" i="15"/>
  <c r="AL304" i="15" s="1"/>
  <c r="AC422" i="15"/>
  <c r="AL422" i="15" s="1"/>
  <c r="AC625" i="15"/>
  <c r="AL625" i="15" s="1"/>
  <c r="AC653" i="15"/>
  <c r="AL653" i="15" s="1"/>
  <c r="AC655" i="15"/>
  <c r="AL655" i="15" s="1"/>
  <c r="AC436" i="15"/>
  <c r="AL436" i="15" s="1"/>
  <c r="AC35" i="15"/>
  <c r="AL35" i="15" s="1"/>
  <c r="AC776" i="15"/>
  <c r="AL776" i="15" s="1"/>
  <c r="AC96" i="15"/>
  <c r="AL96" i="15" s="1"/>
  <c r="AC511" i="15"/>
  <c r="AL511" i="15" s="1"/>
  <c r="AC517" i="15"/>
  <c r="AL517" i="15" s="1"/>
  <c r="AC468" i="15"/>
  <c r="AL468" i="15" s="1"/>
  <c r="AC628" i="15"/>
  <c r="AL628" i="15" s="1"/>
  <c r="AC526" i="15"/>
  <c r="AL526" i="15" s="1"/>
  <c r="AC719" i="15"/>
  <c r="AL719" i="15" s="1"/>
  <c r="AC414" i="15"/>
  <c r="AL414" i="15" s="1"/>
  <c r="AC611" i="15"/>
  <c r="AL611" i="15" s="1"/>
  <c r="AC567" i="15"/>
  <c r="AL567" i="15" s="1"/>
  <c r="AC289" i="15"/>
  <c r="AL289" i="15" s="1"/>
  <c r="AC379" i="15"/>
  <c r="AL379" i="15" s="1"/>
  <c r="AC244" i="15"/>
  <c r="AL244" i="15" s="1"/>
  <c r="AC207" i="15"/>
  <c r="AL207" i="15" s="1"/>
  <c r="AC613" i="15"/>
  <c r="AL613" i="15" s="1"/>
  <c r="AC461" i="15"/>
  <c r="AL461" i="15" s="1"/>
  <c r="AC695" i="15"/>
  <c r="AL695" i="15" s="1"/>
  <c r="AC264" i="15"/>
  <c r="AL264" i="15" s="1"/>
  <c r="AC116" i="15"/>
  <c r="AL116" i="15" s="1"/>
  <c r="AC211" i="15"/>
  <c r="AL211" i="15" s="1"/>
  <c r="AC539" i="15"/>
  <c r="AL539" i="15" s="1"/>
  <c r="AC452" i="15"/>
  <c r="AL452" i="15" s="1"/>
  <c r="AC223" i="15"/>
  <c r="AL223" i="15" s="1"/>
  <c r="AC237" i="15"/>
  <c r="AL237" i="15" s="1"/>
  <c r="AC144" i="15"/>
  <c r="AL144" i="15" s="1"/>
  <c r="AC101" i="15"/>
  <c r="AL101" i="15" s="1"/>
  <c r="AC763" i="15"/>
  <c r="AL763" i="15" s="1"/>
  <c r="AC90" i="15"/>
  <c r="AL90" i="15" s="1"/>
  <c r="AC213" i="15"/>
  <c r="AL213" i="15" s="1"/>
  <c r="AC708" i="15"/>
  <c r="AL708" i="15" s="1"/>
  <c r="AC140" i="15"/>
  <c r="AL140" i="15" s="1"/>
  <c r="AC276" i="15"/>
  <c r="AL276" i="15" s="1"/>
  <c r="AC171" i="15"/>
  <c r="AL171" i="15" s="1"/>
  <c r="AC91" i="15"/>
  <c r="AL91" i="15" s="1"/>
  <c r="AC781" i="15"/>
  <c r="AL781" i="15" s="1"/>
  <c r="AC245" i="15"/>
  <c r="AL245" i="15" s="1"/>
  <c r="AC660" i="15"/>
  <c r="AL660" i="15" s="1"/>
  <c r="AC323" i="15"/>
  <c r="AL323" i="15" s="1"/>
  <c r="AC576" i="15"/>
  <c r="AL576" i="15" s="1"/>
  <c r="AC342" i="15"/>
  <c r="AL342" i="15" s="1"/>
  <c r="AC749" i="15"/>
  <c r="AL749" i="15" s="1"/>
  <c r="AC162" i="15"/>
  <c r="AL162" i="15" s="1"/>
  <c r="AC397" i="15"/>
  <c r="AL397" i="15" s="1"/>
  <c r="AC325" i="15"/>
  <c r="AL325" i="15" s="1"/>
  <c r="AC710" i="15"/>
  <c r="AL710" i="15" s="1"/>
  <c r="AC374" i="15"/>
  <c r="AL374" i="15" s="1"/>
  <c r="AC31" i="15"/>
  <c r="AL31" i="15" s="1"/>
  <c r="AC482" i="15"/>
  <c r="AL482" i="15" s="1"/>
  <c r="AC242" i="15"/>
  <c r="AL242" i="15" s="1"/>
  <c r="AC610" i="15"/>
  <c r="AL610" i="15" s="1"/>
  <c r="AC300" i="15"/>
  <c r="AL300" i="15" s="1"/>
  <c r="AC313" i="15"/>
  <c r="AL313" i="15" s="1"/>
  <c r="AC218" i="15"/>
  <c r="AL218" i="15" s="1"/>
  <c r="AC114" i="15"/>
  <c r="AL114" i="15" s="1"/>
  <c r="AC485" i="15"/>
  <c r="AL485" i="15" s="1"/>
  <c r="AC319" i="15"/>
  <c r="AL319" i="15" s="1"/>
  <c r="AC632" i="15"/>
  <c r="AL632" i="15" s="1"/>
  <c r="AC377" i="15"/>
  <c r="AL377" i="15" s="1"/>
  <c r="AC624" i="15"/>
  <c r="AL624" i="15" s="1"/>
  <c r="AC453" i="15"/>
  <c r="AL453" i="15" s="1"/>
  <c r="AC698" i="15"/>
  <c r="AL698" i="15" s="1"/>
  <c r="AC700" i="15"/>
  <c r="AL700" i="15" s="1"/>
  <c r="AC232" i="15"/>
  <c r="AL232" i="15" s="1"/>
  <c r="AC234" i="15"/>
  <c r="AL234" i="15" s="1"/>
  <c r="AC286" i="15"/>
  <c r="AL286" i="15" s="1"/>
  <c r="AC92" i="15"/>
  <c r="AL92" i="15" s="1"/>
  <c r="AC553" i="15"/>
  <c r="AL553" i="15" s="1"/>
  <c r="AC267" i="15"/>
  <c r="AL267" i="15" s="1"/>
  <c r="AC433" i="15"/>
  <c r="AL433" i="15" s="1"/>
  <c r="AC95" i="15"/>
  <c r="AL95" i="15" s="1"/>
  <c r="AC57" i="15"/>
  <c r="AL57" i="15" s="1"/>
  <c r="AC627" i="15"/>
  <c r="AL627" i="15" s="1"/>
  <c r="AC265" i="15"/>
  <c r="AL265" i="15" s="1"/>
  <c r="AC480" i="15"/>
  <c r="AL480" i="15" s="1"/>
  <c r="AC437" i="15"/>
  <c r="AL437" i="15" s="1"/>
  <c r="AC671" i="15"/>
  <c r="AL671" i="15" s="1"/>
  <c r="AC615" i="15"/>
  <c r="AL615" i="15" s="1"/>
  <c r="AC222" i="15"/>
  <c r="AL222" i="15" s="1"/>
  <c r="AC24" i="15"/>
  <c r="AL24" i="15" s="1"/>
  <c r="AC766" i="15"/>
  <c r="AL766" i="15" s="1"/>
  <c r="AC528" i="15"/>
  <c r="AL528" i="15" s="1"/>
  <c r="AC110" i="15"/>
  <c r="AL110" i="15" s="1"/>
  <c r="AC469" i="15"/>
  <c r="AL469" i="15" s="1"/>
  <c r="AC497" i="15"/>
  <c r="AL497" i="15" s="1"/>
  <c r="AC568" i="15"/>
  <c r="AL568" i="15" s="1"/>
  <c r="AC619" i="15"/>
  <c r="AL619" i="15" s="1"/>
  <c r="AC661" i="15"/>
  <c r="AL661" i="15" s="1"/>
  <c r="AC41" i="15"/>
  <c r="AL41" i="15" s="1"/>
  <c r="AC256" i="15"/>
  <c r="AL256" i="15" s="1"/>
  <c r="AC420" i="15"/>
  <c r="AL420" i="15" s="1"/>
  <c r="AC535" i="15"/>
  <c r="AL535" i="15" s="1"/>
  <c r="AC67" i="15"/>
  <c r="AL67" i="15" s="1"/>
  <c r="AC261" i="15"/>
  <c r="AL261" i="15" s="1"/>
  <c r="AC268" i="15"/>
  <c r="AL268" i="15" s="1"/>
  <c r="AC412" i="15"/>
  <c r="AL412" i="15" s="1"/>
  <c r="AC525" i="15"/>
  <c r="AL525" i="15" s="1"/>
  <c r="AC498" i="15"/>
  <c r="AL498" i="15" s="1"/>
  <c r="AC387" i="15"/>
  <c r="AL387" i="15" s="1"/>
  <c r="AC796" i="15"/>
  <c r="AL796" i="15" s="1"/>
  <c r="AC714" i="15"/>
  <c r="AL714" i="15" s="1"/>
  <c r="AC584" i="15"/>
  <c r="AL584" i="15" s="1"/>
  <c r="AC692" i="15"/>
  <c r="AL692" i="15" s="1"/>
  <c r="AC327" i="15"/>
  <c r="AL327" i="15" s="1"/>
  <c r="AC588" i="15"/>
  <c r="AL588" i="15" s="1"/>
  <c r="AC334" i="15"/>
  <c r="AL334" i="15" s="1"/>
  <c r="AC301" i="15"/>
  <c r="AL301" i="15" s="1"/>
  <c r="AC158" i="15"/>
  <c r="AL158" i="15" s="1"/>
  <c r="AC689" i="15"/>
  <c r="AL689" i="15" s="1"/>
  <c r="AC621" i="15"/>
  <c r="AL621" i="15" s="1"/>
  <c r="AC577" i="15"/>
  <c r="AL577" i="15" s="1"/>
  <c r="AC167" i="15"/>
  <c r="AL167" i="15" s="1"/>
  <c r="AC378" i="15"/>
  <c r="AL378" i="15" s="1"/>
  <c r="AC352" i="15"/>
  <c r="AL352" i="15" s="1"/>
  <c r="AC212" i="15"/>
  <c r="AL212" i="15" s="1"/>
  <c r="AC403" i="15"/>
  <c r="AL403" i="15" s="1"/>
  <c r="AC297" i="15"/>
  <c r="AL297" i="15" s="1"/>
  <c r="AC293" i="15"/>
  <c r="AL293" i="15" s="1"/>
  <c r="AC139" i="15"/>
  <c r="AL139" i="15" s="1"/>
  <c r="AC26" i="15"/>
  <c r="AL26" i="15" s="1"/>
  <c r="AC608" i="15"/>
  <c r="AL608" i="15" s="1"/>
  <c r="AC432" i="15"/>
  <c r="AL432" i="15" s="1"/>
  <c r="AC194" i="15"/>
  <c r="AL194" i="15" s="1"/>
  <c r="AC514" i="15"/>
  <c r="AL514" i="15" s="1"/>
  <c r="AC406" i="15"/>
  <c r="AL406" i="15" s="1"/>
  <c r="AC431" i="15"/>
  <c r="AL431" i="15" s="1"/>
  <c r="AC546" i="15"/>
  <c r="AL546" i="15" s="1"/>
  <c r="AC390" i="15"/>
  <c r="AL390" i="15" s="1"/>
  <c r="AC786" i="15"/>
  <c r="AL786" i="15" s="1"/>
  <c r="AC305" i="15"/>
  <c r="AL305" i="15" s="1"/>
  <c r="AC189" i="15"/>
  <c r="AL189" i="15" s="1"/>
  <c r="AC235" i="15"/>
  <c r="AL235" i="15" s="1"/>
  <c r="AC488" i="15"/>
  <c r="AL488" i="15" s="1"/>
  <c r="AC373" i="15"/>
  <c r="AL373" i="15" s="1"/>
  <c r="AC258" i="15"/>
  <c r="AL258" i="15" s="1"/>
  <c r="AC348" i="15"/>
  <c r="AL348" i="15" s="1"/>
  <c r="AC329" i="15"/>
  <c r="AL329" i="15" s="1"/>
  <c r="AC409" i="15"/>
  <c r="AL409" i="15" s="1"/>
  <c r="AC273" i="15"/>
  <c r="AL273" i="15" s="1"/>
  <c r="AC654" i="15"/>
  <c r="AL654" i="15" s="1"/>
  <c r="AC147" i="15"/>
  <c r="AL147" i="15" s="1"/>
  <c r="AC69" i="15"/>
  <c r="AL69" i="15" s="1"/>
  <c r="AC684" i="15"/>
  <c r="AL684" i="15" s="1"/>
  <c r="AC522" i="15"/>
  <c r="AL522" i="15" s="1"/>
  <c r="AC170" i="15"/>
  <c r="AL170" i="15" s="1"/>
  <c r="AC415" i="15"/>
  <c r="AL415" i="15" s="1"/>
  <c r="AC321" i="15"/>
  <c r="AL321" i="15" s="1"/>
  <c r="AC530" i="15"/>
  <c r="AL530" i="15" s="1"/>
  <c r="AC575" i="15"/>
  <c r="AL575" i="15" s="1"/>
  <c r="AC74" i="15"/>
  <c r="AL74" i="15" s="1"/>
  <c r="AC360" i="15"/>
  <c r="AL360" i="15" s="1"/>
  <c r="AC40" i="15"/>
  <c r="AL40" i="15" s="1"/>
  <c r="AC382" i="15"/>
  <c r="AL382" i="15" s="1"/>
  <c r="AC579" i="15"/>
  <c r="AL579" i="15" s="1"/>
  <c r="AC426" i="15"/>
  <c r="AL426" i="15" s="1"/>
  <c r="AC383" i="15"/>
  <c r="AL383" i="15" s="1"/>
  <c r="AC556" i="15"/>
  <c r="AL556" i="15" s="1"/>
  <c r="AC103" i="15"/>
  <c r="AL103" i="15" s="1"/>
  <c r="AC199" i="15"/>
  <c r="AL199" i="15" s="1"/>
  <c r="AC402" i="15"/>
  <c r="AL402" i="15" s="1"/>
  <c r="AC341" i="15"/>
  <c r="AL341" i="15" s="1"/>
  <c r="AC515" i="15"/>
  <c r="AL515" i="15" s="1"/>
  <c r="AC179" i="15"/>
  <c r="AL179" i="15" s="1"/>
  <c r="AC391" i="15"/>
  <c r="AL391" i="15" s="1"/>
  <c r="AC204" i="15"/>
  <c r="AL204" i="15" s="1"/>
  <c r="AC476" i="15"/>
  <c r="AL476" i="15" s="1"/>
  <c r="AC262" i="15"/>
  <c r="AL262" i="15" s="1"/>
  <c r="AC512" i="15"/>
  <c r="AL512" i="15" s="1"/>
  <c r="AC464" i="15"/>
  <c r="AL464" i="15" s="1"/>
  <c r="AC565" i="15"/>
  <c r="AL565" i="15" s="1"/>
  <c r="AC275" i="15"/>
  <c r="AL275" i="15" s="1"/>
  <c r="AC504" i="15"/>
  <c r="AL504" i="15" s="1"/>
  <c r="AC51" i="15"/>
  <c r="AL51" i="15" s="1"/>
  <c r="AC361" i="15"/>
  <c r="AL361" i="15" s="1"/>
  <c r="AC467" i="15"/>
  <c r="AL467" i="15" s="1"/>
  <c r="AC324" i="15"/>
  <c r="AL324" i="15" s="1"/>
  <c r="AC537" i="15"/>
  <c r="AL537" i="15" s="1"/>
  <c r="AC798" i="15"/>
  <c r="AL798" i="15" s="1"/>
  <c r="AC754" i="15"/>
  <c r="AL754" i="15" s="1"/>
  <c r="AC500" i="15"/>
  <c r="AL500" i="15" s="1"/>
  <c r="AC178" i="15"/>
  <c r="AL178" i="15" s="1"/>
  <c r="AC438" i="15"/>
  <c r="AL438" i="15" s="1"/>
  <c r="AC571" i="15"/>
  <c r="AL571" i="15" s="1"/>
  <c r="AC743" i="15"/>
  <c r="AL743" i="15" s="1"/>
  <c r="AC712" i="15"/>
  <c r="AL712" i="15" s="1"/>
  <c r="AC542" i="15"/>
  <c r="AL542" i="15" s="1"/>
  <c r="AC726" i="15"/>
  <c r="AL726" i="15" s="1"/>
  <c r="AC410" i="15"/>
  <c r="AL410" i="15" s="1"/>
  <c r="AC367" i="15"/>
  <c r="AL367" i="15" s="1"/>
  <c r="AC318" i="15"/>
  <c r="AL318" i="15" s="1"/>
  <c r="AC502" i="15"/>
  <c r="AL502" i="15" s="1"/>
  <c r="AC501" i="15"/>
  <c r="AL501" i="15" s="1"/>
  <c r="AC220" i="15"/>
  <c r="AL220" i="15" s="1"/>
  <c r="AC491" i="15"/>
  <c r="AL491" i="15" s="1"/>
  <c r="AC343" i="15"/>
  <c r="AL343" i="15" s="1"/>
  <c r="AC459" i="15"/>
  <c r="AL459" i="15" s="1"/>
  <c r="AC521" i="15"/>
  <c r="AL521" i="15" s="1"/>
  <c r="AC704" i="15"/>
  <c r="AL704" i="15" s="1"/>
  <c r="AC190" i="15"/>
  <c r="AL190" i="15" s="1"/>
  <c r="AC311" i="15"/>
  <c r="AL311" i="15" s="1"/>
  <c r="AC252" i="15"/>
  <c r="AL252" i="15" s="1"/>
  <c r="AC375" i="15"/>
  <c r="AL375" i="15" s="1"/>
  <c r="AC616" i="15"/>
  <c r="AL616" i="15" s="1"/>
  <c r="AC612" i="15"/>
  <c r="AL612" i="15" s="1"/>
  <c r="AC523" i="15"/>
  <c r="AL523" i="15" s="1"/>
  <c r="AC364" i="15"/>
  <c r="AL364" i="15" s="1"/>
  <c r="AC718" i="15"/>
  <c r="AL718" i="15" s="1"/>
  <c r="AC299" i="15"/>
  <c r="AL299" i="15" s="1"/>
  <c r="AC734" i="15"/>
  <c r="AL734" i="15" s="1"/>
  <c r="AC320" i="15"/>
  <c r="AL320" i="15" s="1"/>
  <c r="AC298" i="15"/>
  <c r="AL298" i="15" s="1"/>
  <c r="AC659" i="15"/>
  <c r="AL659" i="15" s="1"/>
  <c r="AC98" i="15"/>
  <c r="AL98" i="15" s="1"/>
  <c r="AC308" i="15"/>
  <c r="AL308" i="15" s="1"/>
  <c r="AC210" i="15"/>
  <c r="AL210" i="15" s="1"/>
  <c r="AC731" i="15"/>
  <c r="AL731" i="15" s="1"/>
  <c r="AC524" i="15"/>
  <c r="AL524" i="15" s="1"/>
  <c r="AC201" i="15"/>
  <c r="AL201" i="15" s="1"/>
  <c r="AC89" i="15"/>
  <c r="AL89" i="15" s="1"/>
  <c r="AC225" i="15"/>
  <c r="AL225" i="15" s="1"/>
  <c r="AC499" i="15"/>
  <c r="AL499" i="15" s="1"/>
  <c r="AC416" i="15"/>
  <c r="AL416" i="15" s="1"/>
  <c r="AC570" i="15"/>
  <c r="AL570" i="15" s="1"/>
  <c r="AC672" i="15"/>
  <c r="AL672" i="15" s="1"/>
  <c r="AC49" i="15"/>
  <c r="AL49" i="15" s="1"/>
  <c r="AC408" i="15"/>
  <c r="AL408" i="15" s="1"/>
  <c r="AC174" i="15"/>
  <c r="AL174" i="15" s="1"/>
  <c r="AC83" i="15"/>
  <c r="AL83" i="15" s="1"/>
  <c r="AC534" i="15"/>
  <c r="AL534" i="15" s="1"/>
  <c r="AC347" i="15"/>
  <c r="AL347" i="15" s="1"/>
  <c r="AC686" i="15"/>
  <c r="AL686" i="15" s="1"/>
  <c r="AH314" i="15"/>
  <c r="N386" i="18" s="1"/>
  <c r="AC506" i="15"/>
  <c r="AL506" i="15" s="1"/>
  <c r="AC428" i="15"/>
  <c r="AL428" i="15" s="1"/>
  <c r="AC400" i="15"/>
  <c r="AL400" i="15" s="1"/>
  <c r="AC729" i="15"/>
  <c r="AL729" i="15" s="1"/>
  <c r="AC543" i="15"/>
  <c r="AL543" i="15" s="1"/>
  <c r="AC569" i="15"/>
  <c r="AL569" i="15" s="1"/>
  <c r="AC138" i="15"/>
  <c r="AL138" i="15" s="1"/>
  <c r="AC510" i="15"/>
  <c r="AL510" i="15" s="1"/>
  <c r="AC505" i="15"/>
  <c r="AL505" i="15" s="1"/>
  <c r="AC61" i="15"/>
  <c r="AL61" i="15" s="1"/>
  <c r="AC541" i="15"/>
  <c r="AL541" i="15" s="1"/>
  <c r="AC148" i="15"/>
  <c r="AL148" i="15" s="1"/>
  <c r="AC604" i="15"/>
  <c r="AL604" i="15" s="1"/>
  <c r="AK314" i="15"/>
  <c r="Q386" i="18" s="1"/>
  <c r="AC758" i="15"/>
  <c r="AL758" i="15" s="1"/>
  <c r="AC617" i="15"/>
  <c r="AL617" i="15" s="1"/>
  <c r="AC609" i="15"/>
  <c r="AL609" i="15" s="1"/>
  <c r="AC446" i="15"/>
  <c r="AL446" i="15" s="1"/>
  <c r="AC192" i="15"/>
  <c r="AL192" i="15" s="1"/>
  <c r="AC137" i="15"/>
  <c r="AL137" i="15" s="1"/>
  <c r="AC449" i="15"/>
  <c r="AL449" i="15" s="1"/>
  <c r="AC707" i="15"/>
  <c r="AL707" i="15" s="1"/>
  <c r="AC183" i="15"/>
  <c r="AL183" i="15" s="1"/>
  <c r="AC73" i="15"/>
  <c r="AL73" i="15" s="1"/>
  <c r="AC322" i="15"/>
  <c r="AL322" i="15" s="1"/>
  <c r="AC362" i="15"/>
  <c r="AL362" i="15" s="1"/>
  <c r="AC489" i="15"/>
  <c r="AL489" i="15" s="1"/>
  <c r="AC424" i="15"/>
  <c r="AL424" i="15" s="1"/>
  <c r="AC544" i="15"/>
  <c r="AL544" i="15" s="1"/>
  <c r="AC117" i="15"/>
  <c r="AL117" i="15" s="1"/>
  <c r="AC773" i="15"/>
  <c r="AL773" i="15" s="1"/>
  <c r="AC295" i="15"/>
  <c r="AL295" i="15" s="1"/>
  <c r="AC336" i="15"/>
  <c r="AL336" i="15" s="1"/>
  <c r="AC479" i="15"/>
  <c r="AL479" i="15" s="1"/>
  <c r="AC601" i="15"/>
  <c r="AL601" i="15" s="1"/>
  <c r="AC748" i="15"/>
  <c r="AL748" i="15" s="1"/>
  <c r="AC164" i="15"/>
  <c r="AL164" i="15" s="1"/>
  <c r="AC287" i="15"/>
  <c r="AL287" i="15" s="1"/>
  <c r="AC326" i="15"/>
  <c r="AL326" i="15" s="1"/>
  <c r="AC284" i="15"/>
  <c r="AL284" i="15" s="1"/>
  <c r="AC513" i="15"/>
  <c r="AL513" i="15" s="1"/>
  <c r="AC490" i="15"/>
  <c r="AL490" i="15" s="1"/>
  <c r="AC285" i="15"/>
  <c r="AL285" i="15" s="1"/>
  <c r="AC209" i="15"/>
  <c r="AL209" i="15" s="1"/>
  <c r="AC441" i="15"/>
  <c r="AL441" i="15" s="1"/>
  <c r="AC494" i="15"/>
  <c r="AL494" i="15" s="1"/>
  <c r="AC474" i="15"/>
  <c r="AL474" i="15" s="1"/>
  <c r="AC741" i="15"/>
  <c r="AL741" i="15" s="1"/>
  <c r="AC419" i="15"/>
  <c r="AL419" i="15" s="1"/>
  <c r="AC349" i="15"/>
  <c r="AL349" i="15" s="1"/>
  <c r="AC113" i="15"/>
  <c r="AL113" i="15" s="1"/>
  <c r="AC702" i="15"/>
  <c r="AL702" i="15" s="1"/>
  <c r="AC315" i="15"/>
  <c r="AL315" i="15" s="1"/>
  <c r="AC111" i="15"/>
  <c r="AL111" i="15" s="1"/>
  <c r="AB314" i="15"/>
  <c r="AC290" i="15"/>
  <c r="AL290" i="15" s="1"/>
  <c r="AC430" i="15"/>
  <c r="AL430" i="15" s="1"/>
  <c r="AC239" i="15"/>
  <c r="AL239" i="15" s="1"/>
  <c r="AC314" i="15"/>
  <c r="AL314" i="15" s="1"/>
  <c r="AC346" i="15"/>
  <c r="AL346" i="15" s="1"/>
  <c r="AC777" i="15"/>
  <c r="AL777" i="15" s="1"/>
  <c r="AC753" i="15"/>
  <c r="AL753" i="15" s="1"/>
  <c r="AC458" i="15"/>
  <c r="AL458" i="15" s="1"/>
  <c r="AC355" i="15"/>
  <c r="AL355" i="15" s="1"/>
  <c r="AC427" i="15"/>
  <c r="AL427" i="15" s="1"/>
  <c r="AC344" i="15"/>
  <c r="AL344" i="15" s="1"/>
  <c r="AC690" i="15"/>
  <c r="AL690" i="15" s="1"/>
  <c r="AC4" i="15"/>
  <c r="AL4" i="15" s="1"/>
  <c r="AC157" i="15"/>
  <c r="AL157" i="15" s="1"/>
  <c r="AC372" i="15"/>
  <c r="AL372" i="15" s="1"/>
  <c r="AC151" i="15"/>
  <c r="AL151" i="15" s="1"/>
  <c r="AC345" i="15"/>
  <c r="AL345" i="15" s="1"/>
  <c r="AC294" i="15"/>
  <c r="AL294" i="15" s="1"/>
  <c r="AC302" i="15"/>
  <c r="AL302" i="15" s="1"/>
  <c r="AC202" i="15"/>
  <c r="AL202" i="15" s="1"/>
  <c r="AC434" i="15"/>
  <c r="AL434" i="15" s="1"/>
  <c r="AC547" i="15"/>
  <c r="AL547" i="15" s="1"/>
  <c r="AC516" i="15"/>
  <c r="AL516" i="15" s="1"/>
  <c r="AC337" i="15"/>
  <c r="AL337" i="15" s="1"/>
  <c r="AC330" i="15"/>
  <c r="AL330" i="15" s="1"/>
  <c r="AC618" i="15"/>
  <c r="AL618" i="15" s="1"/>
  <c r="AC145" i="15"/>
  <c r="AL145" i="15" s="1"/>
  <c r="AC595" i="15"/>
  <c r="AL595" i="15" s="1"/>
  <c r="AC538" i="15"/>
  <c r="AL538" i="15" s="1"/>
  <c r="AC473" i="15"/>
  <c r="AL473" i="15" s="1"/>
  <c r="AC457" i="15"/>
  <c r="AL457" i="15" s="1"/>
  <c r="AC462" i="15"/>
  <c r="AL462" i="15" s="1"/>
  <c r="AC548" i="15"/>
  <c r="AL548" i="15" s="1"/>
  <c r="AC32" i="15"/>
  <c r="AL32" i="15" s="1"/>
  <c r="AC303" i="15"/>
  <c r="AL303" i="15" s="1"/>
  <c r="AC724" i="15"/>
  <c r="AL724" i="15" s="1"/>
  <c r="AC358" i="15"/>
  <c r="AL358" i="15" s="1"/>
  <c r="AC214" i="15"/>
  <c r="AL214" i="15" s="1"/>
  <c r="AC566" i="15"/>
  <c r="AL566" i="15" s="1"/>
  <c r="AC150" i="15"/>
  <c r="AL150" i="15" s="1"/>
  <c r="AC186" i="15"/>
  <c r="AL186" i="15" s="1"/>
  <c r="AC744" i="15"/>
  <c r="AL744" i="15" s="1"/>
  <c r="AC683" i="15"/>
  <c r="AL683" i="15" s="1"/>
  <c r="AC395" i="15"/>
  <c r="AL395" i="15" s="1"/>
  <c r="AC739" i="15"/>
  <c r="AL739" i="15" s="1"/>
  <c r="AC125" i="15"/>
  <c r="AL125" i="15" s="1"/>
  <c r="AC531" i="15"/>
  <c r="AL531" i="15" s="1"/>
  <c r="AC353" i="15"/>
  <c r="AL353" i="15" s="1"/>
  <c r="AC774" i="15"/>
  <c r="AL774" i="15" s="1"/>
  <c r="AC208" i="15"/>
  <c r="AL208" i="15" s="1"/>
  <c r="AC97" i="15"/>
  <c r="AL97" i="15" s="1"/>
  <c r="AC335" i="15"/>
  <c r="AL335" i="15" s="1"/>
  <c r="AC328" i="15"/>
  <c r="AL328" i="15" s="1"/>
  <c r="AC112" i="15"/>
  <c r="AL112" i="15" s="1"/>
  <c r="AC37" i="15"/>
  <c r="AL37" i="15" s="1"/>
  <c r="AA314" i="15"/>
  <c r="AC545" i="15"/>
  <c r="AL545" i="15" s="1"/>
  <c r="AC520" i="15"/>
  <c r="AL520" i="15" s="1"/>
  <c r="X314" i="15"/>
  <c r="AC118" i="15"/>
  <c r="AL118" i="15" s="1"/>
  <c r="AC696" i="15"/>
  <c r="AL696" i="15" s="1"/>
  <c r="AC205" i="15"/>
  <c r="AL205" i="15" s="1"/>
  <c r="AC165" i="15"/>
  <c r="AL165" i="15" s="1"/>
  <c r="AC623" i="15"/>
  <c r="AL623" i="15" s="1"/>
  <c r="AC481" i="15"/>
  <c r="AL481" i="15" s="1"/>
  <c r="O387" i="15"/>
  <c r="O125" i="15"/>
  <c r="O314" i="15"/>
  <c r="O521" i="15"/>
  <c r="AC439" i="15"/>
  <c r="AL439" i="15" s="1"/>
  <c r="AC668" i="15"/>
  <c r="AL668" i="15" s="1"/>
  <c r="AC188" i="15"/>
  <c r="AL188" i="15" s="1"/>
  <c r="AC198" i="15"/>
  <c r="AL198" i="15" s="1"/>
  <c r="AC296" i="15"/>
  <c r="AL296" i="15" s="1"/>
  <c r="AC193" i="15"/>
  <c r="AL193" i="15" s="1"/>
  <c r="AC48" i="15"/>
  <c r="AL48" i="15" s="1"/>
  <c r="AC721" i="15"/>
  <c r="AL721" i="15" s="1"/>
  <c r="AK358" i="15"/>
  <c r="Q442" i="18" s="1"/>
  <c r="L16" i="19" s="1"/>
  <c r="AC445" i="15"/>
  <c r="AL445" i="15" s="1"/>
  <c r="AC191" i="15"/>
  <c r="AL191" i="15" s="1"/>
  <c r="AC99" i="15"/>
  <c r="AL99" i="15" s="1"/>
  <c r="X186" i="15"/>
  <c r="O672" i="15"/>
  <c r="O287" i="15"/>
  <c r="AC30" i="15"/>
  <c r="AL30" i="15" s="1"/>
  <c r="O324" i="15"/>
  <c r="O167" i="15"/>
  <c r="O202" i="15"/>
  <c r="O186" i="15"/>
  <c r="O308" i="15"/>
  <c r="O422" i="15"/>
  <c r="O372" i="15"/>
  <c r="AH789" i="15"/>
  <c r="AH282" i="15"/>
  <c r="N366" i="18" s="1"/>
  <c r="AK232" i="15"/>
  <c r="Q321" i="18" s="1"/>
  <c r="L12" i="19" s="1"/>
  <c r="AC6" i="15"/>
  <c r="AL6" i="15" s="1"/>
  <c r="X358" i="15"/>
  <c r="W789" i="15"/>
  <c r="AC587" i="15"/>
  <c r="AL587" i="15" s="1"/>
  <c r="W665" i="15"/>
  <c r="AG672" i="15"/>
  <c r="W672" i="15"/>
  <c r="X551" i="15"/>
  <c r="W521" i="15"/>
  <c r="AK672" i="15"/>
  <c r="AC578" i="15"/>
  <c r="AL578" i="15" s="1"/>
  <c r="AC216" i="15"/>
  <c r="AL216" i="15" s="1"/>
  <c r="AC166" i="15"/>
  <c r="AL166" i="15" s="1"/>
  <c r="AH324" i="15"/>
  <c r="N398" i="18" s="1"/>
  <c r="J15" i="19" s="1"/>
  <c r="W282" i="15"/>
  <c r="AB287" i="15"/>
  <c r="AA167" i="15"/>
  <c r="AB167" i="15"/>
  <c r="AA387" i="15"/>
  <c r="AK300" i="15"/>
  <c r="Q369" i="18" s="1"/>
  <c r="AA300" i="15"/>
  <c r="C27" i="17" s="1"/>
  <c r="AH300" i="15"/>
  <c r="N369" i="18" s="1"/>
  <c r="W300" i="15"/>
  <c r="X300" i="15"/>
  <c r="AB300" i="15"/>
  <c r="D27" i="17" s="1"/>
  <c r="AB387" i="15"/>
  <c r="AK40" i="15"/>
  <c r="AA40" i="15"/>
  <c r="C29" i="17" s="1"/>
  <c r="W40" i="15"/>
  <c r="X40" i="15"/>
  <c r="AB40" i="15"/>
  <c r="D29" i="17" s="1"/>
  <c r="AK125" i="15"/>
  <c r="Q139" i="18" s="1"/>
  <c r="L6" i="19" s="1"/>
  <c r="AA261" i="15"/>
  <c r="AB261" i="15"/>
  <c r="AG287" i="15"/>
  <c r="X167" i="15"/>
  <c r="X387" i="15"/>
  <c r="W308" i="15"/>
  <c r="AK101" i="15"/>
  <c r="Q108" i="18" s="1"/>
  <c r="L5" i="19" s="1"/>
  <c r="W101" i="15"/>
  <c r="AA101" i="15"/>
  <c r="X125" i="15"/>
  <c r="X287" i="15"/>
  <c r="AK387" i="15"/>
  <c r="Q504" i="18" s="1"/>
  <c r="L18" i="19" s="1"/>
  <c r="W167" i="15"/>
  <c r="W387" i="15"/>
  <c r="AK308" i="15"/>
  <c r="Q380" i="18" s="1"/>
  <c r="W151" i="15"/>
  <c r="AB151" i="15"/>
  <c r="AA151" i="15"/>
  <c r="X151" i="15"/>
  <c r="AK220" i="15"/>
  <c r="Q291" i="18" s="1"/>
  <c r="L11" i="19" s="1"/>
  <c r="AA220" i="15"/>
  <c r="AB220" i="15"/>
  <c r="X220" i="15"/>
  <c r="W497" i="15"/>
  <c r="AA497" i="15"/>
  <c r="AG497" i="15"/>
  <c r="L796" i="18" s="1"/>
  <c r="AB497" i="15"/>
  <c r="X497" i="15"/>
  <c r="AK202" i="15"/>
  <c r="Q261" i="18" s="1"/>
  <c r="L10" i="19" s="1"/>
  <c r="AA202" i="15"/>
  <c r="W202" i="15"/>
  <c r="X202" i="15"/>
  <c r="AB202" i="15"/>
  <c r="W220" i="15"/>
  <c r="W342" i="15"/>
  <c r="AA584" i="15"/>
  <c r="AH584" i="15"/>
  <c r="X584" i="15"/>
  <c r="AK584" i="15"/>
  <c r="AB584" i="15"/>
  <c r="L15" i="19" l="1"/>
  <c r="G54" i="9"/>
  <c r="U299" i="15"/>
  <c r="F27" i="17"/>
  <c r="H27" i="17" s="1"/>
  <c r="G70" i="9"/>
  <c r="U310" i="15" s="1"/>
  <c r="Q367" i="18"/>
  <c r="Q368" i="18"/>
  <c r="L14" i="19" s="1"/>
  <c r="N367" i="18"/>
  <c r="N368" i="18"/>
  <c r="U292" i="15"/>
  <c r="L365" i="18"/>
  <c r="L366" i="18"/>
  <c r="Q361" i="18"/>
  <c r="Q364" i="18"/>
  <c r="N361" i="18"/>
  <c r="N364" i="18"/>
  <c r="L361" i="18"/>
  <c r="L364" i="18"/>
  <c r="L725" i="18"/>
  <c r="H25" i="19" s="1"/>
  <c r="L360" i="18"/>
  <c r="N725" i="18"/>
  <c r="J25" i="19" s="1"/>
  <c r="N360" i="18"/>
  <c r="Q725" i="18"/>
  <c r="L25" i="19" s="1"/>
  <c r="Q360" i="18"/>
  <c r="N1495" i="18"/>
  <c r="J51" i="19" s="1"/>
  <c r="N1860" i="18"/>
  <c r="J63" i="19" s="1"/>
  <c r="Q1376" i="18"/>
  <c r="L47" i="19" s="1"/>
  <c r="Q1464" i="18"/>
  <c r="L50" i="19" s="1"/>
  <c r="N1376" i="18"/>
  <c r="J47" i="19" s="1"/>
  <c r="N1464" i="18"/>
  <c r="J50" i="19" s="1"/>
  <c r="F30" i="16"/>
  <c r="L27" i="19"/>
  <c r="L767" i="18"/>
  <c r="L765" i="18"/>
  <c r="N798" i="18"/>
  <c r="N796" i="18"/>
  <c r="Q860" i="18"/>
  <c r="Q859" i="18"/>
  <c r="Q587" i="18"/>
  <c r="Q586" i="18"/>
  <c r="L860" i="18"/>
  <c r="L859" i="18"/>
  <c r="N587" i="18"/>
  <c r="N586" i="18"/>
  <c r="G3" i="9"/>
  <c r="E30" i="16"/>
  <c r="E32" i="16"/>
  <c r="H32" i="16" s="1"/>
  <c r="G66" i="9"/>
  <c r="U266" i="15" s="1"/>
  <c r="Q822" i="18"/>
  <c r="N822" i="18"/>
  <c r="L822" i="18"/>
  <c r="L4" i="19"/>
  <c r="F29" i="17"/>
  <c r="H29" i="17" s="1"/>
  <c r="Q46" i="18"/>
  <c r="Q47" i="18"/>
  <c r="C17" i="17"/>
  <c r="D17" i="17"/>
  <c r="F9" i="17"/>
  <c r="H9" i="17" s="1"/>
  <c r="Q821" i="18"/>
  <c r="N821" i="18"/>
  <c r="L821" i="18"/>
  <c r="E13" i="16"/>
  <c r="G13" i="9"/>
  <c r="C3" i="17"/>
  <c r="D3" i="17"/>
  <c r="E4" i="16"/>
  <c r="G10" i="9"/>
  <c r="F13" i="16"/>
  <c r="F4" i="16"/>
  <c r="U303" i="15" l="1"/>
  <c r="U306" i="15"/>
  <c r="U80" i="15"/>
  <c r="U184" i="15"/>
  <c r="U45" i="15"/>
  <c r="U82" i="15"/>
  <c r="U177" i="15"/>
  <c r="U273" i="15"/>
  <c r="U234" i="15"/>
  <c r="U126" i="15"/>
  <c r="U129" i="15"/>
  <c r="U70" i="15"/>
  <c r="U222" i="15"/>
  <c r="U286" i="15"/>
  <c r="U113" i="15"/>
  <c r="U155" i="15"/>
  <c r="U27" i="15"/>
  <c r="U84" i="15"/>
  <c r="U284" i="15"/>
  <c r="U290" i="15"/>
  <c r="U25" i="15"/>
  <c r="U172" i="15"/>
  <c r="U119" i="15"/>
  <c r="U132" i="15"/>
  <c r="U52" i="15"/>
  <c r="U199" i="15"/>
  <c r="U3" i="15"/>
  <c r="U283" i="15"/>
  <c r="U276" i="15"/>
  <c r="U23" i="15"/>
  <c r="U39" i="15"/>
  <c r="U285" i="15"/>
  <c r="U106" i="15"/>
  <c r="U280" i="15"/>
  <c r="U20" i="15"/>
  <c r="U4" i="15"/>
  <c r="U281" i="15"/>
  <c r="U206" i="15"/>
  <c r="U28" i="15"/>
  <c r="U143" i="15"/>
  <c r="U107" i="15"/>
  <c r="U79" i="15"/>
  <c r="U238" i="15"/>
  <c r="U183" i="15"/>
  <c r="U173" i="15"/>
  <c r="U182" i="15"/>
  <c r="U128" i="15"/>
  <c r="U158" i="15"/>
  <c r="U294" i="15"/>
  <c r="U38" i="15"/>
  <c r="U215" i="15"/>
  <c r="U34" i="15"/>
  <c r="U279" i="15"/>
  <c r="U21" i="15"/>
  <c r="U115" i="15"/>
  <c r="U127" i="15"/>
  <c r="U36" i="15"/>
  <c r="U204" i="15"/>
  <c r="U81" i="15"/>
  <c r="U289" i="15"/>
  <c r="U295" i="15"/>
  <c r="U270" i="15"/>
  <c r="U2" i="15"/>
  <c r="U216" i="15"/>
  <c r="U24" i="15"/>
  <c r="U133" i="15"/>
  <c r="U288" i="15"/>
  <c r="U302" i="15"/>
  <c r="U297" i="15"/>
  <c r="J14" i="19"/>
  <c r="U230" i="15"/>
  <c r="U94" i="15"/>
  <c r="U75" i="15"/>
  <c r="U142" i="15"/>
  <c r="U60" i="15"/>
  <c r="U22" i="15"/>
  <c r="U77" i="15"/>
  <c r="U227" i="15"/>
  <c r="U218" i="15"/>
  <c r="U293" i="15"/>
  <c r="U54" i="15"/>
  <c r="U56" i="15"/>
  <c r="U122" i="15"/>
  <c r="U64" i="15"/>
  <c r="U136" i="15"/>
  <c r="U241" i="15"/>
  <c r="U196" i="15"/>
  <c r="U181" i="15"/>
  <c r="U109" i="15"/>
  <c r="U43" i="15"/>
  <c r="U160" i="15"/>
  <c r="U176" i="15"/>
  <c r="L13" i="19"/>
  <c r="J13" i="19"/>
  <c r="H13" i="19"/>
  <c r="H30" i="16"/>
  <c r="D30" i="16" s="1"/>
  <c r="U797" i="15"/>
  <c r="U800" i="15"/>
  <c r="U265" i="15"/>
  <c r="U268" i="15"/>
  <c r="U791" i="15"/>
  <c r="U782" i="15"/>
  <c r="U784" i="15"/>
  <c r="U798" i="15"/>
  <c r="U796" i="15"/>
  <c r="U783" i="15"/>
  <c r="U274" i="15"/>
  <c r="U267" i="15"/>
  <c r="U799" i="15"/>
  <c r="U788" i="15"/>
  <c r="U792" i="15"/>
  <c r="U790" i="15"/>
  <c r="U407" i="15"/>
  <c r="U785" i="15"/>
  <c r="U787" i="15"/>
  <c r="U786" i="15"/>
  <c r="U794" i="15"/>
  <c r="U795" i="15"/>
  <c r="U793" i="15"/>
  <c r="H27" i="19"/>
  <c r="L30" i="19"/>
  <c r="L21" i="19"/>
  <c r="J21" i="19"/>
  <c r="H30" i="19"/>
  <c r="U690" i="15"/>
  <c r="U263" i="15"/>
  <c r="U191" i="15"/>
  <c r="U371" i="15"/>
  <c r="U112" i="15"/>
  <c r="U701" i="15"/>
  <c r="U685" i="15"/>
  <c r="U138" i="15"/>
  <c r="U382" i="15"/>
  <c r="U244" i="15"/>
  <c r="U419" i="15"/>
  <c r="U458" i="15"/>
  <c r="U759" i="15"/>
  <c r="U470" i="15"/>
  <c r="U677" i="15"/>
  <c r="U679" i="15"/>
  <c r="U92" i="15"/>
  <c r="U483" i="15"/>
  <c r="U211" i="15"/>
  <c r="U165" i="15"/>
  <c r="U96" i="15"/>
  <c r="U750" i="15"/>
  <c r="U715" i="15"/>
  <c r="U481" i="15"/>
  <c r="U770" i="15"/>
  <c r="U696" i="15"/>
  <c r="U355" i="15"/>
  <c r="U89" i="15"/>
  <c r="U243" i="15"/>
  <c r="U485" i="15"/>
  <c r="U776" i="15"/>
  <c r="U755" i="15"/>
  <c r="U334" i="15"/>
  <c r="U673" i="15"/>
  <c r="U411" i="15"/>
  <c r="U14" i="15"/>
  <c r="U506" i="15"/>
  <c r="U778" i="15"/>
  <c r="U491" i="15"/>
  <c r="U467" i="15"/>
  <c r="U245" i="15"/>
  <c r="U140" i="15"/>
  <c r="U505" i="15"/>
  <c r="U210" i="15"/>
  <c r="U15" i="15"/>
  <c r="U689" i="15"/>
  <c r="U781" i="15"/>
  <c r="U386" i="15"/>
  <c r="U193" i="15"/>
  <c r="U780" i="15"/>
  <c r="U369" i="15"/>
  <c r="C32" i="16"/>
  <c r="D32" i="16"/>
  <c r="U774" i="15"/>
  <c r="U402" i="15"/>
  <c r="U432" i="15"/>
  <c r="U353" i="15"/>
  <c r="U312" i="15"/>
  <c r="U489" i="15"/>
  <c r="U225" i="15"/>
  <c r="U426" i="15"/>
  <c r="U213" i="15"/>
  <c r="U255" i="15"/>
  <c r="U383" i="15"/>
  <c r="U161" i="15"/>
  <c r="U671" i="15"/>
  <c r="U257" i="15"/>
  <c r="U212" i="15"/>
  <c r="U17" i="15"/>
  <c r="U13" i="15"/>
  <c r="U703" i="15"/>
  <c r="U479" i="15"/>
  <c r="U368" i="15"/>
  <c r="U91" i="15"/>
  <c r="U73" i="15"/>
  <c r="U335" i="15"/>
  <c r="U153" i="15"/>
  <c r="U408" i="15"/>
  <c r="U439" i="15"/>
  <c r="U460" i="15"/>
  <c r="U695" i="15"/>
  <c r="U357" i="15"/>
  <c r="U354" i="15"/>
  <c r="U709" i="15"/>
  <c r="U488" i="15"/>
  <c r="U735" i="15"/>
  <c r="U340" i="15"/>
  <c r="U90" i="15"/>
  <c r="U494" i="15"/>
  <c r="U275" i="15"/>
  <c r="U252" i="15"/>
  <c r="U501" i="15"/>
  <c r="U50" i="15"/>
  <c r="U725" i="15"/>
  <c r="U720" i="15"/>
  <c r="U719" i="15"/>
  <c r="U456" i="15"/>
  <c r="U708" i="15"/>
  <c r="U384" i="15"/>
  <c r="U447" i="15"/>
  <c r="U666" i="15"/>
  <c r="U502" i="15"/>
  <c r="U367" i="15"/>
  <c r="U110" i="15"/>
  <c r="U390" i="15"/>
  <c r="U433" i="15"/>
  <c r="U448" i="15"/>
  <c r="U201" i="15"/>
  <c r="U464" i="15"/>
  <c r="U116" i="15"/>
  <c r="U480" i="15"/>
  <c r="U399" i="15"/>
  <c r="U67" i="15"/>
  <c r="U362" i="15"/>
  <c r="U683" i="15"/>
  <c r="U472" i="15"/>
  <c r="U51" i="15"/>
  <c r="U490" i="15"/>
  <c r="U48" i="15"/>
  <c r="U697" i="15"/>
  <c r="U200" i="15"/>
  <c r="U304" i="15"/>
  <c r="U446" i="15"/>
  <c r="U377" i="15"/>
  <c r="U500" i="15"/>
  <c r="U30" i="15"/>
  <c r="U16" i="15"/>
  <c r="U162" i="15"/>
  <c r="U423" i="15"/>
  <c r="U749" i="15"/>
  <c r="U730" i="15"/>
  <c r="U305" i="15"/>
  <c r="U739" i="15"/>
  <c r="U435" i="15"/>
  <c r="U744" i="15"/>
  <c r="U468" i="15"/>
  <c r="U345" i="15"/>
  <c r="U420" i="15"/>
  <c r="U777" i="15"/>
  <c r="U103" i="15"/>
  <c r="U214" i="15"/>
  <c r="U98" i="15"/>
  <c r="U503" i="15"/>
  <c r="U729" i="15"/>
  <c r="U444" i="15"/>
  <c r="U459" i="15"/>
  <c r="U337" i="15"/>
  <c r="U678" i="15"/>
  <c r="U482" i="15"/>
  <c r="U410" i="15"/>
  <c r="U336" i="15"/>
  <c r="U469" i="15"/>
  <c r="U104" i="15"/>
  <c r="U149" i="15"/>
  <c r="U83" i="15"/>
  <c r="U769" i="15"/>
  <c r="U457" i="15"/>
  <c r="U139" i="15"/>
  <c r="U178" i="15"/>
  <c r="U239" i="15"/>
  <c r="U396" i="15"/>
  <c r="U12" i="15"/>
  <c r="U667" i="15"/>
  <c r="U734" i="15"/>
  <c r="U764" i="15"/>
  <c r="U498" i="15"/>
  <c r="U114" i="15"/>
  <c r="U189" i="15"/>
  <c r="U431" i="15"/>
  <c r="U31" i="15"/>
  <c r="U409" i="15"/>
  <c r="U111" i="15"/>
  <c r="U452" i="15"/>
  <c r="U421" i="15"/>
  <c r="U414" i="15"/>
  <c r="U315" i="15"/>
  <c r="U137" i="15"/>
  <c r="U779" i="15"/>
  <c r="U765" i="15"/>
  <c r="U499" i="15"/>
  <c r="U492" i="15"/>
  <c r="U754" i="15"/>
  <c r="U724" i="15"/>
  <c r="U760" i="15"/>
  <c r="U395" i="15"/>
  <c r="U476" i="15"/>
  <c r="U32" i="15"/>
  <c r="U242" i="15"/>
  <c r="U445" i="15"/>
  <c r="U74" i="15"/>
  <c r="U740" i="15"/>
  <c r="U406" i="15"/>
  <c r="U707" i="15"/>
  <c r="U713" i="15"/>
  <c r="U714" i="15"/>
  <c r="U434" i="15"/>
  <c r="U684" i="15"/>
  <c r="U702" i="15"/>
  <c r="U397" i="15"/>
  <c r="U152" i="15"/>
  <c r="U187" i="15"/>
  <c r="U233" i="15"/>
  <c r="U168" i="15"/>
  <c r="U203" i="15"/>
  <c r="U221" i="15"/>
  <c r="U766" i="15"/>
  <c r="U761" i="15"/>
  <c r="U698" i="15"/>
  <c r="U692" i="15"/>
  <c r="U425" i="15"/>
  <c r="U484" i="15"/>
  <c r="U361" i="15"/>
  <c r="U731" i="15"/>
  <c r="U716" i="15"/>
  <c r="U680" i="15"/>
  <c r="U746" i="15"/>
  <c r="U493" i="15"/>
  <c r="U736" i="15"/>
  <c r="U504" i="15"/>
  <c r="U721" i="15"/>
  <c r="U451" i="15"/>
  <c r="U704" i="15"/>
  <c r="U674" i="15"/>
  <c r="U686" i="15"/>
  <c r="U751" i="15"/>
  <c r="U475" i="15"/>
  <c r="U771" i="15"/>
  <c r="U775" i="15"/>
  <c r="U726" i="15"/>
  <c r="U130" i="15"/>
  <c r="U413" i="15"/>
  <c r="U389" i="15"/>
  <c r="U741" i="15"/>
  <c r="U710" i="15"/>
  <c r="U438" i="15"/>
  <c r="U756" i="15"/>
  <c r="U668" i="15"/>
  <c r="U376" i="15"/>
  <c r="U401" i="15"/>
  <c r="U463" i="15"/>
  <c r="H28" i="19"/>
  <c r="J28" i="19"/>
  <c r="L28" i="19"/>
  <c r="U441" i="15"/>
  <c r="U416" i="15"/>
  <c r="U440" i="15"/>
  <c r="U415" i="15"/>
  <c r="U198" i="15"/>
  <c r="U207" i="15"/>
  <c r="U208" i="15"/>
  <c r="U209" i="15"/>
  <c r="U154" i="15"/>
  <c r="U391" i="15"/>
  <c r="U224" i="15"/>
  <c r="U392" i="15"/>
  <c r="L3" i="19"/>
  <c r="F17" i="17"/>
  <c r="H17" i="17" s="1"/>
  <c r="H13" i="16"/>
  <c r="D13" i="16" s="1"/>
  <c r="H4" i="16"/>
  <c r="C4" i="16" s="1"/>
  <c r="U342" i="15"/>
  <c r="U220" i="15"/>
  <c r="U186" i="15"/>
  <c r="U101" i="15"/>
  <c r="U6" i="15"/>
  <c r="U584" i="15"/>
  <c r="U324" i="15"/>
  <c r="U387" i="15"/>
  <c r="U308" i="15"/>
  <c r="U202" i="15"/>
  <c r="U125" i="15"/>
  <c r="U300" i="15"/>
  <c r="U422" i="15"/>
  <c r="U372" i="15"/>
  <c r="U261" i="15"/>
  <c r="U151" i="15"/>
  <c r="U40" i="15"/>
  <c r="U789" i="15"/>
  <c r="U551" i="15"/>
  <c r="U521" i="15"/>
  <c r="U691" i="15"/>
  <c r="U358" i="15"/>
  <c r="U232" i="15"/>
  <c r="U167" i="15"/>
  <c r="U69" i="15"/>
  <c r="U298" i="15"/>
  <c r="U282" i="15"/>
  <c r="U665" i="15"/>
  <c r="U314" i="15"/>
  <c r="U344" i="15"/>
  <c r="U672" i="15"/>
  <c r="U745" i="15"/>
  <c r="U287" i="15"/>
  <c r="U497" i="15"/>
  <c r="F3" i="17"/>
  <c r="H3" i="17" s="1"/>
  <c r="C30" i="16" l="1"/>
  <c r="C13" i="16"/>
  <c r="D4" i="16"/>
  <c r="F85" i="15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F97" i="15" s="1"/>
  <c r="F98" i="15" s="1"/>
  <c r="F99" i="15" s="1"/>
  <c r="F100" i="15" s="1"/>
  <c r="F101" i="15" s="1"/>
  <c r="F102" i="15" s="1"/>
  <c r="F103" i="15" s="1"/>
  <c r="F104" i="15" s="1"/>
  <c r="F105" i="15" s="1"/>
  <c r="F106" i="15" s="1"/>
  <c r="F107" i="15" s="1"/>
  <c r="F108" i="15" s="1"/>
  <c r="F109" i="15" s="1"/>
  <c r="F110" i="15" s="1"/>
  <c r="F111" i="15" s="1"/>
  <c r="F112" i="15" s="1"/>
  <c r="F113" i="15" s="1"/>
  <c r="F114" i="15" s="1"/>
  <c r="F115" i="15" s="1"/>
  <c r="F116" i="15" s="1"/>
  <c r="F117" i="15" s="1"/>
  <c r="F118" i="15" s="1"/>
  <c r="F119" i="15" s="1"/>
  <c r="F120" i="15" l="1"/>
  <c r="F121" i="15" s="1"/>
  <c r="F122" i="15" s="1"/>
  <c r="F123" i="15" s="1"/>
  <c r="F124" i="15" s="1"/>
  <c r="F125" i="15" s="1"/>
  <c r="F126" i="15" s="1"/>
  <c r="F127" i="15" s="1"/>
  <c r="F128" i="15" s="1"/>
  <c r="F129" i="15" s="1"/>
  <c r="F130" i="15" s="1"/>
  <c r="F131" i="15" s="1"/>
  <c r="F132" i="15" s="1"/>
  <c r="F133" i="15" s="1"/>
  <c r="F134" i="15" s="1"/>
  <c r="F135" i="15" s="1"/>
  <c r="F136" i="15" s="1"/>
  <c r="F137" i="15" s="1"/>
  <c r="F138" i="15" s="1"/>
  <c r="F139" i="15" s="1"/>
  <c r="F140" i="15" s="1"/>
  <c r="F141" i="15" s="1"/>
  <c r="F142" i="15" s="1"/>
  <c r="F143" i="15" s="1"/>
  <c r="F144" i="15" s="1"/>
  <c r="F145" i="15" s="1"/>
  <c r="F146" i="15" s="1"/>
  <c r="F147" i="15" s="1"/>
  <c r="F148" i="15" s="1"/>
  <c r="F149" i="15" s="1"/>
  <c r="F150" i="15" s="1"/>
  <c r="F151" i="15" s="1"/>
  <c r="F152" i="15" s="1"/>
  <c r="F153" i="15" s="1"/>
  <c r="F154" i="15" s="1"/>
  <c r="F155" i="15" s="1"/>
  <c r="F156" i="15" s="1"/>
  <c r="F157" i="15" s="1"/>
  <c r="F158" i="15" s="1"/>
  <c r="F159" i="15" s="1"/>
  <c r="F160" i="15" s="1"/>
  <c r="F161" i="15" s="1"/>
  <c r="F162" i="15" s="1"/>
  <c r="F163" i="15" s="1"/>
  <c r="F164" i="15" s="1"/>
  <c r="F165" i="15" s="1"/>
  <c r="F166" i="15" s="1"/>
  <c r="F167" i="15" s="1"/>
  <c r="F168" i="15" s="1"/>
  <c r="F169" i="15" s="1"/>
  <c r="F170" i="15" s="1"/>
  <c r="F171" i="15" s="1"/>
  <c r="F172" i="15" s="1"/>
  <c r="F173" i="15" s="1"/>
  <c r="F174" i="15" s="1"/>
  <c r="F175" i="15" s="1"/>
  <c r="F176" i="15" s="1"/>
  <c r="F177" i="15" s="1"/>
  <c r="F178" i="15" s="1"/>
  <c r="F179" i="15" s="1"/>
  <c r="F180" i="15" s="1"/>
  <c r="F181" i="15" s="1"/>
  <c r="F182" i="15" s="1"/>
  <c r="F183" i="15" s="1"/>
  <c r="F184" i="15" s="1"/>
  <c r="F185" i="15" s="1"/>
  <c r="F186" i="15" s="1"/>
  <c r="F187" i="15" s="1"/>
  <c r="F188" i="15" s="1"/>
  <c r="F189" i="15" s="1"/>
  <c r="F190" i="15" s="1"/>
  <c r="F191" i="15" s="1"/>
  <c r="F192" i="15" s="1"/>
  <c r="F193" i="15" s="1"/>
  <c r="F194" i="15" s="1"/>
  <c r="F195" i="15" s="1"/>
  <c r="F196" i="15" s="1"/>
  <c r="F197" i="15" s="1"/>
  <c r="F198" i="15" s="1"/>
  <c r="F199" i="15" s="1"/>
  <c r="F200" i="15" s="1"/>
  <c r="F201" i="15" s="1"/>
  <c r="F202" i="15" l="1"/>
  <c r="F203" i="15" s="1"/>
  <c r="F204" i="15" s="1"/>
  <c r="F205" i="15" s="1"/>
  <c r="F206" i="15" s="1"/>
  <c r="F207" i="15" s="1"/>
  <c r="F208" i="15" s="1"/>
  <c r="F209" i="15" s="1"/>
  <c r="F210" i="15" s="1"/>
  <c r="F211" i="15" s="1"/>
  <c r="F212" i="15" s="1"/>
  <c r="F213" i="15" s="1"/>
  <c r="F214" i="15" s="1"/>
  <c r="F215" i="15" s="1"/>
  <c r="F216" i="15" s="1"/>
  <c r="F217" i="15" s="1"/>
  <c r="F218" i="15" s="1"/>
  <c r="F219" i="15" s="1"/>
  <c r="F220" i="15" s="1"/>
  <c r="F221" i="15" s="1"/>
  <c r="F222" i="15" s="1"/>
  <c r="F223" i="15" s="1"/>
  <c r="F224" i="15" s="1"/>
  <c r="F225" i="15" s="1"/>
  <c r="F226" i="15" s="1"/>
  <c r="F227" i="15" s="1"/>
  <c r="F228" i="15" s="1"/>
  <c r="F229" i="15" s="1"/>
  <c r="F230" i="15" s="1"/>
  <c r="F231" i="15" s="1"/>
  <c r="F232" i="15" s="1"/>
  <c r="F233" i="15" s="1"/>
  <c r="F234" i="15" s="1"/>
  <c r="F235" i="15" s="1"/>
  <c r="F236" i="15" s="1"/>
  <c r="F237" i="15" s="1"/>
  <c r="F238" i="15" s="1"/>
  <c r="F239" i="15" s="1"/>
  <c r="F240" i="15" s="1"/>
  <c r="F241" i="15" s="1"/>
  <c r="F242" i="15" s="1"/>
  <c r="F243" i="15" s="1"/>
  <c r="F244" i="15" s="1"/>
  <c r="F245" i="15" s="1"/>
  <c r="F246" i="15" s="1"/>
  <c r="F247" i="15" s="1"/>
  <c r="F248" i="15" s="1"/>
  <c r="F249" i="15" s="1"/>
  <c r="F250" i="15" s="1"/>
  <c r="F251" i="15" s="1"/>
  <c r="F252" i="15" s="1"/>
  <c r="F253" i="15" s="1"/>
  <c r="F254" i="15" s="1"/>
  <c r="F255" i="15" s="1"/>
  <c r="F256" i="15" s="1"/>
  <c r="F257" i="15" s="1"/>
  <c r="F258" i="15" s="1"/>
  <c r="F259" i="15" s="1"/>
  <c r="F260" i="15" s="1"/>
  <c r="F261" i="15" s="1"/>
  <c r="F262" i="15" s="1"/>
  <c r="F263" i="15" s="1"/>
  <c r="F264" i="15" s="1"/>
  <c r="F265" i="15" s="1"/>
  <c r="F266" i="15" s="1"/>
  <c r="F267" i="15" s="1"/>
  <c r="F268" i="15" s="1"/>
  <c r="F269" i="15" s="1"/>
  <c r="F270" i="15" s="1"/>
  <c r="F271" i="15" s="1"/>
  <c r="F272" i="15" s="1"/>
  <c r="F273" i="15" s="1"/>
  <c r="F274" i="15" s="1"/>
  <c r="F275" i="15" s="1"/>
  <c r="F276" i="15" s="1"/>
  <c r="F277" i="15" s="1"/>
  <c r="F278" i="15" l="1"/>
  <c r="F279" i="15" s="1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/>
  <c r="F305" i="15"/>
  <c r="F306" i="15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333" i="15" s="1"/>
  <c r="F334" i="15" s="1"/>
  <c r="F335" i="15" s="1"/>
  <c r="F336" i="15" s="1"/>
  <c r="F337" i="15" s="1"/>
  <c r="F338" i="15" s="1"/>
  <c r="F339" i="15" s="1"/>
  <c r="F340" i="15" s="1"/>
  <c r="F341" i="15" s="1"/>
  <c r="F342" i="15" s="1"/>
  <c r="F343" i="15" s="1"/>
  <c r="F344" i="15" s="1"/>
  <c r="F345" i="15" s="1"/>
  <c r="F346" i="15" s="1"/>
  <c r="F347" i="15" s="1"/>
  <c r="F348" i="15" s="1"/>
  <c r="F349" i="15" s="1"/>
  <c r="F350" i="15" s="1"/>
  <c r="F351" i="15" s="1"/>
  <c r="F352" i="15" s="1"/>
  <c r="F353" i="15" s="1"/>
  <c r="F354" i="15" s="1"/>
  <c r="F355" i="15" s="1"/>
  <c r="F356" i="15" s="1"/>
  <c r="F357" i="15" s="1"/>
  <c r="F358" i="15" s="1"/>
  <c r="F359" i="15" s="1"/>
  <c r="F360" i="15" s="1"/>
  <c r="F361" i="15" s="1"/>
  <c r="F362" i="15" s="1"/>
  <c r="F363" i="15" s="1"/>
  <c r="F364" i="15" s="1"/>
  <c r="F365" i="15" s="1"/>
  <c r="F366" i="15" s="1"/>
  <c r="F367" i="15" s="1"/>
  <c r="F368" i="15" s="1"/>
  <c r="F369" i="15" s="1"/>
  <c r="F370" i="15" s="1"/>
  <c r="F371" i="15" s="1"/>
  <c r="F372" i="15" s="1"/>
  <c r="F373" i="15" s="1"/>
  <c r="F374" i="15" s="1"/>
  <c r="F375" i="15" s="1"/>
  <c r="F376" i="15" s="1"/>
  <c r="F377" i="15" s="1"/>
  <c r="F378" i="15" s="1"/>
  <c r="F379" i="15" s="1"/>
  <c r="F380" i="15" s="1"/>
  <c r="F381" i="15" s="1"/>
  <c r="F382" i="15" s="1"/>
  <c r="F383" i="15" s="1"/>
  <c r="F384" i="15" s="1"/>
  <c r="F385" i="15" s="1"/>
  <c r="F386" i="15" s="1"/>
  <c r="F387" i="15" s="1"/>
  <c r="F388" i="15" s="1"/>
  <c r="F389" i="15" s="1"/>
  <c r="F390" i="15" s="1"/>
  <c r="F391" i="15" s="1"/>
  <c r="F392" i="15" s="1"/>
  <c r="F393" i="15" s="1"/>
  <c r="F394" i="15" s="1"/>
  <c r="F395" i="15" s="1"/>
  <c r="F396" i="15" s="1"/>
  <c r="F397" i="15" s="1"/>
  <c r="F398" i="15" s="1"/>
  <c r="F399" i="15" s="1"/>
  <c r="F400" i="15" s="1"/>
  <c r="F401" i="15" s="1"/>
  <c r="F402" i="15" s="1"/>
  <c r="F403" i="15" s="1"/>
  <c r="F404" i="15" s="1"/>
  <c r="F405" i="15" s="1"/>
  <c r="F406" i="15" s="1"/>
  <c r="F407" i="15" s="1"/>
  <c r="F408" i="15" s="1"/>
  <c r="F409" i="15" s="1"/>
  <c r="F410" i="15" s="1"/>
  <c r="F411" i="15" s="1"/>
  <c r="F412" i="15" s="1"/>
  <c r="F413" i="15" s="1"/>
  <c r="F414" i="15" s="1"/>
  <c r="F415" i="15" s="1"/>
  <c r="F416" i="15" s="1"/>
  <c r="F417" i="15" s="1"/>
  <c r="F418" i="15" s="1"/>
  <c r="F419" i="15" s="1"/>
  <c r="F420" i="15" s="1"/>
  <c r="F421" i="15" s="1"/>
  <c r="F422" i="15" s="1"/>
  <c r="F423" i="15" s="1"/>
  <c r="F424" i="15" s="1"/>
  <c r="F425" i="15" s="1"/>
  <c r="F426" i="15" s="1"/>
  <c r="F427" i="15" s="1"/>
  <c r="F428" i="15" s="1"/>
  <c r="F429" i="15" s="1"/>
  <c r="F430" i="15" s="1"/>
  <c r="F431" i="15" s="1"/>
  <c r="F432" i="15" s="1"/>
  <c r="F433" i="15" s="1"/>
  <c r="F434" i="15" s="1"/>
  <c r="F435" i="15" s="1"/>
  <c r="F436" i="15" s="1"/>
  <c r="F437" i="15" s="1"/>
  <c r="F438" i="15" s="1"/>
  <c r="F439" i="15" s="1"/>
  <c r="F440" i="15" s="1"/>
  <c r="F441" i="15" s="1"/>
  <c r="F442" i="15" s="1"/>
  <c r="F443" i="15" s="1"/>
  <c r="F444" i="15" s="1"/>
  <c r="F445" i="15" s="1"/>
  <c r="F446" i="15" s="1"/>
  <c r="F447" i="15" s="1"/>
  <c r="F448" i="15" s="1"/>
  <c r="F449" i="15" s="1"/>
  <c r="F450" i="15" s="1"/>
  <c r="F451" i="15" s="1"/>
  <c r="F452" i="15" s="1"/>
  <c r="F453" i="15" s="1"/>
  <c r="F454" i="15" s="1"/>
  <c r="F455" i="15" s="1"/>
  <c r="F456" i="15" s="1"/>
  <c r="F457" i="15" s="1"/>
  <c r="F458" i="15" s="1"/>
  <c r="F459" i="15" s="1"/>
  <c r="F460" i="15" s="1"/>
  <c r="F461" i="15" s="1"/>
  <c r="F462" i="15" s="1"/>
  <c r="F463" i="15" s="1"/>
  <c r="F464" i="15" s="1"/>
  <c r="F465" i="15" s="1"/>
  <c r="F466" i="15" s="1"/>
  <c r="F467" i="15" s="1"/>
  <c r="F468" i="15" s="1"/>
  <c r="F469" i="15" s="1"/>
  <c r="F470" i="15" s="1"/>
  <c r="F471" i="15" s="1"/>
  <c r="F472" i="15" s="1"/>
  <c r="F473" i="15" s="1"/>
  <c r="F474" i="15" s="1"/>
  <c r="F475" i="15" s="1"/>
  <c r="F476" i="15" s="1"/>
  <c r="F477" i="15" s="1"/>
  <c r="F478" i="15" s="1"/>
  <c r="F479" i="15" s="1"/>
  <c r="F480" i="15" s="1"/>
  <c r="F481" i="15" s="1"/>
  <c r="F482" i="15" s="1"/>
  <c r="F483" i="15" s="1"/>
  <c r="F484" i="15" s="1"/>
  <c r="F485" i="15" s="1"/>
  <c r="F486" i="15" s="1"/>
  <c r="F487" i="15" s="1"/>
  <c r="F488" i="15" s="1"/>
  <c r="F489" i="15" s="1"/>
  <c r="F490" i="15" s="1"/>
  <c r="F491" i="15" s="1"/>
  <c r="F492" i="15" s="1"/>
  <c r="F493" i="15" s="1"/>
  <c r="F494" i="15" s="1"/>
  <c r="F495" i="15" s="1"/>
  <c r="F496" i="15" s="1"/>
  <c r="F497" i="15" s="1"/>
  <c r="F498" i="15" s="1"/>
  <c r="F499" i="15" s="1"/>
  <c r="F500" i="15" s="1"/>
  <c r="F501" i="15" s="1"/>
  <c r="F502" i="15" s="1"/>
  <c r="F503" i="15" s="1"/>
  <c r="F504" i="15" s="1"/>
  <c r="F505" i="15" s="1"/>
  <c r="F506" i="15" s="1"/>
  <c r="F507" i="15" s="1"/>
  <c r="F508" i="15" s="1"/>
  <c r="F509" i="15" s="1"/>
  <c r="F510" i="15" s="1"/>
  <c r="F511" i="15" s="1"/>
  <c r="F512" i="15" s="1"/>
  <c r="F513" i="15" s="1"/>
  <c r="F514" i="15" s="1"/>
  <c r="F515" i="15" s="1"/>
  <c r="F516" i="15" s="1"/>
  <c r="F517" i="15" s="1"/>
  <c r="F518" i="15" s="1"/>
  <c r="F519" i="15" s="1"/>
  <c r="F520" i="15" s="1"/>
  <c r="F521" i="15" s="1"/>
  <c r="F522" i="15" s="1"/>
  <c r="F523" i="15" s="1"/>
  <c r="F524" i="15" s="1"/>
  <c r="F525" i="15" s="1"/>
  <c r="F526" i="15" s="1"/>
  <c r="F527" i="15" s="1"/>
  <c r="F528" i="15" s="1"/>
  <c r="F529" i="15" s="1"/>
  <c r="F530" i="15" s="1"/>
  <c r="F531" i="15" s="1"/>
  <c r="F532" i="15" s="1"/>
  <c r="F533" i="15" s="1"/>
  <c r="F534" i="15" s="1"/>
  <c r="F535" i="15" s="1"/>
  <c r="F536" i="15" s="1"/>
  <c r="F537" i="15" s="1"/>
  <c r="F538" i="15" s="1"/>
  <c r="F539" i="15" s="1"/>
  <c r="F540" i="15" s="1"/>
  <c r="F541" i="15" s="1"/>
  <c r="F542" i="15" s="1"/>
  <c r="F543" i="15" s="1"/>
  <c r="F544" i="15" s="1"/>
  <c r="F545" i="15" s="1"/>
  <c r="F546" i="15" s="1"/>
  <c r="F547" i="15" s="1"/>
  <c r="F548" i="15" s="1"/>
  <c r="F549" i="15" s="1"/>
  <c r="F550" i="15" s="1"/>
  <c r="F551" i="15" s="1"/>
  <c r="F552" i="15" s="1"/>
  <c r="F553" i="15" s="1"/>
  <c r="F554" i="15" s="1"/>
  <c r="F555" i="15" s="1"/>
  <c r="F556" i="15" s="1"/>
  <c r="F557" i="15" s="1"/>
  <c r="F558" i="15" s="1"/>
  <c r="F559" i="15" s="1"/>
  <c r="F560" i="15" s="1"/>
  <c r="F561" i="15" s="1"/>
  <c r="F562" i="15" s="1"/>
  <c r="F563" i="15" s="1"/>
  <c r="F564" i="15" s="1"/>
  <c r="F565" i="15" s="1"/>
  <c r="F566" i="15" s="1"/>
  <c r="F567" i="15" s="1"/>
  <c r="F568" i="15" s="1"/>
  <c r="F569" i="15" s="1"/>
  <c r="F570" i="15" s="1"/>
  <c r="F571" i="15" s="1"/>
  <c r="F572" i="15" s="1"/>
  <c r="F573" i="15" s="1"/>
  <c r="F574" i="15" s="1"/>
  <c r="F575" i="15" s="1"/>
  <c r="F576" i="15" s="1"/>
  <c r="F577" i="15" s="1"/>
  <c r="F578" i="15" s="1"/>
  <c r="F579" i="15" s="1"/>
  <c r="F580" i="15" s="1"/>
  <c r="F581" i="15" s="1"/>
  <c r="F582" i="15" s="1"/>
  <c r="F583" i="15" s="1"/>
  <c r="F584" i="15" s="1"/>
  <c r="F585" i="15" s="1"/>
  <c r="F586" i="15" s="1"/>
  <c r="F587" i="15" s="1"/>
  <c r="F588" i="15" s="1"/>
  <c r="F589" i="15" s="1"/>
  <c r="F590" i="15" s="1"/>
  <c r="F591" i="15" s="1"/>
  <c r="F592" i="15" s="1"/>
  <c r="F593" i="15" s="1"/>
  <c r="F594" i="15" s="1"/>
  <c r="F595" i="15" s="1"/>
  <c r="F596" i="15" s="1"/>
  <c r="F597" i="15" s="1"/>
  <c r="F598" i="15" s="1"/>
  <c r="F599" i="15" s="1"/>
  <c r="F600" i="15" s="1"/>
  <c r="F601" i="15" s="1"/>
  <c r="F602" i="15" s="1"/>
  <c r="F603" i="15" s="1"/>
  <c r="F604" i="15" s="1"/>
  <c r="F605" i="15" s="1"/>
  <c r="F606" i="15" s="1"/>
  <c r="F607" i="15" s="1"/>
  <c r="F608" i="15" s="1"/>
  <c r="F609" i="15" s="1"/>
  <c r="F610" i="15" s="1"/>
  <c r="F611" i="15" s="1"/>
  <c r="F612" i="15" s="1"/>
  <c r="F613" i="15" s="1"/>
  <c r="F614" i="15" s="1"/>
  <c r="F615" i="15" s="1"/>
  <c r="F616" i="15" s="1"/>
  <c r="F617" i="15" s="1"/>
  <c r="F618" i="15" s="1"/>
  <c r="F619" i="15" s="1"/>
  <c r="F620" i="15" s="1"/>
  <c r="F621" i="15" s="1"/>
  <c r="F622" i="15" s="1"/>
  <c r="F623" i="15" s="1"/>
  <c r="F624" i="15" s="1"/>
  <c r="F625" i="15" s="1"/>
  <c r="F626" i="15" s="1"/>
  <c r="F627" i="15" s="1"/>
  <c r="F628" i="15" s="1"/>
  <c r="F629" i="15" s="1"/>
  <c r="F630" i="15" s="1"/>
  <c r="F631" i="15" s="1"/>
  <c r="F632" i="15" s="1"/>
  <c r="F633" i="15" s="1"/>
  <c r="F634" i="15" s="1"/>
  <c r="F635" i="15" s="1"/>
  <c r="F636" i="15" s="1"/>
  <c r="F637" i="15" s="1"/>
  <c r="F638" i="15" s="1"/>
  <c r="F639" i="15" s="1"/>
  <c r="F640" i="15" s="1"/>
  <c r="F641" i="15" s="1"/>
  <c r="F642" i="15" s="1"/>
  <c r="F643" i="15" s="1"/>
  <c r="F644" i="15" s="1"/>
  <c r="F645" i="15" s="1"/>
  <c r="F646" i="15" s="1"/>
  <c r="F647" i="15" s="1"/>
  <c r="F648" i="15" s="1"/>
  <c r="F649" i="15" s="1"/>
  <c r="F650" i="15" s="1"/>
  <c r="F651" i="15" s="1"/>
  <c r="F652" i="15" s="1"/>
  <c r="F653" i="15" s="1"/>
  <c r="F654" i="15" s="1"/>
  <c r="F655" i="15" s="1"/>
  <c r="F656" i="15" s="1"/>
  <c r="F657" i="15" s="1"/>
  <c r="F658" i="15" s="1"/>
  <c r="F659" i="15" s="1"/>
  <c r="F660" i="15" s="1"/>
  <c r="F661" i="15" s="1"/>
  <c r="F662" i="15" s="1"/>
  <c r="F663" i="15" s="1"/>
  <c r="F664" i="15" s="1"/>
  <c r="F665" i="15" s="1"/>
  <c r="F666" i="15" s="1"/>
  <c r="F667" i="15" s="1"/>
  <c r="F668" i="15" s="1"/>
  <c r="F669" i="15" s="1"/>
  <c r="F670" i="15" s="1"/>
  <c r="F671" i="15" s="1"/>
  <c r="F672" i="15" s="1"/>
  <c r="F673" i="15" s="1"/>
  <c r="F674" i="15" s="1"/>
  <c r="F675" i="15" s="1"/>
  <c r="F676" i="15" s="1"/>
  <c r="F677" i="15" s="1"/>
  <c r="F678" i="15" s="1"/>
  <c r="F679" i="15" s="1"/>
  <c r="F680" i="15" s="1"/>
  <c r="F681" i="15" s="1"/>
  <c r="F682" i="15" s="1"/>
  <c r="F683" i="15" s="1"/>
  <c r="F684" i="15" s="1"/>
  <c r="F685" i="15" s="1"/>
  <c r="F686" i="15" s="1"/>
  <c r="F687" i="15" s="1"/>
  <c r="F688" i="15" s="1"/>
  <c r="F689" i="15" s="1"/>
  <c r="F690" i="15" s="1"/>
  <c r="F691" i="15" s="1"/>
  <c r="F692" i="15" s="1"/>
  <c r="F693" i="15" s="1"/>
  <c r="F694" i="15" s="1"/>
  <c r="F695" i="15" s="1"/>
  <c r="F696" i="15" s="1"/>
  <c r="F697" i="15" s="1"/>
  <c r="F698" i="15" s="1"/>
  <c r="F699" i="15" s="1"/>
  <c r="F700" i="15" s="1"/>
  <c r="F701" i="15" s="1"/>
  <c r="F702" i="15" s="1"/>
  <c r="F703" i="15" s="1"/>
  <c r="F704" i="15" s="1"/>
  <c r="F705" i="15" s="1"/>
  <c r="F706" i="15" s="1"/>
  <c r="F707" i="15" s="1"/>
  <c r="F708" i="15" s="1"/>
  <c r="F709" i="15" s="1"/>
  <c r="F710" i="15" s="1"/>
  <c r="F711" i="15" s="1"/>
  <c r="F712" i="15" s="1"/>
  <c r="F713" i="15" s="1"/>
  <c r="F714" i="15" s="1"/>
  <c r="F715" i="15" s="1"/>
  <c r="F716" i="15" s="1"/>
  <c r="F717" i="15" s="1"/>
  <c r="F718" i="15" s="1"/>
  <c r="F719" i="15" s="1"/>
  <c r="F720" i="15" s="1"/>
  <c r="F721" i="15" s="1"/>
  <c r="F722" i="15" s="1"/>
  <c r="F723" i="15" s="1"/>
  <c r="F724" i="15" s="1"/>
  <c r="F725" i="15" s="1"/>
  <c r="F726" i="15" s="1"/>
  <c r="F727" i="15" s="1"/>
  <c r="F728" i="15" s="1"/>
  <c r="F729" i="15" s="1"/>
  <c r="F730" i="15" s="1"/>
  <c r="F731" i="15" s="1"/>
  <c r="F732" i="15" s="1"/>
  <c r="F733" i="15" s="1"/>
  <c r="F734" i="15" s="1"/>
  <c r="F735" i="15" s="1"/>
  <c r="F736" i="15" s="1"/>
  <c r="F737" i="15" s="1"/>
  <c r="F738" i="15" s="1"/>
  <c r="F739" i="15" s="1"/>
  <c r="F740" i="15" s="1"/>
  <c r="F741" i="15" s="1"/>
  <c r="F742" i="15" s="1"/>
  <c r="F743" i="15" s="1"/>
  <c r="F744" i="15" s="1"/>
  <c r="F745" i="15" s="1"/>
  <c r="F746" i="15" s="1"/>
  <c r="F747" i="15" s="1"/>
  <c r="F748" i="15" s="1"/>
  <c r="F749" i="15" s="1"/>
  <c r="F750" i="15" s="1"/>
  <c r="F751" i="15" s="1"/>
  <c r="F752" i="15" s="1"/>
  <c r="F753" i="15" s="1"/>
  <c r="F754" i="15" s="1"/>
  <c r="F755" i="15" s="1"/>
  <c r="F756" i="15" s="1"/>
  <c r="F757" i="15" s="1"/>
  <c r="F758" i="15" s="1"/>
  <c r="F759" i="15" s="1"/>
  <c r="F760" i="15" s="1"/>
  <c r="F761" i="15" s="1"/>
  <c r="F762" i="15" s="1"/>
  <c r="F763" i="15" s="1"/>
  <c r="F764" i="15" s="1"/>
  <c r="F765" i="15" s="1"/>
  <c r="F766" i="15" s="1"/>
  <c r="F767" i="15" s="1"/>
  <c r="F768" i="15" s="1"/>
  <c r="F769" i="15" s="1"/>
  <c r="F770" i="15" s="1"/>
  <c r="F771" i="15" s="1"/>
  <c r="F772" i="15" s="1"/>
  <c r="F773" i="15" s="1"/>
  <c r="F774" i="15" s="1"/>
  <c r="F775" i="15" s="1"/>
  <c r="F776" i="15" s="1"/>
  <c r="F777" i="15" s="1"/>
  <c r="F778" i="15" s="1"/>
  <c r="F779" i="15" s="1"/>
  <c r="F780" i="15" s="1"/>
  <c r="F781" i="15" s="1"/>
  <c r="F782" i="15" s="1"/>
  <c r="F783" i="15" s="1"/>
  <c r="F784" i="15" s="1"/>
  <c r="F785" i="15" s="1"/>
  <c r="F786" i="15" s="1"/>
  <c r="F787" i="15" s="1"/>
  <c r="F788" i="15" s="1"/>
  <c r="F789" i="15" s="1"/>
  <c r="F790" i="15" s="1"/>
  <c r="F791" i="15" s="1"/>
  <c r="F792" i="15" s="1"/>
  <c r="F793" i="15" s="1"/>
  <c r="F794" i="15" s="1"/>
  <c r="F795" i="15" s="1"/>
  <c r="F796" i="15" s="1"/>
  <c r="F797" i="15" s="1"/>
  <c r="F798" i="15" s="1"/>
  <c r="F799" i="15" s="1"/>
  <c r="F800" i="15" s="1"/>
</calcChain>
</file>

<file path=xl/sharedStrings.xml><?xml version="1.0" encoding="utf-8"?>
<sst xmlns="http://schemas.openxmlformats.org/spreadsheetml/2006/main" count="4727" uniqueCount="2847">
  <si>
    <t>مبلغ</t>
  </si>
  <si>
    <t>ماه</t>
  </si>
  <si>
    <t>فروردین</t>
  </si>
  <si>
    <t>اردیبهشت</t>
  </si>
  <si>
    <t>عنوان</t>
  </si>
  <si>
    <t>شناسه</t>
  </si>
  <si>
    <t>بیمه عمر پاسارگاد</t>
  </si>
  <si>
    <t>شارژ ساختمان</t>
  </si>
  <si>
    <t>موبایل سیدجواد</t>
  </si>
  <si>
    <t>موبایل فاطمه</t>
  </si>
  <si>
    <t>تلفن منزل</t>
  </si>
  <si>
    <t>برق</t>
  </si>
  <si>
    <t>3.3.3</t>
  </si>
  <si>
    <t>1.2.1</t>
  </si>
  <si>
    <t>2.1.1</t>
  </si>
  <si>
    <t>2.2.1</t>
  </si>
  <si>
    <t>3.1.1</t>
  </si>
  <si>
    <t>3.1.2</t>
  </si>
  <si>
    <t>3.1.3</t>
  </si>
  <si>
    <t>3.1.4</t>
  </si>
  <si>
    <t>3.1.5</t>
  </si>
  <si>
    <t>3.2.2</t>
  </si>
  <si>
    <t>3.2.3</t>
  </si>
  <si>
    <t>3.3.1</t>
  </si>
  <si>
    <t>3.3.2</t>
  </si>
  <si>
    <t>میوه و تره بار</t>
  </si>
  <si>
    <t>مواد غذایی</t>
  </si>
  <si>
    <t>مواد بهداشتی</t>
  </si>
  <si>
    <t>3.4.1</t>
  </si>
  <si>
    <t>درمان</t>
  </si>
  <si>
    <t>3.4.2</t>
  </si>
  <si>
    <t>3.5.1</t>
  </si>
  <si>
    <t>پوشاک خانگی</t>
  </si>
  <si>
    <t>پوشاک رسمی</t>
  </si>
  <si>
    <t>کیف و کفش</t>
  </si>
  <si>
    <t>3.5.2</t>
  </si>
  <si>
    <t>3.5.3</t>
  </si>
  <si>
    <t>کادو</t>
  </si>
  <si>
    <t>1.3.2</t>
  </si>
  <si>
    <t>خرداد</t>
  </si>
  <si>
    <t>3.6.1</t>
  </si>
  <si>
    <t>2.2.2</t>
  </si>
  <si>
    <t>-</t>
  </si>
  <si>
    <t>4.1.1</t>
  </si>
  <si>
    <t>مانده</t>
  </si>
  <si>
    <t>مبلغ ماه</t>
  </si>
  <si>
    <t>3.7.1</t>
  </si>
  <si>
    <t>قرض گرفتن</t>
  </si>
  <si>
    <t>قرض دادن</t>
  </si>
  <si>
    <t>پس دادن قرض</t>
  </si>
  <si>
    <t>پس گرفتن قرض</t>
  </si>
  <si>
    <t>شرح</t>
  </si>
  <si>
    <t>آقاجمال</t>
  </si>
  <si>
    <t>حامد</t>
  </si>
  <si>
    <t>1.4.1</t>
  </si>
  <si>
    <t>3.9.1</t>
  </si>
  <si>
    <t>هزینه کلی</t>
  </si>
  <si>
    <t>1399-10-30</t>
  </si>
  <si>
    <t>1401-01-14</t>
  </si>
  <si>
    <t>1401-02-14</t>
  </si>
  <si>
    <t>1401-03-14</t>
  </si>
  <si>
    <t>1401-04-14</t>
  </si>
  <si>
    <t>1401-05-14</t>
  </si>
  <si>
    <t>1401-06-14</t>
  </si>
  <si>
    <t>1401-07-14</t>
  </si>
  <si>
    <t>1401-08-14</t>
  </si>
  <si>
    <t>1401-09-14</t>
  </si>
  <si>
    <t>1401-10-14</t>
  </si>
  <si>
    <t>1401-11-14</t>
  </si>
  <si>
    <t>1401-12-14</t>
  </si>
  <si>
    <t>1402-01-14</t>
  </si>
  <si>
    <t>1402-02-14</t>
  </si>
  <si>
    <t>1402-03-14</t>
  </si>
  <si>
    <t>1402-04-14</t>
  </si>
  <si>
    <t>1402-05-14</t>
  </si>
  <si>
    <t>شماره</t>
  </si>
  <si>
    <t>1.4.2</t>
  </si>
  <si>
    <t>قسط</t>
  </si>
  <si>
    <t>1.3.4</t>
  </si>
  <si>
    <t>چک</t>
  </si>
  <si>
    <t>سال</t>
  </si>
  <si>
    <t>انصار</t>
  </si>
  <si>
    <t>قطعیت</t>
  </si>
  <si>
    <t>اولویت در روز</t>
  </si>
  <si>
    <t>تیر</t>
  </si>
  <si>
    <t>چک حافظان وحی</t>
  </si>
  <si>
    <t>بدهکار</t>
  </si>
  <si>
    <t>بستانکار</t>
  </si>
  <si>
    <t>گروه</t>
  </si>
  <si>
    <t>داداش</t>
  </si>
  <si>
    <t>بدهکار تراکنش</t>
  </si>
  <si>
    <t>بستانکار تراکنش</t>
  </si>
  <si>
    <t>افتتاحیه</t>
  </si>
  <si>
    <t>حیدر لطیفی</t>
  </si>
  <si>
    <t>کد طرف حساب</t>
  </si>
  <si>
    <t>حافظان وحی</t>
  </si>
  <si>
    <t>خدادوست کاشان</t>
  </si>
  <si>
    <t>هزینه</t>
  </si>
  <si>
    <t>مرداد</t>
  </si>
  <si>
    <t>شهریور</t>
  </si>
  <si>
    <t>بانک</t>
  </si>
  <si>
    <t>مهر</t>
  </si>
  <si>
    <t>آبان</t>
  </si>
  <si>
    <t>آذر</t>
  </si>
  <si>
    <t>دی</t>
  </si>
  <si>
    <t>بهمن</t>
  </si>
  <si>
    <t>اسفند</t>
  </si>
  <si>
    <t>کد بانک</t>
  </si>
  <si>
    <t>کیف پول</t>
  </si>
  <si>
    <t>بدهکار بانک</t>
  </si>
  <si>
    <t>بستانکار بانک</t>
  </si>
  <si>
    <t>سررسید</t>
  </si>
  <si>
    <t>5.1.1</t>
  </si>
  <si>
    <t>5.1.2</t>
  </si>
  <si>
    <t>یارانه</t>
  </si>
  <si>
    <t>شماره کارت</t>
  </si>
  <si>
    <t>شماره حساب</t>
  </si>
  <si>
    <t>انقضا</t>
  </si>
  <si>
    <t>CVV2</t>
  </si>
  <si>
    <t>6037.9914.8158.6794</t>
  </si>
  <si>
    <t>5859.8311.0202.2851</t>
  </si>
  <si>
    <t>3510-040-095588790-01</t>
  </si>
  <si>
    <t>شبا</t>
  </si>
  <si>
    <t>175-6300-980-106</t>
  </si>
  <si>
    <t>02014-251-82004</t>
  </si>
  <si>
    <t>01020-614-29009</t>
  </si>
  <si>
    <t>00035-2851-3580</t>
  </si>
  <si>
    <t>IR140580104580000633960001</t>
  </si>
  <si>
    <t>نقد</t>
  </si>
  <si>
    <t>6396.0710.0633.9600</t>
  </si>
  <si>
    <t>1045-800-63396-01</t>
  </si>
  <si>
    <t>6104.3378.5274.7334</t>
  </si>
  <si>
    <t>IR340120020000005577277327</t>
  </si>
  <si>
    <t>1400/06</t>
  </si>
  <si>
    <t>494</t>
  </si>
  <si>
    <t>5577-2773-27</t>
  </si>
  <si>
    <t>1401/10</t>
  </si>
  <si>
    <t>0211</t>
  </si>
  <si>
    <t>99/06</t>
  </si>
  <si>
    <t>99/01</t>
  </si>
  <si>
    <t>شماره مشتری</t>
  </si>
  <si>
    <t>IR450540121680000982224001</t>
  </si>
  <si>
    <t>6221.0610.6708.1044</t>
  </si>
  <si>
    <t>1216-80000-9822-24001</t>
  </si>
  <si>
    <t>30.95.08.02</t>
  </si>
  <si>
    <t>99/10</t>
  </si>
  <si>
    <t>53.800.402</t>
  </si>
  <si>
    <t>633.90.60</t>
  </si>
  <si>
    <t>00.17.389.149</t>
  </si>
  <si>
    <t>955.88.79</t>
  </si>
  <si>
    <t>611.98.625</t>
  </si>
  <si>
    <t>26.703.405</t>
  </si>
  <si>
    <t>اهمیت تاریخ</t>
  </si>
  <si>
    <t>3.1.6</t>
  </si>
  <si>
    <t>کارمزد بانک</t>
  </si>
  <si>
    <t>مسدودی</t>
  </si>
  <si>
    <t>قابل برداشت</t>
  </si>
  <si>
    <t>کرایه ماشین</t>
  </si>
  <si>
    <t>کرایه ماشین کار</t>
  </si>
  <si>
    <t>---</t>
  </si>
  <si>
    <t>وضعیت سند</t>
  </si>
  <si>
    <t>قطعی</t>
  </si>
  <si>
    <t>کد وضعیت سند</t>
  </si>
  <si>
    <t>انجام شد</t>
  </si>
  <si>
    <t>بازه باز</t>
  </si>
  <si>
    <t>روز</t>
  </si>
  <si>
    <t>3.4.3</t>
  </si>
  <si>
    <t>خوش بینانه</t>
  </si>
  <si>
    <t>بدبینانه</t>
  </si>
  <si>
    <t>اهمیت</t>
  </si>
  <si>
    <t>وام</t>
  </si>
  <si>
    <t>3.2.5</t>
  </si>
  <si>
    <t>3.2.1</t>
  </si>
  <si>
    <t>مواد مصرفی خانه</t>
  </si>
  <si>
    <t>3.8.1</t>
  </si>
  <si>
    <t>تجارت</t>
  </si>
  <si>
    <t>سپه</t>
  </si>
  <si>
    <t>آینده</t>
  </si>
  <si>
    <t>سرمایه</t>
  </si>
  <si>
    <t>ملت</t>
  </si>
  <si>
    <t>پارسیان</t>
  </si>
  <si>
    <t>3.4.4</t>
  </si>
  <si>
    <t>آرایشگاه</t>
  </si>
  <si>
    <t>3.7.2</t>
  </si>
  <si>
    <t xml:space="preserve">پارک و وسیله ورزشی </t>
  </si>
  <si>
    <t>روز 
هفته</t>
  </si>
  <si>
    <t>یکشنبه</t>
  </si>
  <si>
    <t>شنبه</t>
  </si>
  <si>
    <t>جمعه</t>
  </si>
  <si>
    <t>پنجشنبه</t>
  </si>
  <si>
    <t>دوشنبه</t>
  </si>
  <si>
    <t>سه شنبه</t>
  </si>
  <si>
    <t>چهارشنبه</t>
  </si>
  <si>
    <t>3.4.5</t>
  </si>
  <si>
    <t>مانده
طرف
حساب</t>
  </si>
  <si>
    <t>طرف
حساب</t>
  </si>
  <si>
    <t>قرعه 18م (43)</t>
  </si>
  <si>
    <t>قرعه بیست (22)</t>
  </si>
  <si>
    <t>قرعه هجده (43)</t>
  </si>
  <si>
    <t>3.9.2</t>
  </si>
  <si>
    <t>تاریخ</t>
  </si>
  <si>
    <t>روز هفته</t>
  </si>
  <si>
    <t>کد روز هفته</t>
  </si>
  <si>
    <t>1399-08-25</t>
  </si>
  <si>
    <t>1400-12-28</t>
  </si>
  <si>
    <t>1401-01-01</t>
  </si>
  <si>
    <t>1401-01-02</t>
  </si>
  <si>
    <t>1401-01-03</t>
  </si>
  <si>
    <t>1401-01-04</t>
  </si>
  <si>
    <t>1401-01-05</t>
  </si>
  <si>
    <t>1401-01-06</t>
  </si>
  <si>
    <t>1401-01-07</t>
  </si>
  <si>
    <t>1401-01-08</t>
  </si>
  <si>
    <t>1401-01-09</t>
  </si>
  <si>
    <t>1401-01-10</t>
  </si>
  <si>
    <t>1401-01-11</t>
  </si>
  <si>
    <t>1401-01-12</t>
  </si>
  <si>
    <t>1401-01-13</t>
  </si>
  <si>
    <t>1401-01-15</t>
  </si>
  <si>
    <t>1401-01-16</t>
  </si>
  <si>
    <t>1401-01-17</t>
  </si>
  <si>
    <t>1401-01-18</t>
  </si>
  <si>
    <t>1401-01-19</t>
  </si>
  <si>
    <t>1401-01-20</t>
  </si>
  <si>
    <t>1401-01-21</t>
  </si>
  <si>
    <t>1401-01-22</t>
  </si>
  <si>
    <t>1401-01-23</t>
  </si>
  <si>
    <t>1401-01-24</t>
  </si>
  <si>
    <t>1401-01-25</t>
  </si>
  <si>
    <t>1401-01-26</t>
  </si>
  <si>
    <t>1401-01-27</t>
  </si>
  <si>
    <t>1401-01-28</t>
  </si>
  <si>
    <t>1401-01-29</t>
  </si>
  <si>
    <t>1401-01-30</t>
  </si>
  <si>
    <t>1401-01-31</t>
  </si>
  <si>
    <t>1401-02-01</t>
  </si>
  <si>
    <t>1401-02-02</t>
  </si>
  <si>
    <t>1401-02-03</t>
  </si>
  <si>
    <t>1401-02-04</t>
  </si>
  <si>
    <t>1401-02-05</t>
  </si>
  <si>
    <t>1401-02-06</t>
  </si>
  <si>
    <t>1401-02-07</t>
  </si>
  <si>
    <t>1401-02-08</t>
  </si>
  <si>
    <t>1401-02-09</t>
  </si>
  <si>
    <t>1401-02-10</t>
  </si>
  <si>
    <t>1401-02-11</t>
  </si>
  <si>
    <t>1401-02-12</t>
  </si>
  <si>
    <t>1401-02-13</t>
  </si>
  <si>
    <t>1401-02-15</t>
  </si>
  <si>
    <t>1401-02-16</t>
  </si>
  <si>
    <t>1401-02-17</t>
  </si>
  <si>
    <t>1401-02-18</t>
  </si>
  <si>
    <t>1401-02-19</t>
  </si>
  <si>
    <t>1401-02-20</t>
  </si>
  <si>
    <t>1401-02-21</t>
  </si>
  <si>
    <t>1401-02-22</t>
  </si>
  <si>
    <t>1401-02-23</t>
  </si>
  <si>
    <t>1401-02-24</t>
  </si>
  <si>
    <t>1401-02-25</t>
  </si>
  <si>
    <t>1401-02-26</t>
  </si>
  <si>
    <t>1401-02-27</t>
  </si>
  <si>
    <t>1401-02-28</t>
  </si>
  <si>
    <t>1401-02-29</t>
  </si>
  <si>
    <t>1401-02-30</t>
  </si>
  <si>
    <t>1401-02-31</t>
  </si>
  <si>
    <t>1401-03-01</t>
  </si>
  <si>
    <t>1401-03-02</t>
  </si>
  <si>
    <t>1401-03-03</t>
  </si>
  <si>
    <t>1401-03-04</t>
  </si>
  <si>
    <t>1401-03-05</t>
  </si>
  <si>
    <t>1401-03-06</t>
  </si>
  <si>
    <t>1401-03-07</t>
  </si>
  <si>
    <t>1401-03-08</t>
  </si>
  <si>
    <t>1401-03-09</t>
  </si>
  <si>
    <t>1401-03-10</t>
  </si>
  <si>
    <t>1401-03-11</t>
  </si>
  <si>
    <t>1401-03-12</t>
  </si>
  <si>
    <t>1401-03-13</t>
  </si>
  <si>
    <t>1401-03-15</t>
  </si>
  <si>
    <t>1401-03-16</t>
  </si>
  <si>
    <t>1401-03-17</t>
  </si>
  <si>
    <t>1401-03-18</t>
  </si>
  <si>
    <t>1401-03-19</t>
  </si>
  <si>
    <t>1401-03-20</t>
  </si>
  <si>
    <t>1401-03-21</t>
  </si>
  <si>
    <t>1401-03-22</t>
  </si>
  <si>
    <t>1401-03-23</t>
  </si>
  <si>
    <t>1401-03-24</t>
  </si>
  <si>
    <t>1401-03-25</t>
  </si>
  <si>
    <t>1401-03-26</t>
  </si>
  <si>
    <t>1401-03-27</t>
  </si>
  <si>
    <t>1401-03-28</t>
  </si>
  <si>
    <t>1401-03-29</t>
  </si>
  <si>
    <t>1401-03-30</t>
  </si>
  <si>
    <t>1401-03-31</t>
  </si>
  <si>
    <t>1401-04-01</t>
  </si>
  <si>
    <t>1401-04-02</t>
  </si>
  <si>
    <t>1401-04-03</t>
  </si>
  <si>
    <t>1401-04-04</t>
  </si>
  <si>
    <t>1401-04-05</t>
  </si>
  <si>
    <t>1401-04-06</t>
  </si>
  <si>
    <t>1401-04-07</t>
  </si>
  <si>
    <t>1401-04-08</t>
  </si>
  <si>
    <t>1401-04-09</t>
  </si>
  <si>
    <t>1401-04-10</t>
  </si>
  <si>
    <t>1401-04-11</t>
  </si>
  <si>
    <t>1401-04-12</t>
  </si>
  <si>
    <t>1401-04-13</t>
  </si>
  <si>
    <t>1401-04-15</t>
  </si>
  <si>
    <t>1401-04-16</t>
  </si>
  <si>
    <t>1401-04-17</t>
  </si>
  <si>
    <t>1401-04-18</t>
  </si>
  <si>
    <t>1401-04-19</t>
  </si>
  <si>
    <t>1401-04-20</t>
  </si>
  <si>
    <t>1401-04-21</t>
  </si>
  <si>
    <t>1401-04-22</t>
  </si>
  <si>
    <t>1401-04-23</t>
  </si>
  <si>
    <t>1401-04-24</t>
  </si>
  <si>
    <t>1401-04-25</t>
  </si>
  <si>
    <t>1401-04-26</t>
  </si>
  <si>
    <t>1401-04-27</t>
  </si>
  <si>
    <t>1401-04-28</t>
  </si>
  <si>
    <t>1401-04-29</t>
  </si>
  <si>
    <t>1401-04-30</t>
  </si>
  <si>
    <t>1401-04-31</t>
  </si>
  <si>
    <t>1401-05-01</t>
  </si>
  <si>
    <t>1401-05-02</t>
  </si>
  <si>
    <t>1401-05-03</t>
  </si>
  <si>
    <t>1401-05-04</t>
  </si>
  <si>
    <t>1401-05-05</t>
  </si>
  <si>
    <t>1401-05-06</t>
  </si>
  <si>
    <t>1401-05-07</t>
  </si>
  <si>
    <t>1401-05-08</t>
  </si>
  <si>
    <t>1401-05-09</t>
  </si>
  <si>
    <t>1401-05-10</t>
  </si>
  <si>
    <t>1401-05-11</t>
  </si>
  <si>
    <t>1401-05-12</t>
  </si>
  <si>
    <t>1401-05-13</t>
  </si>
  <si>
    <t>1401-05-15</t>
  </si>
  <si>
    <t>1401-05-16</t>
  </si>
  <si>
    <t>1401-05-17</t>
  </si>
  <si>
    <t>1401-05-18</t>
  </si>
  <si>
    <t>1401-05-19</t>
  </si>
  <si>
    <t>1401-05-20</t>
  </si>
  <si>
    <t>1401-05-21</t>
  </si>
  <si>
    <t>1401-05-22</t>
  </si>
  <si>
    <t>1401-05-23</t>
  </si>
  <si>
    <t>1401-05-24</t>
  </si>
  <si>
    <t>1401-05-25</t>
  </si>
  <si>
    <t>1401-05-26</t>
  </si>
  <si>
    <t>1401-05-27</t>
  </si>
  <si>
    <t>1401-05-28</t>
  </si>
  <si>
    <t>1401-05-29</t>
  </si>
  <si>
    <t>1401-05-30</t>
  </si>
  <si>
    <t>1401-05-31</t>
  </si>
  <si>
    <t>1401-06-01</t>
  </si>
  <si>
    <t>1401-06-02</t>
  </si>
  <si>
    <t>1401-06-03</t>
  </si>
  <si>
    <t>1401-06-04</t>
  </si>
  <si>
    <t>1401-06-05</t>
  </si>
  <si>
    <t>1401-06-06</t>
  </si>
  <si>
    <t>1401-06-07</t>
  </si>
  <si>
    <t>1401-06-08</t>
  </si>
  <si>
    <t>1401-06-09</t>
  </si>
  <si>
    <t>1401-06-10</t>
  </si>
  <si>
    <t>1401-06-11</t>
  </si>
  <si>
    <t>1401-06-12</t>
  </si>
  <si>
    <t>1401-06-13</t>
  </si>
  <si>
    <t>1401-06-15</t>
  </si>
  <si>
    <t>1401-06-16</t>
  </si>
  <si>
    <t>1401-06-17</t>
  </si>
  <si>
    <t>1401-06-18</t>
  </si>
  <si>
    <t>1401-06-19</t>
  </si>
  <si>
    <t>1401-06-20</t>
  </si>
  <si>
    <t>1401-06-21</t>
  </si>
  <si>
    <t>1401-06-22</t>
  </si>
  <si>
    <t>1401-06-23</t>
  </si>
  <si>
    <t>1401-06-24</t>
  </si>
  <si>
    <t>1401-06-25</t>
  </si>
  <si>
    <t>1401-06-26</t>
  </si>
  <si>
    <t>1401-06-27</t>
  </si>
  <si>
    <t>1401-06-28</t>
  </si>
  <si>
    <t>1401-06-29</t>
  </si>
  <si>
    <t>1401-06-30</t>
  </si>
  <si>
    <t>1401-06-31</t>
  </si>
  <si>
    <t>1401-07-01</t>
  </si>
  <si>
    <t>1401-07-02</t>
  </si>
  <si>
    <t>1401-07-03</t>
  </si>
  <si>
    <t>1401-07-04</t>
  </si>
  <si>
    <t>1401-07-05</t>
  </si>
  <si>
    <t>1401-07-06</t>
  </si>
  <si>
    <t>1401-07-07</t>
  </si>
  <si>
    <t>1401-07-08</t>
  </si>
  <si>
    <t>1401-07-09</t>
  </si>
  <si>
    <t>1401-07-10</t>
  </si>
  <si>
    <t>1401-07-11</t>
  </si>
  <si>
    <t>1401-07-12</t>
  </si>
  <si>
    <t>1401-07-13</t>
  </si>
  <si>
    <t>1401-07-15</t>
  </si>
  <si>
    <t>1401-07-16</t>
  </si>
  <si>
    <t>1401-07-17</t>
  </si>
  <si>
    <t>1401-07-18</t>
  </si>
  <si>
    <t>1401-07-19</t>
  </si>
  <si>
    <t>1401-07-20</t>
  </si>
  <si>
    <t>1401-07-21</t>
  </si>
  <si>
    <t>1401-07-22</t>
  </si>
  <si>
    <t>1401-07-23</t>
  </si>
  <si>
    <t>1401-07-24</t>
  </si>
  <si>
    <t>1401-07-25</t>
  </si>
  <si>
    <t>1401-07-26</t>
  </si>
  <si>
    <t>1401-07-27</t>
  </si>
  <si>
    <t>1401-07-28</t>
  </si>
  <si>
    <t>1401-07-29</t>
  </si>
  <si>
    <t>1401-07-30</t>
  </si>
  <si>
    <t>1401-08-01</t>
  </si>
  <si>
    <t>1401-08-02</t>
  </si>
  <si>
    <t>1401-08-03</t>
  </si>
  <si>
    <t>1401-08-04</t>
  </si>
  <si>
    <t>1401-08-05</t>
  </si>
  <si>
    <t>1401-08-06</t>
  </si>
  <si>
    <t>1401-08-07</t>
  </si>
  <si>
    <t>1401-08-08</t>
  </si>
  <si>
    <t>1401-08-09</t>
  </si>
  <si>
    <t>1401-08-10</t>
  </si>
  <si>
    <t>1401-08-11</t>
  </si>
  <si>
    <t>1401-08-12</t>
  </si>
  <si>
    <t>1401-08-13</t>
  </si>
  <si>
    <t>1401-08-15</t>
  </si>
  <si>
    <t>1401-08-16</t>
  </si>
  <si>
    <t>1401-08-17</t>
  </si>
  <si>
    <t>1401-08-18</t>
  </si>
  <si>
    <t>1401-08-19</t>
  </si>
  <si>
    <t>1401-08-20</t>
  </si>
  <si>
    <t>1401-08-21</t>
  </si>
  <si>
    <t>1401-08-22</t>
  </si>
  <si>
    <t>1401-08-23</t>
  </si>
  <si>
    <t>1401-08-24</t>
  </si>
  <si>
    <t>1401-08-25</t>
  </si>
  <si>
    <t>1401-08-26</t>
  </si>
  <si>
    <t>1401-08-27</t>
  </si>
  <si>
    <t>1401-08-28</t>
  </si>
  <si>
    <t>1401-08-29</t>
  </si>
  <si>
    <t>1401-08-30</t>
  </si>
  <si>
    <t>1401-09-01</t>
  </si>
  <si>
    <t>1401-09-02</t>
  </si>
  <si>
    <t>1401-09-03</t>
  </si>
  <si>
    <t>1401-09-04</t>
  </si>
  <si>
    <t>1401-09-05</t>
  </si>
  <si>
    <t>1401-09-06</t>
  </si>
  <si>
    <t>1401-09-07</t>
  </si>
  <si>
    <t>1401-09-08</t>
  </si>
  <si>
    <t>1401-09-09</t>
  </si>
  <si>
    <t>1401-09-10</t>
  </si>
  <si>
    <t>1401-09-11</t>
  </si>
  <si>
    <t>1401-09-12</t>
  </si>
  <si>
    <t>1401-09-13</t>
  </si>
  <si>
    <t>1401-09-15</t>
  </si>
  <si>
    <t>1401-09-16</t>
  </si>
  <si>
    <t>1401-09-17</t>
  </si>
  <si>
    <t>1401-09-18</t>
  </si>
  <si>
    <t>1401-09-19</t>
  </si>
  <si>
    <t>1401-09-20</t>
  </si>
  <si>
    <t>1401-09-21</t>
  </si>
  <si>
    <t>1401-09-22</t>
  </si>
  <si>
    <t>1401-09-23</t>
  </si>
  <si>
    <t>1401-09-24</t>
  </si>
  <si>
    <t>1401-09-25</t>
  </si>
  <si>
    <t>1401-09-26</t>
  </si>
  <si>
    <t>1401-09-27</t>
  </si>
  <si>
    <t>1401-09-28</t>
  </si>
  <si>
    <t>1401-09-29</t>
  </si>
  <si>
    <t>1401-09-30</t>
  </si>
  <si>
    <t>1401-10-01</t>
  </si>
  <si>
    <t>1401-10-02</t>
  </si>
  <si>
    <t>1401-10-03</t>
  </si>
  <si>
    <t>1401-10-04</t>
  </si>
  <si>
    <t>1401-10-05</t>
  </si>
  <si>
    <t>1401-10-06</t>
  </si>
  <si>
    <t>1401-10-07</t>
  </si>
  <si>
    <t>1401-10-08</t>
  </si>
  <si>
    <t>1401-10-09</t>
  </si>
  <si>
    <t>1401-10-10</t>
  </si>
  <si>
    <t>1401-10-11</t>
  </si>
  <si>
    <t>1401-10-12</t>
  </si>
  <si>
    <t>1401-10-13</t>
  </si>
  <si>
    <t>1401-10-15</t>
  </si>
  <si>
    <t>1401-10-16</t>
  </si>
  <si>
    <t>1401-10-17</t>
  </si>
  <si>
    <t>1401-10-18</t>
  </si>
  <si>
    <t>1401-10-19</t>
  </si>
  <si>
    <t>1401-10-20</t>
  </si>
  <si>
    <t>1401-10-21</t>
  </si>
  <si>
    <t>1401-10-22</t>
  </si>
  <si>
    <t>1401-10-23</t>
  </si>
  <si>
    <t>1401-10-24</t>
  </si>
  <si>
    <t>1401-10-25</t>
  </si>
  <si>
    <t>1401-10-26</t>
  </si>
  <si>
    <t>1401-10-27</t>
  </si>
  <si>
    <t>1401-10-28</t>
  </si>
  <si>
    <t>1401-10-29</t>
  </si>
  <si>
    <t>1401-10-30</t>
  </si>
  <si>
    <t>1401-11-01</t>
  </si>
  <si>
    <t>1401-11-02</t>
  </si>
  <si>
    <t>1401-11-03</t>
  </si>
  <si>
    <t>1401-11-04</t>
  </si>
  <si>
    <t>1401-11-05</t>
  </si>
  <si>
    <t>1401-11-06</t>
  </si>
  <si>
    <t>1401-11-07</t>
  </si>
  <si>
    <t>1401-11-08</t>
  </si>
  <si>
    <t>1401-11-09</t>
  </si>
  <si>
    <t>1401-11-10</t>
  </si>
  <si>
    <t>1401-11-11</t>
  </si>
  <si>
    <t>1401-11-12</t>
  </si>
  <si>
    <t>1401-11-13</t>
  </si>
  <si>
    <t>1401-11-15</t>
  </si>
  <si>
    <t>1401-11-16</t>
  </si>
  <si>
    <t>1401-11-17</t>
  </si>
  <si>
    <t>1401-11-18</t>
  </si>
  <si>
    <t>1401-11-19</t>
  </si>
  <si>
    <t>1401-11-20</t>
  </si>
  <si>
    <t>1401-11-21</t>
  </si>
  <si>
    <t>1401-11-22</t>
  </si>
  <si>
    <t>1401-11-23</t>
  </si>
  <si>
    <t>1401-11-24</t>
  </si>
  <si>
    <t>1401-11-25</t>
  </si>
  <si>
    <t>1401-11-26</t>
  </si>
  <si>
    <t>1401-11-27</t>
  </si>
  <si>
    <t>1401-11-28</t>
  </si>
  <si>
    <t>1401-11-29</t>
  </si>
  <si>
    <t>1401-11-30</t>
  </si>
  <si>
    <t>1401-12-01</t>
  </si>
  <si>
    <t>1401-12-02</t>
  </si>
  <si>
    <t>1401-12-03</t>
  </si>
  <si>
    <t>1401-12-04</t>
  </si>
  <si>
    <t>1401-12-05</t>
  </si>
  <si>
    <t>1401-12-06</t>
  </si>
  <si>
    <t>1401-12-07</t>
  </si>
  <si>
    <t>1401-12-08</t>
  </si>
  <si>
    <t>1401-12-09</t>
  </si>
  <si>
    <t>1401-12-10</t>
  </si>
  <si>
    <t>1401-12-11</t>
  </si>
  <si>
    <t>1401-12-12</t>
  </si>
  <si>
    <t>1401-12-13</t>
  </si>
  <si>
    <t>1401-12-15</t>
  </si>
  <si>
    <t>1401-12-16</t>
  </si>
  <si>
    <t>1401-12-17</t>
  </si>
  <si>
    <t>1401-12-18</t>
  </si>
  <si>
    <t>1401-12-19</t>
  </si>
  <si>
    <t>1401-12-20</t>
  </si>
  <si>
    <t>1401-12-21</t>
  </si>
  <si>
    <t>1401-12-22</t>
  </si>
  <si>
    <t>1401-12-23</t>
  </si>
  <si>
    <t>1401-12-24</t>
  </si>
  <si>
    <t>1401-12-25</t>
  </si>
  <si>
    <t>1401-12-26</t>
  </si>
  <si>
    <t>1401-12-27</t>
  </si>
  <si>
    <t>1401-12-28</t>
  </si>
  <si>
    <t>1401-12-29</t>
  </si>
  <si>
    <t>1402-01-01</t>
  </si>
  <si>
    <t>1402-01-02</t>
  </si>
  <si>
    <t>1402-01-03</t>
  </si>
  <si>
    <t>1402-01-04</t>
  </si>
  <si>
    <t>1402-01-05</t>
  </si>
  <si>
    <t>1402-01-06</t>
  </si>
  <si>
    <t>1402-01-07</t>
  </si>
  <si>
    <t>1402-01-08</t>
  </si>
  <si>
    <t>1402-01-09</t>
  </si>
  <si>
    <t>1402-01-10</t>
  </si>
  <si>
    <t>1402-01-11</t>
  </si>
  <si>
    <t>1402-01-12</t>
  </si>
  <si>
    <t>1402-01-13</t>
  </si>
  <si>
    <t>1402-01-15</t>
  </si>
  <si>
    <t>1402-01-16</t>
  </si>
  <si>
    <t>1402-01-17</t>
  </si>
  <si>
    <t>1402-01-18</t>
  </si>
  <si>
    <t>1402-01-19</t>
  </si>
  <si>
    <t>1402-01-20</t>
  </si>
  <si>
    <t>1402-01-21</t>
  </si>
  <si>
    <t>1402-01-22</t>
  </si>
  <si>
    <t>1402-01-23</t>
  </si>
  <si>
    <t>1402-01-24</t>
  </si>
  <si>
    <t>1402-01-25</t>
  </si>
  <si>
    <t>1402-01-26</t>
  </si>
  <si>
    <t>1402-01-27</t>
  </si>
  <si>
    <t>1402-01-28</t>
  </si>
  <si>
    <t>1402-01-29</t>
  </si>
  <si>
    <t>1402-01-30</t>
  </si>
  <si>
    <t>1402-01-31</t>
  </si>
  <si>
    <t>1402-02-01</t>
  </si>
  <si>
    <t>1402-02-02</t>
  </si>
  <si>
    <t>1402-02-03</t>
  </si>
  <si>
    <t>1402-02-04</t>
  </si>
  <si>
    <t>1402-02-05</t>
  </si>
  <si>
    <t>1402-02-06</t>
  </si>
  <si>
    <t>1402-02-07</t>
  </si>
  <si>
    <t>1402-02-08</t>
  </si>
  <si>
    <t>1402-02-09</t>
  </si>
  <si>
    <t>1402-02-10</t>
  </si>
  <si>
    <t>1402-02-11</t>
  </si>
  <si>
    <t>1402-02-12</t>
  </si>
  <si>
    <t>1402-02-13</t>
  </si>
  <si>
    <t>1402-02-15</t>
  </si>
  <si>
    <t>1402-02-16</t>
  </si>
  <si>
    <t>1402-02-17</t>
  </si>
  <si>
    <t>1402-02-18</t>
  </si>
  <si>
    <t>1402-02-19</t>
  </si>
  <si>
    <t>1402-02-20</t>
  </si>
  <si>
    <t>1402-02-21</t>
  </si>
  <si>
    <t>1402-02-22</t>
  </si>
  <si>
    <t>1402-02-23</t>
  </si>
  <si>
    <t>1402-02-24</t>
  </si>
  <si>
    <t>1402-02-25</t>
  </si>
  <si>
    <t>1402-02-26</t>
  </si>
  <si>
    <t>1402-02-27</t>
  </si>
  <si>
    <t>1402-02-28</t>
  </si>
  <si>
    <t>1402-02-29</t>
  </si>
  <si>
    <t>1402-02-30</t>
  </si>
  <si>
    <t>1402-02-31</t>
  </si>
  <si>
    <t>1402-03-01</t>
  </si>
  <si>
    <t>1402-03-02</t>
  </si>
  <si>
    <t>1402-03-03</t>
  </si>
  <si>
    <t>1402-03-04</t>
  </si>
  <si>
    <t>1402-03-05</t>
  </si>
  <si>
    <t>1402-03-06</t>
  </si>
  <si>
    <t>1402-03-07</t>
  </si>
  <si>
    <t>1402-03-08</t>
  </si>
  <si>
    <t>1402-03-09</t>
  </si>
  <si>
    <t>1402-03-10</t>
  </si>
  <si>
    <t>1402-03-11</t>
  </si>
  <si>
    <t>1402-03-12</t>
  </si>
  <si>
    <t>1402-03-13</t>
  </si>
  <si>
    <t>1402-03-15</t>
  </si>
  <si>
    <t>1402-03-16</t>
  </si>
  <si>
    <t>1402-03-17</t>
  </si>
  <si>
    <t>1402-03-18</t>
  </si>
  <si>
    <t>1402-03-19</t>
  </si>
  <si>
    <t>1402-03-20</t>
  </si>
  <si>
    <t>1402-03-21</t>
  </si>
  <si>
    <t>1402-03-22</t>
  </si>
  <si>
    <t>1402-03-23</t>
  </si>
  <si>
    <t>1402-03-24</t>
  </si>
  <si>
    <t>1402-03-25</t>
  </si>
  <si>
    <t>1402-03-26</t>
  </si>
  <si>
    <t>1402-03-27</t>
  </si>
  <si>
    <t>1402-03-28</t>
  </si>
  <si>
    <t>1402-03-29</t>
  </si>
  <si>
    <t>1402-03-30</t>
  </si>
  <si>
    <t>1402-03-31</t>
  </si>
  <si>
    <t>1402-04-01</t>
  </si>
  <si>
    <t>1402-04-02</t>
  </si>
  <si>
    <t>1402-04-03</t>
  </si>
  <si>
    <t>1402-04-04</t>
  </si>
  <si>
    <t>1402-04-05</t>
  </si>
  <si>
    <t>1402-04-06</t>
  </si>
  <si>
    <t>1402-04-07</t>
  </si>
  <si>
    <t>1402-04-08</t>
  </si>
  <si>
    <t>1402-04-09</t>
  </si>
  <si>
    <t>1402-04-10</t>
  </si>
  <si>
    <t>1402-04-11</t>
  </si>
  <si>
    <t>1402-04-12</t>
  </si>
  <si>
    <t>1402-04-13</t>
  </si>
  <si>
    <t>1402-04-15</t>
  </si>
  <si>
    <t>1402-04-16</t>
  </si>
  <si>
    <t>1402-04-17</t>
  </si>
  <si>
    <t>1402-04-18</t>
  </si>
  <si>
    <t>1402-04-19</t>
  </si>
  <si>
    <t>1402-04-20</t>
  </si>
  <si>
    <t>1402-04-21</t>
  </si>
  <si>
    <t>1402-04-22</t>
  </si>
  <si>
    <t>1402-04-23</t>
  </si>
  <si>
    <t>1402-04-24</t>
  </si>
  <si>
    <t>1402-04-25</t>
  </si>
  <si>
    <t>1402-04-26</t>
  </si>
  <si>
    <t>1402-04-27</t>
  </si>
  <si>
    <t>1402-04-28</t>
  </si>
  <si>
    <t>1402-04-29</t>
  </si>
  <si>
    <t>1402-04-30</t>
  </si>
  <si>
    <t>1402-04-31</t>
  </si>
  <si>
    <t>1402-05-01</t>
  </si>
  <si>
    <t>1402-05-02</t>
  </si>
  <si>
    <t>1402-05-03</t>
  </si>
  <si>
    <t>1402-05-04</t>
  </si>
  <si>
    <t>1402-05-05</t>
  </si>
  <si>
    <t>1402-05-06</t>
  </si>
  <si>
    <t>1402-05-07</t>
  </si>
  <si>
    <t>1402-05-08</t>
  </si>
  <si>
    <t>1402-05-09</t>
  </si>
  <si>
    <t>1402-05-10</t>
  </si>
  <si>
    <t>1402-05-11</t>
  </si>
  <si>
    <t>1402-05-12</t>
  </si>
  <si>
    <t>1402-05-13</t>
  </si>
  <si>
    <t>1402-05-15</t>
  </si>
  <si>
    <t>1402-05-16</t>
  </si>
  <si>
    <t>1402-05-17</t>
  </si>
  <si>
    <t>1402-05-18</t>
  </si>
  <si>
    <t>1402-05-19</t>
  </si>
  <si>
    <t>1402-05-20</t>
  </si>
  <si>
    <t>1402-05-21</t>
  </si>
  <si>
    <t>1402-05-22</t>
  </si>
  <si>
    <t>1402-05-23</t>
  </si>
  <si>
    <t>1402-05-24</t>
  </si>
  <si>
    <t>1402-05-25</t>
  </si>
  <si>
    <t>1402-05-26</t>
  </si>
  <si>
    <t>1402-05-27</t>
  </si>
  <si>
    <t>1402-05-28</t>
  </si>
  <si>
    <t>1402-05-29</t>
  </si>
  <si>
    <t>1402-05-30</t>
  </si>
  <si>
    <t>1402-05-31</t>
  </si>
  <si>
    <t>1402-06-01</t>
  </si>
  <si>
    <t>1402-06-02</t>
  </si>
  <si>
    <t>1402-06-03</t>
  </si>
  <si>
    <t>1402-06-04</t>
  </si>
  <si>
    <t>1402-06-05</t>
  </si>
  <si>
    <t>1402-06-06</t>
  </si>
  <si>
    <t>1402-06-07</t>
  </si>
  <si>
    <t>1402-06-08</t>
  </si>
  <si>
    <t>1402-06-09</t>
  </si>
  <si>
    <t>1402-06-10</t>
  </si>
  <si>
    <t>1402-06-11</t>
  </si>
  <si>
    <t>1402-06-12</t>
  </si>
  <si>
    <t>1402-06-13</t>
  </si>
  <si>
    <t>1402-06-14</t>
  </si>
  <si>
    <t>1402-06-15</t>
  </si>
  <si>
    <t>1402-06-16</t>
  </si>
  <si>
    <t>1402-06-17</t>
  </si>
  <si>
    <t>1402-06-18</t>
  </si>
  <si>
    <t>1402-06-19</t>
  </si>
  <si>
    <t>1402-06-20</t>
  </si>
  <si>
    <t>1402-06-21</t>
  </si>
  <si>
    <t>1402-06-22</t>
  </si>
  <si>
    <t>1402-06-23</t>
  </si>
  <si>
    <t>1402-06-24</t>
  </si>
  <si>
    <t>1402-06-25</t>
  </si>
  <si>
    <t>1402-06-26</t>
  </si>
  <si>
    <t>1402-06-27</t>
  </si>
  <si>
    <t>1402-06-28</t>
  </si>
  <si>
    <t>1402-06-29</t>
  </si>
  <si>
    <t>1402-06-30</t>
  </si>
  <si>
    <t>1402-06-31</t>
  </si>
  <si>
    <t>1402-07-01</t>
  </si>
  <si>
    <t>1402-07-02</t>
  </si>
  <si>
    <t>1402-07-03</t>
  </si>
  <si>
    <t>1402-07-04</t>
  </si>
  <si>
    <t>1402-07-05</t>
  </si>
  <si>
    <t>1402-07-06</t>
  </si>
  <si>
    <t>1402-07-07</t>
  </si>
  <si>
    <t>1402-07-08</t>
  </si>
  <si>
    <t>1402-07-09</t>
  </si>
  <si>
    <t>1402-07-10</t>
  </si>
  <si>
    <t>1402-07-11</t>
  </si>
  <si>
    <t>1402-07-12</t>
  </si>
  <si>
    <t>1402-07-13</t>
  </si>
  <si>
    <t>1402-07-14</t>
  </si>
  <si>
    <t>1402-07-15</t>
  </si>
  <si>
    <t>1402-07-16</t>
  </si>
  <si>
    <t>1402-07-17</t>
  </si>
  <si>
    <t>1402-07-18</t>
  </si>
  <si>
    <t>1402-07-19</t>
  </si>
  <si>
    <t>1402-07-20</t>
  </si>
  <si>
    <t>1402-07-21</t>
  </si>
  <si>
    <t>1402-07-22</t>
  </si>
  <si>
    <t>1402-07-23</t>
  </si>
  <si>
    <t>1402-07-24</t>
  </si>
  <si>
    <t>1402-07-25</t>
  </si>
  <si>
    <t>1402-07-26</t>
  </si>
  <si>
    <t>1402-07-27</t>
  </si>
  <si>
    <t>1402-07-28</t>
  </si>
  <si>
    <t>1402-07-29</t>
  </si>
  <si>
    <t>1402-07-30</t>
  </si>
  <si>
    <t>1402-08-01</t>
  </si>
  <si>
    <t>1402-08-02</t>
  </si>
  <si>
    <t>1402-08-03</t>
  </si>
  <si>
    <t>1402-08-04</t>
  </si>
  <si>
    <t>1402-08-05</t>
  </si>
  <si>
    <t>1402-08-06</t>
  </si>
  <si>
    <t>1402-08-07</t>
  </si>
  <si>
    <t>1402-08-08</t>
  </si>
  <si>
    <t>1402-08-09</t>
  </si>
  <si>
    <t>1402-08-10</t>
  </si>
  <si>
    <t>1402-08-11</t>
  </si>
  <si>
    <t>1402-08-12</t>
  </si>
  <si>
    <t>1402-08-13</t>
  </si>
  <si>
    <t>1402-08-14</t>
  </si>
  <si>
    <t>1402-08-15</t>
  </si>
  <si>
    <t>1402-08-16</t>
  </si>
  <si>
    <t>1402-08-17</t>
  </si>
  <si>
    <t>1402-08-18</t>
  </si>
  <si>
    <t>1402-08-19</t>
  </si>
  <si>
    <t>1402-08-20</t>
  </si>
  <si>
    <t>1402-08-21</t>
  </si>
  <si>
    <t>1402-08-22</t>
  </si>
  <si>
    <t>1402-08-23</t>
  </si>
  <si>
    <t>1402-08-24</t>
  </si>
  <si>
    <t>1402-08-25</t>
  </si>
  <si>
    <t>1402-08-26</t>
  </si>
  <si>
    <t>1402-08-27</t>
  </si>
  <si>
    <t>1402-08-28</t>
  </si>
  <si>
    <t>1402-08-29</t>
  </si>
  <si>
    <t>1402-08-30</t>
  </si>
  <si>
    <t>1402-09-01</t>
  </si>
  <si>
    <t>1402-09-02</t>
  </si>
  <si>
    <t>1402-09-03</t>
  </si>
  <si>
    <t>1402-09-04</t>
  </si>
  <si>
    <t>1402-09-05</t>
  </si>
  <si>
    <t>1402-09-06</t>
  </si>
  <si>
    <t>1402-09-07</t>
  </si>
  <si>
    <t>1402-09-08</t>
  </si>
  <si>
    <t>1402-09-09</t>
  </si>
  <si>
    <t>1402-09-10</t>
  </si>
  <si>
    <t>1402-09-11</t>
  </si>
  <si>
    <t>1402-09-12</t>
  </si>
  <si>
    <t>1402-09-13</t>
  </si>
  <si>
    <t>1402-09-14</t>
  </si>
  <si>
    <t>1402-09-15</t>
  </si>
  <si>
    <t>1402-09-16</t>
  </si>
  <si>
    <t>1402-09-17</t>
  </si>
  <si>
    <t>1402-09-18</t>
  </si>
  <si>
    <t>1402-09-19</t>
  </si>
  <si>
    <t>1402-09-20</t>
  </si>
  <si>
    <t>1402-09-21</t>
  </si>
  <si>
    <t>1402-09-22</t>
  </si>
  <si>
    <t>1402-09-23</t>
  </si>
  <si>
    <t>1402-09-24</t>
  </si>
  <si>
    <t>1402-09-25</t>
  </si>
  <si>
    <t>1402-09-26</t>
  </si>
  <si>
    <t>1402-09-27</t>
  </si>
  <si>
    <t>1402-09-28</t>
  </si>
  <si>
    <t>1402-09-29</t>
  </si>
  <si>
    <t>1402-09-30</t>
  </si>
  <si>
    <t>1402-10-01</t>
  </si>
  <si>
    <t>1402-10-02</t>
  </si>
  <si>
    <t>1402-10-03</t>
  </si>
  <si>
    <t>1402-10-04</t>
  </si>
  <si>
    <t>1402-10-05</t>
  </si>
  <si>
    <t>1402-10-06</t>
  </si>
  <si>
    <t>1402-10-07</t>
  </si>
  <si>
    <t>1402-10-08</t>
  </si>
  <si>
    <t>1402-10-09</t>
  </si>
  <si>
    <t>1402-10-10</t>
  </si>
  <si>
    <t>1402-10-11</t>
  </si>
  <si>
    <t>1402-10-12</t>
  </si>
  <si>
    <t>1402-10-13</t>
  </si>
  <si>
    <t>1402-10-14</t>
  </si>
  <si>
    <t>1402-10-15</t>
  </si>
  <si>
    <t>1402-10-16</t>
  </si>
  <si>
    <t>1402-10-17</t>
  </si>
  <si>
    <t>1402-10-18</t>
  </si>
  <si>
    <t>1402-10-19</t>
  </si>
  <si>
    <t>1402-10-20</t>
  </si>
  <si>
    <t>1402-10-21</t>
  </si>
  <si>
    <t>1402-10-22</t>
  </si>
  <si>
    <t>1402-10-23</t>
  </si>
  <si>
    <t>1402-10-24</t>
  </si>
  <si>
    <t>1402-10-25</t>
  </si>
  <si>
    <t>1402-10-26</t>
  </si>
  <si>
    <t>1402-10-27</t>
  </si>
  <si>
    <t>1402-10-28</t>
  </si>
  <si>
    <t>1402-10-29</t>
  </si>
  <si>
    <t>1402-10-30</t>
  </si>
  <si>
    <t>1402-11-01</t>
  </si>
  <si>
    <t>1402-11-02</t>
  </si>
  <si>
    <t>1402-11-03</t>
  </si>
  <si>
    <t>1402-11-04</t>
  </si>
  <si>
    <t>1402-11-05</t>
  </si>
  <si>
    <t>1402-11-06</t>
  </si>
  <si>
    <t>1402-11-07</t>
  </si>
  <si>
    <t>1402-11-08</t>
  </si>
  <si>
    <t>1402-11-09</t>
  </si>
  <si>
    <t>1402-11-10</t>
  </si>
  <si>
    <t>1402-11-11</t>
  </si>
  <si>
    <t>1402-11-12</t>
  </si>
  <si>
    <t>1402-11-13</t>
  </si>
  <si>
    <t>1402-11-14</t>
  </si>
  <si>
    <t>1402-11-15</t>
  </si>
  <si>
    <t>1402-11-16</t>
  </si>
  <si>
    <t>1402-11-17</t>
  </si>
  <si>
    <t>1402-11-18</t>
  </si>
  <si>
    <t>1402-11-19</t>
  </si>
  <si>
    <t>1402-11-20</t>
  </si>
  <si>
    <t>1402-11-21</t>
  </si>
  <si>
    <t>1402-11-22</t>
  </si>
  <si>
    <t>1402-11-23</t>
  </si>
  <si>
    <t>1402-11-24</t>
  </si>
  <si>
    <t>1402-11-25</t>
  </si>
  <si>
    <t>1402-11-26</t>
  </si>
  <si>
    <t>1402-11-27</t>
  </si>
  <si>
    <t>1402-11-28</t>
  </si>
  <si>
    <t>1402-11-29</t>
  </si>
  <si>
    <t>1402-11-30</t>
  </si>
  <si>
    <t>1402-12-01</t>
  </si>
  <si>
    <t>1402-12-02</t>
  </si>
  <si>
    <t>1402-12-03</t>
  </si>
  <si>
    <t>1402-12-04</t>
  </si>
  <si>
    <t>1402-12-05</t>
  </si>
  <si>
    <t>1402-12-06</t>
  </si>
  <si>
    <t>1402-12-07</t>
  </si>
  <si>
    <t>1402-12-08</t>
  </si>
  <si>
    <t>1402-12-09</t>
  </si>
  <si>
    <t>1402-12-10</t>
  </si>
  <si>
    <t>1402-12-11</t>
  </si>
  <si>
    <t>1402-12-12</t>
  </si>
  <si>
    <t>1402-12-13</t>
  </si>
  <si>
    <t>1402-12-14</t>
  </si>
  <si>
    <t>1402-12-15</t>
  </si>
  <si>
    <t>1402-12-16</t>
  </si>
  <si>
    <t>1402-12-17</t>
  </si>
  <si>
    <t>1402-12-18</t>
  </si>
  <si>
    <t>1402-12-19</t>
  </si>
  <si>
    <t>1402-12-20</t>
  </si>
  <si>
    <t>1402-12-21</t>
  </si>
  <si>
    <t>1402-12-22</t>
  </si>
  <si>
    <t>1402-12-23</t>
  </si>
  <si>
    <t>1402-12-24</t>
  </si>
  <si>
    <t>1402-12-25</t>
  </si>
  <si>
    <t>1402-12-26</t>
  </si>
  <si>
    <t>1402-12-27</t>
  </si>
  <si>
    <t>1402-12-28</t>
  </si>
  <si>
    <t>1402-12-29</t>
  </si>
  <si>
    <t>درآمد</t>
  </si>
  <si>
    <t>اسنپ</t>
  </si>
  <si>
    <t>درآمد تتا</t>
  </si>
  <si>
    <t>پرداخت بدهی</t>
  </si>
  <si>
    <t>هزینه وصول مطالبات</t>
  </si>
  <si>
    <t>سرفصل</t>
  </si>
  <si>
    <t>حساب</t>
  </si>
  <si>
    <t>گروه حساب</t>
  </si>
  <si>
    <t>سرفصل حساب</t>
  </si>
  <si>
    <t>وام بانکی</t>
  </si>
  <si>
    <t>وام شرکت</t>
  </si>
  <si>
    <t>بیمه عمر</t>
  </si>
  <si>
    <t>وام خانگی</t>
  </si>
  <si>
    <t>قبض</t>
  </si>
  <si>
    <t>حمل و نقل</t>
  </si>
  <si>
    <t>اغذیه</t>
  </si>
  <si>
    <t>سلامت</t>
  </si>
  <si>
    <t>پوشاک</t>
  </si>
  <si>
    <t>لوازم</t>
  </si>
  <si>
    <t>کلی</t>
  </si>
  <si>
    <t>3.2.6</t>
  </si>
  <si>
    <t>تعمیرات خودرو</t>
  </si>
  <si>
    <t>نگهداری خودرو</t>
  </si>
  <si>
    <t>بنزین خودرو</t>
  </si>
  <si>
    <t>ماه سال</t>
  </si>
  <si>
    <t>1401-01</t>
  </si>
  <si>
    <t>1401-02</t>
  </si>
  <si>
    <t>1401-03</t>
  </si>
  <si>
    <t>1401-04</t>
  </si>
  <si>
    <t>1401-05</t>
  </si>
  <si>
    <t>1401-06</t>
  </si>
  <si>
    <t>1401-07</t>
  </si>
  <si>
    <t>1401-08</t>
  </si>
  <si>
    <t>1401-09</t>
  </si>
  <si>
    <t>1401-10</t>
  </si>
  <si>
    <t>1401-11</t>
  </si>
  <si>
    <t>1401-12</t>
  </si>
  <si>
    <t>1402-01</t>
  </si>
  <si>
    <t>1402-02</t>
  </si>
  <si>
    <t>1402-03</t>
  </si>
  <si>
    <t>1402-04</t>
  </si>
  <si>
    <t>1402-05</t>
  </si>
  <si>
    <t>1402-06</t>
  </si>
  <si>
    <t>1402-07</t>
  </si>
  <si>
    <t>1402-08</t>
  </si>
  <si>
    <t>1402-09</t>
  </si>
  <si>
    <t>1402-10</t>
  </si>
  <si>
    <t>1402-11</t>
  </si>
  <si>
    <t>1402-12</t>
  </si>
  <si>
    <t>نام ماه</t>
  </si>
  <si>
    <t>1.1</t>
  </si>
  <si>
    <t>1.2</t>
  </si>
  <si>
    <t>1.3</t>
  </si>
  <si>
    <t>1.4</t>
  </si>
  <si>
    <t>2.1</t>
  </si>
  <si>
    <t>2.2</t>
  </si>
  <si>
    <t>2.3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</si>
  <si>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</si>
  <si>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</si>
  <si>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</si>
  <si>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</si>
  <si>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</si>
  <si>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</si>
  <si>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</si>
  <si>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</si>
  <si>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</si>
  <si>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4.1</t>
  </si>
  <si>
    <t>4.3</t>
  </si>
  <si>
    <t>5.1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</si>
  <si>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</si>
  <si>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</si>
  <si>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</si>
  <si>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</si>
  <si>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</si>
  <si>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</si>
  <si>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</si>
  <si>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</si>
  <si>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</si>
  <si>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</si>
  <si>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</si>
  <si>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</si>
  <si>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پرداخت</t>
  </si>
  <si>
    <t>دریافت</t>
  </si>
  <si>
    <t>وصول مطالبات</t>
  </si>
  <si>
    <t>1.5.1</t>
  </si>
  <si>
    <t>1.5</t>
  </si>
  <si>
    <t>شست و شوی فرش</t>
  </si>
  <si>
    <t>نوع</t>
  </si>
  <si>
    <t>پرداخت وام خانگی</t>
  </si>
  <si>
    <t>خرید کالا</t>
  </si>
  <si>
    <t>6.1.1</t>
  </si>
  <si>
    <t>6.1</t>
  </si>
  <si>
    <t>سود سرمایه</t>
  </si>
  <si>
    <t>4.2</t>
  </si>
  <si>
    <t>درآمد کار</t>
  </si>
  <si>
    <t>4.2.1</t>
  </si>
  <si>
    <t>4.2.2</t>
  </si>
  <si>
    <t>6.1.2</t>
  </si>
  <si>
    <t>بدهی نقدی</t>
  </si>
  <si>
    <t>افزایش سرمایه</t>
  </si>
  <si>
    <t>افزایش بدهی</t>
  </si>
  <si>
    <t>5.2.1</t>
  </si>
  <si>
    <t>5.2</t>
  </si>
  <si>
    <t>دریافت قرض</t>
  </si>
  <si>
    <t>هفته</t>
  </si>
  <si>
    <t>هفته
ماه</t>
  </si>
  <si>
    <t>بدهکارم</t>
  </si>
  <si>
    <t>بستانکارم</t>
  </si>
  <si>
    <t>لوازم آرایش و زیورآلات</t>
  </si>
  <si>
    <t>3.2.7</t>
  </si>
  <si>
    <t>مسافرت</t>
  </si>
  <si>
    <t>افتتاحیه واقعی</t>
  </si>
  <si>
    <t>انجام ناقص</t>
  </si>
  <si>
    <t>5.2.2</t>
  </si>
  <si>
    <t>وام گرفتن</t>
  </si>
  <si>
    <t>درآمدن قرعه 18 میلیونی</t>
  </si>
  <si>
    <t>تعداد تراکنش انجام شده</t>
  </si>
  <si>
    <t>3.7.3</t>
  </si>
  <si>
    <t>ورزش،مطالعه،سرگرمی</t>
  </si>
  <si>
    <t>کتاب</t>
  </si>
  <si>
    <t>لوازم التحریر</t>
  </si>
  <si>
    <t>3.7.4</t>
  </si>
  <si>
    <t>اتوماتیک</t>
  </si>
  <si>
    <t>3.1.7</t>
  </si>
  <si>
    <t>4.2.3</t>
  </si>
  <si>
    <t>هفته سال</t>
  </si>
  <si>
    <t>3.6.2</t>
  </si>
  <si>
    <t>صدقه</t>
  </si>
  <si>
    <t>تراکنش برنامه ریزی شده</t>
  </si>
  <si>
    <t>3.7.5</t>
  </si>
  <si>
    <t>3.9.3</t>
  </si>
  <si>
    <t>تحصیل</t>
  </si>
  <si>
    <t>5.2.3</t>
  </si>
  <si>
    <t>تقسیط بدهی</t>
  </si>
  <si>
    <t>5041.7210.5953.7366</t>
  </si>
  <si>
    <t>منیر کاظمی</t>
  </si>
  <si>
    <t>IR610700001000116320043001</t>
  </si>
  <si>
    <t>رسالت</t>
  </si>
  <si>
    <t>کارت</t>
  </si>
  <si>
    <t>5.2.4</t>
  </si>
  <si>
    <t>خرید قسطی</t>
  </si>
  <si>
    <t>98/10</t>
  </si>
  <si>
    <t>2733</t>
  </si>
  <si>
    <t>116.50.985</t>
  </si>
  <si>
    <t>S46287590j</t>
  </si>
  <si>
    <t>سپه جاری طلایی</t>
  </si>
  <si>
    <t>ملی جاری</t>
  </si>
  <si>
    <t>انصار جاری</t>
  </si>
  <si>
    <t>ملی سپرده</t>
  </si>
  <si>
    <t>سپه رسالت</t>
  </si>
  <si>
    <t>4.3.1</t>
  </si>
  <si>
    <t>انصار پس انداز</t>
  </si>
  <si>
    <t>جاری</t>
  </si>
  <si>
    <t>سپرده</t>
  </si>
  <si>
    <t>پس انداز</t>
  </si>
  <si>
    <t>s0383724961</t>
  </si>
  <si>
    <t>IR72-0120-0200-0000-5352-3493-57</t>
  </si>
  <si>
    <t>6104.3375.4566.2999</t>
  </si>
  <si>
    <t>گوشت قرمز و برنج</t>
  </si>
  <si>
    <t>مبلغ براورد</t>
  </si>
  <si>
    <t>3.3.4</t>
  </si>
  <si>
    <t>برج</t>
  </si>
  <si>
    <t>مهرایران</t>
  </si>
  <si>
    <t>قرض الحسنه</t>
  </si>
  <si>
    <t>1185-302-871-608</t>
  </si>
  <si>
    <t>مانده قابل برداشت بانک</t>
  </si>
  <si>
    <t>مانده بانک</t>
  </si>
  <si>
    <t>IR17-0600-3023-7000-7433-6260-01
170600302370007433626001</t>
  </si>
  <si>
    <t>ورزش مهدی</t>
  </si>
  <si>
    <t>IR35-0630-1834-7010-9558-8790-01
350630183470109558879001</t>
  </si>
  <si>
    <t>1834-701-9558-879-1</t>
  </si>
  <si>
    <t>IR41-0170-0000-0010-2061-4290-09
410170000000102061429009</t>
  </si>
  <si>
    <t>IR50-0180-0000-0000-3528-5135-80
500180000000003528513580</t>
  </si>
  <si>
    <t>IR23-0150-0000-0175-6300-9801-06
230150000001756300980106</t>
  </si>
  <si>
    <t>IR96-0630-3510-0400-9558-8790-01
960630351004009558879001</t>
  </si>
  <si>
    <t>IR87-0620-0000-0020-1425-1820-04
870620000000201425182004</t>
  </si>
  <si>
    <t>ملی</t>
  </si>
  <si>
    <t>6063.7310.7325.2497
6063731073252497</t>
  </si>
  <si>
    <t>6362.1410.7024.0040
6362141070240040</t>
  </si>
  <si>
    <t>5041721059537366</t>
  </si>
  <si>
    <t>جابجایی وجه</t>
  </si>
  <si>
    <t>تامین چک</t>
  </si>
  <si>
    <t>ملی فاطمه</t>
  </si>
  <si>
    <t>6037.9917.5724.8681
6037991757248681</t>
  </si>
  <si>
    <t>1403/09</t>
  </si>
  <si>
    <t>1944</t>
  </si>
  <si>
    <t>IR53-0170-0000-0036-0121-7060-06
530170000000360121706006</t>
  </si>
  <si>
    <t>6273.8111.0028.1929
6273811100281929</t>
  </si>
  <si>
    <t>0360121706006
6305159952004 وام</t>
  </si>
  <si>
    <t>3.1.8</t>
  </si>
  <si>
    <t>سود وام</t>
  </si>
  <si>
    <t>وام ملی فاطمه</t>
  </si>
  <si>
    <t>1.1.3</t>
  </si>
  <si>
    <t>قسط وام بانکی</t>
  </si>
  <si>
    <t>قسط آخر مبلغ دقیق نیست</t>
  </si>
  <si>
    <t>نیابتی</t>
  </si>
  <si>
    <t>1704842908 قضاییه</t>
  </si>
  <si>
    <t>5425 refahi.ir</t>
  </si>
  <si>
    <t>0383724961 كد ملي</t>
  </si>
  <si>
    <t>1675869711 كدپستي</t>
  </si>
  <si>
    <t>0385174691 كد ملي فاطمه</t>
  </si>
  <si>
    <t>88083790600 شماره دانشجويي</t>
  </si>
  <si>
    <t>0201804018 هاني</t>
  </si>
  <si>
    <t>0252856775 حافظ</t>
  </si>
  <si>
    <t>0385174691 کد ملی فاطمه بهره مند</t>
  </si>
  <si>
    <t>0384361129 بابا کد ملی</t>
  </si>
  <si>
    <t>NAS821100J1167753 تیبا 2</t>
  </si>
  <si>
    <t>UnM7uY4eG</t>
  </si>
  <si>
    <t xml:space="preserve"> </t>
  </si>
  <si>
    <t>5425 شناسه رفاهي</t>
  </si>
  <si>
    <t>۱۷۸۸۷۳۲۴۸۲ شماره پیگیری کارت ملی</t>
  </si>
  <si>
    <t>۸۳۶۲۴۷ شماره پیگیری بانک</t>
  </si>
  <si>
    <t>3.7.6</t>
  </si>
  <si>
    <t>سینما</t>
  </si>
  <si>
    <t>5892.1011.0906.8946
5892101109068946</t>
  </si>
  <si>
    <t>سیدجعفر سیدی</t>
  </si>
  <si>
    <t>IR۲۴۰۱۲۰۰۲۰۰۰۰۰۰۰۶۰۲۵۲۳۹۶۴</t>
  </si>
  <si>
    <t>6104.3374.7660.9175</t>
  </si>
  <si>
    <t>6104337476609175</t>
  </si>
  <si>
    <t>6.1.3</t>
  </si>
  <si>
    <t>پرداخت نیابتی</t>
  </si>
  <si>
    <t>تزیینات برج</t>
  </si>
  <si>
    <t>3.8.2</t>
  </si>
  <si>
    <t>3.7.7</t>
  </si>
  <si>
    <t>کلاس زبان</t>
  </si>
  <si>
    <t>5022.2910.6263.2888</t>
  </si>
  <si>
    <t>5022291062632888</t>
  </si>
  <si>
    <t>قاصدی</t>
  </si>
  <si>
    <t>قسط وام خانگی</t>
  </si>
  <si>
    <t>3.9.9</t>
  </si>
  <si>
    <t>پیش بینی هزینه</t>
  </si>
  <si>
    <t>مهرایران فاطمه</t>
  </si>
  <si>
    <t>6063.7310.7564.1952
6063731075641952</t>
  </si>
  <si>
    <t>466</t>
  </si>
  <si>
    <t>IR17-0600-3023-7000-7722-8380-01
170600302370007722838001</t>
  </si>
  <si>
    <t>rp2012981zsn19966</t>
  </si>
  <si>
    <t>کد پیگیری سازمان نظام صنفی</t>
  </si>
  <si>
    <t>IR93-0700-0010-0011-7834-0580-01
930700001000117834058001</t>
  </si>
  <si>
    <t>5041.7210.7987.5473
5041721079875473</t>
  </si>
  <si>
    <t>376</t>
  </si>
  <si>
    <t>1403/12</t>
  </si>
  <si>
    <t>بورس</t>
  </si>
  <si>
    <t>2.4</t>
  </si>
  <si>
    <t>0</t>
  </si>
  <si>
    <t>21032018 شماره عضویت در سازمان نصر</t>
  </si>
  <si>
    <t>3.1.9</t>
  </si>
  <si>
    <t>قبوض</t>
  </si>
  <si>
    <t>ض م.ا. فاطمه</t>
  </si>
  <si>
    <t>ضمانت وام مهرایران فاطمه</t>
  </si>
  <si>
    <t>کد معاملاتی : سید33655</t>
  </si>
  <si>
    <t>شماره کانون : 1032436</t>
  </si>
  <si>
    <t>1404/03</t>
  </si>
  <si>
    <t>IR24-0120-0200-0000-0602-5239-64</t>
  </si>
  <si>
    <t>Column1</t>
  </si>
  <si>
    <t>5.2.5</t>
  </si>
  <si>
    <t>خرید چکی</t>
  </si>
  <si>
    <t>حواله پرداخت/برداشت</t>
  </si>
  <si>
    <t>رسید دریافت/واریز</t>
  </si>
  <si>
    <t>کارمزد و ضرر سهام</t>
  </si>
  <si>
    <t>4.1.3</t>
  </si>
  <si>
    <t>وام طلا</t>
  </si>
  <si>
    <t>1.4.3</t>
  </si>
  <si>
    <t>سود قسط</t>
  </si>
  <si>
    <t>3.6.3</t>
  </si>
  <si>
    <t>خمس</t>
  </si>
  <si>
    <t>درودگران</t>
  </si>
  <si>
    <t>درودگران فاطمه</t>
  </si>
  <si>
    <t>صندوق</t>
  </si>
  <si>
    <t>3023.700.7433626.1
3023.101.7433626.1</t>
  </si>
  <si>
    <t>2123</t>
  </si>
  <si>
    <t>وام ملت</t>
  </si>
  <si>
    <t>وام محبوبه</t>
  </si>
  <si>
    <t>وام محبوبه - سود</t>
  </si>
  <si>
    <t>وام ملت - سود</t>
  </si>
  <si>
    <t>وام ملی ف</t>
  </si>
  <si>
    <t>وام ملی ف - سود</t>
  </si>
  <si>
    <t>وام مهرایران ف</t>
  </si>
  <si>
    <t>وام درودگران ف</t>
  </si>
  <si>
    <t>وام ملت ف</t>
  </si>
  <si>
    <t>وام درودگران ف - سود</t>
  </si>
  <si>
    <t>وام ملت ف - سود</t>
  </si>
  <si>
    <t>بورس مادرخانم</t>
  </si>
  <si>
    <t>بدهی</t>
  </si>
  <si>
    <t>طلب</t>
  </si>
  <si>
    <t>3023.700.7722838.1
3023.134.7722838.1</t>
  </si>
  <si>
    <t>3023.134.7722838.1</t>
  </si>
  <si>
    <t>وام ملی</t>
  </si>
  <si>
    <t>وام ملی - سود</t>
  </si>
  <si>
    <t>وام طلا - سود</t>
  </si>
  <si>
    <t xml:space="preserve">صندوق چک </t>
  </si>
  <si>
    <t>4.1.2</t>
  </si>
  <si>
    <t>4.1.4</t>
  </si>
  <si>
    <t>4.1.5</t>
  </si>
  <si>
    <t>4.1.6</t>
  </si>
  <si>
    <t>تسویه طلا</t>
  </si>
  <si>
    <t>ملت ف</t>
  </si>
  <si>
    <t>1403-01-03</t>
  </si>
  <si>
    <t>1403-02-03</t>
  </si>
  <si>
    <t>1403-03-03</t>
  </si>
  <si>
    <t>1403-01</t>
  </si>
  <si>
    <t>1403-02</t>
  </si>
  <si>
    <t>1403-03</t>
  </si>
  <si>
    <t>1403-04</t>
  </si>
  <si>
    <t>1403-05</t>
  </si>
  <si>
    <t>1403-06</t>
  </si>
  <si>
    <t>1403-07</t>
  </si>
  <si>
    <t>1403-08</t>
  </si>
  <si>
    <t>1403-09</t>
  </si>
  <si>
    <t>1403-10</t>
  </si>
  <si>
    <t>1403-11</t>
  </si>
  <si>
    <t>1403-12</t>
  </si>
  <si>
    <t>1403-01-01</t>
  </si>
  <si>
    <t>1403-01-02</t>
  </si>
  <si>
    <t>1403-01-04</t>
  </si>
  <si>
    <t>1403-01-05</t>
  </si>
  <si>
    <t>1403-01-06</t>
  </si>
  <si>
    <t>1403-01-07</t>
  </si>
  <si>
    <t>1403-01-08</t>
  </si>
  <si>
    <t>1403-01-09</t>
  </si>
  <si>
    <t>1403-01-10</t>
  </si>
  <si>
    <t>1403-01-11</t>
  </si>
  <si>
    <t>1403-01-12</t>
  </si>
  <si>
    <t>1403-01-13</t>
  </si>
  <si>
    <t>1403-01-14</t>
  </si>
  <si>
    <t>1403-01-15</t>
  </si>
  <si>
    <t>1403-01-16</t>
  </si>
  <si>
    <t>1403-01-17</t>
  </si>
  <si>
    <t>1403-01-18</t>
  </si>
  <si>
    <t>1403-01-19</t>
  </si>
  <si>
    <t>1403-01-20</t>
  </si>
  <si>
    <t>1403-01-21</t>
  </si>
  <si>
    <t>1403-01-22</t>
  </si>
  <si>
    <t>1403-01-23</t>
  </si>
  <si>
    <t>1403-01-24</t>
  </si>
  <si>
    <t>1403-01-25</t>
  </si>
  <si>
    <t>1403-01-26</t>
  </si>
  <si>
    <t>1403-01-27</t>
  </si>
  <si>
    <t>1403-01-28</t>
  </si>
  <si>
    <t>1403-01-29</t>
  </si>
  <si>
    <t>1403-01-30</t>
  </si>
  <si>
    <t>1403-01-31</t>
  </si>
  <si>
    <t>1403-02-01</t>
  </si>
  <si>
    <t>1403-02-02</t>
  </si>
  <si>
    <t>1403-02-04</t>
  </si>
  <si>
    <t>1403-02-05</t>
  </si>
  <si>
    <t>1403-02-06</t>
  </si>
  <si>
    <t>1403-02-07</t>
  </si>
  <si>
    <t>1403-02-08</t>
  </si>
  <si>
    <t>1403-02-09</t>
  </si>
  <si>
    <t>1403-02-10</t>
  </si>
  <si>
    <t>1403-02-11</t>
  </si>
  <si>
    <t>1403-02-12</t>
  </si>
  <si>
    <t>1403-02-13</t>
  </si>
  <si>
    <t>1403-02-14</t>
  </si>
  <si>
    <t>1403-02-15</t>
  </si>
  <si>
    <t>1403-02-16</t>
  </si>
  <si>
    <t>1403-02-17</t>
  </si>
  <si>
    <t>1403-02-18</t>
  </si>
  <si>
    <t>1403-02-19</t>
  </si>
  <si>
    <t>1403-02-20</t>
  </si>
  <si>
    <t>1403-02-21</t>
  </si>
  <si>
    <t>1403-02-22</t>
  </si>
  <si>
    <t>1403-02-23</t>
  </si>
  <si>
    <t>1403-02-24</t>
  </si>
  <si>
    <t>1403-02-25</t>
  </si>
  <si>
    <t>1403-02-26</t>
  </si>
  <si>
    <t>1403-02-27</t>
  </si>
  <si>
    <t>1403-02-28</t>
  </si>
  <si>
    <t>1403-02-29</t>
  </si>
  <si>
    <t>1403-02-30</t>
  </si>
  <si>
    <t>1403-02-31</t>
  </si>
  <si>
    <t>1403-03-01</t>
  </si>
  <si>
    <t>1403-03-02</t>
  </si>
  <si>
    <t>1403-03-04</t>
  </si>
  <si>
    <t>1403-03-05</t>
  </si>
  <si>
    <t>1403-03-06</t>
  </si>
  <si>
    <t>1403-03-07</t>
  </si>
  <si>
    <t>1403-03-08</t>
  </si>
  <si>
    <t>1403-03-09</t>
  </si>
  <si>
    <t>1403-03-10</t>
  </si>
  <si>
    <t>1403-03-11</t>
  </si>
  <si>
    <t>1403-03-12</t>
  </si>
  <si>
    <t>1403-03-13</t>
  </si>
  <si>
    <t>1403-03-14</t>
  </si>
  <si>
    <t>1403-03-15</t>
  </si>
  <si>
    <t>1403-03-16</t>
  </si>
  <si>
    <t>1403-03-17</t>
  </si>
  <si>
    <t>1403-03-18</t>
  </si>
  <si>
    <t>1403-03-19</t>
  </si>
  <si>
    <t>1403-03-20</t>
  </si>
  <si>
    <t>1403-03-21</t>
  </si>
  <si>
    <t>1403-03-22</t>
  </si>
  <si>
    <t>1403-03-23</t>
  </si>
  <si>
    <t>1403-03-24</t>
  </si>
  <si>
    <t>1403-03-25</t>
  </si>
  <si>
    <t>1403-03-26</t>
  </si>
  <si>
    <t>1403-03-27</t>
  </si>
  <si>
    <t>1403-03-28</t>
  </si>
  <si>
    <t>1403-03-29</t>
  </si>
  <si>
    <t>1403-03-30</t>
  </si>
  <si>
    <t>1403-03-31</t>
  </si>
  <si>
    <t>1403-04-01</t>
  </si>
  <si>
    <t>1403-04-02</t>
  </si>
  <si>
    <t>1403-04-03</t>
  </si>
  <si>
    <t>1403-04-04</t>
  </si>
  <si>
    <t>1403-04-05</t>
  </si>
  <si>
    <t>1403-04-06</t>
  </si>
  <si>
    <t>1403-04-07</t>
  </si>
  <si>
    <t>1403-04-08</t>
  </si>
  <si>
    <t>1403-04-09</t>
  </si>
  <si>
    <t>1403-04-10</t>
  </si>
  <si>
    <t>1403-04-11</t>
  </si>
  <si>
    <t>1403-04-12</t>
  </si>
  <si>
    <t>1403-04-13</t>
  </si>
  <si>
    <t>1403-04-14</t>
  </si>
  <si>
    <t>1403-04-15</t>
  </si>
  <si>
    <t>1403-04-16</t>
  </si>
  <si>
    <t>1403-04-17</t>
  </si>
  <si>
    <t>1403-04-18</t>
  </si>
  <si>
    <t>1403-04-19</t>
  </si>
  <si>
    <t>1403-04-20</t>
  </si>
  <si>
    <t>1403-04-21</t>
  </si>
  <si>
    <t>1403-04-22</t>
  </si>
  <si>
    <t>1403-04-23</t>
  </si>
  <si>
    <t>1403-04-24</t>
  </si>
  <si>
    <t>1403-04-25</t>
  </si>
  <si>
    <t>1403-04-26</t>
  </si>
  <si>
    <t>1403-04-27</t>
  </si>
  <si>
    <t>1403-04-28</t>
  </si>
  <si>
    <t>1403-04-29</t>
  </si>
  <si>
    <t>1403-04-30</t>
  </si>
  <si>
    <t>1403-04-31</t>
  </si>
  <si>
    <t>1403-05-01</t>
  </si>
  <si>
    <t>1403-05-02</t>
  </si>
  <si>
    <t>1403-05-03</t>
  </si>
  <si>
    <t>1403-05-04</t>
  </si>
  <si>
    <t>1403-05-05</t>
  </si>
  <si>
    <t>1403-05-06</t>
  </si>
  <si>
    <t>1403-05-07</t>
  </si>
  <si>
    <t>1403-05-08</t>
  </si>
  <si>
    <t>1403-05-09</t>
  </si>
  <si>
    <t>1403-05-10</t>
  </si>
  <si>
    <t>1403-05-11</t>
  </si>
  <si>
    <t>1403-05-12</t>
  </si>
  <si>
    <t>1403-05-13</t>
  </si>
  <si>
    <t>1403-05-14</t>
  </si>
  <si>
    <t>1403-05-15</t>
  </si>
  <si>
    <t>1403-05-16</t>
  </si>
  <si>
    <t>1403-05-17</t>
  </si>
  <si>
    <t>1403-05-18</t>
  </si>
  <si>
    <t>1403-05-19</t>
  </si>
  <si>
    <t>1403-05-20</t>
  </si>
  <si>
    <t>1403-05-21</t>
  </si>
  <si>
    <t>1403-05-22</t>
  </si>
  <si>
    <t>1403-05-23</t>
  </si>
  <si>
    <t>1403-05-24</t>
  </si>
  <si>
    <t>1403-05-25</t>
  </si>
  <si>
    <t>1403-05-26</t>
  </si>
  <si>
    <t>1403-05-27</t>
  </si>
  <si>
    <t>1403-05-28</t>
  </si>
  <si>
    <t>1403-05-29</t>
  </si>
  <si>
    <t>1403-05-30</t>
  </si>
  <si>
    <t>1403-05-31</t>
  </si>
  <si>
    <t>1403-06-01</t>
  </si>
  <si>
    <t>1403-06-02</t>
  </si>
  <si>
    <t>1403-06-03</t>
  </si>
  <si>
    <t>1403-06-04</t>
  </si>
  <si>
    <t>1403-06-05</t>
  </si>
  <si>
    <t>1403-06-06</t>
  </si>
  <si>
    <t>1403-06-07</t>
  </si>
  <si>
    <t>1403-06-08</t>
  </si>
  <si>
    <t>1403-06-09</t>
  </si>
  <si>
    <t>1403-06-10</t>
  </si>
  <si>
    <t>1403-06-11</t>
  </si>
  <si>
    <t>1403-06-12</t>
  </si>
  <si>
    <t>1403-06-13</t>
  </si>
  <si>
    <t>1403-06-14</t>
  </si>
  <si>
    <t>1403-06-15</t>
  </si>
  <si>
    <t>1403-06-16</t>
  </si>
  <si>
    <t>1403-06-17</t>
  </si>
  <si>
    <t>1403-06-18</t>
  </si>
  <si>
    <t>1403-06-19</t>
  </si>
  <si>
    <t>1403-06-20</t>
  </si>
  <si>
    <t>1403-06-21</t>
  </si>
  <si>
    <t>1403-06-22</t>
  </si>
  <si>
    <t>1403-06-23</t>
  </si>
  <si>
    <t>1403-06-24</t>
  </si>
  <si>
    <t>1403-06-25</t>
  </si>
  <si>
    <t>1403-06-26</t>
  </si>
  <si>
    <t>1403-06-27</t>
  </si>
  <si>
    <t>1403-06-28</t>
  </si>
  <si>
    <t>1403-06-29</t>
  </si>
  <si>
    <t>1403-06-30</t>
  </si>
  <si>
    <t>1403-06-31</t>
  </si>
  <si>
    <t>1403-07-01</t>
  </si>
  <si>
    <t>1403-07-02</t>
  </si>
  <si>
    <t>1403-07-03</t>
  </si>
  <si>
    <t>1403-07-04</t>
  </si>
  <si>
    <t>1403-07-05</t>
  </si>
  <si>
    <t>1403-07-06</t>
  </si>
  <si>
    <t>1403-07-07</t>
  </si>
  <si>
    <t>1403-07-08</t>
  </si>
  <si>
    <t>1403-07-09</t>
  </si>
  <si>
    <t>1403-07-10</t>
  </si>
  <si>
    <t>1403-07-11</t>
  </si>
  <si>
    <t>1403-07-12</t>
  </si>
  <si>
    <t>1403-07-13</t>
  </si>
  <si>
    <t>1403-07-14</t>
  </si>
  <si>
    <t>1403-07-15</t>
  </si>
  <si>
    <t>1403-07-16</t>
  </si>
  <si>
    <t>1403-07-17</t>
  </si>
  <si>
    <t>1403-07-18</t>
  </si>
  <si>
    <t>1403-07-19</t>
  </si>
  <si>
    <t>1403-07-20</t>
  </si>
  <si>
    <t>1403-07-21</t>
  </si>
  <si>
    <t>1403-07-22</t>
  </si>
  <si>
    <t>1403-07-23</t>
  </si>
  <si>
    <t>1403-07-24</t>
  </si>
  <si>
    <t>1403-07-25</t>
  </si>
  <si>
    <t>1403-07-26</t>
  </si>
  <si>
    <t>1403-07-27</t>
  </si>
  <si>
    <t>1403-07-28</t>
  </si>
  <si>
    <t>1403-07-29</t>
  </si>
  <si>
    <t>1403-07-30</t>
  </si>
  <si>
    <t>1403-08-01</t>
  </si>
  <si>
    <t>1403-08-02</t>
  </si>
  <si>
    <t>1403-08-03</t>
  </si>
  <si>
    <t>1403-08-04</t>
  </si>
  <si>
    <t>1403-08-05</t>
  </si>
  <si>
    <t>1403-08-06</t>
  </si>
  <si>
    <t>1403-08-07</t>
  </si>
  <si>
    <t>1403-08-08</t>
  </si>
  <si>
    <t>1403-08-09</t>
  </si>
  <si>
    <t>1403-08-10</t>
  </si>
  <si>
    <t>1403-08-11</t>
  </si>
  <si>
    <t>1403-08-12</t>
  </si>
  <si>
    <t>1403-08-13</t>
  </si>
  <si>
    <t>1403-08-14</t>
  </si>
  <si>
    <t>1403-08-15</t>
  </si>
  <si>
    <t>1403-08-16</t>
  </si>
  <si>
    <t>1403-08-17</t>
  </si>
  <si>
    <t>1403-08-18</t>
  </si>
  <si>
    <t>1403-08-19</t>
  </si>
  <si>
    <t>1403-08-20</t>
  </si>
  <si>
    <t>1403-08-21</t>
  </si>
  <si>
    <t>1403-08-22</t>
  </si>
  <si>
    <t>1403-08-23</t>
  </si>
  <si>
    <t>1403-08-24</t>
  </si>
  <si>
    <t>1403-08-25</t>
  </si>
  <si>
    <t>1403-08-26</t>
  </si>
  <si>
    <t>1403-08-27</t>
  </si>
  <si>
    <t>1403-08-28</t>
  </si>
  <si>
    <t>1403-08-29</t>
  </si>
  <si>
    <t>1403-08-30</t>
  </si>
  <si>
    <t>1403-09-01</t>
  </si>
  <si>
    <t>1403-09-02</t>
  </si>
  <si>
    <t>1403-09-03</t>
  </si>
  <si>
    <t>1403-09-04</t>
  </si>
  <si>
    <t>1403-09-05</t>
  </si>
  <si>
    <t>1403-09-06</t>
  </si>
  <si>
    <t>1403-09-07</t>
  </si>
  <si>
    <t>1403-09-08</t>
  </si>
  <si>
    <t>1403-09-09</t>
  </si>
  <si>
    <t>1403-09-10</t>
  </si>
  <si>
    <t>1403-09-11</t>
  </si>
  <si>
    <t>1403-09-12</t>
  </si>
  <si>
    <t>1403-09-13</t>
  </si>
  <si>
    <t>1403-09-14</t>
  </si>
  <si>
    <t>1403-09-15</t>
  </si>
  <si>
    <t>1403-09-16</t>
  </si>
  <si>
    <t>1403-09-17</t>
  </si>
  <si>
    <t>1403-09-18</t>
  </si>
  <si>
    <t>1403-09-19</t>
  </si>
  <si>
    <t>1403-09-20</t>
  </si>
  <si>
    <t>1403-09-21</t>
  </si>
  <si>
    <t>1403-09-22</t>
  </si>
  <si>
    <t>1403-09-23</t>
  </si>
  <si>
    <t>1403-09-24</t>
  </si>
  <si>
    <t>1403-09-25</t>
  </si>
  <si>
    <t>1403-09-26</t>
  </si>
  <si>
    <t>1403-09-27</t>
  </si>
  <si>
    <t>1403-09-28</t>
  </si>
  <si>
    <t>1403-09-29</t>
  </si>
  <si>
    <t>1403-09-30</t>
  </si>
  <si>
    <t>1403-10-01</t>
  </si>
  <si>
    <t>1403-10-02</t>
  </si>
  <si>
    <t>1403-10-03</t>
  </si>
  <si>
    <t>1403-10-04</t>
  </si>
  <si>
    <t>1403-10-05</t>
  </si>
  <si>
    <t>1403-10-06</t>
  </si>
  <si>
    <t>1403-10-07</t>
  </si>
  <si>
    <t>1403-10-08</t>
  </si>
  <si>
    <t>1403-10-09</t>
  </si>
  <si>
    <t>1403-10-10</t>
  </si>
  <si>
    <t>1403-10-11</t>
  </si>
  <si>
    <t>1403-10-12</t>
  </si>
  <si>
    <t>1403-10-13</t>
  </si>
  <si>
    <t>1403-10-14</t>
  </si>
  <si>
    <t>1403-10-15</t>
  </si>
  <si>
    <t>1403-10-16</t>
  </si>
  <si>
    <t>1403-10-17</t>
  </si>
  <si>
    <t>1403-10-18</t>
  </si>
  <si>
    <t>1403-10-19</t>
  </si>
  <si>
    <t>1403-10-20</t>
  </si>
  <si>
    <t>1403-10-21</t>
  </si>
  <si>
    <t>1403-10-22</t>
  </si>
  <si>
    <t>1403-10-23</t>
  </si>
  <si>
    <t>1403-10-24</t>
  </si>
  <si>
    <t>1403-10-25</t>
  </si>
  <si>
    <t>1403-10-26</t>
  </si>
  <si>
    <t>1403-10-27</t>
  </si>
  <si>
    <t>1403-10-28</t>
  </si>
  <si>
    <t>1403-10-29</t>
  </si>
  <si>
    <t>1403-10-30</t>
  </si>
  <si>
    <t>1403-11-01</t>
  </si>
  <si>
    <t>1403-11-02</t>
  </si>
  <si>
    <t>1403-11-03</t>
  </si>
  <si>
    <t>1403-11-04</t>
  </si>
  <si>
    <t>1403-11-05</t>
  </si>
  <si>
    <t>1403-11-06</t>
  </si>
  <si>
    <t>1403-11-07</t>
  </si>
  <si>
    <t>1403-11-08</t>
  </si>
  <si>
    <t>1403-11-09</t>
  </si>
  <si>
    <t>1403-11-10</t>
  </si>
  <si>
    <t>1403-11-11</t>
  </si>
  <si>
    <t>1403-11-12</t>
  </si>
  <si>
    <t>1403-11-13</t>
  </si>
  <si>
    <t>1403-11-14</t>
  </si>
  <si>
    <t>1403-11-15</t>
  </si>
  <si>
    <t>1403-11-16</t>
  </si>
  <si>
    <t>1403-11-17</t>
  </si>
  <si>
    <t>1403-11-18</t>
  </si>
  <si>
    <t>1403-11-19</t>
  </si>
  <si>
    <t>1403-11-20</t>
  </si>
  <si>
    <t>1403-11-21</t>
  </si>
  <si>
    <t>1403-11-22</t>
  </si>
  <si>
    <t>1403-11-23</t>
  </si>
  <si>
    <t>1403-11-24</t>
  </si>
  <si>
    <t>1403-11-25</t>
  </si>
  <si>
    <t>1403-11-26</t>
  </si>
  <si>
    <t>1403-11-27</t>
  </si>
  <si>
    <t>1403-11-28</t>
  </si>
  <si>
    <t>1403-11-29</t>
  </si>
  <si>
    <t>1403-11-30</t>
  </si>
  <si>
    <t>1403-12-01</t>
  </si>
  <si>
    <t>1403-12-02</t>
  </si>
  <si>
    <t>1403-12-03</t>
  </si>
  <si>
    <t>1403-12-04</t>
  </si>
  <si>
    <t>1403-12-05</t>
  </si>
  <si>
    <t>1403-12-06</t>
  </si>
  <si>
    <t>1403-12-07</t>
  </si>
  <si>
    <t>1403-12-08</t>
  </si>
  <si>
    <t>1403-12-09</t>
  </si>
  <si>
    <t>1403-12-10</t>
  </si>
  <si>
    <t>1403-12-11</t>
  </si>
  <si>
    <t>1403-12-12</t>
  </si>
  <si>
    <t>1403-12-13</t>
  </si>
  <si>
    <t>1403-12-14</t>
  </si>
  <si>
    <t>1403-12-15</t>
  </si>
  <si>
    <t>1403-12-16</t>
  </si>
  <si>
    <t>1403-12-17</t>
  </si>
  <si>
    <t>1403-12-18</t>
  </si>
  <si>
    <t>1403-12-19</t>
  </si>
  <si>
    <t>1403-12-20</t>
  </si>
  <si>
    <t>1403-12-21</t>
  </si>
  <si>
    <t>1403-12-22</t>
  </si>
  <si>
    <t>1403-12-23</t>
  </si>
  <si>
    <t>1403-12-24</t>
  </si>
  <si>
    <t>1403-12-25</t>
  </si>
  <si>
    <t>1403-12-26</t>
  </si>
  <si>
    <t>1403-12-27</t>
  </si>
  <si>
    <t>1403-12-28</t>
  </si>
  <si>
    <t>1403-12-29</t>
  </si>
  <si>
    <t>قسط ملت</t>
  </si>
  <si>
    <t>4.1.9</t>
  </si>
  <si>
    <t>درآمد-متفرقه</t>
  </si>
  <si>
    <t>حقوق</t>
  </si>
  <si>
    <t>حقوق پاداش</t>
  </si>
  <si>
    <t>حقوق مناسبت</t>
  </si>
  <si>
    <t>وام کارت ملی</t>
  </si>
  <si>
    <t>2-80-000029678-1</t>
  </si>
  <si>
    <t>قرارداد</t>
  </si>
  <si>
    <t>ارز دیجیتال</t>
  </si>
  <si>
    <t>Bit Pin</t>
  </si>
  <si>
    <t>Nobitex</t>
  </si>
  <si>
    <t>6104-3367-4025-4354</t>
  </si>
  <si>
    <t>6104-3367-4025-4339</t>
  </si>
  <si>
    <t>1400-3319-4327</t>
  </si>
  <si>
    <t>بن کارت</t>
  </si>
  <si>
    <t>کارت خرید</t>
  </si>
  <si>
    <t>4.1.7</t>
  </si>
  <si>
    <t>شهروند</t>
  </si>
  <si>
    <t>کولرگازی و ...</t>
  </si>
  <si>
    <t>عیدی-سنوات</t>
  </si>
  <si>
    <t>3.8.3</t>
  </si>
  <si>
    <t>تجهیز آپارتمان</t>
  </si>
  <si>
    <t>کمجا-اتاق بچه ها</t>
  </si>
  <si>
    <t>هزینه زایمان</t>
  </si>
  <si>
    <t>ماه رمضان</t>
  </si>
  <si>
    <t>جمع</t>
  </si>
  <si>
    <t>کره و غیره</t>
  </si>
  <si>
    <t>پاداش پایان تعطیلات</t>
  </si>
  <si>
    <t>5.1.3</t>
  </si>
  <si>
    <t>دریافت خسارت</t>
  </si>
  <si>
    <t>بیمه sos</t>
  </si>
  <si>
    <t>درآمد فنارا</t>
  </si>
  <si>
    <t>بابت برهان</t>
  </si>
  <si>
    <t>فیلم برداری محمد حسان</t>
  </si>
  <si>
    <t>اکرم</t>
  </si>
  <si>
    <t>سود غدیر</t>
  </si>
  <si>
    <t>سیسمونی و حاشیه تولد</t>
  </si>
  <si>
    <t>سداد</t>
  </si>
  <si>
    <t>راس گیری</t>
  </si>
  <si>
    <t>میانگین</t>
  </si>
  <si>
    <t>مقدار سهیم</t>
  </si>
  <si>
    <t>1399-12-27</t>
  </si>
  <si>
    <t>تعداد</t>
  </si>
  <si>
    <t>قیمت</t>
  </si>
  <si>
    <t>ضریب</t>
  </si>
  <si>
    <t>قیمت کل</t>
  </si>
  <si>
    <t>درصد</t>
  </si>
  <si>
    <t>تسهیم</t>
  </si>
  <si>
    <t>1400-01-14</t>
  </si>
  <si>
    <t>سرانه</t>
  </si>
  <si>
    <t>خرید</t>
  </si>
  <si>
    <t>فروش</t>
  </si>
  <si>
    <t>حجم</t>
  </si>
  <si>
    <t>قیمت اول</t>
  </si>
  <si>
    <t>قیمت نهایی</t>
  </si>
  <si>
    <t>اختلاف</t>
  </si>
  <si>
    <t>جدول تناسب</t>
  </si>
  <si>
    <t>قیمت درصد خورده</t>
  </si>
  <si>
    <t>تقسیم</t>
  </si>
  <si>
    <t>ضرب</t>
  </si>
  <si>
    <t>شارژ ساختمان و ...</t>
  </si>
  <si>
    <t>حقوق مشاوره</t>
  </si>
  <si>
    <t>اتوپرس</t>
  </si>
  <si>
    <t>آکواریوم</t>
  </si>
  <si>
    <t>دشک تخت</t>
  </si>
  <si>
    <t>?</t>
  </si>
  <si>
    <t>کمجا - چک</t>
  </si>
  <si>
    <t>بیمه تیبا</t>
  </si>
  <si>
    <t>تصویه کولرگازی و جارو برقی</t>
  </si>
  <si>
    <t>کولرگازی و جارو</t>
  </si>
  <si>
    <t>اضافه پرداخت به حساب فاطمه</t>
  </si>
  <si>
    <t>محمدرضا بهرهمند</t>
  </si>
  <si>
    <t>دبیرستان فرهنگ</t>
  </si>
  <si>
    <t>مدیریت</t>
  </si>
  <si>
    <t>تامین اجتماعی</t>
  </si>
  <si>
    <t>مبین سرمایه</t>
  </si>
  <si>
    <t>انرژی 3</t>
  </si>
  <si>
    <t>کمجا - چک - الباقی چک</t>
  </si>
  <si>
    <t>6274-1211-8742-6648
زهره اشوری
تربیت بدنی هانی</t>
  </si>
  <si>
    <t>سیده طاهره حسینی گونلویی
6037997552682990
لوازم آرایش</t>
  </si>
  <si>
    <t>باتری ماشین - چک سپه</t>
  </si>
  <si>
    <t>6037998238247554</t>
  </si>
  <si>
    <t>مهد ستاره</t>
  </si>
  <si>
    <t>قائدعلی</t>
  </si>
  <si>
    <t>سامان دریایی</t>
  </si>
  <si>
    <t>گوشت و ...</t>
  </si>
  <si>
    <t>وام کارت ملی ف</t>
  </si>
  <si>
    <t>وام و سود</t>
  </si>
  <si>
    <t>1404-01-05</t>
  </si>
  <si>
    <t>1404-02-05</t>
  </si>
  <si>
    <t>1404-03-05</t>
  </si>
  <si>
    <t>1404-04-05</t>
  </si>
  <si>
    <t>1404-05-05</t>
  </si>
  <si>
    <t>1404-06-05</t>
  </si>
  <si>
    <t>1404-07-05</t>
  </si>
  <si>
    <t>1404-08-05</t>
  </si>
  <si>
    <t>1404-09-05</t>
  </si>
  <si>
    <t>1404-10-05</t>
  </si>
  <si>
    <t>1404-11-05</t>
  </si>
  <si>
    <t>1404-01-01</t>
  </si>
  <si>
    <t>1404-01-02</t>
  </si>
  <si>
    <t>1404-01-03</t>
  </si>
  <si>
    <t>1404-01-04</t>
  </si>
  <si>
    <t>1404-01-06</t>
  </si>
  <si>
    <t>1404-01-07</t>
  </si>
  <si>
    <t>1404-01-08</t>
  </si>
  <si>
    <t>1404-01-09</t>
  </si>
  <si>
    <t>1404-01-10</t>
  </si>
  <si>
    <t>1404-01-11</t>
  </si>
  <si>
    <t>1404-01-12</t>
  </si>
  <si>
    <t>1404-01-13</t>
  </si>
  <si>
    <t>1404-01-14</t>
  </si>
  <si>
    <t>1404-01-15</t>
  </si>
  <si>
    <t>1404-01-16</t>
  </si>
  <si>
    <t>1404-01-17</t>
  </si>
  <si>
    <t>1404-01-18</t>
  </si>
  <si>
    <t>1404-01-19</t>
  </si>
  <si>
    <t>1404-01-20</t>
  </si>
  <si>
    <t>1404-01-21</t>
  </si>
  <si>
    <t>1404-01-22</t>
  </si>
  <si>
    <t>1404-01-23</t>
  </si>
  <si>
    <t>1404-01-24</t>
  </si>
  <si>
    <t>1404-01-25</t>
  </si>
  <si>
    <t>1404-01-26</t>
  </si>
  <si>
    <t>1404-01-27</t>
  </si>
  <si>
    <t>1404-01-28</t>
  </si>
  <si>
    <t>1404-01-29</t>
  </si>
  <si>
    <t>1404-01-30</t>
  </si>
  <si>
    <t>1404-01-31</t>
  </si>
  <si>
    <t>1404-02-01</t>
  </si>
  <si>
    <t>1404-02-02</t>
  </si>
  <si>
    <t>1404-02-03</t>
  </si>
  <si>
    <t>1404-02-04</t>
  </si>
  <si>
    <t>1404-02-06</t>
  </si>
  <si>
    <t>1404-02-07</t>
  </si>
  <si>
    <t>1404-02-08</t>
  </si>
  <si>
    <t>1404-02-09</t>
  </si>
  <si>
    <t>1404-02-10</t>
  </si>
  <si>
    <t>1404-02-11</t>
  </si>
  <si>
    <t>1404-02-12</t>
  </si>
  <si>
    <t>1404-02-13</t>
  </si>
  <si>
    <t>1404-02-14</t>
  </si>
  <si>
    <t>1404-02-15</t>
  </si>
  <si>
    <t>1404-02-16</t>
  </si>
  <si>
    <t>1404-02-17</t>
  </si>
  <si>
    <t>1404-02-18</t>
  </si>
  <si>
    <t>1404-02-19</t>
  </si>
  <si>
    <t>1404-02-20</t>
  </si>
  <si>
    <t>1404-02-21</t>
  </si>
  <si>
    <t>1404-02-22</t>
  </si>
  <si>
    <t>1404-02-23</t>
  </si>
  <si>
    <t>1404-02-24</t>
  </si>
  <si>
    <t>1404-02-25</t>
  </si>
  <si>
    <t>1404-02-26</t>
  </si>
  <si>
    <t>1404-02-27</t>
  </si>
  <si>
    <t>1404-02-28</t>
  </si>
  <si>
    <t>1404-02-29</t>
  </si>
  <si>
    <t>1404-02-30</t>
  </si>
  <si>
    <t>1404-02-31</t>
  </si>
  <si>
    <t>1404-03-01</t>
  </si>
  <si>
    <t>1404-03-02</t>
  </si>
  <si>
    <t>1404-03-03</t>
  </si>
  <si>
    <t>1404-03-04</t>
  </si>
  <si>
    <t>1404-03-06</t>
  </si>
  <si>
    <t>1404-03-07</t>
  </si>
  <si>
    <t>1404-03-08</t>
  </si>
  <si>
    <t>1404-03-09</t>
  </si>
  <si>
    <t>1404-03-10</t>
  </si>
  <si>
    <t>1404-03-11</t>
  </si>
  <si>
    <t>1404-03-12</t>
  </si>
  <si>
    <t>1404-03-13</t>
  </si>
  <si>
    <t>1404-03-14</t>
  </si>
  <si>
    <t>1404-03-15</t>
  </si>
  <si>
    <t>1404-03-16</t>
  </si>
  <si>
    <t>1404-03-17</t>
  </si>
  <si>
    <t>1404-03-18</t>
  </si>
  <si>
    <t>1404-03-19</t>
  </si>
  <si>
    <t>1404-03-20</t>
  </si>
  <si>
    <t>1404-03-21</t>
  </si>
  <si>
    <t>1404-03-22</t>
  </si>
  <si>
    <t>1404-03-23</t>
  </si>
  <si>
    <t>1404-03-24</t>
  </si>
  <si>
    <t>1404-03-25</t>
  </si>
  <si>
    <t>1404-03-26</t>
  </si>
  <si>
    <t>1404-03-27</t>
  </si>
  <si>
    <t>1404-03-28</t>
  </si>
  <si>
    <t>1404-03-29</t>
  </si>
  <si>
    <t>1404-03-30</t>
  </si>
  <si>
    <t>1404-03-31</t>
  </si>
  <si>
    <t>1404-04-01</t>
  </si>
  <si>
    <t>1404-04-02</t>
  </si>
  <si>
    <t>1404-04-03</t>
  </si>
  <si>
    <t>1404-04-04</t>
  </si>
  <si>
    <t>1404-04-06</t>
  </si>
  <si>
    <t>1404-04-07</t>
  </si>
  <si>
    <t>1404-04-08</t>
  </si>
  <si>
    <t>1404-04-09</t>
  </si>
  <si>
    <t>1404-04-10</t>
  </si>
  <si>
    <t>1404-04-11</t>
  </si>
  <si>
    <t>1404-04-12</t>
  </si>
  <si>
    <t>1404-04-13</t>
  </si>
  <si>
    <t>1404-04-14</t>
  </si>
  <si>
    <t>1404-04-15</t>
  </si>
  <si>
    <t>1404-04-16</t>
  </si>
  <si>
    <t>1404-04-17</t>
  </si>
  <si>
    <t>1404-04-18</t>
  </si>
  <si>
    <t>1404-04-19</t>
  </si>
  <si>
    <t>1404-04-20</t>
  </si>
  <si>
    <t>1404-04-21</t>
  </si>
  <si>
    <t>1404-04-22</t>
  </si>
  <si>
    <t>1404-04-23</t>
  </si>
  <si>
    <t>1404-04-24</t>
  </si>
  <si>
    <t>1404-04-25</t>
  </si>
  <si>
    <t>1404-04-26</t>
  </si>
  <si>
    <t>1404-04-27</t>
  </si>
  <si>
    <t>1404-04-28</t>
  </si>
  <si>
    <t>1404-04-29</t>
  </si>
  <si>
    <t>1404-04-30</t>
  </si>
  <si>
    <t>1404-04-31</t>
  </si>
  <si>
    <t>1404-05-01</t>
  </si>
  <si>
    <t>1404-05-02</t>
  </si>
  <si>
    <t>1404-05-03</t>
  </si>
  <si>
    <t>1404-05-04</t>
  </si>
  <si>
    <t>1404-05-06</t>
  </si>
  <si>
    <t>1404-05-07</t>
  </si>
  <si>
    <t>1404-05-08</t>
  </si>
  <si>
    <t>1404-05-09</t>
  </si>
  <si>
    <t>1404-05-10</t>
  </si>
  <si>
    <t>1404-05-11</t>
  </si>
  <si>
    <t>1404-05-12</t>
  </si>
  <si>
    <t>1404-05-13</t>
  </si>
  <si>
    <t>1404-05-14</t>
  </si>
  <si>
    <t>1404-05-15</t>
  </si>
  <si>
    <t>1404-05-16</t>
  </si>
  <si>
    <t>1404-05-17</t>
  </si>
  <si>
    <t>1404-05-18</t>
  </si>
  <si>
    <t>1404-05-19</t>
  </si>
  <si>
    <t>1404-05-20</t>
  </si>
  <si>
    <t>1404-05-21</t>
  </si>
  <si>
    <t>1404-05-22</t>
  </si>
  <si>
    <t>1404-05-23</t>
  </si>
  <si>
    <t>1404-05-24</t>
  </si>
  <si>
    <t>1404-05-25</t>
  </si>
  <si>
    <t>1404-05-26</t>
  </si>
  <si>
    <t>1404-05-27</t>
  </si>
  <si>
    <t>1404-05-28</t>
  </si>
  <si>
    <t>1404-05-29</t>
  </si>
  <si>
    <t>1404-05-30</t>
  </si>
  <si>
    <t>1404-05-31</t>
  </si>
  <si>
    <t>1404-06-01</t>
  </si>
  <si>
    <t>1404-06-02</t>
  </si>
  <si>
    <t>1404-06-03</t>
  </si>
  <si>
    <t>1404-06-04</t>
  </si>
  <si>
    <t>1404-06-06</t>
  </si>
  <si>
    <t>1404-06-07</t>
  </si>
  <si>
    <t>1404-06-08</t>
  </si>
  <si>
    <t>1404-06-09</t>
  </si>
  <si>
    <t>1404-06-10</t>
  </si>
  <si>
    <t>1404-06-11</t>
  </si>
  <si>
    <t>1404-06-12</t>
  </si>
  <si>
    <t>1404-06-13</t>
  </si>
  <si>
    <t>1404-06-14</t>
  </si>
  <si>
    <t>1404-06-15</t>
  </si>
  <si>
    <t>1404-06-16</t>
  </si>
  <si>
    <t>1404-06-17</t>
  </si>
  <si>
    <t>1404-06-18</t>
  </si>
  <si>
    <t>1404-06-19</t>
  </si>
  <si>
    <t>1404-06-20</t>
  </si>
  <si>
    <t>1404-06-21</t>
  </si>
  <si>
    <t>1404-06-22</t>
  </si>
  <si>
    <t>1404-06-23</t>
  </si>
  <si>
    <t>1404-06-24</t>
  </si>
  <si>
    <t>1404-06-25</t>
  </si>
  <si>
    <t>1404-06-26</t>
  </si>
  <si>
    <t>1404-06-27</t>
  </si>
  <si>
    <t>1404-06-28</t>
  </si>
  <si>
    <t>1404-06-29</t>
  </si>
  <si>
    <t>1404-06-30</t>
  </si>
  <si>
    <t>1404-06-31</t>
  </si>
  <si>
    <t>1404-07-01</t>
  </si>
  <si>
    <t>1404-07-02</t>
  </si>
  <si>
    <t>1404-07-03</t>
  </si>
  <si>
    <t>1404-07-04</t>
  </si>
  <si>
    <t>1404-07-06</t>
  </si>
  <si>
    <t>1404-07-07</t>
  </si>
  <si>
    <t>1404-07-08</t>
  </si>
  <si>
    <t>1404-07-09</t>
  </si>
  <si>
    <t>1404-07-10</t>
  </si>
  <si>
    <t>1404-07-11</t>
  </si>
  <si>
    <t>1404-07-12</t>
  </si>
  <si>
    <t>1404-07-13</t>
  </si>
  <si>
    <t>1404-07-14</t>
  </si>
  <si>
    <t>1404-07-15</t>
  </si>
  <si>
    <t>1404-07-16</t>
  </si>
  <si>
    <t>1404-07-17</t>
  </si>
  <si>
    <t>1404-07-18</t>
  </si>
  <si>
    <t>1404-07-19</t>
  </si>
  <si>
    <t>1404-07-20</t>
  </si>
  <si>
    <t>1404-07-21</t>
  </si>
  <si>
    <t>1404-07-22</t>
  </si>
  <si>
    <t>1404-07-23</t>
  </si>
  <si>
    <t>1404-07-24</t>
  </si>
  <si>
    <t>1404-07-25</t>
  </si>
  <si>
    <t>1404-07-26</t>
  </si>
  <si>
    <t>1404-07-27</t>
  </si>
  <si>
    <t>1404-07-28</t>
  </si>
  <si>
    <t>1404-07-29</t>
  </si>
  <si>
    <t>1404-07-30</t>
  </si>
  <si>
    <t>1404-08-01</t>
  </si>
  <si>
    <t>1404-08-02</t>
  </si>
  <si>
    <t>1404-08-03</t>
  </si>
  <si>
    <t>1404-08-04</t>
  </si>
  <si>
    <t>1404-08-06</t>
  </si>
  <si>
    <t>1404-08-07</t>
  </si>
  <si>
    <t>1404-08-08</t>
  </si>
  <si>
    <t>1404-08-09</t>
  </si>
  <si>
    <t>1404-08-10</t>
  </si>
  <si>
    <t>1404-08-11</t>
  </si>
  <si>
    <t>1404-08-12</t>
  </si>
  <si>
    <t>1404-08-13</t>
  </si>
  <si>
    <t>1404-08-14</t>
  </si>
  <si>
    <t>1404-08-15</t>
  </si>
  <si>
    <t>1404-08-16</t>
  </si>
  <si>
    <t>1404-08-17</t>
  </si>
  <si>
    <t>1404-08-18</t>
  </si>
  <si>
    <t>1404-08-19</t>
  </si>
  <si>
    <t>1404-08-20</t>
  </si>
  <si>
    <t>1404-08-21</t>
  </si>
  <si>
    <t>1404-08-22</t>
  </si>
  <si>
    <t>1404-08-23</t>
  </si>
  <si>
    <t>1404-08-24</t>
  </si>
  <si>
    <t>1404-08-25</t>
  </si>
  <si>
    <t>1404-08-26</t>
  </si>
  <si>
    <t>1404-08-27</t>
  </si>
  <si>
    <t>1404-08-28</t>
  </si>
  <si>
    <t>1404-08-29</t>
  </si>
  <si>
    <t>1404-08-30</t>
  </si>
  <si>
    <t>1404-09-01</t>
  </si>
  <si>
    <t>1404-09-02</t>
  </si>
  <si>
    <t>1404-09-03</t>
  </si>
  <si>
    <t>1404-09-04</t>
  </si>
  <si>
    <t>1404-09-06</t>
  </si>
  <si>
    <t>1404-09-07</t>
  </si>
  <si>
    <t>1404-09-08</t>
  </si>
  <si>
    <t>1404-09-09</t>
  </si>
  <si>
    <t>1404-09-10</t>
  </si>
  <si>
    <t>1404-09-11</t>
  </si>
  <si>
    <t>1404-09-12</t>
  </si>
  <si>
    <t>1404-09-13</t>
  </si>
  <si>
    <t>1404-09-14</t>
  </si>
  <si>
    <t>1404-09-15</t>
  </si>
  <si>
    <t>1404-09-16</t>
  </si>
  <si>
    <t>1404-09-17</t>
  </si>
  <si>
    <t>1404-09-18</t>
  </si>
  <si>
    <t>1404-09-19</t>
  </si>
  <si>
    <t>1404-09-20</t>
  </si>
  <si>
    <t>1404-09-21</t>
  </si>
  <si>
    <t>1404-09-22</t>
  </si>
  <si>
    <t>1404-09-23</t>
  </si>
  <si>
    <t>1404-09-24</t>
  </si>
  <si>
    <t>1404-09-25</t>
  </si>
  <si>
    <t>1404-09-26</t>
  </si>
  <si>
    <t>1404-09-27</t>
  </si>
  <si>
    <t>1404-09-28</t>
  </si>
  <si>
    <t>1404-09-29</t>
  </si>
  <si>
    <t>1404-09-30</t>
  </si>
  <si>
    <t>1404-10-01</t>
  </si>
  <si>
    <t>1404-10-02</t>
  </si>
  <si>
    <t>1404-10-03</t>
  </si>
  <si>
    <t>1404-10-04</t>
  </si>
  <si>
    <t>1404-10-06</t>
  </si>
  <si>
    <t>1404-10-07</t>
  </si>
  <si>
    <t>1404-10-08</t>
  </si>
  <si>
    <t>1404-10-09</t>
  </si>
  <si>
    <t>1404-10-10</t>
  </si>
  <si>
    <t>1404-10-11</t>
  </si>
  <si>
    <t>1404-10-12</t>
  </si>
  <si>
    <t>1404-10-13</t>
  </si>
  <si>
    <t>1404-10-14</t>
  </si>
  <si>
    <t>1404-10-15</t>
  </si>
  <si>
    <t>1404-10-16</t>
  </si>
  <si>
    <t>1404-10-17</t>
  </si>
  <si>
    <t>1404-10-18</t>
  </si>
  <si>
    <t>1404-10-19</t>
  </si>
  <si>
    <t>1404-10-20</t>
  </si>
  <si>
    <t>1404-10-21</t>
  </si>
  <si>
    <t>1404-10-22</t>
  </si>
  <si>
    <t>1404-10-23</t>
  </si>
  <si>
    <t>1404-10-24</t>
  </si>
  <si>
    <t>1404-10-25</t>
  </si>
  <si>
    <t>1404-10-26</t>
  </si>
  <si>
    <t>1404-10-27</t>
  </si>
  <si>
    <t>1404-10-28</t>
  </si>
  <si>
    <t>1404-10-29</t>
  </si>
  <si>
    <t>1404-10-30</t>
  </si>
  <si>
    <t>1404-11-01</t>
  </si>
  <si>
    <t>1404-11-02</t>
  </si>
  <si>
    <t>1404-11-03</t>
  </si>
  <si>
    <t>1404-11-04</t>
  </si>
  <si>
    <t>1404-11-06</t>
  </si>
  <si>
    <t>1404-11-07</t>
  </si>
  <si>
    <t>1404-11-08</t>
  </si>
  <si>
    <t>1404-11-09</t>
  </si>
  <si>
    <t>1404-11-10</t>
  </si>
  <si>
    <t>1404-11-11</t>
  </si>
  <si>
    <t>1404-11-12</t>
  </si>
  <si>
    <t>1404-11-13</t>
  </si>
  <si>
    <t>1404-11-14</t>
  </si>
  <si>
    <t>1404-11-15</t>
  </si>
  <si>
    <t>1404-11-16</t>
  </si>
  <si>
    <t>1404-11-17</t>
  </si>
  <si>
    <t>1404-11-18</t>
  </si>
  <si>
    <t>1404-11-19</t>
  </si>
  <si>
    <t>1404-11-20</t>
  </si>
  <si>
    <t>1404-11-21</t>
  </si>
  <si>
    <t>1404-11-22</t>
  </si>
  <si>
    <t>1404-11-23</t>
  </si>
  <si>
    <t>1404-11-24</t>
  </si>
  <si>
    <t>1404-11-25</t>
  </si>
  <si>
    <t>1404-11-26</t>
  </si>
  <si>
    <t>1404-11-27</t>
  </si>
  <si>
    <t>1404-11-28</t>
  </si>
  <si>
    <t>1404-11-29</t>
  </si>
  <si>
    <t>1404-11-30</t>
  </si>
  <si>
    <t>1404-12-01</t>
  </si>
  <si>
    <t>1404-12-02</t>
  </si>
  <si>
    <t>1404-12-03</t>
  </si>
  <si>
    <t>1404-12-04</t>
  </si>
  <si>
    <t>1404-12-05</t>
  </si>
  <si>
    <t>1404-12-06</t>
  </si>
  <si>
    <t>1404-12-07</t>
  </si>
  <si>
    <t>1404-12-08</t>
  </si>
  <si>
    <t>1404-12-09</t>
  </si>
  <si>
    <t>1404-12-10</t>
  </si>
  <si>
    <t>1404-12-11</t>
  </si>
  <si>
    <t>1404-12-12</t>
  </si>
  <si>
    <t>1404-12-13</t>
  </si>
  <si>
    <t>1404-12-14</t>
  </si>
  <si>
    <t>1404-12-15</t>
  </si>
  <si>
    <t>1404-12-16</t>
  </si>
  <si>
    <t>1404-12-17</t>
  </si>
  <si>
    <t>1404-12-18</t>
  </si>
  <si>
    <t>1404-12-19</t>
  </si>
  <si>
    <t>1404-12-20</t>
  </si>
  <si>
    <t>1404-12-21</t>
  </si>
  <si>
    <t>1404-12-22</t>
  </si>
  <si>
    <t>1404-12-23</t>
  </si>
  <si>
    <t>1404-12-24</t>
  </si>
  <si>
    <t>1404-12-25</t>
  </si>
  <si>
    <t>1404-12-26</t>
  </si>
  <si>
    <t>1404-12-27</t>
  </si>
  <si>
    <t>1404-12-28</t>
  </si>
  <si>
    <t>1403-12-30</t>
  </si>
  <si>
    <t>1405-01-01</t>
  </si>
  <si>
    <t>1405-01-02</t>
  </si>
  <si>
    <t>1405-01-03</t>
  </si>
  <si>
    <t>1405-01-04</t>
  </si>
  <si>
    <t>1405-01-05</t>
  </si>
  <si>
    <t>1405-01-06</t>
  </si>
  <si>
    <t>1405-01-07</t>
  </si>
  <si>
    <t>1405-01-08</t>
  </si>
  <si>
    <t>1405-01-09</t>
  </si>
  <si>
    <t>1405-01-10</t>
  </si>
  <si>
    <t>1405-01-11</t>
  </si>
  <si>
    <t>1405-01-12</t>
  </si>
  <si>
    <t>1405-01-13</t>
  </si>
  <si>
    <t>1405-01-14</t>
  </si>
  <si>
    <t>1405-01-15</t>
  </si>
  <si>
    <t>1405-01-16</t>
  </si>
  <si>
    <t>1405-01-17</t>
  </si>
  <si>
    <t>1405-01-18</t>
  </si>
  <si>
    <t>1405-01-19</t>
  </si>
  <si>
    <t>1405-01-20</t>
  </si>
  <si>
    <t>1405-01-21</t>
  </si>
  <si>
    <t>1405-01-22</t>
  </si>
  <si>
    <t>1405-01-23</t>
  </si>
  <si>
    <t>1405-01-24</t>
  </si>
  <si>
    <t>1405-01-25</t>
  </si>
  <si>
    <t>1405-01-26</t>
  </si>
  <si>
    <t>1405-01-27</t>
  </si>
  <si>
    <t>1405-01-28</t>
  </si>
  <si>
    <t>1405-01-29</t>
  </si>
  <si>
    <t>1405-01-30</t>
  </si>
  <si>
    <t>1405-01-31</t>
  </si>
  <si>
    <t>1405-02-01</t>
  </si>
  <si>
    <t>1405-02-02</t>
  </si>
  <si>
    <t>1405-02-03</t>
  </si>
  <si>
    <t>1405-02-04</t>
  </si>
  <si>
    <t>1405-02-05</t>
  </si>
  <si>
    <t>1405-02-06</t>
  </si>
  <si>
    <t>1405-02-07</t>
  </si>
  <si>
    <t>1405-02-08</t>
  </si>
  <si>
    <t>1405-02-09</t>
  </si>
  <si>
    <t>1405-02-10</t>
  </si>
  <si>
    <t>1405-02-11</t>
  </si>
  <si>
    <t>1405-02-12</t>
  </si>
  <si>
    <t>1405-02-13</t>
  </si>
  <si>
    <t>1405-02-14</t>
  </si>
  <si>
    <t>1405-02-15</t>
  </si>
  <si>
    <t>1405-02-16</t>
  </si>
  <si>
    <t>1405-02-17</t>
  </si>
  <si>
    <t>1405-02-18</t>
  </si>
  <si>
    <t>1405-02-19</t>
  </si>
  <si>
    <t>1405-02-20</t>
  </si>
  <si>
    <t>1405-02-21</t>
  </si>
  <si>
    <t>1405-02-22</t>
  </si>
  <si>
    <t>1405-02-23</t>
  </si>
  <si>
    <t>1405-02-24</t>
  </si>
  <si>
    <t>1405-02-25</t>
  </si>
  <si>
    <t>1405-02-26</t>
  </si>
  <si>
    <t>1405-02-27</t>
  </si>
  <si>
    <t>1405-02-28</t>
  </si>
  <si>
    <t>1405-02-29</t>
  </si>
  <si>
    <t>1405-02-30</t>
  </si>
  <si>
    <t>1405-02-31</t>
  </si>
  <si>
    <t>1405-03-01</t>
  </si>
  <si>
    <t>1405-03-02</t>
  </si>
  <si>
    <t>1405-03-03</t>
  </si>
  <si>
    <t>1405-03-04</t>
  </si>
  <si>
    <t>1405-03-05</t>
  </si>
  <si>
    <t>1405-03-06</t>
  </si>
  <si>
    <t>1405-03-07</t>
  </si>
  <si>
    <t>1405-03-08</t>
  </si>
  <si>
    <t>1405-03-09</t>
  </si>
  <si>
    <t>1405-03-10</t>
  </si>
  <si>
    <t>1405-03-11</t>
  </si>
  <si>
    <t>1405-03-12</t>
  </si>
  <si>
    <t>1405-03-13</t>
  </si>
  <si>
    <t>1405-03-14</t>
  </si>
  <si>
    <t>1405-03-15</t>
  </si>
  <si>
    <t>1405-03-16</t>
  </si>
  <si>
    <t>1405-03-17</t>
  </si>
  <si>
    <t>1405-03-18</t>
  </si>
  <si>
    <t>1405-03-19</t>
  </si>
  <si>
    <t>1405-03-20</t>
  </si>
  <si>
    <t>1405-03-21</t>
  </si>
  <si>
    <t>1405-03-22</t>
  </si>
  <si>
    <t>1405-03-23</t>
  </si>
  <si>
    <t>1405-03-24</t>
  </si>
  <si>
    <t>1405-03-25</t>
  </si>
  <si>
    <t>1405-03-26</t>
  </si>
  <si>
    <t>1405-03-27</t>
  </si>
  <si>
    <t>1405-03-28</t>
  </si>
  <si>
    <t>1405-03-29</t>
  </si>
  <si>
    <t>1405-03-30</t>
  </si>
  <si>
    <t>1405-03-31</t>
  </si>
  <si>
    <t>1405-04-01</t>
  </si>
  <si>
    <t>1405-04-02</t>
  </si>
  <si>
    <t>1405-04-03</t>
  </si>
  <si>
    <t>1405-04-04</t>
  </si>
  <si>
    <t>1405-04-05</t>
  </si>
  <si>
    <t>1405-04-06</t>
  </si>
  <si>
    <t>1405-04-07</t>
  </si>
  <si>
    <t>1405-04-08</t>
  </si>
  <si>
    <t>1405-04-09</t>
  </si>
  <si>
    <t>1405-04-10</t>
  </si>
  <si>
    <t>1405-04-11</t>
  </si>
  <si>
    <t>1405-04-12</t>
  </si>
  <si>
    <t>1405-04-13</t>
  </si>
  <si>
    <t>1405-04-14</t>
  </si>
  <si>
    <t>1405-04-15</t>
  </si>
  <si>
    <t>1405-04-16</t>
  </si>
  <si>
    <t>1405-04-17</t>
  </si>
  <si>
    <t>1405-04-18</t>
  </si>
  <si>
    <t>1405-04-19</t>
  </si>
  <si>
    <t>1405-04-20</t>
  </si>
  <si>
    <t>1405-04-21</t>
  </si>
  <si>
    <t>1405-04-22</t>
  </si>
  <si>
    <t>1405-04-23</t>
  </si>
  <si>
    <t>1405-04-24</t>
  </si>
  <si>
    <t>1405-04-25</t>
  </si>
  <si>
    <t>1405-04-26</t>
  </si>
  <si>
    <t>1405-04-27</t>
  </si>
  <si>
    <t>1405-04-28</t>
  </si>
  <si>
    <t>1405-04-29</t>
  </si>
  <si>
    <t>1405-04-30</t>
  </si>
  <si>
    <t>1405-04-31</t>
  </si>
  <si>
    <t>1405-05-01</t>
  </si>
  <si>
    <t>1405-05-02</t>
  </si>
  <si>
    <t>1405-05-03</t>
  </si>
  <si>
    <t>1405-05-04</t>
  </si>
  <si>
    <t>1405-05-05</t>
  </si>
  <si>
    <t>1405-05-06</t>
  </si>
  <si>
    <t>1405-05-07</t>
  </si>
  <si>
    <t>1405-05-08</t>
  </si>
  <si>
    <t>1405-05-09</t>
  </si>
  <si>
    <t>1405-05-10</t>
  </si>
  <si>
    <t>1405-05-11</t>
  </si>
  <si>
    <t>1405-05-12</t>
  </si>
  <si>
    <t>1405-05-13</t>
  </si>
  <si>
    <t>1405-05-14</t>
  </si>
  <si>
    <t>1405-05-15</t>
  </si>
  <si>
    <t>1405-05-16</t>
  </si>
  <si>
    <t>1405-05-17</t>
  </si>
  <si>
    <t>1405-05-18</t>
  </si>
  <si>
    <t>1405-05-19</t>
  </si>
  <si>
    <t>1405-05-20</t>
  </si>
  <si>
    <t>1405-05-21</t>
  </si>
  <si>
    <t>1405-05-22</t>
  </si>
  <si>
    <t>1405-05-23</t>
  </si>
  <si>
    <t>1405-05-24</t>
  </si>
  <si>
    <t>1405-05-25</t>
  </si>
  <si>
    <t>1405-05-26</t>
  </si>
  <si>
    <t>1405-05-27</t>
  </si>
  <si>
    <t>1405-05-28</t>
  </si>
  <si>
    <t>1405-05-29</t>
  </si>
  <si>
    <t>1405-05-30</t>
  </si>
  <si>
    <t>1405-05-31</t>
  </si>
  <si>
    <t>1405-06-01</t>
  </si>
  <si>
    <t>1405-06-02</t>
  </si>
  <si>
    <t>1405-06-03</t>
  </si>
  <si>
    <t>1405-06-04</t>
  </si>
  <si>
    <t>1405-06-05</t>
  </si>
  <si>
    <t>1405-06-06</t>
  </si>
  <si>
    <t>1405-06-07</t>
  </si>
  <si>
    <t>1405-06-08</t>
  </si>
  <si>
    <t>1405-06-09</t>
  </si>
  <si>
    <t>1405-06-10</t>
  </si>
  <si>
    <t>1405-06-11</t>
  </si>
  <si>
    <t>1405-06-12</t>
  </si>
  <si>
    <t>1405-06-13</t>
  </si>
  <si>
    <t>1405-06-14</t>
  </si>
  <si>
    <t>1405-06-15</t>
  </si>
  <si>
    <t>1405-06-16</t>
  </si>
  <si>
    <t>1405-06-17</t>
  </si>
  <si>
    <t>1405-06-18</t>
  </si>
  <si>
    <t>1405-06-19</t>
  </si>
  <si>
    <t>1405-06-20</t>
  </si>
  <si>
    <t>1405-06-21</t>
  </si>
  <si>
    <t>1405-06-22</t>
  </si>
  <si>
    <t>1405-06-23</t>
  </si>
  <si>
    <t>1405-06-24</t>
  </si>
  <si>
    <t>1405-06-25</t>
  </si>
  <si>
    <t>1405-06-26</t>
  </si>
  <si>
    <t>1405-06-27</t>
  </si>
  <si>
    <t>1405-06-28</t>
  </si>
  <si>
    <t>1405-06-29</t>
  </si>
  <si>
    <t>1405-06-30</t>
  </si>
  <si>
    <t>1405-06-31</t>
  </si>
  <si>
    <t>1405-07-01</t>
  </si>
  <si>
    <t>1405-07-02</t>
  </si>
  <si>
    <t>1405-07-03</t>
  </si>
  <si>
    <t>1405-07-04</t>
  </si>
  <si>
    <t>1405-07-05</t>
  </si>
  <si>
    <t>1405-07-06</t>
  </si>
  <si>
    <t>1405-07-07</t>
  </si>
  <si>
    <t>1405-07-08</t>
  </si>
  <si>
    <t>1405-07-09</t>
  </si>
  <si>
    <t>1405-07-10</t>
  </si>
  <si>
    <t>1405-07-11</t>
  </si>
  <si>
    <t>1405-07-12</t>
  </si>
  <si>
    <t>1405-07-13</t>
  </si>
  <si>
    <t>1405-07-14</t>
  </si>
  <si>
    <t>1405-07-15</t>
  </si>
  <si>
    <t>1405-07-16</t>
  </si>
  <si>
    <t>1405-07-17</t>
  </si>
  <si>
    <t>1405-07-18</t>
  </si>
  <si>
    <t>1405-07-19</t>
  </si>
  <si>
    <t>1405-07-20</t>
  </si>
  <si>
    <t>1405-07-21</t>
  </si>
  <si>
    <t>1405-07-22</t>
  </si>
  <si>
    <t>1405-07-23</t>
  </si>
  <si>
    <t>1405-07-24</t>
  </si>
  <si>
    <t>1405-07-25</t>
  </si>
  <si>
    <t>1405-07-26</t>
  </si>
  <si>
    <t>1405-07-27</t>
  </si>
  <si>
    <t>1405-07-28</t>
  </si>
  <si>
    <t>1405-07-29</t>
  </si>
  <si>
    <t>1405-07-30</t>
  </si>
  <si>
    <t>1405-08-01</t>
  </si>
  <si>
    <t>1405-08-02</t>
  </si>
  <si>
    <t>1405-08-03</t>
  </si>
  <si>
    <t>1405-08-04</t>
  </si>
  <si>
    <t>1405-08-05</t>
  </si>
  <si>
    <t>1405-08-06</t>
  </si>
  <si>
    <t>1405-08-07</t>
  </si>
  <si>
    <t>1405-08-08</t>
  </si>
  <si>
    <t>1405-08-09</t>
  </si>
  <si>
    <t>1405-08-10</t>
  </si>
  <si>
    <t>1405-08-11</t>
  </si>
  <si>
    <t>1405-08-12</t>
  </si>
  <si>
    <t>1405-08-13</t>
  </si>
  <si>
    <t>1405-08-14</t>
  </si>
  <si>
    <t>1405-08-15</t>
  </si>
  <si>
    <t>1405-08-16</t>
  </si>
  <si>
    <t>1405-08-17</t>
  </si>
  <si>
    <t>1405-08-18</t>
  </si>
  <si>
    <t>1405-08-19</t>
  </si>
  <si>
    <t>1405-08-20</t>
  </si>
  <si>
    <t>1405-08-21</t>
  </si>
  <si>
    <t>1405-08-22</t>
  </si>
  <si>
    <t>1405-08-23</t>
  </si>
  <si>
    <t>1405-08-24</t>
  </si>
  <si>
    <t>1405-08-25</t>
  </si>
  <si>
    <t>1405-08-26</t>
  </si>
  <si>
    <t>1405-08-27</t>
  </si>
  <si>
    <t>1405-08-28</t>
  </si>
  <si>
    <t>1405-08-29</t>
  </si>
  <si>
    <t>1405-08-30</t>
  </si>
  <si>
    <t>1405-09-01</t>
  </si>
  <si>
    <t>1405-09-02</t>
  </si>
  <si>
    <t>1405-09-03</t>
  </si>
  <si>
    <t>1405-09-04</t>
  </si>
  <si>
    <t>1405-09-05</t>
  </si>
  <si>
    <t>1405-09-06</t>
  </si>
  <si>
    <t>1405-09-07</t>
  </si>
  <si>
    <t>1405-09-08</t>
  </si>
  <si>
    <t>1405-09-09</t>
  </si>
  <si>
    <t>1405-09-10</t>
  </si>
  <si>
    <t>1405-09-11</t>
  </si>
  <si>
    <t>1405-09-12</t>
  </si>
  <si>
    <t>1405-09-13</t>
  </si>
  <si>
    <t>1405-09-14</t>
  </si>
  <si>
    <t>1405-09-15</t>
  </si>
  <si>
    <t>1405-09-16</t>
  </si>
  <si>
    <t>1405-09-17</t>
  </si>
  <si>
    <t>1405-09-18</t>
  </si>
  <si>
    <t>1405-09-19</t>
  </si>
  <si>
    <t>1405-09-20</t>
  </si>
  <si>
    <t>1405-09-21</t>
  </si>
  <si>
    <t>1405-09-22</t>
  </si>
  <si>
    <t>1405-09-23</t>
  </si>
  <si>
    <t>1405-09-24</t>
  </si>
  <si>
    <t>1405-09-25</t>
  </si>
  <si>
    <t>1405-09-26</t>
  </si>
  <si>
    <t>1405-09-27</t>
  </si>
  <si>
    <t>1405-09-28</t>
  </si>
  <si>
    <t>1405-09-29</t>
  </si>
  <si>
    <t>1405-09-30</t>
  </si>
  <si>
    <t>1405-10-01</t>
  </si>
  <si>
    <t>1405-10-02</t>
  </si>
  <si>
    <t>1405-10-03</t>
  </si>
  <si>
    <t>1405-10-04</t>
  </si>
  <si>
    <t>1405-10-05</t>
  </si>
  <si>
    <t>1405-10-06</t>
  </si>
  <si>
    <t>1405-10-07</t>
  </si>
  <si>
    <t>1405-10-08</t>
  </si>
  <si>
    <t>1405-10-09</t>
  </si>
  <si>
    <t>1405-10-10</t>
  </si>
  <si>
    <t>1405-10-11</t>
  </si>
  <si>
    <t>1405-10-12</t>
  </si>
  <si>
    <t>1405-10-13</t>
  </si>
  <si>
    <t>1405-10-14</t>
  </si>
  <si>
    <t>1405-10-15</t>
  </si>
  <si>
    <t>1405-10-16</t>
  </si>
  <si>
    <t>1405-10-17</t>
  </si>
  <si>
    <t>1405-10-18</t>
  </si>
  <si>
    <t>1405-10-19</t>
  </si>
  <si>
    <t>1405-10-20</t>
  </si>
  <si>
    <t>1405-10-21</t>
  </si>
  <si>
    <t>1405-10-22</t>
  </si>
  <si>
    <t>1405-10-23</t>
  </si>
  <si>
    <t>1405-10-24</t>
  </si>
  <si>
    <t>1405-10-25</t>
  </si>
  <si>
    <t>1405-10-26</t>
  </si>
  <si>
    <t>1405-10-27</t>
  </si>
  <si>
    <t>1405-10-28</t>
  </si>
  <si>
    <t>1405-10-29</t>
  </si>
  <si>
    <t>1405-10-30</t>
  </si>
  <si>
    <t>1405-11-01</t>
  </si>
  <si>
    <t>1405-11-02</t>
  </si>
  <si>
    <t>1405-11-03</t>
  </si>
  <si>
    <t>1405-11-04</t>
  </si>
  <si>
    <t>1405-11-05</t>
  </si>
  <si>
    <t>1405-11-06</t>
  </si>
  <si>
    <t>1405-11-07</t>
  </si>
  <si>
    <t>1405-11-08</t>
  </si>
  <si>
    <t>1405-11-09</t>
  </si>
  <si>
    <t>1405-11-10</t>
  </si>
  <si>
    <t>1405-11-11</t>
  </si>
  <si>
    <t>1405-11-12</t>
  </si>
  <si>
    <t>1405-11-13</t>
  </si>
  <si>
    <t>1405-11-14</t>
  </si>
  <si>
    <t>1405-11-15</t>
  </si>
  <si>
    <t>1405-11-16</t>
  </si>
  <si>
    <t>1405-11-17</t>
  </si>
  <si>
    <t>1405-11-18</t>
  </si>
  <si>
    <t>1405-11-19</t>
  </si>
  <si>
    <t>1405-11-20</t>
  </si>
  <si>
    <t>1405-11-21</t>
  </si>
  <si>
    <t>1405-11-22</t>
  </si>
  <si>
    <t>1405-11-23</t>
  </si>
  <si>
    <t>1405-11-24</t>
  </si>
  <si>
    <t>1405-11-25</t>
  </si>
  <si>
    <t>1405-11-26</t>
  </si>
  <si>
    <t>1405-11-27</t>
  </si>
  <si>
    <t>1405-11-28</t>
  </si>
  <si>
    <t>1405-11-29</t>
  </si>
  <si>
    <t>1405-11-30</t>
  </si>
  <si>
    <t>1405-12-01</t>
  </si>
  <si>
    <t>1405-12-02</t>
  </si>
  <si>
    <t>1405-12-03</t>
  </si>
  <si>
    <t>1405-12-04</t>
  </si>
  <si>
    <t>1405-12-05</t>
  </si>
  <si>
    <t>1405-12-06</t>
  </si>
  <si>
    <t>1405-12-07</t>
  </si>
  <si>
    <t>1405-12-08</t>
  </si>
  <si>
    <t>1405-12-09</t>
  </si>
  <si>
    <t>1405-12-10</t>
  </si>
  <si>
    <t>1405-12-11</t>
  </si>
  <si>
    <t>1405-12-12</t>
  </si>
  <si>
    <t>1405-12-13</t>
  </si>
  <si>
    <t>1405-12-14</t>
  </si>
  <si>
    <t>1405-12-15</t>
  </si>
  <si>
    <t>1405-12-16</t>
  </si>
  <si>
    <t>1405-12-17</t>
  </si>
  <si>
    <t>1405-12-18</t>
  </si>
  <si>
    <t>1405-12-19</t>
  </si>
  <si>
    <t>1405-12-20</t>
  </si>
  <si>
    <t>1405-12-21</t>
  </si>
  <si>
    <t>1405-12-22</t>
  </si>
  <si>
    <t>1405-12-23</t>
  </si>
  <si>
    <t>1405-12-24</t>
  </si>
  <si>
    <t>1405-12-25</t>
  </si>
  <si>
    <t>1405-12-26</t>
  </si>
  <si>
    <t>1405-12-27</t>
  </si>
  <si>
    <t>1405-12-28</t>
  </si>
  <si>
    <t>1405-12-29</t>
  </si>
  <si>
    <t>1404-01</t>
  </si>
  <si>
    <t>1404-02</t>
  </si>
  <si>
    <t>1404-03</t>
  </si>
  <si>
    <t>1404-04</t>
  </si>
  <si>
    <t>1404-05</t>
  </si>
  <si>
    <t>1404-06</t>
  </si>
  <si>
    <t>1404-07</t>
  </si>
  <si>
    <t>1404-08</t>
  </si>
  <si>
    <t>1404-09</t>
  </si>
  <si>
    <t>1404-10</t>
  </si>
  <si>
    <t>1404-11</t>
  </si>
  <si>
    <t>1404-12</t>
  </si>
  <si>
    <t>1405-01</t>
  </si>
  <si>
    <t>1405-02</t>
  </si>
  <si>
    <t>1405-03</t>
  </si>
  <si>
    <t>1405-04</t>
  </si>
  <si>
    <t>1405-05</t>
  </si>
  <si>
    <t>1405-06</t>
  </si>
  <si>
    <t>1405-07</t>
  </si>
  <si>
    <t>1405-08</t>
  </si>
  <si>
    <t>1405-09</t>
  </si>
  <si>
    <t>1405-10</t>
  </si>
  <si>
    <t>1405-11</t>
  </si>
  <si>
    <t>1405-12</t>
  </si>
  <si>
    <t>سایر درآمد</t>
  </si>
  <si>
    <t>وام فرزند مهر</t>
  </si>
  <si>
    <t>وام امتیازی مهر</t>
  </si>
  <si>
    <t>5.2.2.1</t>
  </si>
  <si>
    <t>سود وام گرفته شده</t>
  </si>
  <si>
    <t>دریافت سود بانکی</t>
  </si>
  <si>
    <t>دریافت سود سهام</t>
  </si>
  <si>
    <t>سود فرزند مهر</t>
  </si>
  <si>
    <t>سود امتیازی مهر</t>
  </si>
  <si>
    <t>1406-01-01</t>
  </si>
  <si>
    <t>1406-01-02</t>
  </si>
  <si>
    <t>1406-01-03</t>
  </si>
  <si>
    <t>1406-01-04</t>
  </si>
  <si>
    <t>1406-01-05</t>
  </si>
  <si>
    <t>1406-01-06</t>
  </si>
  <si>
    <t>1406-01-07</t>
  </si>
  <si>
    <t>1406-01-08</t>
  </si>
  <si>
    <t>1406-01-09</t>
  </si>
  <si>
    <t>1406-01-10</t>
  </si>
  <si>
    <t>1406-01-11</t>
  </si>
  <si>
    <t>1406-01-12</t>
  </si>
  <si>
    <t>1406-01-13</t>
  </si>
  <si>
    <t>1406-01-14</t>
  </si>
  <si>
    <t>1406-01-15</t>
  </si>
  <si>
    <t>1406-01-16</t>
  </si>
  <si>
    <t>1406-01-17</t>
  </si>
  <si>
    <t>1406-01-18</t>
  </si>
  <si>
    <t>1406-01-19</t>
  </si>
  <si>
    <t>1406-01-20</t>
  </si>
  <si>
    <t>1406-01-21</t>
  </si>
  <si>
    <t>1406-01-22</t>
  </si>
  <si>
    <t>1406-01-23</t>
  </si>
  <si>
    <t>1406-01-24</t>
  </si>
  <si>
    <t>1406-01-25</t>
  </si>
  <si>
    <t>1406-01-26</t>
  </si>
  <si>
    <t>1406-01-27</t>
  </si>
  <si>
    <t>1406-01-28</t>
  </si>
  <si>
    <t>1406-01-29</t>
  </si>
  <si>
    <t>1406-01-30</t>
  </si>
  <si>
    <t>1406-01-31</t>
  </si>
  <si>
    <t>1406-02-01</t>
  </si>
  <si>
    <t>1406-02-02</t>
  </si>
  <si>
    <t>1406-02-03</t>
  </si>
  <si>
    <t>1406-02-04</t>
  </si>
  <si>
    <t>1406-02-05</t>
  </si>
  <si>
    <t>1406-02-06</t>
  </si>
  <si>
    <t>1406-02-07</t>
  </si>
  <si>
    <t>1406-02-08</t>
  </si>
  <si>
    <t>1406-02-09</t>
  </si>
  <si>
    <t>1406-02-10</t>
  </si>
  <si>
    <t>1406-02-11</t>
  </si>
  <si>
    <t>1406-02-12</t>
  </si>
  <si>
    <t>1406-02-13</t>
  </si>
  <si>
    <t>1406-02-14</t>
  </si>
  <si>
    <t>1406-02-15</t>
  </si>
  <si>
    <t>1406-02-16</t>
  </si>
  <si>
    <t>1406-02-17</t>
  </si>
  <si>
    <t>1406-02-18</t>
  </si>
  <si>
    <t>1406-02-19</t>
  </si>
  <si>
    <t>1406-02-20</t>
  </si>
  <si>
    <t>1406-02-21</t>
  </si>
  <si>
    <t>1406-02-22</t>
  </si>
  <si>
    <t>1406-02-23</t>
  </si>
  <si>
    <t>1406-02-24</t>
  </si>
  <si>
    <t>1406-02-25</t>
  </si>
  <si>
    <t>1406-02-26</t>
  </si>
  <si>
    <t>1406-02-27</t>
  </si>
  <si>
    <t>1406-02-28</t>
  </si>
  <si>
    <t>1406-02-29</t>
  </si>
  <si>
    <t>1406-02-30</t>
  </si>
  <si>
    <t>1406-02-31</t>
  </si>
  <si>
    <t>1406-03-01</t>
  </si>
  <si>
    <t>1406-03-02</t>
  </si>
  <si>
    <t>1406-03-03</t>
  </si>
  <si>
    <t>1406-03-04</t>
  </si>
  <si>
    <t>1406-03-05</t>
  </si>
  <si>
    <t>1406-03-06</t>
  </si>
  <si>
    <t>1406-03-07</t>
  </si>
  <si>
    <t>1406-03-08</t>
  </si>
  <si>
    <t>1406-03-09</t>
  </si>
  <si>
    <t>1406-03-10</t>
  </si>
  <si>
    <t>1406-03-11</t>
  </si>
  <si>
    <t>1406-03-12</t>
  </si>
  <si>
    <t>1406-03-13</t>
  </si>
  <si>
    <t>1406-03-14</t>
  </si>
  <si>
    <t>1406-03-15</t>
  </si>
  <si>
    <t>1406-03-16</t>
  </si>
  <si>
    <t>1406-03-17</t>
  </si>
  <si>
    <t>1406-03-18</t>
  </si>
  <si>
    <t>1406-03-19</t>
  </si>
  <si>
    <t>1406-03-20</t>
  </si>
  <si>
    <t>1406-03-21</t>
  </si>
  <si>
    <t>1406-03-22</t>
  </si>
  <si>
    <t>1406-03-23</t>
  </si>
  <si>
    <t>1406-03-24</t>
  </si>
  <si>
    <t>1406-03-25</t>
  </si>
  <si>
    <t>1406-03-26</t>
  </si>
  <si>
    <t>1406-03-27</t>
  </si>
  <si>
    <t>1406-03-28</t>
  </si>
  <si>
    <t>1406-03-29</t>
  </si>
  <si>
    <t>1406-03-30</t>
  </si>
  <si>
    <t>1406-03-31</t>
  </si>
  <si>
    <t>1406-04-01</t>
  </si>
  <si>
    <t>1406-04-02</t>
  </si>
  <si>
    <t>1406-04-03</t>
  </si>
  <si>
    <t>1406-04-04</t>
  </si>
  <si>
    <t>1406-04-05</t>
  </si>
  <si>
    <t>1406-04-06</t>
  </si>
  <si>
    <t>1406-04-07</t>
  </si>
  <si>
    <t>1406-04-08</t>
  </si>
  <si>
    <t>1406-04-09</t>
  </si>
  <si>
    <t>1406-04-10</t>
  </si>
  <si>
    <t>1406-04-11</t>
  </si>
  <si>
    <t>1406-04-12</t>
  </si>
  <si>
    <t>1406-04-13</t>
  </si>
  <si>
    <t>1406-04-14</t>
  </si>
  <si>
    <t>1406-04-15</t>
  </si>
  <si>
    <t>1406-04-16</t>
  </si>
  <si>
    <t>1406-04-17</t>
  </si>
  <si>
    <t>1406-04-18</t>
  </si>
  <si>
    <t>1406-04-19</t>
  </si>
  <si>
    <t>1406-04-20</t>
  </si>
  <si>
    <t>1406-04-21</t>
  </si>
  <si>
    <t>1406-04-22</t>
  </si>
  <si>
    <t>1406-04-23</t>
  </si>
  <si>
    <t>1406-04-24</t>
  </si>
  <si>
    <t>1406-04-25</t>
  </si>
  <si>
    <t>1406-04-26</t>
  </si>
  <si>
    <t>1406-04-27</t>
  </si>
  <si>
    <t>1406-04-28</t>
  </si>
  <si>
    <t>1406-04-29</t>
  </si>
  <si>
    <t>1406-04-30</t>
  </si>
  <si>
    <t>1406-04-31</t>
  </si>
  <si>
    <t>1406-05-01</t>
  </si>
  <si>
    <t>1406-05-02</t>
  </si>
  <si>
    <t>1406-05-03</t>
  </si>
  <si>
    <t>1406-05-04</t>
  </si>
  <si>
    <t>1406-05-05</t>
  </si>
  <si>
    <t>1406-05-06</t>
  </si>
  <si>
    <t>1406-05-07</t>
  </si>
  <si>
    <t>1406-05-08</t>
  </si>
  <si>
    <t>1406-05-09</t>
  </si>
  <si>
    <t>1406-05-10</t>
  </si>
  <si>
    <t>1406-05-11</t>
  </si>
  <si>
    <t>1406-05-12</t>
  </si>
  <si>
    <t>1406-05-13</t>
  </si>
  <si>
    <t>1406-05-14</t>
  </si>
  <si>
    <t>1406-05-15</t>
  </si>
  <si>
    <t>1406-05-16</t>
  </si>
  <si>
    <t>1406-05-17</t>
  </si>
  <si>
    <t>1406-05-18</t>
  </si>
  <si>
    <t>1406-05-19</t>
  </si>
  <si>
    <t>1406-05-20</t>
  </si>
  <si>
    <t>1406-05-21</t>
  </si>
  <si>
    <t>1406-05-22</t>
  </si>
  <si>
    <t>1406-05-23</t>
  </si>
  <si>
    <t>1406-05-24</t>
  </si>
  <si>
    <t>1406-05-25</t>
  </si>
  <si>
    <t>1406-05-26</t>
  </si>
  <si>
    <t>1406-05-27</t>
  </si>
  <si>
    <t>1406-05-28</t>
  </si>
  <si>
    <t>1406-05-29</t>
  </si>
  <si>
    <t>1406-05-30</t>
  </si>
  <si>
    <t>1406-05-31</t>
  </si>
  <si>
    <t>1406-06-01</t>
  </si>
  <si>
    <t>1406-06-02</t>
  </si>
  <si>
    <t>1406-06-03</t>
  </si>
  <si>
    <t>1406-06-04</t>
  </si>
  <si>
    <t>1406-06-05</t>
  </si>
  <si>
    <t>1406-06-06</t>
  </si>
  <si>
    <t>1406-06-07</t>
  </si>
  <si>
    <t>1406-06-08</t>
  </si>
  <si>
    <t>1406-06-09</t>
  </si>
  <si>
    <t>1406-06-10</t>
  </si>
  <si>
    <t>1406-06-11</t>
  </si>
  <si>
    <t>1406-06-12</t>
  </si>
  <si>
    <t>1406-06-13</t>
  </si>
  <si>
    <t>1406-06-14</t>
  </si>
  <si>
    <t>1406-06-15</t>
  </si>
  <si>
    <t>1406-06-16</t>
  </si>
  <si>
    <t>1406-06-17</t>
  </si>
  <si>
    <t>1406-06-18</t>
  </si>
  <si>
    <t>1406-06-19</t>
  </si>
  <si>
    <t>1406-06-20</t>
  </si>
  <si>
    <t>1406-06-21</t>
  </si>
  <si>
    <t>1406-06-22</t>
  </si>
  <si>
    <t>1406-06-23</t>
  </si>
  <si>
    <t>1406-06-24</t>
  </si>
  <si>
    <t>1406-06-25</t>
  </si>
  <si>
    <t>1406-06-26</t>
  </si>
  <si>
    <t>1406-06-27</t>
  </si>
  <si>
    <t>1406-06-28</t>
  </si>
  <si>
    <t>1406-06-29</t>
  </si>
  <si>
    <t>1406-06-30</t>
  </si>
  <si>
    <t>1406-06-31</t>
  </si>
  <si>
    <t>1406-07-01</t>
  </si>
  <si>
    <t>1406-07-02</t>
  </si>
  <si>
    <t>1406-07-03</t>
  </si>
  <si>
    <t>1406-07-04</t>
  </si>
  <si>
    <t>1406-07-05</t>
  </si>
  <si>
    <t>1406-07-06</t>
  </si>
  <si>
    <t>1406-07-07</t>
  </si>
  <si>
    <t>1406-07-08</t>
  </si>
  <si>
    <t>1406-07-09</t>
  </si>
  <si>
    <t>1406-07-10</t>
  </si>
  <si>
    <t>1406-07-11</t>
  </si>
  <si>
    <t>1406-07-12</t>
  </si>
  <si>
    <t>1406-07-13</t>
  </si>
  <si>
    <t>1406-07-14</t>
  </si>
  <si>
    <t>1406-07-15</t>
  </si>
  <si>
    <t>1406-07-16</t>
  </si>
  <si>
    <t>1406-07-17</t>
  </si>
  <si>
    <t>1406-07-18</t>
  </si>
  <si>
    <t>1406-07-19</t>
  </si>
  <si>
    <t>1406-07-20</t>
  </si>
  <si>
    <t>1406-07-21</t>
  </si>
  <si>
    <t>1406-07-22</t>
  </si>
  <si>
    <t>1406-07-23</t>
  </si>
  <si>
    <t>1406-07-24</t>
  </si>
  <si>
    <t>1406-07-25</t>
  </si>
  <si>
    <t>1406-07-26</t>
  </si>
  <si>
    <t>1406-07-27</t>
  </si>
  <si>
    <t>1406-07-28</t>
  </si>
  <si>
    <t>1406-07-29</t>
  </si>
  <si>
    <t>1406-07-30</t>
  </si>
  <si>
    <t>1406-08-01</t>
  </si>
  <si>
    <t>1406-08-02</t>
  </si>
  <si>
    <t>1406-08-03</t>
  </si>
  <si>
    <t>1406-08-04</t>
  </si>
  <si>
    <t>1406-08-05</t>
  </si>
  <si>
    <t>1406-08-06</t>
  </si>
  <si>
    <t>1406-08-07</t>
  </si>
  <si>
    <t>1406-08-08</t>
  </si>
  <si>
    <t>1406-08-09</t>
  </si>
  <si>
    <t>1406-08-10</t>
  </si>
  <si>
    <t>1406-08-11</t>
  </si>
  <si>
    <t>1406-08-12</t>
  </si>
  <si>
    <t>1406-08-13</t>
  </si>
  <si>
    <t>1406-08-14</t>
  </si>
  <si>
    <t>1406-08-15</t>
  </si>
  <si>
    <t>1406-08-16</t>
  </si>
  <si>
    <t>1406-08-17</t>
  </si>
  <si>
    <t>1406-08-18</t>
  </si>
  <si>
    <t>1406-08-19</t>
  </si>
  <si>
    <t>1406-08-20</t>
  </si>
  <si>
    <t>1406-08-21</t>
  </si>
  <si>
    <t>1406-08-22</t>
  </si>
  <si>
    <t>1406-08-23</t>
  </si>
  <si>
    <t>1406-08-24</t>
  </si>
  <si>
    <t>1406-08-25</t>
  </si>
  <si>
    <t>1406-08-26</t>
  </si>
  <si>
    <t>1406-08-27</t>
  </si>
  <si>
    <t>1406-08-28</t>
  </si>
  <si>
    <t>1406-08-29</t>
  </si>
  <si>
    <t>1406-08-30</t>
  </si>
  <si>
    <t>1406-09-01</t>
  </si>
  <si>
    <t>1406-09-02</t>
  </si>
  <si>
    <t>1406-09-03</t>
  </si>
  <si>
    <t>1406-09-04</t>
  </si>
  <si>
    <t>1406-09-05</t>
  </si>
  <si>
    <t>1406-09-06</t>
  </si>
  <si>
    <t>1406-09-07</t>
  </si>
  <si>
    <t>1406-09-08</t>
  </si>
  <si>
    <t>1406-09-09</t>
  </si>
  <si>
    <t>1406-09-10</t>
  </si>
  <si>
    <t>1406-09-11</t>
  </si>
  <si>
    <t>1406-09-12</t>
  </si>
  <si>
    <t>1406-09-13</t>
  </si>
  <si>
    <t>1406-09-14</t>
  </si>
  <si>
    <t>1406-09-15</t>
  </si>
  <si>
    <t>1406-09-16</t>
  </si>
  <si>
    <t>1406-09-17</t>
  </si>
  <si>
    <t>1406-09-18</t>
  </si>
  <si>
    <t>1406-09-19</t>
  </si>
  <si>
    <t>1406-09-20</t>
  </si>
  <si>
    <t>1406-09-21</t>
  </si>
  <si>
    <t>1406-09-22</t>
  </si>
  <si>
    <t>1406-09-23</t>
  </si>
  <si>
    <t>1406-09-24</t>
  </si>
  <si>
    <t>1406-09-25</t>
  </si>
  <si>
    <t>1406-09-26</t>
  </si>
  <si>
    <t>1406-09-27</t>
  </si>
  <si>
    <t>1406-09-28</t>
  </si>
  <si>
    <t>1406-09-29</t>
  </si>
  <si>
    <t>1406-09-30</t>
  </si>
  <si>
    <t>1406-10-01</t>
  </si>
  <si>
    <t>1406-10-02</t>
  </si>
  <si>
    <t>1406-10-03</t>
  </si>
  <si>
    <t>1406-10-04</t>
  </si>
  <si>
    <t>1406-10-05</t>
  </si>
  <si>
    <t>1406-10-06</t>
  </si>
  <si>
    <t>1406-10-07</t>
  </si>
  <si>
    <t>1406-10-08</t>
  </si>
  <si>
    <t>1406-10-09</t>
  </si>
  <si>
    <t>1406-10-10</t>
  </si>
  <si>
    <t>1406-10-11</t>
  </si>
  <si>
    <t>1406-10-12</t>
  </si>
  <si>
    <t>1406-10-13</t>
  </si>
  <si>
    <t>1406-10-14</t>
  </si>
  <si>
    <t>1406-10-15</t>
  </si>
  <si>
    <t>1406-10-16</t>
  </si>
  <si>
    <t>1406-10-17</t>
  </si>
  <si>
    <t>1406-10-18</t>
  </si>
  <si>
    <t>1406-10-19</t>
  </si>
  <si>
    <t>1406-10-20</t>
  </si>
  <si>
    <t>1406-10-21</t>
  </si>
  <si>
    <t>1406-10-22</t>
  </si>
  <si>
    <t>1406-10-23</t>
  </si>
  <si>
    <t>1406-10-24</t>
  </si>
  <si>
    <t>1406-10-25</t>
  </si>
  <si>
    <t>1406-10-26</t>
  </si>
  <si>
    <t>1406-10-27</t>
  </si>
  <si>
    <t>1406-10-28</t>
  </si>
  <si>
    <t>1406-10-29</t>
  </si>
  <si>
    <t>1406-10-30</t>
  </si>
  <si>
    <t>1406-11-01</t>
  </si>
  <si>
    <t>1406-11-02</t>
  </si>
  <si>
    <t>1406-11-03</t>
  </si>
  <si>
    <t>1406-11-04</t>
  </si>
  <si>
    <t>1406-11-05</t>
  </si>
  <si>
    <t>1406-11-06</t>
  </si>
  <si>
    <t>1406-11-07</t>
  </si>
  <si>
    <t>1406-11-08</t>
  </si>
  <si>
    <t>1406-11-09</t>
  </si>
  <si>
    <t>1406-11-10</t>
  </si>
  <si>
    <t>1406-11-11</t>
  </si>
  <si>
    <t>1406-11-12</t>
  </si>
  <si>
    <t>1406-11-13</t>
  </si>
  <si>
    <t>1406-11-14</t>
  </si>
  <si>
    <t>1406-11-15</t>
  </si>
  <si>
    <t>1406-11-16</t>
  </si>
  <si>
    <t>1406-11-17</t>
  </si>
  <si>
    <t>1406-11-18</t>
  </si>
  <si>
    <t>1406-11-19</t>
  </si>
  <si>
    <t>1406-11-20</t>
  </si>
  <si>
    <t>1406-11-21</t>
  </si>
  <si>
    <t>1406-11-22</t>
  </si>
  <si>
    <t>1406-11-23</t>
  </si>
  <si>
    <t>1406-11-24</t>
  </si>
  <si>
    <t>1406-11-25</t>
  </si>
  <si>
    <t>1406-11-26</t>
  </si>
  <si>
    <t>1406-11-27</t>
  </si>
  <si>
    <t>1406-11-28</t>
  </si>
  <si>
    <t>1406-11-29</t>
  </si>
  <si>
    <t>1406-11-30</t>
  </si>
  <si>
    <t>1406-12-01</t>
  </si>
  <si>
    <t>1406-12-02</t>
  </si>
  <si>
    <t>1406-12-03</t>
  </si>
  <si>
    <t>1406-12-04</t>
  </si>
  <si>
    <t>1406-12-05</t>
  </si>
  <si>
    <t>1406-12-06</t>
  </si>
  <si>
    <t>1406-12-07</t>
  </si>
  <si>
    <t>1406-12-08</t>
  </si>
  <si>
    <t>1406-12-09</t>
  </si>
  <si>
    <t>1406-12-10</t>
  </si>
  <si>
    <t>1406-12-11</t>
  </si>
  <si>
    <t>1406-12-12</t>
  </si>
  <si>
    <t>1406-12-13</t>
  </si>
  <si>
    <t>1406-12-14</t>
  </si>
  <si>
    <t>1406-12-15</t>
  </si>
  <si>
    <t>1406-12-16</t>
  </si>
  <si>
    <t>1406-12-17</t>
  </si>
  <si>
    <t>1406-12-18</t>
  </si>
  <si>
    <t>1406-12-19</t>
  </si>
  <si>
    <t>1406-12-20</t>
  </si>
  <si>
    <t>1406-12-21</t>
  </si>
  <si>
    <t>1406-12-22</t>
  </si>
  <si>
    <t>1406-12-23</t>
  </si>
  <si>
    <t>1406-12-24</t>
  </si>
  <si>
    <t>1406-12-25</t>
  </si>
  <si>
    <t>1406-12-26</t>
  </si>
  <si>
    <t>1406-12-27</t>
  </si>
  <si>
    <t>1406-12-28</t>
  </si>
  <si>
    <t>1406-12-29</t>
  </si>
  <si>
    <t>1406-01</t>
  </si>
  <si>
    <t>1406-02</t>
  </si>
  <si>
    <t>1406-03</t>
  </si>
  <si>
    <t>1406-04</t>
  </si>
  <si>
    <t>1406-05</t>
  </si>
  <si>
    <t>1406-06</t>
  </si>
  <si>
    <t>1406-07</t>
  </si>
  <si>
    <t>1406-08</t>
  </si>
  <si>
    <t>1406-09</t>
  </si>
  <si>
    <t>1406-10</t>
  </si>
  <si>
    <t>1406-11</t>
  </si>
  <si>
    <t>1406-12</t>
  </si>
  <si>
    <t>پاداش آخر سال - یک پایه حقوق</t>
  </si>
  <si>
    <t>پاداش مدیرعامل 35 ساعت</t>
  </si>
  <si>
    <t>سرویس خواب</t>
  </si>
  <si>
    <t>لباس حافظ و حسان</t>
  </si>
  <si>
    <t>نیمه شعبان</t>
  </si>
  <si>
    <t>آجیل شب عید</t>
  </si>
  <si>
    <t>کت فاطمه</t>
  </si>
  <si>
    <t>مبعث</t>
  </si>
  <si>
    <t>وام سرویس خواب</t>
  </si>
  <si>
    <t>دندان پزشکی</t>
  </si>
  <si>
    <t>حقوق فروردین 1402</t>
  </si>
  <si>
    <t>الباقی حقوق فروردین 1402</t>
  </si>
  <si>
    <t>تشک تخت</t>
  </si>
  <si>
    <t>تولد هانی و تبدیل پول حافظ و هانی</t>
  </si>
  <si>
    <t>؟</t>
  </si>
  <si>
    <t>کفش و کت و شلوار آرنا</t>
  </si>
  <si>
    <t>آرایشگاه - ابرو</t>
  </si>
  <si>
    <t>آرایشگاه - کوتاهی مو</t>
  </si>
  <si>
    <t>بنزین</t>
  </si>
  <si>
    <t>شلوار - مرجوعی - شلوار جدید</t>
  </si>
  <si>
    <t>تیشرت هانی</t>
  </si>
  <si>
    <t>بلوز شلوار حافظ و حسان</t>
  </si>
  <si>
    <t>نوبیتکس</t>
  </si>
  <si>
    <t>بیت پین</t>
  </si>
  <si>
    <t>انتقال عیدی مهدی به حسابش</t>
  </si>
  <si>
    <t>دریافت نقدی عیدی مهدی</t>
  </si>
  <si>
    <t>تامین وجه چک تخت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</si>
</sst>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Tahoma"/>
      <family val="2"/>
    </font>
    <font>
      <sz val="10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3" borderId="0" applyNumberFormat="0" applyBorder="0" applyAlignment="0" applyProtection="0"/>
  </cellStyleXfs>
  <cellXfs count="179">
    <xf numFmtId="0" fontId="0" fillId="0" borderId="0" xfId="0"/>
    <xf numFmtId="164" fontId="0" fillId="0" borderId="0" xfId="1" applyNumberFormat="1" applyFont="1"/>
    <xf numFmtId="164" fontId="2" fillId="0" borderId="0" xfId="1" applyNumberFormat="1" applyFont="1"/>
    <xf numFmtId="0" fontId="0" fillId="0" borderId="0" xfId="0" applyAlignment="1">
      <alignment horizontal="left" vertical="center"/>
    </xf>
    <xf numFmtId="43" fontId="0" fillId="0" borderId="0" xfId="0" applyNumberFormat="1"/>
    <xf numFmtId="164" fontId="0" fillId="0" borderId="0" xfId="0" applyNumberFormat="1"/>
    <xf numFmtId="164" fontId="4" fillId="0" borderId="0" xfId="1" applyNumberFormat="1" applyFont="1"/>
    <xf numFmtId="0" fontId="0" fillId="0" borderId="0" xfId="0" applyAlignment="1">
      <alignment horizontal="right"/>
    </xf>
    <xf numFmtId="49" fontId="4" fillId="0" borderId="0" xfId="1" applyNumberFormat="1" applyFont="1"/>
    <xf numFmtId="49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quotePrefix="1"/>
    <xf numFmtId="164" fontId="4" fillId="0" borderId="0" xfId="1" applyNumberFormat="1" applyFont="1" applyAlignment="1">
      <alignment horizontal="right" vertical="top"/>
    </xf>
    <xf numFmtId="164" fontId="0" fillId="0" borderId="0" xfId="1" applyNumberFormat="1" applyFont="1" applyAlignment="1">
      <alignment horizontal="right" vertical="top"/>
    </xf>
    <xf numFmtId="49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 vertical="top" wrapText="1"/>
    </xf>
    <xf numFmtId="0" fontId="3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textRotation="90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top" textRotation="90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1" applyNumberFormat="1" applyFont="1" applyAlignment="1">
      <alignment horizontal="right" vertical="top" wrapText="1"/>
    </xf>
    <xf numFmtId="164" fontId="3" fillId="0" borderId="0" xfId="1" applyNumberFormat="1" applyFont="1"/>
    <xf numFmtId="164" fontId="3" fillId="0" borderId="0" xfId="1" applyNumberFormat="1" applyFont="1" applyAlignment="1">
      <alignment vertical="top"/>
    </xf>
    <xf numFmtId="49" fontId="4" fillId="0" borderId="0" xfId="1" applyNumberFormat="1" applyFont="1" applyAlignment="1">
      <alignment horizontal="right"/>
    </xf>
    <xf numFmtId="0" fontId="4" fillId="0" borderId="0" xfId="1" applyNumberFormat="1" applyFont="1" applyAlignment="1">
      <alignment horizontal="right"/>
    </xf>
    <xf numFmtId="49" fontId="4" fillId="0" borderId="0" xfId="1" quotePrefix="1" applyNumberFormat="1" applyFont="1" applyAlignment="1">
      <alignment horizontal="right"/>
    </xf>
    <xf numFmtId="164" fontId="6" fillId="0" borderId="0" xfId="1" applyNumberFormat="1" applyFont="1"/>
    <xf numFmtId="0" fontId="7" fillId="0" borderId="0" xfId="0" applyFont="1" applyAlignment="1">
      <alignment horizontal="left" vertical="center"/>
    </xf>
    <xf numFmtId="0" fontId="7" fillId="0" borderId="0" xfId="0" applyFont="1"/>
    <xf numFmtId="164" fontId="7" fillId="0" borderId="0" xfId="1" applyNumberFormat="1" applyFont="1"/>
    <xf numFmtId="0" fontId="7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164" fontId="5" fillId="0" borderId="0" xfId="1" applyNumberFormat="1" applyFont="1" applyFill="1"/>
    <xf numFmtId="49" fontId="0" fillId="0" borderId="0" xfId="1" applyNumberFormat="1" applyFont="1" applyAlignment="1">
      <alignment horizontal="right"/>
    </xf>
    <xf numFmtId="49" fontId="6" fillId="0" borderId="0" xfId="1" applyNumberFormat="1" applyFont="1"/>
    <xf numFmtId="49" fontId="6" fillId="0" borderId="0" xfId="1" applyNumberFormat="1" applyFont="1" applyAlignment="1">
      <alignment horizontal="right"/>
    </xf>
    <xf numFmtId="0" fontId="6" fillId="0" borderId="0" xfId="1" applyNumberFormat="1" applyFont="1" applyAlignment="1">
      <alignment horizontal="right"/>
    </xf>
    <xf numFmtId="0" fontId="6" fillId="0" borderId="0" xfId="1" applyNumberFormat="1" applyFont="1" applyAlignment="1">
      <alignment horizontal="left"/>
    </xf>
    <xf numFmtId="0" fontId="9" fillId="0" borderId="0" xfId="0" applyFont="1"/>
    <xf numFmtId="164" fontId="0" fillId="0" borderId="0" xfId="1" applyNumberFormat="1" applyFont="1" applyAlignment="1">
      <alignment wrapText="1"/>
    </xf>
    <xf numFmtId="164" fontId="9" fillId="0" borderId="0" xfId="1" applyNumberFormat="1" applyFont="1"/>
    <xf numFmtId="164" fontId="0" fillId="0" borderId="0" xfId="1" applyNumberFormat="1" applyFont="1" applyAlignment="1">
      <alignment vertical="top"/>
    </xf>
    <xf numFmtId="164" fontId="6" fillId="0" borderId="0" xfId="1" applyNumberFormat="1" applyFont="1" applyAlignment="1">
      <alignment wrapText="1"/>
    </xf>
    <xf numFmtId="49" fontId="6" fillId="0" borderId="0" xfId="1" applyNumberFormat="1" applyFont="1" applyAlignment="1">
      <alignment wrapText="1"/>
    </xf>
    <xf numFmtId="49" fontId="0" fillId="0" borderId="0" xfId="1" applyNumberFormat="1" applyFont="1" applyAlignment="1">
      <alignment wrapText="1"/>
    </xf>
    <xf numFmtId="49" fontId="0" fillId="0" borderId="2" xfId="0" applyNumberFormat="1" applyBorder="1" applyAlignment="1">
      <alignment horizontal="center"/>
    </xf>
    <xf numFmtId="164" fontId="10" fillId="0" borderId="0" xfId="1" applyNumberFormat="1" applyFont="1"/>
    <xf numFmtId="0" fontId="9" fillId="0" borderId="0" xfId="1" applyNumberFormat="1" applyFont="1"/>
    <xf numFmtId="164" fontId="9" fillId="0" borderId="0" xfId="1" applyNumberFormat="1" applyFont="1" applyAlignment="1">
      <alignment horizontal="right" vertical="top" wrapText="1"/>
    </xf>
    <xf numFmtId="164" fontId="9" fillId="0" borderId="0" xfId="1" applyNumberFormat="1" applyFont="1" applyAlignment="1">
      <alignment horizontal="right"/>
    </xf>
    <xf numFmtId="164" fontId="9" fillId="0" borderId="0" xfId="1" applyNumberFormat="1" applyFont="1" applyAlignment="1">
      <alignment horizontal="right" vertical="top"/>
    </xf>
    <xf numFmtId="164" fontId="11" fillId="0" borderId="0" xfId="1" applyNumberFormat="1" applyFont="1" applyFill="1"/>
    <xf numFmtId="0" fontId="12" fillId="0" borderId="0" xfId="0" applyFont="1" applyAlignment="1">
      <alignment horizontal="left" vertical="center"/>
    </xf>
    <xf numFmtId="0" fontId="12" fillId="0" borderId="0" xfId="0" applyFont="1"/>
    <xf numFmtId="164" fontId="12" fillId="0" borderId="0" xfId="1" applyNumberFormat="1" applyFont="1"/>
    <xf numFmtId="0" fontId="10" fillId="0" borderId="0" xfId="0" applyFont="1"/>
    <xf numFmtId="0" fontId="12" fillId="0" borderId="0" xfId="0" applyFont="1" applyAlignment="1">
      <alignment horizontal="center"/>
    </xf>
    <xf numFmtId="164" fontId="13" fillId="0" borderId="0" xfId="1" applyNumberFormat="1" applyFont="1" applyAlignment="1">
      <alignment horizontal="right" vertical="top"/>
    </xf>
    <xf numFmtId="0" fontId="13" fillId="0" borderId="0" xfId="1" applyNumberFormat="1" applyFont="1"/>
    <xf numFmtId="0" fontId="14" fillId="0" borderId="0" xfId="0" applyFont="1"/>
    <xf numFmtId="49" fontId="10" fillId="0" borderId="0" xfId="1" applyNumberFormat="1" applyFont="1"/>
    <xf numFmtId="49" fontId="10" fillId="0" borderId="0" xfId="1" applyNumberFormat="1" applyFont="1" applyAlignment="1">
      <alignment horizontal="right"/>
    </xf>
    <xf numFmtId="164" fontId="10" fillId="0" borderId="0" xfId="1" applyNumberFormat="1" applyFont="1" applyAlignment="1">
      <alignment wrapText="1"/>
    </xf>
    <xf numFmtId="49" fontId="10" fillId="0" borderId="0" xfId="1" applyNumberFormat="1" applyFont="1" applyAlignment="1">
      <alignment wrapText="1"/>
    </xf>
    <xf numFmtId="0" fontId="10" fillId="0" borderId="0" xfId="1" applyNumberFormat="1" applyFont="1"/>
    <xf numFmtId="0" fontId="16" fillId="0" borderId="1" xfId="0" applyFont="1" applyBorder="1"/>
    <xf numFmtId="0" fontId="15" fillId="0" borderId="0" xfId="0" applyFont="1" applyAlignment="1">
      <alignment horizontal="right" vertical="top"/>
    </xf>
    <xf numFmtId="164" fontId="13" fillId="0" borderId="0" xfId="1" applyNumberFormat="1" applyFont="1"/>
    <xf numFmtId="164" fontId="17" fillId="0" borderId="0" xfId="1" applyNumberFormat="1" applyFont="1"/>
    <xf numFmtId="164" fontId="18" fillId="0" borderId="0" xfId="1" applyNumberFormat="1" applyFont="1"/>
    <xf numFmtId="49" fontId="18" fillId="0" borderId="0" xfId="1" applyNumberFormat="1" applyFont="1"/>
    <xf numFmtId="49" fontId="18" fillId="0" borderId="0" xfId="1" applyNumberFormat="1" applyFont="1" applyAlignment="1">
      <alignment horizontal="right"/>
    </xf>
    <xf numFmtId="164" fontId="19" fillId="0" borderId="0" xfId="1" applyNumberFormat="1" applyFont="1"/>
    <xf numFmtId="164" fontId="3" fillId="0" borderId="0" xfId="1" applyNumberFormat="1" applyFont="1" applyFill="1"/>
    <xf numFmtId="49" fontId="19" fillId="0" borderId="0" xfId="1" applyNumberFormat="1" applyFont="1"/>
    <xf numFmtId="49" fontId="19" fillId="0" borderId="0" xfId="1" applyNumberFormat="1" applyFont="1" applyAlignment="1">
      <alignment horizontal="right"/>
    </xf>
    <xf numFmtId="164" fontId="2" fillId="0" borderId="0" xfId="1" applyNumberFormat="1" applyFont="1" applyFill="1"/>
    <xf numFmtId="0" fontId="9" fillId="0" borderId="0" xfId="0" applyFont="1" applyAlignment="1">
      <alignment horizontal="center" vertical="top"/>
    </xf>
    <xf numFmtId="10" fontId="0" fillId="0" borderId="0" xfId="2" applyNumberFormat="1" applyFont="1"/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164" fontId="3" fillId="0" borderId="0" xfId="1" applyNumberFormat="1" applyFont="1" applyFill="1" applyAlignment="1">
      <alignment horizontal="right"/>
    </xf>
    <xf numFmtId="164" fontId="12" fillId="0" borderId="0" xfId="1" applyNumberFormat="1" applyFont="1" applyFill="1"/>
    <xf numFmtId="164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/>
    <xf numFmtId="164" fontId="20" fillId="0" borderId="0" xfId="1" applyNumberFormat="1" applyFont="1"/>
    <xf numFmtId="0" fontId="0" fillId="5" borderId="0" xfId="0" applyFill="1"/>
    <xf numFmtId="0" fontId="0" fillId="6" borderId="6" xfId="0" applyFill="1" applyBorder="1"/>
    <xf numFmtId="164" fontId="0" fillId="6" borderId="6" xfId="1" applyNumberFormat="1" applyFont="1" applyFill="1" applyBorder="1"/>
    <xf numFmtId="0" fontId="0" fillId="6" borderId="6" xfId="0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right" vertical="center"/>
    </xf>
    <xf numFmtId="1" fontId="0" fillId="6" borderId="6" xfId="0" applyNumberFormat="1" applyFill="1" applyBorder="1"/>
    <xf numFmtId="0" fontId="0" fillId="5" borderId="3" xfId="0" applyFill="1" applyBorder="1"/>
    <xf numFmtId="164" fontId="0" fillId="0" borderId="4" xfId="0" applyNumberFormat="1" applyBorder="1"/>
    <xf numFmtId="164" fontId="0" fillId="5" borderId="5" xfId="0" applyNumberFormat="1" applyFill="1" applyBorder="1"/>
    <xf numFmtId="164" fontId="0" fillId="5" borderId="0" xfId="1" applyNumberFormat="1" applyFont="1" applyFill="1" applyBorder="1"/>
    <xf numFmtId="0" fontId="2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1" applyNumberFormat="1" applyFont="1" applyBorder="1"/>
    <xf numFmtId="0" fontId="23" fillId="0" borderId="7" xfId="0" applyFont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0" fillId="6" borderId="0" xfId="0" applyNumberFormat="1" applyFill="1" applyAlignment="1">
      <alignment horizontal="right" vertical="center"/>
    </xf>
    <xf numFmtId="164" fontId="0" fillId="6" borderId="0" xfId="1" applyNumberFormat="1" applyFont="1" applyFill="1" applyBorder="1"/>
    <xf numFmtId="9" fontId="0" fillId="0" borderId="0" xfId="2" applyFont="1"/>
    <xf numFmtId="164" fontId="23" fillId="0" borderId="0" xfId="1" applyNumberFormat="1" applyFont="1" applyFill="1" applyBorder="1" applyAlignment="1">
      <alignment horizontal="center" vertical="center"/>
    </xf>
    <xf numFmtId="164" fontId="0" fillId="6" borderId="0" xfId="1" applyNumberFormat="1" applyFont="1" applyFill="1" applyBorder="1" applyAlignment="1">
      <alignment horizontal="center" vertical="center"/>
    </xf>
    <xf numFmtId="0" fontId="24" fillId="3" borderId="8" xfId="3" applyFont="1" applyBorder="1"/>
    <xf numFmtId="0" fontId="24" fillId="3" borderId="9" xfId="3" applyFont="1" applyBorder="1"/>
    <xf numFmtId="0" fontId="24" fillId="3" borderId="10" xfId="3" applyFont="1" applyBorder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24" fillId="3" borderId="11" xfId="3" applyFont="1" applyBorder="1"/>
    <xf numFmtId="3" fontId="21" fillId="3" borderId="12" xfId="3" applyNumberFormat="1" applyBorder="1"/>
    <xf numFmtId="3" fontId="21" fillId="3" borderId="13" xfId="3" applyNumberFormat="1" applyBorder="1"/>
    <xf numFmtId="0" fontId="21" fillId="3" borderId="12" xfId="3" applyBorder="1"/>
    <xf numFmtId="0" fontId="21" fillId="3" borderId="13" xfId="3" applyBorder="1"/>
    <xf numFmtId="0" fontId="0" fillId="5" borderId="14" xfId="0" applyFill="1" applyBorder="1"/>
    <xf numFmtId="0" fontId="0" fillId="2" borderId="15" xfId="0" applyFill="1" applyBorder="1"/>
    <xf numFmtId="0" fontId="21" fillId="3" borderId="11" xfId="3" applyBorder="1"/>
    <xf numFmtId="165" fontId="21" fillId="3" borderId="12" xfId="1" applyNumberFormat="1" applyFont="1" applyFill="1" applyBorder="1"/>
    <xf numFmtId="165" fontId="21" fillId="3" borderId="13" xfId="1" applyNumberFormat="1" applyFont="1" applyFill="1" applyBorder="1"/>
    <xf numFmtId="0" fontId="0" fillId="5" borderId="17" xfId="0" applyFill="1" applyBorder="1"/>
    <xf numFmtId="0" fontId="0" fillId="2" borderId="0" xfId="0" applyFill="1"/>
    <xf numFmtId="0" fontId="0" fillId="2" borderId="18" xfId="0" applyFill="1" applyBorder="1"/>
    <xf numFmtId="43" fontId="22" fillId="4" borderId="19" xfId="1" applyFont="1" applyFill="1" applyBorder="1" applyAlignment="1"/>
    <xf numFmtId="43" fontId="22" fillId="4" borderId="20" xfId="1" applyFont="1" applyFill="1" applyBorder="1" applyAlignment="1"/>
    <xf numFmtId="9" fontId="0" fillId="7" borderId="0" xfId="2" applyFont="1" applyFill="1" applyBorder="1"/>
    <xf numFmtId="9" fontId="0" fillId="7" borderId="18" xfId="2" applyFont="1" applyFill="1" applyBorder="1"/>
    <xf numFmtId="0" fontId="0" fillId="5" borderId="21" xfId="0" applyFill="1" applyBorder="1"/>
    <xf numFmtId="164" fontId="0" fillId="7" borderId="22" xfId="1" applyNumberFormat="1" applyFont="1" applyFill="1" applyBorder="1"/>
    <xf numFmtId="164" fontId="0" fillId="7" borderId="23" xfId="1" applyNumberFormat="1" applyFont="1" applyFill="1" applyBorder="1"/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2" borderId="11" xfId="0" applyFill="1" applyBorder="1"/>
    <xf numFmtId="0" fontId="0" fillId="2" borderId="13" xfId="0" applyFill="1" applyBorder="1"/>
    <xf numFmtId="164" fontId="0" fillId="2" borderId="16" xfId="1" applyNumberFormat="1" applyFont="1" applyFill="1" applyBorder="1"/>
    <xf numFmtId="2" fontId="0" fillId="8" borderId="26" xfId="0" applyNumberFormat="1" applyFill="1" applyBorder="1"/>
    <xf numFmtId="0" fontId="0" fillId="2" borderId="27" xfId="0" applyFill="1" applyBorder="1"/>
    <xf numFmtId="164" fontId="0" fillId="2" borderId="15" xfId="1" applyNumberFormat="1" applyFont="1" applyFill="1" applyBorder="1"/>
    <xf numFmtId="164" fontId="0" fillId="2" borderId="0" xfId="1" applyNumberFormat="1" applyFont="1" applyFill="1"/>
    <xf numFmtId="164" fontId="0" fillId="2" borderId="18" xfId="1" applyNumberFormat="1" applyFont="1" applyFill="1" applyBorder="1"/>
    <xf numFmtId="0" fontId="0" fillId="8" borderId="11" xfId="0" applyFill="1" applyBorder="1"/>
    <xf numFmtId="1" fontId="0" fillId="2" borderId="26" xfId="0" applyNumberFormat="1" applyFill="1" applyBorder="1"/>
    <xf numFmtId="164" fontId="0" fillId="0" borderId="8" xfId="1" applyNumberFormat="1" applyFont="1" applyBorder="1"/>
    <xf numFmtId="164" fontId="0" fillId="0" borderId="10" xfId="1" applyNumberFormat="1" applyFont="1" applyBorder="1"/>
    <xf numFmtId="0" fontId="0" fillId="0" borderId="11" xfId="0" applyBorder="1"/>
    <xf numFmtId="0" fontId="0" fillId="0" borderId="13" xfId="0" applyBorder="1"/>
    <xf numFmtId="164" fontId="0" fillId="0" borderId="26" xfId="0" applyNumberFormat="1" applyBorder="1"/>
    <xf numFmtId="164" fontId="0" fillId="0" borderId="27" xfId="0" applyNumberFormat="1" applyBorder="1"/>
    <xf numFmtId="164" fontId="0" fillId="9" borderId="0" xfId="1" applyNumberFormat="1" applyFont="1" applyFill="1"/>
    <xf numFmtId="164" fontId="0" fillId="9" borderId="18" xfId="1" applyNumberFormat="1" applyFont="1" applyFill="1" applyBorder="1"/>
    <xf numFmtId="164" fontId="15" fillId="0" borderId="0" xfId="1" applyNumberFormat="1" applyFont="1"/>
    <xf numFmtId="0" fontId="0" fillId="0" borderId="0" xfId="0" applyNumberFormat="1"/>
    <xf numFmtId="164" fontId="20" fillId="0" borderId="0" xfId="1" applyNumberFormat="1" applyFont="1" applyAlignment="1">
      <alignment horizontal="right" vertical="top"/>
    </xf>
    <xf numFmtId="164" fontId="9" fillId="0" borderId="0" xfId="0" applyNumberFormat="1" applyFont="1"/>
    <xf numFmtId="0" fontId="9" fillId="0" borderId="0" xfId="0" applyNumberFormat="1" applyFont="1"/>
    <xf numFmtId="43" fontId="9" fillId="0" borderId="0" xfId="0" applyNumberFormat="1" applyFont="1"/>
    <xf numFmtId="0" fontId="25" fillId="0" borderId="0" xfId="0" applyFont="1"/>
    <xf numFmtId="0" fontId="15" fillId="0" borderId="0" xfId="0" applyFont="1" applyAlignment="1">
      <alignment vertical="top" wrapText="1"/>
    </xf>
    <xf numFmtId="0" fontId="15" fillId="0" borderId="0" xfId="0" applyFont="1"/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64" fontId="0" fillId="5" borderId="3" xfId="1" applyNumberFormat="1" applyFont="1" applyFill="1" applyBorder="1" applyAlignment="1">
      <alignment horizontal="center" vertical="center"/>
    </xf>
    <xf numFmtId="164" fontId="0" fillId="5" borderId="5" xfId="1" applyNumberFormat="1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</cellXfs>
  <cellStyles count="4">
    <cellStyle name="Comma" xfId="1" builtinId="3"/>
    <cellStyle name="Good" xfId="3" builtinId="26"/>
    <cellStyle name="Normal" xfId="0" builtinId="0"/>
    <cellStyle name="Percent" xfId="2" builtinId="5"/>
  </cellStyles>
  <dxfs count="2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30" formatCode="@"/>
      <alignment horizontal="right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alignment horizontal="righ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alignment horizontal="righ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 diagonalUp="0" diagonalDown="0" outline="0">
        <left/>
        <right/>
        <top/>
        <bottom/>
      </border>
    </dxf>
    <dxf>
      <numFmt numFmtId="164" formatCode="_(* #,##0_);_(* \(#,##0\);_(* &quot;-&quot;??_);_(@_)"/>
      <fill>
        <patternFill>
          <fgColor indexed="64"/>
          <bgColor theme="5" tint="0.59999389629810485"/>
        </patternFill>
      </fill>
    </dxf>
    <dxf>
      <numFmt numFmtId="164" formatCode="_(* #,##0_);_(* \(#,##0\);_(* &quot;-&quot;??_);_(@_)"/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_(* #,##0_);_(* \(#,##0\);_(* &quot;-&quot;??_);_(@_)"/>
      <fill>
        <patternFill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fill>
        <patternFill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border diagonalUp="0" diagonalDown="0" outline="0">
        <left/>
        <right/>
        <top/>
        <bottom/>
      </border>
    </dxf>
    <dxf>
      <numFmt numFmtId="164" formatCode="_(* #,##0_);_(* \(#,##0\);_(* &quot;-&quot;??_);_(@_)"/>
    </dxf>
    <dxf>
      <border diagonalUp="0" diagonalDown="0" outline="0">
        <left/>
        <right/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  <border diagonalUp="0" diagonalDown="0" outline="0">
        <left/>
        <right/>
        <top/>
        <bottom/>
      </border>
    </dxf>
    <dxf>
      <numFmt numFmtId="164" formatCode="_(* #,##0_);_(* \(#,##0\);_(* &quot;-&quot;??_);_(@_)"/>
    </dxf>
    <dxf>
      <numFmt numFmtId="0" formatCode="General"/>
      <border diagonalUp="0" diagonalDown="0" outline="0">
        <left/>
        <right/>
        <top/>
        <bottom/>
      </border>
    </dxf>
    <dxf>
      <numFmt numFmtId="164" formatCode="_(* #,##0_);_(* \(#,##0\);_(* &quot;-&quot;??_);_(@_)"/>
    </dxf>
    <dxf>
      <border diagonalUp="0" diagonalDown="0" outline="0">
        <left/>
        <right/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numFmt numFmtId="30" formatCode="@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right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0" formatCode="General"/>
    </dxf>
    <dxf>
      <numFmt numFmtId="0" formatCode="General"/>
    </dxf>
    <dxf>
      <alignment horizontal="left" vertical="center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(* #,##0_);_(* \(#,##0\);_(* &quot;-&quot;??_);_(@_)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3300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3300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3300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5B5B"/>
        </patternFill>
      </fill>
    </dxf>
  </dxfs>
  <tableStyles count="0" defaultTableStyle="TableStyleMedium2" defaultPivotStyle="PivotStyleLight16"/>
  <colors>
    <mruColors>
      <color rgb="FFFF6969"/>
      <color rgb="FFFF3300"/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rticle" displayName="TArticle" ref="A1:AM800">
  <autoFilter ref="A1:AM800" xr:uid="{00000000-0009-0000-0100-000005000000}">
    <filterColumn colId="38">
      <filters>
        <filter val="1402-01"/>
        <filter val="1402-02"/>
        <filter val="1402-03"/>
        <filter val="1402-04"/>
        <filter val="1402-05"/>
        <filter val="1402-06"/>
        <filter val="1402-07"/>
        <filter val="1402-08"/>
        <filter val="1402-09"/>
        <filter val="1402-10"/>
        <filter val="1402-11"/>
        <filter val="1402-12"/>
        <filter val="1403-01"/>
        <filter val="1403-02"/>
        <filter val="1403-03"/>
        <filter val="1403-04"/>
        <filter val="1403-05"/>
        <filter val="1403-06"/>
        <filter val="1403-07"/>
        <filter val="1403-08"/>
        <filter val="1403-09"/>
        <filter val="1403-10"/>
        <filter val="1403-11"/>
        <filter val="1403-12"/>
        <filter val="1404-01"/>
        <filter val="1404-02"/>
        <filter val="1404-03"/>
        <filter val="1404-04"/>
        <filter val="1404-05"/>
        <filter val="1404-06"/>
        <filter val="1404-07"/>
        <filter val="1404-08"/>
        <filter val="1404-09"/>
        <filter val="1404-10"/>
        <filter val="1404-11"/>
        <filter val="1404-12"/>
        <filter val="1405-01"/>
        <filter val="1405-02"/>
        <filter val="1405-03"/>
        <filter val="1405-04"/>
        <filter val="1405-05"/>
        <filter val="1405-06"/>
        <filter val="1405-07"/>
        <filter val="1405-08"/>
        <filter val="1405-09"/>
        <filter val="1405-10"/>
        <filter val="1405-11"/>
        <filter val="1405-12"/>
        <filter val="1406-01"/>
        <filter val="1406-02"/>
        <filter val="1406-03"/>
        <filter val="1406-04"/>
        <filter val="1406-05"/>
        <filter val="1406-06"/>
        <filter val="1406-07"/>
        <filter val="1406-08"/>
        <filter val="1406-09"/>
        <filter val="1406-10"/>
        <filter val="1406-11"/>
        <filter val="1406-12"/>
      </filters>
    </filterColumn>
  </autoFilter>
  <sortState xmlns:xlrd2="http://schemas.microsoft.com/office/spreadsheetml/2017/richdata2" ref="A288:AM800">
    <sortCondition ref="D1:D800"/>
  </sortState>
  <tableColumns count="39">
    <tableColumn id="4" xr3:uid="{00000000-0010-0000-0000-000004000000}" name="شناسه" totalsRowFunction="count" dataDxfId="165" totalsRowDxfId="164"/>
    <tableColumn id="1" xr3:uid="{00000000-0010-0000-0000-000001000000}" name="حساب" dataDxfId="163">
      <calculatedColumnFormula>VLOOKUP(TArticle[[#This Row],[شناسه]],TAccount[],2,TRUE)</calculatedColumnFormula>
    </tableColumn>
    <tableColumn id="28" xr3:uid="{00000000-0010-0000-0000-00001C000000}" name="روز _x000a_هفته" dataDxfId="162">
      <calculatedColumnFormula>VLOOKUP(TArticle[[#This Row],[تاریخ]],TDays[],7,FALSE)</calculatedColumnFormula>
    </tableColumn>
    <tableColumn id="5" xr3:uid="{00000000-0010-0000-0000-000005000000}" name="تاریخ" dataDxfId="161"/>
    <tableColumn id="6" xr3:uid="{00000000-0010-0000-0000-000006000000}" name="مبلغ" dataDxfId="160" dataCellStyle="Comma"/>
    <tableColumn id="2" xr3:uid="{00000000-0010-0000-0000-000002000000}" name="مانده" dataDxfId="159" dataCellStyle="Comma">
      <calculatedColumnFormula>TArticle[[#This Row],[مبلغ]]+IFERROR(INT(F1),30181+3667+958)</calculatedColumnFormula>
    </tableColumn>
    <tableColumn id="8" xr3:uid="{00000000-0010-0000-0000-000008000000}" name="شرح"/>
    <tableColumn id="7" xr3:uid="{00000000-0010-0000-0000-000007000000}" name="شماره" dataDxfId="158"/>
    <tableColumn id="13" xr3:uid="{00000000-0010-0000-0000-00000D000000}" name="قطعیت"/>
    <tableColumn id="9" xr3:uid="{00000000-0010-0000-0000-000009000000}" name="مبلغ براورد" dataDxfId="157" dataCellStyle="Comma"/>
    <tableColumn id="10" xr3:uid="{00000000-0010-0000-0000-00000A000000}" name="کد وضعیت سند" dataDxfId="156"/>
    <tableColumn id="3" xr3:uid="{00000000-0010-0000-0000-000003000000}" name="وضعیت سند" dataDxfId="155">
      <calculatedColumnFormula>IF(TArticle[[#This Row],[کد وضعیت سند]]&gt;0,VLOOKUP(TArticle[[#This Row],[کد وضعیت سند]],TDocState[],2,FALSE),"")</calculatedColumnFormula>
    </tableColumn>
    <tableColumn id="19" xr3:uid="{00000000-0010-0000-0000-000013000000}" name="کد طرف حساب" dataDxfId="154"/>
    <tableColumn id="18" xr3:uid="{00000000-0010-0000-0000-000012000000}" name="طرف_x000a_حساب" dataDxfId="153">
      <calculatedColumnFormula>IF(TArticle[[#This Row],[کد طرف حساب]]&gt;0,VLOOKUP(TArticle[[#This Row],[کد طرف حساب]],TContact[],2,FALSE),"")</calculatedColumnFormula>
    </tableColumn>
    <tableColumn id="27" xr3:uid="{00000000-0010-0000-0000-00001B000000}" name="مانده_x000a_طرف_x000a_حساب" dataDxfId="152" dataCellStyle="Comma">
      <calculatedColumnFormula>IF(TArticle[[#This Row],[کد طرف حساب]]&gt;0,VLOOKUP(TArticle[[#This Row],[کد طرف حساب]],TContact[],7,FALSE)-SUMIF($M$2:M2,M2,$E$2:$E2),"")</calculatedColumnFormula>
    </tableColumn>
    <tableColumn id="25" xr3:uid="{00000000-0010-0000-0000-000019000000}" name="روز" dataDxfId="151">
      <calculatedColumnFormula>RIGHT(TArticle[[#This Row],[تاریخ]],2)</calculatedColumnFormula>
    </tableColumn>
    <tableColumn id="35" xr3:uid="{00000000-0010-0000-0000-000023000000}" name="هفته" dataDxfId="150">
      <calculatedColumnFormula>VLOOKUP(TArticle[[#This Row],[تاریخ]],TDays[],16,FALSE)</calculatedColumnFormula>
    </tableColumn>
    <tableColumn id="24" xr3:uid="{00000000-0010-0000-0000-000018000000}" name="ماه" dataDxfId="149">
      <calculatedColumnFormula>RIGHT(LEFT(TArticle[[#This Row],[تاریخ]],7),2)</calculatedColumnFormula>
    </tableColumn>
    <tableColumn id="11" xr3:uid="{00000000-0010-0000-0000-00000B000000}" name="سال" dataDxfId="148">
      <calculatedColumnFormula>LEFT(TArticle[[#This Row],[تاریخ]],4)</calculatedColumnFormula>
    </tableColumn>
    <tableColumn id="12" xr3:uid="{00000000-0010-0000-0000-00000C000000}" name="اولویت در روز" dataDxfId="147"/>
    <tableColumn id="23" xr3:uid="{00000000-0010-0000-0000-000017000000}" name="اهمیت" dataDxfId="146">
      <calculatedColumnFormula>VLOOKUP(TArticle[[#This Row],[شناسه]],TAccount[],7,TRUE)</calculatedColumnFormula>
    </tableColumn>
    <tableColumn id="14" xr3:uid="{00000000-0010-0000-0000-00000E000000}" name="سررسید" dataDxfId="145"/>
    <tableColumn id="20" xr3:uid="{00000000-0010-0000-0000-000014000000}" name="بدهکار" dataDxfId="144">
      <calculatedColumnFormula>IF(AND(TArticle[[#This Row],[مبلغ]]&gt;0, TArticle[[#This Row],[کد وضعیت سند]]=1),TArticle[[#This Row],[مبلغ]],0)</calculatedColumnFormula>
    </tableColumn>
    <tableColumn id="21" xr3:uid="{00000000-0010-0000-0000-000015000000}" name="بستانکار" dataDxfId="143">
      <calculatedColumnFormula>IF(AND(TArticle[[#This Row],[مبلغ]]&lt;0,TArticle[[#This Row],[کد وضعیت سند]]=1),0-TArticle[[#This Row],[مبلغ]],0)</calculatedColumnFormula>
    </tableColumn>
    <tableColumn id="15" xr3:uid="{00000000-0010-0000-0000-00000F000000}" name="کد بانک" dataDxfId="142"/>
    <tableColumn id="16" xr3:uid="{00000000-0010-0000-0000-000010000000}" name="بانک" dataDxfId="141">
      <calculatedColumnFormula>IF(TArticle[[#This Row],[کد بانک]]&gt;0,VLOOKUP(TArticle[[#This Row],[کد بانک]],TBank[],2,FALSE),"")</calculatedColumnFormula>
    </tableColumn>
    <tableColumn id="17" xr3:uid="{00000000-0010-0000-0000-000011000000}" name="بدهکار بانک" dataDxfId="140">
      <calculatedColumnFormula>IF(AND(TArticle[[#This Row],[مبلغ]]&lt;0,TArticle[[#This Row],[کد وضعیت سند]]=1),0-TArticle[[#This Row],[مبلغ]],0)</calculatedColumnFormula>
    </tableColumn>
    <tableColumn id="22" xr3:uid="{00000000-0010-0000-0000-000016000000}" name="بستانکار بانک" dataDxfId="139">
      <calculatedColumnFormula>IF(AND(TArticle[[#This Row],[مبلغ]]&gt;0, TArticle[[#This Row],[کد وضعیت سند]]=1),TArticle[[#This Row],[مبلغ]],0)</calculatedColumnFormula>
    </tableColumn>
    <tableColumn id="26" xr3:uid="{00000000-0010-0000-0000-00001A000000}" name="مانده بانک" dataDxfId="138" dataCellStyle="Comma">
      <calculatedColumnFormula>IF(TArticle[[#This Row],[کد بانک]]&gt;0,VLOOKUP(TArticle[[#This Row],[کد بانک]],TBank[],9,FALSE)+SUMIF($Y$2:Y2,Y2,$E$2:$E2),"")</calculatedColumnFormula>
    </tableColumn>
    <tableColumn id="29" xr3:uid="{00000000-0010-0000-0000-00001D000000}" name="هزینه" dataDxfId="137" dataCellStyle="Comma">
      <calculatedColumnFormula>IFERROR(IF(INT(LEFT(TArticle[[#This Row],[شناسه]]))=3,IF(TArticle[[#This Row],[کد وضعیت سند]]=1,TArticle[مبلغ],0),0),0)</calculatedColumnFormula>
    </tableColumn>
    <tableColumn id="33" xr3:uid="{00000000-0010-0000-0000-000021000000}" name="درآمد تتا" dataDxfId="136" dataCellStyle="Comma">
      <calculatedColumnFormula>IFERROR(IF(((TArticle[[#This Row],[شناسه]]))="4.1.1",IF(TArticle[[#This Row],[کد وضعیت سند]]=1,TArticle[مبلغ],0),0),0)</calculatedColumnFormula>
    </tableColumn>
    <tableColumn id="30" xr3:uid="{00000000-0010-0000-0000-00001E000000}" name="اسنپ" dataDxfId="135" dataCellStyle="Comma">
      <calculatedColumnFormula>IFERROR(IF(((TArticle[[#This Row],[شناسه]]))="4.1.2",IF(TArticle[[#This Row],[کد وضعیت سند]]=1,TArticle[مبلغ],0),0),0)</calculatedColumnFormula>
    </tableColumn>
    <tableColumn id="31" xr3:uid="{00000000-0010-0000-0000-00001F000000}" name="پرداخت بدهی" dataDxfId="134" dataCellStyle="Comma">
      <calculatedColumnFormula>IFERROR(IF(INT(LEFT(TArticle[[#This Row],[شناسه]]))=1,IF(TArticle[[#This Row],[کد وضعیت سند]]=1,TArticle[مبلغ],0),0),0)</calculatedColumnFormula>
    </tableColumn>
    <tableColumn id="32" xr3:uid="{00000000-0010-0000-0000-000020000000}" name="افزایش سرمایه" dataDxfId="133" dataCellStyle="Comma">
      <calculatedColumnFormula>IFERROR(IF(INT(LEFT(TArticle[[#This Row],[شناسه]]))=2,IF(TArticle[[#This Row],[کد وضعیت سند]]=1,TArticle[مبلغ],0),0),0)</calculatedColumnFormula>
    </tableColumn>
    <tableColumn id="34" xr3:uid="{00000000-0010-0000-0000-000022000000}" name="افزایش بدهی" dataDxfId="132" dataCellStyle="Comma">
      <calculatedColumnFormula>IFERROR(IF((LEFT(TArticle[[#This Row],[شناسه]],3))="5.2",IF(TArticle[[#This Row],[کد وضعیت سند]]=1,TArticle[مبلغ],0),0),0)</calculatedColumnFormula>
    </tableColumn>
    <tableColumn id="36" xr3:uid="{00000000-0010-0000-0000-000024000000}" name="تعداد تراکنش انجام شده" dataDxfId="131" dataCellStyle="Comma">
      <calculatedColumnFormula>IF(TArticle[[#This Row],[کد وضعیت سند]]=1,1,0)</calculatedColumnFormula>
    </tableColumn>
    <tableColumn id="37" xr3:uid="{00000000-0010-0000-0000-000025000000}" name="تراکنش برنامه ریزی شده" dataDxfId="130" dataCellStyle="Comma">
      <calculatedColumnFormula>IF(AND(TArticle[[#This Row],[کد وضعیت سند]]&lt;&gt;1,TArticle[[#This Row],[مبلغ]]&lt;&gt;0),1,0)</calculatedColumnFormula>
    </tableColumn>
    <tableColumn id="38" xr3:uid="{00000000-0010-0000-0000-000026000000}" name="مانده قابل برداشت بانک" dataDxfId="129" dataCellStyle="Comma">
      <calculatedColumnFormula>IF(TArticle[[#This Row],[کد بانک]]&gt;0,TArticle[[#This Row],[مانده بانک]]-VLOOKUP(TArticle[[#This Row],[کد بانک]],TBank[],7,FALSE),"")</calculatedColumnFormula>
    </tableColumn>
    <tableColumn id="39" xr3:uid="{CB28A402-F428-463C-B2F0-27126373A53F}" name="ماه سال" dataDxfId="128">
      <calculatedColumnFormula>LEFT(TArticle[[#This Row],[تاریخ]],7)</calculatedColumnFormula>
    </tableColumn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4DB8D8-AA53-419F-A5D3-A05BC20F7E97}" name="Table1125" displayName="Table1125" ref="A3:F12" totalsRowCount="1" tableBorderDxfId="55">
  <autoFilter ref="A3:F11" xr:uid="{709233D3-DB80-4D7B-9BFA-507C39774046}"/>
  <tableColumns count="6">
    <tableColumn id="5" xr3:uid="{BFEAF040-1A9F-4B24-B9E6-49B595A26A4B}" name="تعداد" totalsRowFunction="sum" totalsRowDxfId="54"/>
    <tableColumn id="1" xr3:uid="{AAE8C567-C771-4779-B599-6B66ABCA6694}" name="قیمت" dataDxfId="53" totalsRowDxfId="52" dataCellStyle="Comma"/>
    <tableColumn id="2" xr3:uid="{6C354946-7DA1-4525-B699-5890CB880BF7}" name="تاریخ" dataDxfId="51" totalsRowDxfId="50" dataCellStyle="Comma"/>
    <tableColumn id="3" xr3:uid="{F1C62EAA-4E1F-45CF-840D-33F20E03F3F4}" name="روز" dataDxfId="49" totalsRowDxfId="48" dataCellStyle="Comma">
      <calculatedColumnFormula>IFERROR((366*INT(LEFT(C4,4)))-512034+INT(RIGHT(LEFT(C4,7),2))*31+INT(RIGHT(C4,2)),"")</calculatedColumnFormula>
    </tableColumn>
    <tableColumn id="4" xr3:uid="{7C0E8A71-8B48-4545-A53E-CE9C511353C1}" name="ضریب" totalsRowFunction="sum" dataDxfId="47" totalsRowDxfId="46">
      <calculatedColumnFormula>IFERROR(Table1125[[#This Row],[روز]]*Table1125[[#This Row],[قیمت کل]],"")</calculatedColumnFormula>
    </tableColumn>
    <tableColumn id="6" xr3:uid="{4CACA394-4804-4E10-AF0E-5DFEC88E6EC7}" name="قیمت کل" totalsRowFunction="sum" dataDxfId="45" totalsRowDxfId="44" dataCellStyle="Comma">
      <calculatedColumnFormula>Table1125[[#This Row],[قیمت]]*Table1125[[#This Row],[تعداد]]</calculatedColumnFormula>
    </tableColumn>
  </tableColumns>
  <tableStyleInfo name="TableStyleLight1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A000000}" name="TDays" displayName="TDays" ref="A1:Q2191" headerRowDxfId="41">
  <autoFilter ref="A1:Q2191" xr:uid="{00000000-0009-0000-0100-000008000000}"/>
  <sortState xmlns:xlrd2="http://schemas.microsoft.com/office/spreadsheetml/2017/richdata2" ref="A2:Q2191">
    <sortCondition ref="A1:A2191"/>
  </sortState>
  <tableColumns count="17">
    <tableColumn id="4" xr3:uid="{00000000-0010-0000-0A00-000004000000}" name="تاریخ" totalsRowFunction="count" dataDxfId="40" totalsRowDxfId="39"/>
    <tableColumn id="1" xr3:uid="{00000000-0010-0000-0A00-000001000000}" name="روز" dataDxfId="38">
      <calculatedColumnFormula>RIGHT(TDays[[#This Row],[تاریخ]],2)</calculatedColumnFormula>
    </tableColumn>
    <tableColumn id="6" xr3:uid="{00000000-0010-0000-0A00-000006000000}" name="ماه" dataDxfId="37">
      <calculatedColumnFormula>RIGHT(LEFT(TDays[[#This Row],[تاریخ]],7),2)</calculatedColumnFormula>
    </tableColumn>
    <tableColumn id="2" xr3:uid="{00000000-0010-0000-0A00-000002000000}" name="سال" dataDxfId="36">
      <calculatedColumnFormula>LEFT(TDays[[#This Row],[تاریخ]],4)</calculatedColumnFormula>
    </tableColumn>
    <tableColumn id="12" xr3:uid="{00000000-0010-0000-0A00-00000C000000}" name="ماه سال" dataDxfId="35">
      <calculatedColumnFormula>LEFT(TDays[[#This Row],[تاریخ]],7)</calculatedColumnFormula>
    </tableColumn>
    <tableColumn id="9" xr3:uid="{00000000-0010-0000-0A00-000009000000}" name="کد روز هفته" dataDxfId="34"/>
    <tableColumn id="3" xr3:uid="{00000000-0010-0000-0A00-000003000000}" name="روز هفته" totalsRowFunction="sum" dataDxfId="33" totalsRowDxfId="32" dataCellStyle="Comma">
      <calculatedColumnFormula>VLOOKUP(TDays[[#This Row],[کد روز هفته]],TDaysOfTheWeek[],2,FALSE)</calculatedColumnFormula>
    </tableColumn>
    <tableColumn id="13" xr3:uid="{00000000-0010-0000-0A00-00000D000000}" name="هفته_x000a_ماه" dataDxfId="31" totalsRowDxfId="30" dataCellStyle="Comma">
      <calculatedColumnFormula>IFERROR(IF(E1&lt;&gt;E2,1,INT(H1)+IF(TDays[[#This Row],[کد روز هفته]]=0,1,0)),1)</calculatedColumnFormula>
    </tableColumn>
    <tableColumn id="7" xr3:uid="{00000000-0010-0000-0A00-000007000000}" name="هزینه" dataDxfId="29">
      <calculatedColumnFormula>-SUMIF(TArticle[تاریخ],TDays[[#This Row],[تاریخ]],TArticle[هزینه])</calculatedColumnFormula>
    </tableColumn>
    <tableColumn id="8" xr3:uid="{00000000-0010-0000-0A00-000008000000}" name="درآمد" dataDxfId="28">
      <calculatedColumnFormula>SUMIF(TArticle[تاریخ],TDays[[#This Row],[تاریخ]],TArticle[درآمد تتا])</calculatedColumnFormula>
    </tableColumn>
    <tableColumn id="10" xr3:uid="{00000000-0010-0000-0A00-00000A000000}" name="سایر درآمد" dataDxfId="27">
      <calculatedColumnFormula>SUMIF(TArticle[تاریخ],TDays[[#This Row],[تاریخ]],TArticle[اسنپ])</calculatedColumnFormula>
    </tableColumn>
    <tableColumn id="11" xr3:uid="{00000000-0010-0000-0A00-00000B000000}" name="پرداخت بدهی" dataDxfId="26">
      <calculatedColumnFormula>-SUMIF(TArticle[تاریخ],TDays[[#This Row],[تاریخ]],TArticle[پرداخت بدهی])</calculatedColumnFormula>
    </tableColumn>
    <tableColumn id="14" xr3:uid="{00000000-0010-0000-0A00-00000E000000}" name="افزایش بدهی" dataDxfId="25">
      <calculatedColumnFormula>SUMIF(TArticle[تاریخ],TDays[[#This Row],[تاریخ]],TArticle[افزایش بدهی])</calculatedColumnFormula>
    </tableColumn>
    <tableColumn id="5" xr3:uid="{00000000-0010-0000-0A00-000005000000}" name="افزایش سرمایه" dataDxfId="24">
      <calculatedColumnFormula>-SUMIF(TArticle[تاریخ],TDays[[#This Row],[تاریخ]],TArticle[افزایش سرمایه])</calculatedColumnFormula>
    </tableColumn>
    <tableColumn id="15" xr3:uid="{00000000-0010-0000-0A00-00000F000000}" name="تعداد تراکنش انجام شده" dataDxfId="23">
      <calculatedColumnFormula>SUMIF(TArticle[تاریخ],TDays[[#This Row],[تاریخ]],TArticle[تعداد تراکنش انجام شده])</calculatedColumnFormula>
    </tableColumn>
    <tableColumn id="16" xr3:uid="{00000000-0010-0000-0A00-000010000000}" name="هفته سال" dataDxfId="22">
      <calculatedColumnFormula>INT(((TDays[[#This Row],[ماه]]-1)*31+TDays[[#This Row],[روز]]+1)/7)+1</calculatedColumnFormula>
    </tableColumn>
    <tableColumn id="17" xr3:uid="{00000000-0010-0000-0A00-000011000000}" name="تراکنش برنامه ریزی شده" dataDxfId="21">
      <calculatedColumnFormula>SUMIF(TArticle[تاریخ],TDays[[#This Row],[تاریخ]],TArticle[تراکنش برنامه ریزی شده])</calculatedColumnFormula>
    </tableColumn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B000000}" name="TDaysOfTheWeek" displayName="TDaysOfTheWeek" ref="X1:Y8" totalsRowShown="0" headerRowDxfId="20">
  <autoFilter ref="X1:Y8" xr:uid="{00000000-0009-0000-0100-00000A000000}"/>
  <tableColumns count="2">
    <tableColumn id="1" xr3:uid="{00000000-0010-0000-0B00-000001000000}" name="شناسه"/>
    <tableColumn id="2" xr3:uid="{00000000-0010-0000-0B00-000002000000}" name="روز هفته" dataDxfId="19" dataCellStyle="Comma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MonthOfYear" displayName="TMonthOfYear" ref="A1:L73" headerRowDxfId="17">
  <autoFilter ref="A1:L73" xr:uid="{00000000-0009-0000-0100-00000D000000}"/>
  <sortState xmlns:xlrd2="http://schemas.microsoft.com/office/spreadsheetml/2017/richdata2" ref="A2:H19">
    <sortCondition ref="A1:A19"/>
  </sortState>
  <tableColumns count="12">
    <tableColumn id="4" xr3:uid="{00000000-0010-0000-0C00-000004000000}" name="ماه سال" totalsRowFunction="count" dataDxfId="16" totalsRowDxfId="15"/>
    <tableColumn id="6" xr3:uid="{00000000-0010-0000-0C00-000006000000}" name="ماه" dataDxfId="14">
      <calculatedColumnFormula>RIGHT(LEFT(TMonthOfYear[[#This Row],[ماه سال]],7),2)</calculatedColumnFormula>
    </tableColumn>
    <tableColumn id="2" xr3:uid="{00000000-0010-0000-0C00-000002000000}" name="سال" dataDxfId="13">
      <calculatedColumnFormula>LEFT(TMonthOfYear[[#This Row],[ماه سال]],4)</calculatedColumnFormula>
    </tableColumn>
    <tableColumn id="3" xr3:uid="{00000000-0010-0000-0C00-000003000000}" name="نام ماه" totalsRowFunction="sum" dataDxfId="12" totalsRowDxfId="11" dataCellStyle="Comma">
      <calculatedColumnFormula>VLOOKUP(RIGHT(LEFT(TMonthOfYear[[#This Row],[ماه سال]],8),2),TMonth[],2,FALSE)</calculatedColumnFormula>
    </tableColumn>
    <tableColumn id="7" xr3:uid="{00000000-0010-0000-0C00-000007000000}" name="هزینه" dataDxfId="10" dataCellStyle="Comma">
      <calculatedColumnFormula>SUMIF(TDays[ماه سال],TMonthOfYear[[#This Row],[ماه سال]],TDays[هزینه])</calculatedColumnFormula>
    </tableColumn>
    <tableColumn id="8" xr3:uid="{00000000-0010-0000-0C00-000008000000}" name="درآمد" dataDxfId="9" dataCellStyle="Comma">
      <calculatedColumnFormula>SUMIF(TDays[ماه سال],TMonthOfYear[[#This Row],[ماه سال]],TDays[درآمد])</calculatedColumnFormula>
    </tableColumn>
    <tableColumn id="10" xr3:uid="{00000000-0010-0000-0C00-00000A000000}" name="سایر درآمد" dataDxfId="8" dataCellStyle="Comma">
      <calculatedColumnFormula>SUMIF(TDays[ماه سال],TMonthOfYear[[#This Row],[ماه سال]],TDays[سایر درآمد])</calculatedColumnFormula>
    </tableColumn>
    <tableColumn id="11" xr3:uid="{00000000-0010-0000-0C00-00000B000000}" name="پرداخت بدهی" dataDxfId="7" dataCellStyle="Comma">
      <calculatedColumnFormula>SUMIF(TDays[ماه سال],TMonthOfYear[[#This Row],[ماه سال]],TDays[پرداخت بدهی])</calculatedColumnFormula>
    </tableColumn>
    <tableColumn id="5" xr3:uid="{00000000-0010-0000-0C00-000005000000}" name="افزایش بدهی" dataDxfId="6" dataCellStyle="Comma">
      <calculatedColumnFormula>SUMIF(TDays[ماه سال],TMonthOfYear[[#This Row],[ماه سال]],TDays[افزایش بدهی])</calculatedColumnFormula>
    </tableColumn>
    <tableColumn id="9" xr3:uid="{00000000-0010-0000-0C00-000009000000}" name="افزایش سرمایه" dataDxfId="5" dataCellStyle="Comma">
      <calculatedColumnFormula>SUMIF(TDays[ماه سال],TMonthOfYear[[#This Row],[ماه سال]],TDays[افزایش سرمایه])</calculatedColumnFormula>
    </tableColumn>
    <tableColumn id="1" xr3:uid="{00000000-0010-0000-0C00-000001000000}" name="تعداد تراکنش انجام شده" dataDxfId="4" dataCellStyle="Comma">
      <calculatedColumnFormula>SUMIF(TDays[ماه سال],TMonthOfYear[[#This Row],[ماه سال]],TDays[تعداد تراکنش انجام شده])</calculatedColumnFormula>
    </tableColumn>
    <tableColumn id="12" xr3:uid="{00000000-0010-0000-0C00-00000C000000}" name="تراکنش برنامه ریزی شده" dataDxfId="3" dataCellStyle="Comma">
      <calculatedColumnFormula>SUMIF(TDays[ماه سال],TMonthOfYear[[#This Row],[ماه سال]],TDays[تراکنش برنامه ریزی شده])</calculatedColumnFormula>
    </tableColumn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Month" displayName="TMonth" ref="O1:P13" totalsRowShown="0" headerRowDxfId="2">
  <autoFilter ref="O1:P13" xr:uid="{00000000-0009-0000-0100-00000E000000}"/>
  <tableColumns count="2">
    <tableColumn id="1" xr3:uid="{00000000-0010-0000-0D00-000001000000}" name="شناسه" dataDxfId="1"/>
    <tableColumn id="2" xr3:uid="{00000000-0010-0000-0D00-000002000000}" name="ماه" dataDxfId="0" dataCellStyle="Comma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ccount" displayName="TAccount" ref="A1:H81" headerRowDxfId="127">
  <autoFilter ref="A1:H81" xr:uid="{00000000-0009-0000-0100-000002000000}"/>
  <sortState xmlns:xlrd2="http://schemas.microsoft.com/office/spreadsheetml/2017/richdata2" ref="A2:H81">
    <sortCondition ref="A1:A81"/>
  </sortState>
  <tableColumns count="8">
    <tableColumn id="4" xr3:uid="{00000000-0010-0000-0100-000004000000}" name="شناسه" totalsRowFunction="count" dataDxfId="126" totalsRowDxfId="125"/>
    <tableColumn id="1" xr3:uid="{00000000-0010-0000-0100-000001000000}" name="حساب"/>
    <tableColumn id="6" xr3:uid="{00000000-0010-0000-0100-000006000000}" name="سرفصل" dataDxfId="124">
      <calculatedColumnFormula>VLOOKUP(INT(LEFT(TAccount[[#This Row],[شناسه]])),TAccountCategory[],2,FALSE)</calculatedColumnFormula>
    </tableColumn>
    <tableColumn id="9" xr3:uid="{00000000-0010-0000-0100-000009000000}" name="گروه" dataDxfId="123">
      <calculatedColumnFormula>VLOOKUP(LEFT(TAccount[[#This Row],[شناسه]],3),TAccountGroup[],2,FALSE)</calculatedColumnFormula>
    </tableColumn>
    <tableColumn id="3" xr3:uid="{00000000-0010-0000-0100-000003000000}" name="مبلغ" totalsRowFunction="sum" dataDxfId="122" totalsRowDxfId="121" dataCellStyle="Comma"/>
    <tableColumn id="5" xr3:uid="{00000000-0010-0000-0100-000005000000}" name="مبلغ ماه" totalsRowFunction="custom" dataDxfId="120" dataCellStyle="Comma">
      <totalsRowFormula>SUBTOTAL(109,TAccount[مبلغ])</totalsRowFormula>
    </tableColumn>
    <tableColumn id="7" xr3:uid="{618FABB7-89DE-4690-91DD-DE7EFDD05F2D}" name="جمع" dataDxfId="119" dataCellStyle="Comma">
      <calculatedColumnFormula>SUMIF(TArticle[شناسه],TAccount[[#This Row],[شناسه]],TArticle[بدهکار])+SUMIF(TArticle[شناسه],TAccount[[#This Row],[شناسه]],TArticle[بستانکار])</calculatedColumnFormula>
    </tableColumn>
    <tableColumn id="8" xr3:uid="{00000000-0010-0000-0100-000008000000}" name="اهمیت تاریخ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DocState" displayName="TDocState" ref="J1:K10" totalsRowShown="0" headerRowDxfId="118">
  <autoFilter ref="J1:K10" xr:uid="{00000000-0009-0000-0100-000007000000}"/>
  <tableColumns count="2">
    <tableColumn id="1" xr3:uid="{00000000-0010-0000-0200-000001000000}" name="شناسه"/>
    <tableColumn id="2" xr3:uid="{00000000-0010-0000-0200-000002000000}" name="وضعیت سند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ccountCategory" displayName="TAccountCategory" ref="M1:O8" totalsRowShown="0" headerRowDxfId="117">
  <autoFilter ref="M1:O8" xr:uid="{00000000-0009-0000-0100-00000B000000}"/>
  <sortState xmlns:xlrd2="http://schemas.microsoft.com/office/spreadsheetml/2017/richdata2" ref="M2:N7">
    <sortCondition ref="M1:M7"/>
  </sortState>
  <tableColumns count="3">
    <tableColumn id="1" xr3:uid="{00000000-0010-0000-0300-000001000000}" name="شناسه"/>
    <tableColumn id="2" xr3:uid="{00000000-0010-0000-0300-000002000000}" name="سرفصل حساب"/>
    <tableColumn id="4" xr3:uid="{00000000-0010-0000-0300-000004000000}" name="نوع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TAccountGroup" displayName="TAccountGroup" ref="Q1:S26" totalsRowShown="0" headerRowDxfId="116">
  <autoFilter ref="Q1:S26" xr:uid="{00000000-0009-0000-0100-00000C000000}"/>
  <sortState xmlns:xlrd2="http://schemas.microsoft.com/office/spreadsheetml/2017/richdata2" ref="Q2:S26">
    <sortCondition ref="Q1:Q26"/>
  </sortState>
  <tableColumns count="3">
    <tableColumn id="1" xr3:uid="{00000000-0010-0000-0400-000001000000}" name="شناسه" dataDxfId="115"/>
    <tableColumn id="2" xr3:uid="{00000000-0010-0000-0400-000002000000}" name="گروه حساب"/>
    <tableColumn id="4" xr3:uid="{00000000-0010-0000-0400-000004000000}" name="سرفصل" dataDxfId="114">
      <calculatedColumnFormula>VLOOKUP(INT(LEFT(TAccountGroup[[#This Row],[شناسه]])),TAccountCategory[],2,FALSE)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Contact" displayName="TContact" ref="A1:M34">
  <autoFilter ref="A1:M34" xr:uid="{00000000-0009-0000-0100-000004000000}"/>
  <sortState xmlns:xlrd2="http://schemas.microsoft.com/office/spreadsheetml/2017/richdata2" ref="A2:M33">
    <sortCondition ref="A1:A33"/>
  </sortState>
  <tableColumns count="13">
    <tableColumn id="4" xr3:uid="{00000000-0010-0000-0500-000004000000}" name="شناسه" totalsRowFunction="count" dataDxfId="113" totalsRowDxfId="112"/>
    <tableColumn id="1" xr3:uid="{00000000-0010-0000-0500-000001000000}" name="عنوان"/>
    <tableColumn id="6" xr3:uid="{00000000-0010-0000-0500-000006000000}" name="بدهکارم" dataDxfId="111" dataCellStyle="Comma">
      <calculatedColumnFormula>IF(TContact[[#This Row],[مانده]]&lt;0,0-TContact[[#This Row],[مانده]],0)</calculatedColumnFormula>
    </tableColumn>
    <tableColumn id="2" xr3:uid="{00000000-0010-0000-0500-000002000000}" name="بستانکارم" dataDxfId="110" dataCellStyle="Comma">
      <calculatedColumnFormula>IF(TContact[[#This Row],[مانده]]&gt;0,TContact[مانده],0)</calculatedColumnFormula>
    </tableColumn>
    <tableColumn id="7" xr3:uid="{00000000-0010-0000-0500-000007000000}" name="بدهکار تراکنش" dataDxfId="109" dataCellStyle="Comma">
      <calculatedColumnFormula>SUMIF(TArticle[کد طرف حساب],TContact[[#This Row],[شناسه]],TArticle[بدهکار])</calculatedColumnFormula>
    </tableColumn>
    <tableColumn id="5" xr3:uid="{00000000-0010-0000-0500-000005000000}" name="بستانکار تراکنش" dataDxfId="108" dataCellStyle="Comma">
      <calculatedColumnFormula>SUMIF(TArticle[کد طرف حساب],TContact[[#This Row],[شناسه]],TArticle[بستانکار])</calculatedColumnFormula>
    </tableColumn>
    <tableColumn id="8" xr3:uid="{00000000-0010-0000-0500-000008000000}" name="افتتاحیه" dataDxfId="107" dataCellStyle="Comma"/>
    <tableColumn id="9" xr3:uid="{00000000-0010-0000-0500-000009000000}" name="مانده" dataDxfId="106" dataCellStyle="Comma">
      <calculatedColumnFormula>TContact[[#This Row],[افتتاحیه]]+TContact[[#This Row],[بستانکار تراکنش]]-TContact[[#This Row],[بدهکار تراکنش]]</calculatedColumnFormula>
    </tableColumn>
    <tableColumn id="3" xr3:uid="{00000000-0010-0000-0500-000003000000}" name="گروه" totalsRowFunction="sum" dataDxfId="105" totalsRowDxfId="104" dataCellStyle="Comma"/>
    <tableColumn id="13" xr3:uid="{9A80A3BE-FC76-42F6-B35F-158D924EDA1A}" name="قسط" dataDxfId="103" totalsRowDxfId="102" dataCellStyle="Comma"/>
    <tableColumn id="10" xr3:uid="{00000000-0010-0000-0500-00000A000000}" name="حساب" dataDxfId="101" dataCellStyle="Comma"/>
    <tableColumn id="11" xr3:uid="{00000000-0010-0000-0500-00000B000000}" name="کارت" dataDxfId="100" dataCellStyle="Comma"/>
    <tableColumn id="12" xr3:uid="{00000000-0010-0000-0500-00000C000000}" name="شبا" dataDxfId="99" dataCellStyle="Comma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Bank" displayName="TBank" ref="A1:S30">
  <autoFilter ref="A1:S30" xr:uid="{00000000-0009-0000-0100-000006000000}">
    <filterColumn colId="9">
      <filters>
        <filter val="ملت"/>
      </filters>
    </filterColumn>
  </autoFilter>
  <sortState xmlns:xlrd2="http://schemas.microsoft.com/office/spreadsheetml/2017/richdata2" ref="A2:R26">
    <sortCondition ref="A1:A26"/>
  </sortState>
  <tableColumns count="19">
    <tableColumn id="4" xr3:uid="{00000000-0010-0000-0600-000004000000}" name="شناسه" totalsRowFunction="count" dataDxfId="98" totalsRowDxfId="97"/>
    <tableColumn id="1" xr3:uid="{00000000-0010-0000-0600-000001000000}" name="عنوان"/>
    <tableColumn id="7" xr3:uid="{00000000-0010-0000-0600-000007000000}" name="بدهکار تراکنش" dataDxfId="96" dataCellStyle="Comma">
      <calculatedColumnFormula>SUMIF(TArticle[کد بانک],TBank[[#This Row],[شناسه]],TArticle[بدهکار بانک])</calculatedColumnFormula>
    </tableColumn>
    <tableColumn id="5" xr3:uid="{00000000-0010-0000-0600-000005000000}" name="بستانکار تراکنش" dataDxfId="95" dataCellStyle="Comma">
      <calculatedColumnFormula>SUMIF(TArticle[کد بانک],TBank[[#This Row],[شناسه]],TArticle[بستانکار بانک])</calculatedColumnFormula>
    </tableColumn>
    <tableColumn id="8" xr3:uid="{00000000-0010-0000-0600-000008000000}" name="افتتاحیه" dataDxfId="94" dataCellStyle="Comma"/>
    <tableColumn id="9" xr3:uid="{00000000-0010-0000-0600-000009000000}" name="قابل برداشت" dataDxfId="93" dataCellStyle="Comma">
      <calculatedColumnFormula>TBank[[#This Row],[افتتاحیه]]+TBank[[#This Row],[بستانکار تراکنش]]-TBank[[#This Row],[بدهکار تراکنش]]</calculatedColumnFormula>
    </tableColumn>
    <tableColumn id="14" xr3:uid="{00000000-0010-0000-0600-00000E000000}" name="مسدودی" dataDxfId="92" dataCellStyle="Comma"/>
    <tableColumn id="15" xr3:uid="{00000000-0010-0000-0600-00000F000000}" name="مانده" dataDxfId="91" dataCellStyle="Comma">
      <calculatedColumnFormula>TBank[[#This Row],[قابل برداشت]]+TBank[[#This Row],[مسدودی]]</calculatedColumnFormula>
    </tableColumn>
    <tableColumn id="17" xr3:uid="{00000000-0010-0000-0600-000011000000}" name="افتتاحیه واقعی" dataDxfId="90" dataCellStyle="Comma">
      <calculatedColumnFormula>TBank[[#This Row],[مسدودی]]+TBank[[#This Row],[افتتاحیه]]</calculatedColumnFormula>
    </tableColumn>
    <tableColumn id="16" xr3:uid="{00000000-0010-0000-0600-000010000000}" name="بانک" dataDxfId="89" dataCellStyle="Comma"/>
    <tableColumn id="3" xr3:uid="{00000000-0010-0000-0600-000003000000}" name="گروه" totalsRowFunction="sum" dataDxfId="88" totalsRowDxfId="87" dataCellStyle="Comma"/>
    <tableColumn id="12" xr3:uid="{00000000-0010-0000-0600-00000C000000}" name="شبا" dataDxfId="86" totalsRowDxfId="85" dataCellStyle="Comma"/>
    <tableColumn id="2" xr3:uid="{00000000-0010-0000-0600-000002000000}" name="شماره حساب" dataDxfId="84" dataCellStyle="Comma"/>
    <tableColumn id="6" xr3:uid="{00000000-0010-0000-0600-000006000000}" name="شماره کارت" dataDxfId="83" dataCellStyle="Comma"/>
    <tableColumn id="13" xr3:uid="{00000000-0010-0000-0600-00000D000000}" name="شماره مشتری" dataDxfId="82" dataCellStyle="Comma"/>
    <tableColumn id="10" xr3:uid="{00000000-0010-0000-0600-00000A000000}" name="انقضا" dataDxfId="81" dataCellStyle="Comma"/>
    <tableColumn id="11" xr3:uid="{00000000-0010-0000-0600-00000B000000}" name="CVV2" dataDxfId="80" dataCellStyle="Comma"/>
    <tableColumn id="18" xr3:uid="{00000000-0010-0000-0600-000012000000}" name="شرح" dataDxfId="79" dataCellStyle="Comma"/>
    <tableColumn id="19" xr3:uid="{1A163208-CFB4-4898-A6AB-1E87BA771A5B}" name="قرارداد" dataDxfId="78" dataCellStyle="Comma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9" displayName="Table9" ref="U1:AA5" totalsRowShown="0" headerRowDxfId="77" headerRowBorderDxfId="76" tableBorderDxfId="75">
  <autoFilter ref="U1:AA5" xr:uid="{00000000-0009-0000-0100-000009000000}"/>
  <tableColumns count="7">
    <tableColumn id="2" xr3:uid="{00000000-0010-0000-0700-000002000000}" name="عنوان" dataDxfId="74"/>
    <tableColumn id="5" xr3:uid="{00000000-0010-0000-0700-000005000000}" name="بانک" dataDxfId="73"/>
    <tableColumn id="10" xr3:uid="{00000000-0010-0000-0700-00000A000000}" name="کارت" dataDxfId="72"/>
    <tableColumn id="11" xr3:uid="{00000000-0010-0000-0700-00000B000000}" name="شبا" dataDxfId="71" dataCellStyle="Comma"/>
    <tableColumn id="12" xr3:uid="{00000000-0010-0000-0700-00000C000000}" name="شماره حساب"/>
    <tableColumn id="13" xr3:uid="{00000000-0010-0000-0700-00000D000000}" name="شماره کارت"/>
    <tableColumn id="1" xr3:uid="{00000000-0010-0000-0700-000001000000}" name="Column1"/>
  </tableColumns>
  <tableStyleInfo name="TableStyleLight1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283427-55E5-42AF-A617-723CAD38FECB}" name="Table11" displayName="Table11" ref="H3:L9" totalsRowCount="1" tableBorderDxfId="63">
  <autoFilter ref="H3:L8" xr:uid="{DCEADC8A-4659-4153-A9B4-344A9B09CC85}"/>
  <tableColumns count="5">
    <tableColumn id="1" xr3:uid="{6213C81F-24E6-40D8-865E-83DE03997961}" name="تعداد" totalsRowFunction="sum" totalsRowDxfId="62"/>
    <tableColumn id="2" xr3:uid="{9CD30350-5249-49BE-8832-D04E27B2854E}" name="قیمت" dataDxfId="61" totalsRowDxfId="60" dataCellStyle="Comma"/>
    <tableColumn id="3" xr3:uid="{121EB8D6-8082-4E17-A8EE-D7893302B3A2}" name="قیمت کل" totalsRowFunction="sum" dataDxfId="59" totalsRowDxfId="58" dataCellStyle="Comma">
      <calculatedColumnFormula>Table11[[#This Row],[قیمت]]*Table11[[#This Row],[تعداد]]</calculatedColumnFormula>
    </tableColumn>
    <tableColumn id="4" xr3:uid="{4F6E0F84-D8DC-4DC7-9D05-93AC14B0E32E}" name="درصد" dataCellStyle="Percent">
      <calculatedColumnFormula>Table11[[#This Row],[قیمت کل]]/Table11[[#Totals],[قیمت کل]]</calculatedColumnFormula>
    </tableColumn>
    <tableColumn id="5" xr3:uid="{469D28FD-84DD-459D-9AD8-4C5D7841C2C5}" name="تسهیم" totalsRowFunction="sum" dataDxfId="57" totalsRowDxfId="56">
      <calculatedColumnFormula>Table11[[#This Row],[درصد]]*$K$2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800"/>
  <sheetViews>
    <sheetView rightToLeft="1" tabSelected="1" topLeftCell="A292" zoomScale="130" zoomScaleNormal="130" workbookViewId="0">
      <selection activeCell="A307" sqref="A307"/>
    </sheetView>
  </sheetViews>
  <sheetFormatPr defaultRowHeight="15" x14ac:dyDescent="0.25"/>
  <cols>
    <col min="1" max="1" width="4.7109375" style="21" customWidth="1"/>
    <col min="2" max="2" width="9.140625" style="49" customWidth="1"/>
    <col min="3" max="3" width="5.5703125" style="49" customWidth="1"/>
    <col min="4" max="4" width="9" style="21" bestFit="1" customWidth="1"/>
    <col min="5" max="5" width="9.140625" style="1" customWidth="1"/>
    <col min="6" max="6" width="11.42578125" style="1" customWidth="1"/>
    <col min="7" max="7" width="14.28515625" customWidth="1"/>
    <col min="8" max="8" width="5.7109375" style="21" customWidth="1"/>
    <col min="9" max="9" width="6.42578125" hidden="1" customWidth="1"/>
    <col min="10" max="10" width="0.140625" style="30" hidden="1" customWidth="1"/>
    <col min="11" max="11" width="2.28515625" style="21" customWidth="1"/>
    <col min="12" max="12" width="7.42578125" style="171" customWidth="1"/>
    <col min="13" max="13" width="3.42578125" style="27" customWidth="1"/>
    <col min="14" max="14" width="12.42578125" style="171" bestFit="1" customWidth="1"/>
    <col min="15" max="15" width="8.42578125" style="61" customWidth="1"/>
    <col min="16" max="16" width="2.42578125" style="27" customWidth="1"/>
    <col min="17" max="17" width="2.7109375" style="27" customWidth="1"/>
    <col min="18" max="18" width="2.42578125" style="27" customWidth="1"/>
    <col min="19" max="19" width="4.28515625" style="27" customWidth="1"/>
    <col min="20" max="20" width="5.5703125" style="21" hidden="1" customWidth="1"/>
    <col min="21" max="21" width="2.85546875" style="21" hidden="1" customWidth="1"/>
    <col min="22" max="22" width="2.5703125" style="21" customWidth="1"/>
    <col min="23" max="23" width="1.7109375" style="21" hidden="1" customWidth="1"/>
    <col min="24" max="24" width="2.28515625" style="27" hidden="1" customWidth="1"/>
    <col min="25" max="25" width="2.5703125" style="27" customWidth="1"/>
    <col min="26" max="26" width="8.7109375" customWidth="1"/>
    <col min="27" max="27" width="5.7109375" hidden="1" customWidth="1"/>
    <col min="28" max="28" width="0.28515625" hidden="1" customWidth="1"/>
    <col min="29" max="29" width="8.28515625" style="30" customWidth="1"/>
    <col min="30" max="30" width="6.140625" hidden="1" customWidth="1"/>
    <col min="31" max="32" width="6.42578125" hidden="1" customWidth="1"/>
    <col min="33" max="33" width="5.85546875" hidden="1" customWidth="1"/>
    <col min="34" max="34" width="7.7109375" hidden="1" customWidth="1"/>
    <col min="35" max="35" width="1.7109375" hidden="1" customWidth="1"/>
    <col min="36" max="36" width="9.140625" hidden="1" customWidth="1"/>
    <col min="37" max="37" width="0" hidden="1" customWidth="1"/>
    <col min="38" max="38" width="8.28515625" style="1" customWidth="1"/>
    <col min="39" max="39" width="6.28515625" customWidth="1"/>
    <col min="41" max="41" width="13.28515625" bestFit="1" customWidth="1"/>
  </cols>
  <sheetData>
    <row r="1" spans="1:39" s="20" customFormat="1" ht="50.25" customHeight="1" x14ac:dyDescent="0.25">
      <c r="A1" s="23" t="s">
        <v>5</v>
      </c>
      <c r="B1" s="90" t="s">
        <v>924</v>
      </c>
      <c r="C1" s="91" t="s">
        <v>185</v>
      </c>
      <c r="D1" s="22" t="s">
        <v>200</v>
      </c>
      <c r="E1" s="31" t="s">
        <v>0</v>
      </c>
      <c r="F1" s="20" t="s">
        <v>44</v>
      </c>
      <c r="G1" s="20" t="s">
        <v>51</v>
      </c>
      <c r="H1" s="20" t="s">
        <v>75</v>
      </c>
      <c r="I1" s="23" t="s">
        <v>82</v>
      </c>
      <c r="J1" s="29" t="s">
        <v>1077</v>
      </c>
      <c r="K1" s="22" t="s">
        <v>162</v>
      </c>
      <c r="L1" s="170" t="s">
        <v>160</v>
      </c>
      <c r="M1" s="88" t="s">
        <v>94</v>
      </c>
      <c r="N1" s="170" t="s">
        <v>195</v>
      </c>
      <c r="O1" s="59" t="s">
        <v>194</v>
      </c>
      <c r="P1" s="25" t="s">
        <v>165</v>
      </c>
      <c r="Q1" s="25" t="s">
        <v>1022</v>
      </c>
      <c r="R1" s="26" t="s">
        <v>1</v>
      </c>
      <c r="S1" s="26" t="s">
        <v>80</v>
      </c>
      <c r="T1" s="20" t="s">
        <v>83</v>
      </c>
      <c r="U1" s="23" t="s">
        <v>169</v>
      </c>
      <c r="V1" s="20" t="s">
        <v>111</v>
      </c>
      <c r="W1" s="21" t="s">
        <v>86</v>
      </c>
      <c r="X1" s="21" t="s">
        <v>87</v>
      </c>
      <c r="Y1" s="26" t="s">
        <v>107</v>
      </c>
      <c r="Z1" s="20" t="s">
        <v>100</v>
      </c>
      <c r="AA1" t="s">
        <v>109</v>
      </c>
      <c r="AB1" t="s">
        <v>110</v>
      </c>
      <c r="AC1" s="29" t="s">
        <v>1084</v>
      </c>
      <c r="AD1" s="12" t="s">
        <v>97</v>
      </c>
      <c r="AE1" s="12" t="s">
        <v>920</v>
      </c>
      <c r="AF1" s="12" t="s">
        <v>919</v>
      </c>
      <c r="AG1" s="12" t="s">
        <v>921</v>
      </c>
      <c r="AH1" s="12" t="s">
        <v>1017</v>
      </c>
      <c r="AI1" s="12" t="s">
        <v>1018</v>
      </c>
      <c r="AJ1" s="12" t="s">
        <v>1034</v>
      </c>
      <c r="AK1" s="20" t="s">
        <v>1046</v>
      </c>
      <c r="AL1" s="29" t="s">
        <v>1083</v>
      </c>
      <c r="AM1" s="29" t="s">
        <v>942</v>
      </c>
    </row>
    <row r="2" spans="1:39" hidden="1" x14ac:dyDescent="0.25">
      <c r="A2" s="24" t="s">
        <v>55</v>
      </c>
      <c r="B2" s="49" t="str">
        <f>VLOOKUP(TArticle[[#This Row],[شناسه]],TAccount[],2,TRUE)</f>
        <v>هزینه کلی</v>
      </c>
      <c r="C2" s="49" t="str">
        <f>VLOOKUP(TArticle[[#This Row],[تاریخ]],TDays[],7,FALSE)</f>
        <v>سه شنبه</v>
      </c>
      <c r="D2" s="28" t="s">
        <v>213</v>
      </c>
      <c r="E2" s="1">
        <v>-937</v>
      </c>
      <c r="F2" s="1">
        <f>TArticle[[#This Row],[مبلغ]]+IFERROR(INT(F1),30181+3667+958)</f>
        <v>33869</v>
      </c>
      <c r="G2" s="4"/>
      <c r="K2" s="21">
        <v>1</v>
      </c>
      <c r="L2" t="str">
        <f>IF(TArticle[[#This Row],[کد وضعیت سند]]&gt;0,VLOOKUP(TArticle[[#This Row],[کد وضعیت سند]],TDocState[],2,FALSE),"")</f>
        <v>انجام شد</v>
      </c>
      <c r="N2" t="str">
        <f>IF(TArticle[[#This Row],[کد طرف حساب]]&gt;0,VLOOKUP(TArticle[[#This Row],[کد طرف حساب]],TContact[],2,FALSE),"")</f>
        <v/>
      </c>
      <c r="O2" s="61" t="str">
        <f>IF(TArticle[[#This Row],[کد طرف حساب]]&gt;0,VLOOKUP(TArticle[[#This Row],[کد طرف حساب]],TContact[],7,FALSE)-SUMIF($M$2:M2,M2,$E$2:$E2),"")</f>
        <v/>
      </c>
      <c r="P2" s="27" t="str">
        <f>RIGHT(TArticle[[#This Row],[تاریخ]],2)</f>
        <v>09</v>
      </c>
      <c r="Q2" s="27">
        <f>VLOOKUP(TArticle[[#This Row],[تاریخ]],TDays[],16,FALSE)</f>
        <v>2</v>
      </c>
      <c r="R2" s="27" t="str">
        <f>RIGHT(LEFT(TArticle[[#This Row],[تاریخ]],7),2)</f>
        <v>01</v>
      </c>
      <c r="S2" s="27" t="str">
        <f>LEFT(TArticle[[#This Row],[تاریخ]],4)</f>
        <v>1401</v>
      </c>
      <c r="U2" s="21">
        <f>VLOOKUP(TArticle[[#This Row],[شناسه]],TAccount[],7,TRUE)</f>
        <v>364074</v>
      </c>
      <c r="W2" s="21">
        <f>IF(AND(TArticle[[#This Row],[مبلغ]]&gt;0, TArticle[[#This Row],[کد وضعیت سند]]=1),TArticle[[#This Row],[مبلغ]],0)</f>
        <v>0</v>
      </c>
      <c r="X2" s="27">
        <f>IF(AND(TArticle[[#This Row],[مبلغ]]&lt;0,TArticle[[#This Row],[کد وضعیت سند]]=1),0-TArticle[[#This Row],[مبلغ]],0)</f>
        <v>937</v>
      </c>
      <c r="Y2" s="27">
        <v>30</v>
      </c>
      <c r="Z2" t="str">
        <f>IF(TArticle[[#This Row],[کد بانک]]&gt;0,VLOOKUP(TArticle[[#This Row],[کد بانک]],TBank[],2,FALSE),"")</f>
        <v>بن کارت</v>
      </c>
      <c r="AA2">
        <f>IF(AND(TArticle[[#This Row],[مبلغ]]&lt;0,TArticle[[#This Row],[کد وضعیت سند]]=1),0-TArticle[[#This Row],[مبلغ]],0)</f>
        <v>937</v>
      </c>
      <c r="AB2">
        <f>IF(AND(TArticle[[#This Row],[مبلغ]]&gt;0, TArticle[[#This Row],[کد وضعیت سند]]=1),TArticle[[#This Row],[مبلغ]],0)</f>
        <v>0</v>
      </c>
      <c r="AC2" s="84">
        <f>IF(TArticle[[#This Row],[کد بانک]]&gt;0,VLOOKUP(TArticle[[#This Row],[کد بانک]],TBank[],9,FALSE)+SUMIF($Y$2:Y2,Y2,$E$2:$E2),"")</f>
        <v>0</v>
      </c>
      <c r="AD2" s="1">
        <f>IFERROR(IF(INT(LEFT(TArticle[[#This Row],[شناسه]]))=3,IF(TArticle[[#This Row],[کد وضعیت سند]]=1,TArticle[مبلغ],0),0),0)</f>
        <v>-937</v>
      </c>
      <c r="AE2" s="1">
        <f>IFERROR(IF(((TArticle[[#This Row],[شناسه]]))="4.1.1",IF(TArticle[[#This Row],[کد وضعیت سند]]=1,TArticle[مبلغ],0),0),0)</f>
        <v>0</v>
      </c>
      <c r="AF2" s="1">
        <f>IFERROR(IF(((TArticle[[#This Row],[شناسه]]))="4.1.2",IF(TArticle[[#This Row],[کد وضعیت سند]]=1,TArticle[مبلغ],0),0),0)</f>
        <v>0</v>
      </c>
      <c r="AG2" s="1">
        <f>IFERROR(IF(INT(LEFT(TArticle[[#This Row],[شناسه]]))=1,IF(TArticle[[#This Row],[کد وضعیت سند]]=1,TArticle[مبلغ],0),0),0)</f>
        <v>0</v>
      </c>
      <c r="AH2" s="1">
        <f>IFERROR(IF(INT(LEFT(TArticle[[#This Row],[شناسه]]))=2,IF(TArticle[[#This Row],[کد وضعیت سند]]=1,TArticle[مبلغ],0),0),0)</f>
        <v>0</v>
      </c>
      <c r="AI2" s="1">
        <f>IFERROR(IF((LEFT(TArticle[[#This Row],[شناسه]],3))="5.2",IF(TArticle[[#This Row],[کد وضعیت سند]]=1,TArticle[مبلغ],0),0),0)</f>
        <v>0</v>
      </c>
      <c r="AJ2" s="1">
        <f>IF(TArticle[[#This Row],[کد وضعیت سند]]=1,1,0)</f>
        <v>1</v>
      </c>
      <c r="AK2" s="1">
        <f>IF(AND(TArticle[[#This Row],[کد وضعیت سند]]&lt;&gt;1,TArticle[[#This Row],[مبلغ]]&lt;&gt;0),1,0)</f>
        <v>0</v>
      </c>
      <c r="AL2" s="51">
        <f>IF(TArticle[[#This Row],[کد بانک]]&gt;0,TArticle[[#This Row],[مانده بانک]]-VLOOKUP(TArticle[[#This Row],[کد بانک]],TBank[],7,FALSE),"")</f>
        <v>0</v>
      </c>
      <c r="AM2" s="49" t="str">
        <f>LEFT(TArticle[[#This Row],[تاریخ]],7)</f>
        <v>1401-01</v>
      </c>
    </row>
    <row r="3" spans="1:39" hidden="1" x14ac:dyDescent="0.25">
      <c r="A3" s="24" t="s">
        <v>55</v>
      </c>
      <c r="B3" s="49" t="str">
        <f>VLOOKUP(TArticle[[#This Row],[شناسه]],TAccount[],2,TRUE)</f>
        <v>هزینه کلی</v>
      </c>
      <c r="C3" s="49" t="str">
        <f>VLOOKUP(TArticle[[#This Row],[تاریخ]],TDays[],7,FALSE)</f>
        <v>سه شنبه</v>
      </c>
      <c r="D3" s="28" t="s">
        <v>213</v>
      </c>
      <c r="E3" s="1">
        <v>-3265</v>
      </c>
      <c r="F3" s="1">
        <f>TArticle[[#This Row],[مبلغ]]+IFERROR(INT(F2),30181+3667+958)</f>
        <v>30604</v>
      </c>
      <c r="K3" s="21">
        <v>1</v>
      </c>
      <c r="L3" t="str">
        <f>IF(TArticle[[#This Row],[کد وضعیت سند]]&gt;0,VLOOKUP(TArticle[[#This Row],[کد وضعیت سند]],TDocState[],2,FALSE),"")</f>
        <v>انجام شد</v>
      </c>
      <c r="N3" t="str">
        <f>IF(TArticle[[#This Row],[کد طرف حساب]]&gt;0,VLOOKUP(TArticle[[#This Row],[کد طرف حساب]],TContact[],2,FALSE),"")</f>
        <v/>
      </c>
      <c r="O3" s="61" t="str">
        <f>IF(TArticle[[#This Row],[کد طرف حساب]]&gt;0,VLOOKUP(TArticle[[#This Row],[کد طرف حساب]],TContact[],7,FALSE)-SUMIF($M$2:M3,M3,$E$2:$E3),"")</f>
        <v/>
      </c>
      <c r="P3" s="27" t="str">
        <f>RIGHT(TArticle[[#This Row],[تاریخ]],2)</f>
        <v>09</v>
      </c>
      <c r="Q3" s="27">
        <f>VLOOKUP(TArticle[[#This Row],[تاریخ]],TDays[],16,FALSE)</f>
        <v>2</v>
      </c>
      <c r="R3" s="27" t="str">
        <f>RIGHT(LEFT(TArticle[[#This Row],[تاریخ]],7),2)</f>
        <v>01</v>
      </c>
      <c r="S3" s="27" t="str">
        <f>LEFT(TArticle[[#This Row],[تاریخ]],4)</f>
        <v>1401</v>
      </c>
      <c r="U3" s="21">
        <f>VLOOKUP(TArticle[[#This Row],[شناسه]],TAccount[],7,TRUE)</f>
        <v>364074</v>
      </c>
      <c r="W3" s="21">
        <f>IF(AND(TArticle[[#This Row],[مبلغ]]&gt;0, TArticle[[#This Row],[کد وضعیت سند]]=1),TArticle[[#This Row],[مبلغ]],0)</f>
        <v>0</v>
      </c>
      <c r="X3" s="27">
        <f>IF(AND(TArticle[[#This Row],[مبلغ]]&lt;0,TArticle[[#This Row],[کد وضعیت سند]]=1),0-TArticle[[#This Row],[مبلغ]],0)</f>
        <v>3265</v>
      </c>
      <c r="Y3" s="27">
        <v>16</v>
      </c>
      <c r="Z3" t="str">
        <f>IF(TArticle[[#This Row],[کد بانک]]&gt;0,VLOOKUP(TArticle[[#This Row],[کد بانک]],TBank[],2,FALSE),"")</f>
        <v>مهرایران</v>
      </c>
      <c r="AA3">
        <f>IF(AND(TArticle[[#This Row],[مبلغ]]&lt;0,TArticle[[#This Row],[کد وضعیت سند]]=1),0-TArticle[[#This Row],[مبلغ]],0)</f>
        <v>3265</v>
      </c>
      <c r="AB3">
        <f>IF(AND(TArticle[[#This Row],[مبلغ]]&gt;0, TArticle[[#This Row],[کد وضعیت سند]]=1),TArticle[[#This Row],[مبلغ]],0)</f>
        <v>0</v>
      </c>
      <c r="AC3" s="84">
        <f>IF(TArticle[[#This Row],[کد بانک]]&gt;0,VLOOKUP(TArticle[[#This Row],[کد بانک]],TBank[],9,FALSE)+SUMIF($Y$2:Y3,Y3,$E$2:$E3),"")</f>
        <v>22579</v>
      </c>
      <c r="AD3" s="1">
        <f>IFERROR(IF(INT(LEFT(TArticle[[#This Row],[شناسه]]))=3,IF(TArticle[[#This Row],[کد وضعیت سند]]=1,TArticle[مبلغ],0),0),0)</f>
        <v>-3265</v>
      </c>
      <c r="AE3" s="1">
        <f>IFERROR(IF(((TArticle[[#This Row],[شناسه]]))="4.1.1",IF(TArticle[[#This Row],[کد وضعیت سند]]=1,TArticle[مبلغ],0),0),0)</f>
        <v>0</v>
      </c>
      <c r="AF3" s="1">
        <f>IFERROR(IF(((TArticle[[#This Row],[شناسه]]))="4.1.2",IF(TArticle[[#This Row],[کد وضعیت سند]]=1,TArticle[مبلغ],0),0),0)</f>
        <v>0</v>
      </c>
      <c r="AG3" s="1">
        <f>IFERROR(IF(INT(LEFT(TArticle[[#This Row],[شناسه]]))=1,IF(TArticle[[#This Row],[کد وضعیت سند]]=1,TArticle[مبلغ],0),0),0)</f>
        <v>0</v>
      </c>
      <c r="AH3" s="1">
        <f>IFERROR(IF(INT(LEFT(TArticle[[#This Row],[شناسه]]))=2,IF(TArticle[[#This Row],[کد وضعیت سند]]=1,TArticle[مبلغ],0),0),0)</f>
        <v>0</v>
      </c>
      <c r="AI3" s="1">
        <f>IFERROR(IF((LEFT(TArticle[[#This Row],[شناسه]],3))="5.2",IF(TArticle[[#This Row],[کد وضعیت سند]]=1,TArticle[مبلغ],0),0),0)</f>
        <v>0</v>
      </c>
      <c r="AJ3" s="1">
        <f>IF(TArticle[[#This Row],[کد وضعیت سند]]=1,1,0)</f>
        <v>1</v>
      </c>
      <c r="AK3" s="1">
        <f>IF(AND(TArticle[[#This Row],[کد وضعیت سند]]&lt;&gt;1,TArticle[[#This Row],[مبلغ]]&lt;&gt;0),1,0)</f>
        <v>0</v>
      </c>
      <c r="AL3" s="51">
        <f>IF(TArticle[[#This Row],[کد بانک]]&gt;0,TArticle[[#This Row],[مانده بانک]]-VLOOKUP(TArticle[[#This Row],[کد بانک]],TBank[],7,FALSE),"")</f>
        <v>22549</v>
      </c>
      <c r="AM3" s="49" t="str">
        <f>LEFT(TArticle[[#This Row],[تاریخ]],7)</f>
        <v>1401-01</v>
      </c>
    </row>
    <row r="4" spans="1:39" hidden="1" x14ac:dyDescent="0.25">
      <c r="A4" s="24" t="s">
        <v>55</v>
      </c>
      <c r="B4" s="49" t="str">
        <f>VLOOKUP(TArticle[[#This Row],[شناسه]],TAccount[],2,TRUE)</f>
        <v>هزینه کلی</v>
      </c>
      <c r="C4" s="49" t="str">
        <f>VLOOKUP(TArticle[[#This Row],[تاریخ]],TDays[],7,FALSE)</f>
        <v>سه شنبه</v>
      </c>
      <c r="D4" s="28" t="s">
        <v>213</v>
      </c>
      <c r="E4" s="1">
        <v>-999</v>
      </c>
      <c r="F4" s="1">
        <f>TArticle[[#This Row],[مبلغ]]+IFERROR(INT(F3),30181+3667+958)</f>
        <v>29605</v>
      </c>
      <c r="G4" s="5"/>
      <c r="K4" s="21">
        <v>1</v>
      </c>
      <c r="L4" t="str">
        <f>IF(TArticle[[#This Row],[کد وضعیت سند]]&gt;0,VLOOKUP(TArticle[[#This Row],[کد وضعیت سند]],TDocState[],2,FALSE),"")</f>
        <v>انجام شد</v>
      </c>
      <c r="N4" t="str">
        <f>IF(TArticle[[#This Row],[کد طرف حساب]]&gt;0,VLOOKUP(TArticle[[#This Row],[کد طرف حساب]],TContact[],2,FALSE),"")</f>
        <v/>
      </c>
      <c r="O4" s="61" t="str">
        <f>IF(TArticle[[#This Row],[کد طرف حساب]]&gt;0,VLOOKUP(TArticle[[#This Row],[کد طرف حساب]],TContact[],7,FALSE)-SUMIF($M$2:M4,M4,$E$2:$E4),"")</f>
        <v/>
      </c>
      <c r="P4" s="27" t="str">
        <f>RIGHT(TArticle[[#This Row],[تاریخ]],2)</f>
        <v>09</v>
      </c>
      <c r="Q4" s="27">
        <f>VLOOKUP(TArticle[[#This Row],[تاریخ]],TDays[],16,FALSE)</f>
        <v>2</v>
      </c>
      <c r="R4" s="27" t="str">
        <f>RIGHT(LEFT(TArticle[[#This Row],[تاریخ]],7),2)</f>
        <v>01</v>
      </c>
      <c r="S4" s="27" t="str">
        <f>LEFT(TArticle[[#This Row],[تاریخ]],4)</f>
        <v>1401</v>
      </c>
      <c r="U4" s="21">
        <f>VLOOKUP(TArticle[[#This Row],[شناسه]],TAccount[],7,TRUE)</f>
        <v>364074</v>
      </c>
      <c r="W4" s="21">
        <f>IF(AND(TArticle[[#This Row],[مبلغ]]&gt;0, TArticle[[#This Row],[کد وضعیت سند]]=1),TArticle[[#This Row],[مبلغ]],0)</f>
        <v>0</v>
      </c>
      <c r="X4" s="27">
        <f>IF(AND(TArticle[[#This Row],[مبلغ]]&lt;0,TArticle[[#This Row],[کد وضعیت سند]]=1),0-TArticle[[#This Row],[مبلغ]],0)</f>
        <v>999</v>
      </c>
      <c r="Y4" s="27">
        <v>2</v>
      </c>
      <c r="Z4" t="str">
        <f>IF(TArticle[[#This Row],[کد بانک]]&gt;0,VLOOKUP(TArticle[[#This Row],[کد بانک]],TBank[],2,FALSE),"")</f>
        <v>ملی جاری</v>
      </c>
      <c r="AA4">
        <f>IF(AND(TArticle[[#This Row],[مبلغ]]&lt;0,TArticle[[#This Row],[کد وضعیت سند]]=1),0-TArticle[[#This Row],[مبلغ]],0)</f>
        <v>999</v>
      </c>
      <c r="AB4">
        <f>IF(AND(TArticle[[#This Row],[مبلغ]]&gt;0, TArticle[[#This Row],[کد وضعیت سند]]=1),TArticle[[#This Row],[مبلغ]],0)</f>
        <v>0</v>
      </c>
      <c r="AC4" s="84">
        <f>IF(TArticle[[#This Row],[کد بانک]]&gt;0,VLOOKUP(TArticle[[#This Row],[کد بانک]],TBank[],9,FALSE)+SUMIF($Y$2:Y4,Y4,$E$2:$E4),"")</f>
        <v>191</v>
      </c>
      <c r="AD4" s="1">
        <f>IFERROR(IF(INT(LEFT(TArticle[[#This Row],[شناسه]]))=3,IF(TArticle[[#This Row],[کد وضعیت سند]]=1,TArticle[مبلغ],0),0),0)</f>
        <v>-999</v>
      </c>
      <c r="AE4" s="1">
        <f>IFERROR(IF(((TArticle[[#This Row],[شناسه]]))="4.1.1",IF(TArticle[[#This Row],[کد وضعیت سند]]=1,TArticle[مبلغ],0),0),0)</f>
        <v>0</v>
      </c>
      <c r="AF4" s="1">
        <f>IFERROR(IF(((TArticle[[#This Row],[شناسه]]))="4.1.2",IF(TArticle[[#This Row],[کد وضعیت سند]]=1,TArticle[مبلغ],0),0),0)</f>
        <v>0</v>
      </c>
      <c r="AG4" s="1">
        <f>IFERROR(IF(INT(LEFT(TArticle[[#This Row],[شناسه]]))=1,IF(TArticle[[#This Row],[کد وضعیت سند]]=1,TArticle[مبلغ],0),0),0)</f>
        <v>0</v>
      </c>
      <c r="AH4" s="1">
        <f>IFERROR(IF(INT(LEFT(TArticle[[#This Row],[شناسه]]))=2,IF(TArticle[[#This Row],[کد وضعیت سند]]=1,TArticle[مبلغ],0),0),0)</f>
        <v>0</v>
      </c>
      <c r="AI4" s="1">
        <f>IFERROR(IF((LEFT(TArticle[[#This Row],[شناسه]],3))="5.2",IF(TArticle[[#This Row],[کد وضعیت سند]]=1,TArticle[مبلغ],0),0),0)</f>
        <v>0</v>
      </c>
      <c r="AJ4" s="1">
        <f>IF(TArticle[[#This Row],[کد وضعیت سند]]=1,1,0)</f>
        <v>1</v>
      </c>
      <c r="AK4" s="1">
        <f>IF(AND(TArticle[[#This Row],[کد وضعیت سند]]&lt;&gt;1,TArticle[[#This Row],[مبلغ]]&lt;&gt;0),1,0)</f>
        <v>0</v>
      </c>
      <c r="AL4" s="51">
        <f>IF(TArticle[[#This Row],[کد بانک]]&gt;0,TArticle[[#This Row],[مانده بانک]]-VLOOKUP(TArticle[[#This Row],[کد بانک]],TBank[],7,FALSE),"")</f>
        <v>191</v>
      </c>
      <c r="AM4" s="49" t="str">
        <f>LEFT(TArticle[[#This Row],[تاریخ]],7)</f>
        <v>1401-01</v>
      </c>
    </row>
    <row r="5" spans="1:39" hidden="1" x14ac:dyDescent="0.25">
      <c r="A5" s="24" t="s">
        <v>1210</v>
      </c>
      <c r="B5" s="49" t="str">
        <f>VLOOKUP(TArticle[[#This Row],[شناسه]],TAccount[],2,TRUE)</f>
        <v>حقوق مناسبت</v>
      </c>
      <c r="C5" s="49" t="str">
        <f>VLOOKUP(TArticle[[#This Row],[تاریخ]],TDays[],7,FALSE)</f>
        <v>چهارشنبه</v>
      </c>
      <c r="D5" s="28" t="s">
        <v>214</v>
      </c>
      <c r="E5" s="1">
        <v>1050</v>
      </c>
      <c r="F5" s="1">
        <f>TArticle[[#This Row],[مبلغ]]+IFERROR(INT(F4),30181+3667+958)</f>
        <v>30655</v>
      </c>
      <c r="G5" t="s">
        <v>1616</v>
      </c>
      <c r="K5" s="21">
        <v>1</v>
      </c>
      <c r="L5" t="str">
        <f>IF(TArticle[[#This Row],[کد وضعیت سند]]&gt;0,VLOOKUP(TArticle[[#This Row],[کد وضعیت سند]],TDocState[],2,FALSE),"")</f>
        <v>انجام شد</v>
      </c>
      <c r="N5" t="str">
        <f>IF(TArticle[[#This Row],[کد طرف حساب]]&gt;0,VLOOKUP(TArticle[[#This Row],[کد طرف حساب]],TContact[],2,FALSE),"")</f>
        <v/>
      </c>
      <c r="O5" s="61" t="str">
        <f>IF(TArticle[[#This Row],[کد طرف حساب]]&gt;0,VLOOKUP(TArticle[[#This Row],[کد طرف حساب]],TContact[],7,FALSE)-SUMIF($M$2:M5,M5,$E$2:$E5),"")</f>
        <v/>
      </c>
      <c r="P5" s="27" t="str">
        <f>RIGHT(TArticle[[#This Row],[تاریخ]],2)</f>
        <v>10</v>
      </c>
      <c r="Q5" s="27">
        <f>VLOOKUP(TArticle[[#This Row],[تاریخ]],TDays[],16,FALSE)</f>
        <v>2</v>
      </c>
      <c r="R5" s="27" t="str">
        <f>RIGHT(LEFT(TArticle[[#This Row],[تاریخ]],7),2)</f>
        <v>01</v>
      </c>
      <c r="S5" s="27" t="str">
        <f>LEFT(TArticle[[#This Row],[تاریخ]],4)</f>
        <v>1401</v>
      </c>
      <c r="U5" s="21">
        <f>VLOOKUP(TArticle[[#This Row],[شناسه]],TAccount[],7,TRUE)</f>
        <v>18339</v>
      </c>
      <c r="W5" s="21">
        <f>IF(AND(TArticle[[#This Row],[مبلغ]]&gt;0, TArticle[[#This Row],[کد وضعیت سند]]=1),TArticle[[#This Row],[مبلغ]],0)</f>
        <v>1050</v>
      </c>
      <c r="X5" s="27">
        <f>IF(AND(TArticle[[#This Row],[مبلغ]]&lt;0,TArticle[[#This Row],[کد وضعیت سند]]=1),0-TArticle[[#This Row],[مبلغ]],0)</f>
        <v>0</v>
      </c>
      <c r="Y5" s="27">
        <v>30</v>
      </c>
      <c r="Z5" t="str">
        <f>IF(TArticle[[#This Row],[کد بانک]]&gt;0,VLOOKUP(TArticle[[#This Row],[کد بانک]],TBank[],2,FALSE),"")</f>
        <v>بن کارت</v>
      </c>
      <c r="AA5">
        <f>IF(AND(TArticle[[#This Row],[مبلغ]]&lt;0,TArticle[[#This Row],[کد وضعیت سند]]=1),0-TArticle[[#This Row],[مبلغ]],0)</f>
        <v>0</v>
      </c>
      <c r="AB5">
        <f>IF(AND(TArticle[[#This Row],[مبلغ]]&gt;0, TArticle[[#This Row],[کد وضعیت سند]]=1),TArticle[[#This Row],[مبلغ]],0)</f>
        <v>1050</v>
      </c>
      <c r="AC5" s="84">
        <f>IF(TArticle[[#This Row],[کد بانک]]&gt;0,VLOOKUP(TArticle[[#This Row],[کد بانک]],TBank[],9,FALSE)+SUMIF($Y$2:Y5,Y5,$E$2:$E5),"")</f>
        <v>1050</v>
      </c>
      <c r="AD5" s="1">
        <f>IFERROR(IF(INT(LEFT(TArticle[[#This Row],[شناسه]]))=3,IF(TArticle[[#This Row],[کد وضعیت سند]]=1,TArticle[مبلغ],0),0),0)</f>
        <v>0</v>
      </c>
      <c r="AE5" s="1">
        <f>IFERROR(IF(((TArticle[[#This Row],[شناسه]]))="4.1.1",IF(TArticle[[#This Row],[کد وضعیت سند]]=1,TArticle[مبلغ],0),0),0)</f>
        <v>0</v>
      </c>
      <c r="AF5" s="1">
        <f>IFERROR(IF(((TArticle[[#This Row],[شناسه]]))="4.1.2",IF(TArticle[[#This Row],[کد وضعیت سند]]=1,TArticle[مبلغ],0),0),0)</f>
        <v>0</v>
      </c>
      <c r="AG5" s="1">
        <f>IFERROR(IF(INT(LEFT(TArticle[[#This Row],[شناسه]]))=1,IF(TArticle[[#This Row],[کد وضعیت سند]]=1,TArticle[مبلغ],0),0),0)</f>
        <v>0</v>
      </c>
      <c r="AH5" s="1">
        <f>IFERROR(IF(INT(LEFT(TArticle[[#This Row],[شناسه]]))=2,IF(TArticle[[#This Row],[کد وضعیت سند]]=1,TArticle[مبلغ],0),0),0)</f>
        <v>0</v>
      </c>
      <c r="AI5" s="1">
        <f>IFERROR(IF((LEFT(TArticle[[#This Row],[شناسه]],3))="5.2",IF(TArticle[[#This Row],[کد وضعیت سند]]=1,TArticle[مبلغ],0),0),0)</f>
        <v>0</v>
      </c>
      <c r="AJ5" s="1">
        <f>IF(TArticle[[#This Row],[کد وضعیت سند]]=1,1,0)</f>
        <v>1</v>
      </c>
      <c r="AK5" s="1">
        <f>IF(AND(TArticle[[#This Row],[کد وضعیت سند]]&lt;&gt;1,TArticle[[#This Row],[مبلغ]]&lt;&gt;0),1,0)</f>
        <v>0</v>
      </c>
      <c r="AL5" s="51">
        <f>IF(TArticle[[#This Row],[کد بانک]]&gt;0,TArticle[[#This Row],[مانده بانک]]-VLOOKUP(TArticle[[#This Row],[کد بانک]],TBank[],7,FALSE),"")</f>
        <v>1050</v>
      </c>
      <c r="AM5" s="49" t="str">
        <f>LEFT(TArticle[[#This Row],[تاریخ]],7)</f>
        <v>1401-01</v>
      </c>
    </row>
    <row r="6" spans="1:39" hidden="1" x14ac:dyDescent="0.25">
      <c r="A6" s="24" t="s">
        <v>41</v>
      </c>
      <c r="B6" s="49" t="str">
        <f>VLOOKUP(TArticle[[#This Row],[شناسه]],TAccount[],2,TRUE)</f>
        <v>قرعه هجده (43)</v>
      </c>
      <c r="C6" s="49" t="str">
        <f>VLOOKUP(TArticle[[#This Row],[تاریخ]],TDays[],7,FALSE)</f>
        <v>چهارشنبه</v>
      </c>
      <c r="D6" s="21" t="s">
        <v>214</v>
      </c>
      <c r="E6" s="1">
        <v>-350</v>
      </c>
      <c r="F6" s="1">
        <f>TArticle[[#This Row],[مبلغ]]+IFERROR(INT(F5),30181+3667+958)</f>
        <v>30305</v>
      </c>
      <c r="H6" s="21">
        <v>36</v>
      </c>
      <c r="K6" s="21">
        <v>1</v>
      </c>
      <c r="L6" t="str">
        <f>IF(TArticle[[#This Row],[کد وضعیت سند]]&gt;0,VLOOKUP(TArticle[[#This Row],[کد وضعیت سند]],TDocState[],2,FALSE),"")</f>
        <v>انجام شد</v>
      </c>
      <c r="M6" s="27">
        <v>103</v>
      </c>
      <c r="N6" t="str">
        <f>IF(TArticle[[#This Row],[کد طرف حساب]]&gt;0,VLOOKUP(TArticle[[#This Row],[کد طرف حساب]],TContact[],2,FALSE),"")</f>
        <v>قرعه 18م (43)</v>
      </c>
      <c r="O6" s="51">
        <f>IF(TArticle[[#This Row],[کد طرف حساب]]&gt;0,VLOOKUP(TArticle[[#This Row],[کد طرف حساب]],TContact[],7,FALSE)-SUMIF($M$2:M6,M6,$E$2:$E6),"")</f>
        <v>12950</v>
      </c>
      <c r="P6" s="27" t="str">
        <f>RIGHT(TArticle[[#This Row],[تاریخ]],2)</f>
        <v>10</v>
      </c>
      <c r="Q6" s="27">
        <f>VLOOKUP(TArticle[[#This Row],[تاریخ]],TDays[],16,FALSE)</f>
        <v>2</v>
      </c>
      <c r="R6" s="27" t="str">
        <f>RIGHT(LEFT(TArticle[[#This Row],[تاریخ]],7),2)</f>
        <v>01</v>
      </c>
      <c r="S6" s="27" t="str">
        <f>LEFT(TArticle[[#This Row],[تاریخ]],4)</f>
        <v>1401</v>
      </c>
      <c r="U6" s="21">
        <f>VLOOKUP(TArticle[[#This Row],[شناسه]],TAccount[],7,TRUE)</f>
        <v>4200</v>
      </c>
      <c r="V6" s="21" t="s">
        <v>58</v>
      </c>
      <c r="W6" s="21">
        <f>IF(AND(TArticle[[#This Row],[مبلغ]]&gt;0, TArticle[[#This Row],[کد وضعیت سند]]=1),TArticle[[#This Row],[مبلغ]],0)</f>
        <v>0</v>
      </c>
      <c r="X6" s="21">
        <f>IF(AND(TArticle[[#This Row],[مبلغ]]&lt;0,TArticle[[#This Row],[کد وضعیت سند]]=1),0-TArticle[[#This Row],[مبلغ]],0)</f>
        <v>350</v>
      </c>
      <c r="Y6" s="27">
        <v>16</v>
      </c>
      <c r="Z6" t="str">
        <f>IF(TArticle[[#This Row],[کد بانک]]&gt;0,VLOOKUP(TArticle[[#This Row],[کد بانک]],TBank[],2,FALSE),"")</f>
        <v>مهرایران</v>
      </c>
      <c r="AA6">
        <f>IF(AND(TArticle[[#This Row],[مبلغ]]&lt;0,TArticle[[#This Row],[کد وضعیت سند]]=1),0-TArticle[[#This Row],[مبلغ]],0)</f>
        <v>350</v>
      </c>
      <c r="AB6">
        <f>IF(AND(TArticle[[#This Row],[مبلغ]]&gt;0, TArticle[[#This Row],[کد وضعیت سند]]=1),TArticle[[#This Row],[مبلغ]],0)</f>
        <v>0</v>
      </c>
      <c r="AC6" s="84">
        <f>IF(TArticle[[#This Row],[کد بانک]]&gt;0,VLOOKUP(TArticle[[#This Row],[کد بانک]],TBank[],9,FALSE)+SUMIF($Y$2:Y6,Y6,$E$2:$E6),"")</f>
        <v>22229</v>
      </c>
      <c r="AD6" s="1">
        <f>IFERROR(IF(INT(LEFT(TArticle[[#This Row],[شناسه]]))=3,IF(TArticle[[#This Row],[کد وضعیت سند]]=1,TArticle[مبلغ],0),0),0)</f>
        <v>0</v>
      </c>
      <c r="AE6" s="1">
        <f>IFERROR(IF(((TArticle[[#This Row],[شناسه]]))="4.1.1",IF(TArticle[[#This Row],[کد وضعیت سند]]=1,TArticle[مبلغ],0),0),0)</f>
        <v>0</v>
      </c>
      <c r="AF6" s="1">
        <f>IFERROR(IF(((TArticle[[#This Row],[شناسه]]))="4.1.2",IF(TArticle[[#This Row],[کد وضعیت سند]]=1,TArticle[مبلغ],0),0),0)</f>
        <v>0</v>
      </c>
      <c r="AG6" s="1">
        <f>IFERROR(IF(INT(LEFT(TArticle[[#This Row],[شناسه]]))=1,IF(TArticle[[#This Row],[کد وضعیت سند]]=1,TArticle[مبلغ],0),0),0)</f>
        <v>0</v>
      </c>
      <c r="AH6" s="1">
        <f>IFERROR(IF(INT(LEFT(TArticle[[#This Row],[شناسه]]))=2,IF(TArticle[[#This Row],[کد وضعیت سند]]=1,TArticle[مبلغ],0),0),0)</f>
        <v>-350</v>
      </c>
      <c r="AI6" s="1">
        <f>IFERROR(IF((LEFT(TArticle[[#This Row],[شناسه]],3))="5.2",IF(TArticle[[#This Row],[کد وضعیت سند]]=1,TArticle[مبلغ],0),0),0)</f>
        <v>0</v>
      </c>
      <c r="AJ6" s="1">
        <f>IF(TArticle[[#This Row],[کد وضعیت سند]]=1,1,0)</f>
        <v>1</v>
      </c>
      <c r="AK6" s="1">
        <f>IF(AND(TArticle[[#This Row],[کد وضعیت سند]]&lt;&gt;1,TArticle[[#This Row],[مبلغ]]&lt;&gt;0),1,0)</f>
        <v>0</v>
      </c>
      <c r="AL6" s="51">
        <f>IF(TArticle[[#This Row],[کد بانک]]&gt;0,TArticle[[#This Row],[مانده بانک]]-VLOOKUP(TArticle[[#This Row],[کد بانک]],TBank[],7,FALSE),"")</f>
        <v>22199</v>
      </c>
      <c r="AM6" s="58" t="str">
        <f>LEFT(TArticle[[#This Row],[تاریخ]],7)</f>
        <v>1401-01</v>
      </c>
    </row>
    <row r="7" spans="1:39" hidden="1" x14ac:dyDescent="0.25">
      <c r="A7" s="24" t="s">
        <v>12</v>
      </c>
      <c r="B7" s="49" t="str">
        <f>VLOOKUP(TArticle[[#This Row],[شناسه]],TAccount[],2,TRUE)</f>
        <v>مواد غذایی</v>
      </c>
      <c r="C7" s="49" t="str">
        <f>VLOOKUP(TArticle[[#This Row],[تاریخ]],TDays[],7,FALSE)</f>
        <v>یکشنبه</v>
      </c>
      <c r="D7" s="21" t="s">
        <v>58</v>
      </c>
      <c r="E7" s="1">
        <v>-4000</v>
      </c>
      <c r="F7" s="1">
        <f>TArticle[[#This Row],[مبلغ]]+IFERROR(INT(F6),30181+3667+958)</f>
        <v>26305</v>
      </c>
      <c r="G7" t="s">
        <v>1618</v>
      </c>
      <c r="K7" s="21">
        <v>1</v>
      </c>
      <c r="L7" t="str">
        <f>IF(TArticle[[#This Row],[کد وضعیت سند]]&gt;0,VLOOKUP(TArticle[[#This Row],[کد وضعیت سند]],TDocState[],2,FALSE),"")</f>
        <v>انجام شد</v>
      </c>
      <c r="N7" t="str">
        <f>IF(TArticle[[#This Row],[کد طرف حساب]]&gt;0,VLOOKUP(TArticle[[#This Row],[کد طرف حساب]],TContact[],2,FALSE),"")</f>
        <v/>
      </c>
      <c r="O7" s="61" t="str">
        <f>IF(TArticle[[#This Row],[کد طرف حساب]]&gt;0,VLOOKUP(TArticle[[#This Row],[کد طرف حساب]],TContact[],7,FALSE)-SUMIF($M$2:M7,M7,$E$2:$E7),"")</f>
        <v/>
      </c>
      <c r="P7" s="27" t="str">
        <f>RIGHT(TArticle[[#This Row],[تاریخ]],2)</f>
        <v>14</v>
      </c>
      <c r="Q7" s="27">
        <f>VLOOKUP(TArticle[[#This Row],[تاریخ]],TDays[],16,FALSE)</f>
        <v>3</v>
      </c>
      <c r="R7" s="27" t="str">
        <f>RIGHT(LEFT(TArticle[[#This Row],[تاریخ]],7),2)</f>
        <v>01</v>
      </c>
      <c r="S7" s="27" t="str">
        <f>LEFT(TArticle[[#This Row],[تاریخ]],4)</f>
        <v>1401</v>
      </c>
      <c r="U7" s="21">
        <f>VLOOKUP(TArticle[[#This Row],[شناسه]],TAccount[],7,TRUE)</f>
        <v>5750</v>
      </c>
      <c r="W7" s="21">
        <f>IF(AND(TArticle[[#This Row],[مبلغ]]&gt;0, TArticle[[#This Row],[کد وضعیت سند]]=1),TArticle[[#This Row],[مبلغ]],0)</f>
        <v>0</v>
      </c>
      <c r="X7" s="27">
        <f>IF(AND(TArticle[[#This Row],[مبلغ]]&lt;0,TArticle[[#This Row],[کد وضعیت سند]]=1),0-TArticle[[#This Row],[مبلغ]],0)</f>
        <v>4000</v>
      </c>
      <c r="Y7" s="27">
        <v>16</v>
      </c>
      <c r="Z7" t="str">
        <f>IF(TArticle[[#This Row],[کد بانک]]&gt;0,VLOOKUP(TArticle[[#This Row],[کد بانک]],TBank[],2,FALSE),"")</f>
        <v>مهرایران</v>
      </c>
      <c r="AA7">
        <f>IF(AND(TArticle[[#This Row],[مبلغ]]&lt;0,TArticle[[#This Row],[کد وضعیت سند]]=1),0-TArticle[[#This Row],[مبلغ]],0)</f>
        <v>4000</v>
      </c>
      <c r="AB7">
        <f>IF(AND(TArticle[[#This Row],[مبلغ]]&gt;0, TArticle[[#This Row],[کد وضعیت سند]]=1),TArticle[[#This Row],[مبلغ]],0)</f>
        <v>0</v>
      </c>
      <c r="AC7" s="84">
        <f>IF(TArticle[[#This Row],[کد بانک]]&gt;0,VLOOKUP(TArticle[[#This Row],[کد بانک]],TBank[],9,FALSE)+SUMIF($Y$2:Y7,Y7,$E$2:$E7),"")</f>
        <v>18229</v>
      </c>
      <c r="AD7" s="1">
        <f>IFERROR(IF(INT(LEFT(TArticle[[#This Row],[شناسه]]))=3,IF(TArticle[[#This Row],[کد وضعیت سند]]=1,TArticle[مبلغ],0),0),0)</f>
        <v>-4000</v>
      </c>
      <c r="AE7" s="1">
        <f>IFERROR(IF(((TArticle[[#This Row],[شناسه]]))="4.1.1",IF(TArticle[[#This Row],[کد وضعیت سند]]=1,TArticle[مبلغ],0),0),0)</f>
        <v>0</v>
      </c>
      <c r="AF7" s="1">
        <f>IFERROR(IF(((TArticle[[#This Row],[شناسه]]))="4.1.2",IF(TArticle[[#This Row],[کد وضعیت سند]]=1,TArticle[مبلغ],0),0),0)</f>
        <v>0</v>
      </c>
      <c r="AG7" s="1">
        <f>IFERROR(IF(INT(LEFT(TArticle[[#This Row],[شناسه]]))=1,IF(TArticle[[#This Row],[کد وضعیت سند]]=1,TArticle[مبلغ],0),0),0)</f>
        <v>0</v>
      </c>
      <c r="AH7" s="1">
        <f>IFERROR(IF(INT(LEFT(TArticle[[#This Row],[شناسه]]))=2,IF(TArticle[[#This Row],[کد وضعیت سند]]=1,TArticle[مبلغ],0),0),0)</f>
        <v>0</v>
      </c>
      <c r="AI7" s="1">
        <f>IFERROR(IF((LEFT(TArticle[[#This Row],[شناسه]],3))="5.2",IF(TArticle[[#This Row],[کد وضعیت سند]]=1,TArticle[مبلغ],0),0),0)</f>
        <v>0</v>
      </c>
      <c r="AJ7" s="1">
        <f>IF(TArticle[[#This Row],[کد وضعیت سند]]=1,1,0)</f>
        <v>1</v>
      </c>
      <c r="AK7" s="1">
        <f>IF(AND(TArticle[[#This Row],[کد وضعیت سند]]&lt;&gt;1,TArticle[[#This Row],[مبلغ]]&lt;&gt;0),1,0)</f>
        <v>0</v>
      </c>
      <c r="AL7" s="51">
        <f>IF(TArticle[[#This Row],[کد بانک]]&gt;0,TArticle[[#This Row],[مانده بانک]]-VLOOKUP(TArticle[[#This Row],[کد بانک]],TBank[],7,FALSE),"")</f>
        <v>18199</v>
      </c>
      <c r="AM7" s="49" t="str">
        <f>LEFT(TArticle[[#This Row],[تاریخ]],7)</f>
        <v>1401-01</v>
      </c>
    </row>
    <row r="8" spans="1:39" hidden="1" x14ac:dyDescent="0.25">
      <c r="A8" s="24" t="s">
        <v>31</v>
      </c>
      <c r="B8" s="49" t="str">
        <f>VLOOKUP(TArticle[[#This Row],[شناسه]],TAccount[],2,TRUE)</f>
        <v>پوشاک خانگی</v>
      </c>
      <c r="C8" s="49" t="str">
        <f>VLOOKUP(TArticle[[#This Row],[تاریخ]],TDays[],7,FALSE)</f>
        <v>یکشنبه</v>
      </c>
      <c r="D8" s="21" t="s">
        <v>58</v>
      </c>
      <c r="E8" s="1">
        <v>-300</v>
      </c>
      <c r="F8" s="1">
        <f>TArticle[[#This Row],[مبلغ]]+IFERROR(INT(F7),30181+3667+958)</f>
        <v>26005</v>
      </c>
      <c r="K8" s="21">
        <v>1</v>
      </c>
      <c r="L8" t="str">
        <f>IF(TArticle[[#This Row],[کد وضعیت سند]]&gt;0,VLOOKUP(TArticle[[#This Row],[کد وضعیت سند]],TDocState[],2,FALSE),"")</f>
        <v>انجام شد</v>
      </c>
      <c r="N8" t="str">
        <f>IF(TArticle[[#This Row],[کد طرف حساب]]&gt;0,VLOOKUP(TArticle[[#This Row],[کد طرف حساب]],TContact[],2,FALSE),"")</f>
        <v/>
      </c>
      <c r="O8" s="61" t="str">
        <f>IF(TArticle[[#This Row],[کد طرف حساب]]&gt;0,VLOOKUP(TArticle[[#This Row],[کد طرف حساب]],TContact[],7,FALSE)-SUMIF($M$2:M8,M8,$E$2:$E8),"")</f>
        <v/>
      </c>
      <c r="P8" s="27" t="str">
        <f>RIGHT(TArticle[[#This Row],[تاریخ]],2)</f>
        <v>14</v>
      </c>
      <c r="Q8" s="27">
        <f>VLOOKUP(TArticle[[#This Row],[تاریخ]],TDays[],16,FALSE)</f>
        <v>3</v>
      </c>
      <c r="R8" s="27" t="str">
        <f>RIGHT(LEFT(TArticle[[#This Row],[تاریخ]],7),2)</f>
        <v>01</v>
      </c>
      <c r="S8" s="27" t="str">
        <f>LEFT(TArticle[[#This Row],[تاریخ]],4)</f>
        <v>1401</v>
      </c>
      <c r="U8" s="21">
        <f>VLOOKUP(TArticle[[#This Row],[شناسه]],TAccount[],7,TRUE)</f>
        <v>300</v>
      </c>
      <c r="W8" s="21">
        <f>IF(AND(TArticle[[#This Row],[مبلغ]]&gt;0, TArticle[[#This Row],[کد وضعیت سند]]=1),TArticle[[#This Row],[مبلغ]],0)</f>
        <v>0</v>
      </c>
      <c r="X8" s="27">
        <f>IF(AND(TArticle[[#This Row],[مبلغ]]&lt;0,TArticle[[#This Row],[کد وضعیت سند]]=1),0-TArticle[[#This Row],[مبلغ]],0)</f>
        <v>300</v>
      </c>
      <c r="Y8" s="27">
        <v>30</v>
      </c>
      <c r="Z8" t="str">
        <f>IF(TArticle[[#This Row],[کد بانک]]&gt;0,VLOOKUP(TArticle[[#This Row],[کد بانک]],TBank[],2,FALSE),"")</f>
        <v>بن کارت</v>
      </c>
      <c r="AA8">
        <f>IF(AND(TArticle[[#This Row],[مبلغ]]&lt;0,TArticle[[#This Row],[کد وضعیت سند]]=1),0-TArticle[[#This Row],[مبلغ]],0)</f>
        <v>300</v>
      </c>
      <c r="AB8">
        <f>IF(AND(TArticle[[#This Row],[مبلغ]]&gt;0, TArticle[[#This Row],[کد وضعیت سند]]=1),TArticle[[#This Row],[مبلغ]],0)</f>
        <v>0</v>
      </c>
      <c r="AC8" s="84">
        <f>IF(TArticle[[#This Row],[کد بانک]]&gt;0,VLOOKUP(TArticle[[#This Row],[کد بانک]],TBank[],9,FALSE)+SUMIF($Y$2:Y8,Y8,$E$2:$E8),"")</f>
        <v>750</v>
      </c>
      <c r="AD8" s="1">
        <f>IFERROR(IF(INT(LEFT(TArticle[[#This Row],[شناسه]]))=3,IF(TArticle[[#This Row],[کد وضعیت سند]]=1,TArticle[مبلغ],0),0),0)</f>
        <v>-300</v>
      </c>
      <c r="AE8" s="1">
        <f>IFERROR(IF(((TArticle[[#This Row],[شناسه]]))="4.1.1",IF(TArticle[[#This Row],[کد وضعیت سند]]=1,TArticle[مبلغ],0),0),0)</f>
        <v>0</v>
      </c>
      <c r="AF8" s="1">
        <f>IFERROR(IF(((TArticle[[#This Row],[شناسه]]))="4.1.2",IF(TArticle[[#This Row],[کد وضعیت سند]]=1,TArticle[مبلغ],0),0),0)</f>
        <v>0</v>
      </c>
      <c r="AG8" s="1">
        <f>IFERROR(IF(INT(LEFT(TArticle[[#This Row],[شناسه]]))=1,IF(TArticle[[#This Row],[کد وضعیت سند]]=1,TArticle[مبلغ],0),0),0)</f>
        <v>0</v>
      </c>
      <c r="AH8" s="1">
        <f>IFERROR(IF(INT(LEFT(TArticle[[#This Row],[شناسه]]))=2,IF(TArticle[[#This Row],[کد وضعیت سند]]=1,TArticle[مبلغ],0),0),0)</f>
        <v>0</v>
      </c>
      <c r="AI8" s="1">
        <f>IFERROR(IF((LEFT(TArticle[[#This Row],[شناسه]],3))="5.2",IF(TArticle[[#This Row],[کد وضعیت سند]]=1,TArticle[مبلغ],0),0),0)</f>
        <v>0</v>
      </c>
      <c r="AJ8" s="1">
        <f>IF(TArticle[[#This Row],[کد وضعیت سند]]=1,1,0)</f>
        <v>1</v>
      </c>
      <c r="AK8" s="1">
        <f>IF(AND(TArticle[[#This Row],[کد وضعیت سند]]&lt;&gt;1,TArticle[[#This Row],[مبلغ]]&lt;&gt;0),1,0)</f>
        <v>0</v>
      </c>
      <c r="AL8" s="51">
        <f>IF(TArticle[[#This Row],[کد بانک]]&gt;0,TArticle[[#This Row],[مانده بانک]]-VLOOKUP(TArticle[[#This Row],[کد بانک]],TBank[],7,FALSE),"")</f>
        <v>750</v>
      </c>
      <c r="AM8" s="49" t="str">
        <f>LEFT(TArticle[[#This Row],[تاریخ]],7)</f>
        <v>1401-01</v>
      </c>
    </row>
    <row r="9" spans="1:39" hidden="1" x14ac:dyDescent="0.25">
      <c r="A9" s="24" t="s">
        <v>1210</v>
      </c>
      <c r="B9" s="49" t="str">
        <f>VLOOKUP(TArticle[[#This Row],[شناسه]],TAccount[],2,TRUE)</f>
        <v>حقوق مناسبت</v>
      </c>
      <c r="C9" s="49" t="str">
        <f>VLOOKUP(TArticle[[#This Row],[تاریخ]],TDays[],7,FALSE)</f>
        <v>یکشنبه</v>
      </c>
      <c r="D9" s="21" t="s">
        <v>58</v>
      </c>
      <c r="E9" s="1">
        <v>6689</v>
      </c>
      <c r="F9" s="1">
        <f>TArticle[[#This Row],[مبلغ]]+IFERROR(INT(F8),30181+3667+958)</f>
        <v>32694</v>
      </c>
      <c r="G9" t="s">
        <v>1619</v>
      </c>
      <c r="K9" s="21">
        <v>1</v>
      </c>
      <c r="L9" t="str">
        <f>IF(TArticle[[#This Row],[کد وضعیت سند]]&gt;0,VLOOKUP(TArticle[[#This Row],[کد وضعیت سند]],TDocState[],2,FALSE),"")</f>
        <v>انجام شد</v>
      </c>
      <c r="N9" t="str">
        <f>IF(TArticle[[#This Row],[کد طرف حساب]]&gt;0,VLOOKUP(TArticle[[#This Row],[کد طرف حساب]],TContact[],2,FALSE),"")</f>
        <v/>
      </c>
      <c r="O9" s="61" t="str">
        <f>IF(TArticle[[#This Row],[کد طرف حساب]]&gt;0,VLOOKUP(TArticle[[#This Row],[کد طرف حساب]],TContact[],7,FALSE)-SUMIF($M$2:M9,M9,$E$2:$E9),"")</f>
        <v/>
      </c>
      <c r="P9" s="27" t="str">
        <f>RIGHT(TArticle[[#This Row],[تاریخ]],2)</f>
        <v>14</v>
      </c>
      <c r="Q9" s="27">
        <f>VLOOKUP(TArticle[[#This Row],[تاریخ]],TDays[],16,FALSE)</f>
        <v>3</v>
      </c>
      <c r="R9" s="27" t="str">
        <f>RIGHT(LEFT(TArticle[[#This Row],[تاریخ]],7),2)</f>
        <v>01</v>
      </c>
      <c r="S9" s="27" t="str">
        <f>LEFT(TArticle[[#This Row],[تاریخ]],4)</f>
        <v>1401</v>
      </c>
      <c r="U9" s="21">
        <f>VLOOKUP(TArticle[[#This Row],[شناسه]],TAccount[],7,TRUE)</f>
        <v>18339</v>
      </c>
      <c r="W9" s="21">
        <f>IF(AND(TArticle[[#This Row],[مبلغ]]&gt;0, TArticle[[#This Row],[کد وضعیت سند]]=1),TArticle[[#This Row],[مبلغ]],0)</f>
        <v>6689</v>
      </c>
      <c r="X9" s="27">
        <f>IF(AND(TArticle[[#This Row],[مبلغ]]&lt;0,TArticle[[#This Row],[کد وضعیت سند]]=1),0-TArticle[[#This Row],[مبلغ]],0)</f>
        <v>0</v>
      </c>
      <c r="Y9" s="27">
        <v>2</v>
      </c>
      <c r="Z9" t="str">
        <f>IF(TArticle[[#This Row],[کد بانک]]&gt;0,VLOOKUP(TArticle[[#This Row],[کد بانک]],TBank[],2,FALSE),"")</f>
        <v>ملی جاری</v>
      </c>
      <c r="AA9">
        <f>IF(AND(TArticle[[#This Row],[مبلغ]]&lt;0,TArticle[[#This Row],[کد وضعیت سند]]=1),0-TArticle[[#This Row],[مبلغ]],0)</f>
        <v>0</v>
      </c>
      <c r="AB9">
        <f>IF(AND(TArticle[[#This Row],[مبلغ]]&gt;0, TArticle[[#This Row],[کد وضعیت سند]]=1),TArticle[[#This Row],[مبلغ]],0)</f>
        <v>6689</v>
      </c>
      <c r="AC9" s="84">
        <f>IF(TArticle[[#This Row],[کد بانک]]&gt;0,VLOOKUP(TArticle[[#This Row],[کد بانک]],TBank[],9,FALSE)+SUMIF($Y$2:Y9,Y9,$E$2:$E9),"")</f>
        <v>6880</v>
      </c>
      <c r="AD9" s="1">
        <f>IFERROR(IF(INT(LEFT(TArticle[[#This Row],[شناسه]]))=3,IF(TArticle[[#This Row],[کد وضعیت سند]]=1,TArticle[مبلغ],0),0),0)</f>
        <v>0</v>
      </c>
      <c r="AE9" s="1">
        <f>IFERROR(IF(((TArticle[[#This Row],[شناسه]]))="4.1.1",IF(TArticle[[#This Row],[کد وضعیت سند]]=1,TArticle[مبلغ],0),0),0)</f>
        <v>0</v>
      </c>
      <c r="AF9" s="1">
        <f>IFERROR(IF(((TArticle[[#This Row],[شناسه]]))="4.1.2",IF(TArticle[[#This Row],[کد وضعیت سند]]=1,TArticle[مبلغ],0),0),0)</f>
        <v>0</v>
      </c>
      <c r="AG9" s="1">
        <f>IFERROR(IF(INT(LEFT(TArticle[[#This Row],[شناسه]]))=1,IF(TArticle[[#This Row],[کد وضعیت سند]]=1,TArticle[مبلغ],0),0),0)</f>
        <v>0</v>
      </c>
      <c r="AH9" s="1">
        <f>IFERROR(IF(INT(LEFT(TArticle[[#This Row],[شناسه]]))=2,IF(TArticle[[#This Row],[کد وضعیت سند]]=1,TArticle[مبلغ],0),0),0)</f>
        <v>0</v>
      </c>
      <c r="AI9" s="1">
        <f>IFERROR(IF((LEFT(TArticle[[#This Row],[شناسه]],3))="5.2",IF(TArticle[[#This Row],[کد وضعیت سند]]=1,TArticle[مبلغ],0),0),0)</f>
        <v>0</v>
      </c>
      <c r="AJ9" s="1">
        <f>IF(TArticle[[#This Row],[کد وضعیت سند]]=1,1,0)</f>
        <v>1</v>
      </c>
      <c r="AK9" s="1">
        <f>IF(AND(TArticle[[#This Row],[کد وضعیت سند]]&lt;&gt;1,TArticle[[#This Row],[مبلغ]]&lt;&gt;0),1,0)</f>
        <v>0</v>
      </c>
      <c r="AL9" s="51">
        <f>IF(TArticle[[#This Row],[کد بانک]]&gt;0,TArticle[[#This Row],[مانده بانک]]-VLOOKUP(TArticle[[#This Row],[کد بانک]],TBank[],7,FALSE),"")</f>
        <v>6880</v>
      </c>
      <c r="AM9" s="49" t="str">
        <f>LEFT(TArticle[[#This Row],[تاریخ]],7)</f>
        <v>1401-01</v>
      </c>
    </row>
    <row r="10" spans="1:39" hidden="1" x14ac:dyDescent="0.25">
      <c r="A10" s="24" t="s">
        <v>1620</v>
      </c>
      <c r="B10" s="49" t="str">
        <f>VLOOKUP(TArticle[[#This Row],[شناسه]],TAccount[],2,TRUE)</f>
        <v>دریافت خسارت</v>
      </c>
      <c r="C10" s="49" t="str">
        <f>VLOOKUP(TArticle[[#This Row],[تاریخ]],TDays[],7,FALSE)</f>
        <v>یکشنبه</v>
      </c>
      <c r="D10" s="21" t="s">
        <v>58</v>
      </c>
      <c r="E10" s="1">
        <f>7957-6880</f>
        <v>1077</v>
      </c>
      <c r="F10" s="1">
        <f>TArticle[[#This Row],[مبلغ]]+IFERROR(INT(F9),30181+3667+958)</f>
        <v>33771</v>
      </c>
      <c r="G10" t="s">
        <v>1622</v>
      </c>
      <c r="K10" s="21">
        <v>1</v>
      </c>
      <c r="L10" t="str">
        <f>IF(TArticle[[#This Row],[کد وضعیت سند]]&gt;0,VLOOKUP(TArticle[[#This Row],[کد وضعیت سند]],TDocState[],2,FALSE),"")</f>
        <v>انجام شد</v>
      </c>
      <c r="N10" t="str">
        <f>IF(TArticle[[#This Row],[کد طرف حساب]]&gt;0,VLOOKUP(TArticle[[#This Row],[کد طرف حساب]],TContact[],2,FALSE),"")</f>
        <v/>
      </c>
      <c r="O10" s="61" t="str">
        <f>IF(TArticle[[#This Row],[کد طرف حساب]]&gt;0,VLOOKUP(TArticle[[#This Row],[کد طرف حساب]],TContact[],7,FALSE)-SUMIF($M$2:M10,M10,$E$2:$E10),"")</f>
        <v/>
      </c>
      <c r="P10" s="27" t="str">
        <f>RIGHT(TArticle[[#This Row],[تاریخ]],2)</f>
        <v>14</v>
      </c>
      <c r="Q10" s="27">
        <f>VLOOKUP(TArticle[[#This Row],[تاریخ]],TDays[],16,FALSE)</f>
        <v>3</v>
      </c>
      <c r="R10" s="27" t="str">
        <f>RIGHT(LEFT(TArticle[[#This Row],[تاریخ]],7),2)</f>
        <v>01</v>
      </c>
      <c r="S10" s="27" t="str">
        <f>LEFT(TArticle[[#This Row],[تاریخ]],4)</f>
        <v>1401</v>
      </c>
      <c r="U10" s="21">
        <f>VLOOKUP(TArticle[[#This Row],[شناسه]],TAccount[],7,TRUE)</f>
        <v>4513</v>
      </c>
      <c r="W10" s="21">
        <f>IF(AND(TArticle[[#This Row],[مبلغ]]&gt;0, TArticle[[#This Row],[کد وضعیت سند]]=1),TArticle[[#This Row],[مبلغ]],0)</f>
        <v>1077</v>
      </c>
      <c r="X10" s="27">
        <f>IF(AND(TArticle[[#This Row],[مبلغ]]&lt;0,TArticle[[#This Row],[کد وضعیت سند]]=1),0-TArticle[[#This Row],[مبلغ]],0)</f>
        <v>0</v>
      </c>
      <c r="Y10" s="27">
        <v>2</v>
      </c>
      <c r="Z10" t="str">
        <f>IF(TArticle[[#This Row],[کد بانک]]&gt;0,VLOOKUP(TArticle[[#This Row],[کد بانک]],TBank[],2,FALSE),"")</f>
        <v>ملی جاری</v>
      </c>
      <c r="AA10">
        <f>IF(AND(TArticle[[#This Row],[مبلغ]]&lt;0,TArticle[[#This Row],[کد وضعیت سند]]=1),0-TArticle[[#This Row],[مبلغ]],0)</f>
        <v>0</v>
      </c>
      <c r="AB10">
        <f>IF(AND(TArticle[[#This Row],[مبلغ]]&gt;0, TArticle[[#This Row],[کد وضعیت سند]]=1),TArticle[[#This Row],[مبلغ]],0)</f>
        <v>1077</v>
      </c>
      <c r="AC10" s="84">
        <f>IF(TArticle[[#This Row],[کد بانک]]&gt;0,VLOOKUP(TArticle[[#This Row],[کد بانک]],TBank[],9,FALSE)+SUMIF($Y$2:Y10,Y10,$E$2:$E10),"")</f>
        <v>7957</v>
      </c>
      <c r="AD10" s="1">
        <f>IFERROR(IF(INT(LEFT(TArticle[[#This Row],[شناسه]]))=3,IF(TArticle[[#This Row],[کد وضعیت سند]]=1,TArticle[مبلغ],0),0),0)</f>
        <v>0</v>
      </c>
      <c r="AE10" s="1">
        <f>IFERROR(IF(((TArticle[[#This Row],[شناسه]]))="4.1.1",IF(TArticle[[#This Row],[کد وضعیت سند]]=1,TArticle[مبلغ],0),0),0)</f>
        <v>0</v>
      </c>
      <c r="AF10" s="1">
        <f>IFERROR(IF(((TArticle[[#This Row],[شناسه]]))="4.1.2",IF(TArticle[[#This Row],[کد وضعیت سند]]=1,TArticle[مبلغ],0),0),0)</f>
        <v>0</v>
      </c>
      <c r="AG10" s="1">
        <f>IFERROR(IF(INT(LEFT(TArticle[[#This Row],[شناسه]]))=1,IF(TArticle[[#This Row],[کد وضعیت سند]]=1,TArticle[مبلغ],0),0),0)</f>
        <v>0</v>
      </c>
      <c r="AH10" s="1">
        <f>IFERROR(IF(INT(LEFT(TArticle[[#This Row],[شناسه]]))=2,IF(TArticle[[#This Row],[کد وضعیت سند]]=1,TArticle[مبلغ],0),0),0)</f>
        <v>0</v>
      </c>
      <c r="AI10" s="1">
        <f>IFERROR(IF((LEFT(TArticle[[#This Row],[شناسه]],3))="5.2",IF(TArticle[[#This Row],[کد وضعیت سند]]=1,TArticle[مبلغ],0),0),0)</f>
        <v>0</v>
      </c>
      <c r="AJ10" s="1">
        <f>IF(TArticle[[#This Row],[کد وضعیت سند]]=1,1,0)</f>
        <v>1</v>
      </c>
      <c r="AK10" s="1">
        <f>IF(AND(TArticle[[#This Row],[کد وضعیت سند]]&lt;&gt;1,TArticle[[#This Row],[مبلغ]]&lt;&gt;0),1,0)</f>
        <v>0</v>
      </c>
      <c r="AL10" s="51">
        <f>IF(TArticle[[#This Row],[کد بانک]]&gt;0,TArticle[[#This Row],[مانده بانک]]-VLOOKUP(TArticle[[#This Row],[کد بانک]],TBank[],7,FALSE),"")</f>
        <v>7957</v>
      </c>
      <c r="AM10" s="49" t="str">
        <f>LEFT(TArticle[[#This Row],[تاریخ]],7)</f>
        <v>1401-01</v>
      </c>
    </row>
    <row r="11" spans="1:39" hidden="1" x14ac:dyDescent="0.25">
      <c r="A11" s="24" t="s">
        <v>12</v>
      </c>
      <c r="B11" s="49" t="str">
        <f>VLOOKUP(TArticle[[#This Row],[شناسه]],TAccount[],2,TRUE)</f>
        <v>مواد غذایی</v>
      </c>
      <c r="C11" s="49" t="str">
        <f>VLOOKUP(TArticle[[#This Row],[تاریخ]],TDays[],7,FALSE)</f>
        <v>یکشنبه</v>
      </c>
      <c r="D11" s="21" t="s">
        <v>58</v>
      </c>
      <c r="E11" s="1">
        <f>-18229+16479</f>
        <v>-1750</v>
      </c>
      <c r="F11" s="1">
        <f>TArticle[[#This Row],[مبلغ]]+IFERROR(INT(F10),30181+3667+958)</f>
        <v>32021</v>
      </c>
      <c r="K11" s="21">
        <v>1</v>
      </c>
      <c r="L11" t="str">
        <f>IF(TArticle[[#This Row],[کد وضعیت سند]]&gt;0,VLOOKUP(TArticle[[#This Row],[کد وضعیت سند]],TDocState[],2,FALSE),"")</f>
        <v>انجام شد</v>
      </c>
      <c r="N11" t="str">
        <f>IF(TArticle[[#This Row],[کد طرف حساب]]&gt;0,VLOOKUP(TArticle[[#This Row],[کد طرف حساب]],TContact[],2,FALSE),"")</f>
        <v/>
      </c>
      <c r="O11" s="61" t="str">
        <f>IF(TArticle[[#This Row],[کد طرف حساب]]&gt;0,VLOOKUP(TArticle[[#This Row],[کد طرف حساب]],TContact[],7,FALSE)-SUMIF($M$2:M11,M11,$E$2:$E11),"")</f>
        <v/>
      </c>
      <c r="P11" s="27" t="str">
        <f>RIGHT(TArticle[[#This Row],[تاریخ]],2)</f>
        <v>14</v>
      </c>
      <c r="Q11" s="27">
        <f>VLOOKUP(TArticle[[#This Row],[تاریخ]],TDays[],16,FALSE)</f>
        <v>3</v>
      </c>
      <c r="R11" s="27" t="str">
        <f>RIGHT(LEFT(TArticle[[#This Row],[تاریخ]],7),2)</f>
        <v>01</v>
      </c>
      <c r="S11" s="27" t="str">
        <f>LEFT(TArticle[[#This Row],[تاریخ]],4)</f>
        <v>1401</v>
      </c>
      <c r="U11" s="21">
        <f>VLOOKUP(TArticle[[#This Row],[شناسه]],TAccount[],7,TRUE)</f>
        <v>5750</v>
      </c>
      <c r="W11" s="21">
        <f>IF(AND(TArticle[[#This Row],[مبلغ]]&gt;0, TArticle[[#This Row],[کد وضعیت سند]]=1),TArticle[[#This Row],[مبلغ]],0)</f>
        <v>0</v>
      </c>
      <c r="X11" s="27">
        <f>IF(AND(TArticle[[#This Row],[مبلغ]]&lt;0,TArticle[[#This Row],[کد وضعیت سند]]=1),0-TArticle[[#This Row],[مبلغ]],0)</f>
        <v>1750</v>
      </c>
      <c r="Y11" s="27">
        <v>16</v>
      </c>
      <c r="Z11" t="str">
        <f>IF(TArticle[[#This Row],[کد بانک]]&gt;0,VLOOKUP(TArticle[[#This Row],[کد بانک]],TBank[],2,FALSE),"")</f>
        <v>مهرایران</v>
      </c>
      <c r="AA11">
        <f>IF(AND(TArticle[[#This Row],[مبلغ]]&lt;0,TArticle[[#This Row],[کد وضعیت سند]]=1),0-TArticle[[#This Row],[مبلغ]],0)</f>
        <v>1750</v>
      </c>
      <c r="AB11">
        <f>IF(AND(TArticle[[#This Row],[مبلغ]]&gt;0, TArticle[[#This Row],[کد وضعیت سند]]=1),TArticle[[#This Row],[مبلغ]],0)</f>
        <v>0</v>
      </c>
      <c r="AC11" s="84">
        <f>IF(TArticle[[#This Row],[کد بانک]]&gt;0,VLOOKUP(TArticle[[#This Row],[کد بانک]],TBank[],9,FALSE)+SUMIF($Y$2:Y11,Y11,$E$2:$E11),"")</f>
        <v>16479</v>
      </c>
      <c r="AD11" s="1">
        <f>IFERROR(IF(INT(LEFT(TArticle[[#This Row],[شناسه]]))=3,IF(TArticle[[#This Row],[کد وضعیت سند]]=1,TArticle[مبلغ],0),0),0)</f>
        <v>-1750</v>
      </c>
      <c r="AE11" s="1">
        <f>IFERROR(IF(((TArticle[[#This Row],[شناسه]]))="4.1.1",IF(TArticle[[#This Row],[کد وضعیت سند]]=1,TArticle[مبلغ],0),0),0)</f>
        <v>0</v>
      </c>
      <c r="AF11" s="1">
        <f>IFERROR(IF(((TArticle[[#This Row],[شناسه]]))="4.1.2",IF(TArticle[[#This Row],[کد وضعیت سند]]=1,TArticle[مبلغ],0),0),0)</f>
        <v>0</v>
      </c>
      <c r="AG11" s="1">
        <f>IFERROR(IF(INT(LEFT(TArticle[[#This Row],[شناسه]]))=1,IF(TArticle[[#This Row],[کد وضعیت سند]]=1,TArticle[مبلغ],0),0),0)</f>
        <v>0</v>
      </c>
      <c r="AH11" s="1">
        <f>IFERROR(IF(INT(LEFT(TArticle[[#This Row],[شناسه]]))=2,IF(TArticle[[#This Row],[کد وضعیت سند]]=1,TArticle[مبلغ],0),0),0)</f>
        <v>0</v>
      </c>
      <c r="AI11" s="1">
        <f>IFERROR(IF((LEFT(TArticle[[#This Row],[شناسه]],3))="5.2",IF(TArticle[[#This Row],[کد وضعیت سند]]=1,TArticle[مبلغ],0),0),0)</f>
        <v>0</v>
      </c>
      <c r="AJ11" s="1">
        <f>IF(TArticle[[#This Row],[کد وضعیت سند]]=1,1,0)</f>
        <v>1</v>
      </c>
      <c r="AK11" s="1">
        <f>IF(AND(TArticle[[#This Row],[کد وضعیت سند]]&lt;&gt;1,TArticle[[#This Row],[مبلغ]]&lt;&gt;0),1,0)</f>
        <v>0</v>
      </c>
      <c r="AL11" s="51">
        <f>IF(TArticle[[#This Row],[کد بانک]]&gt;0,TArticle[[#This Row],[مانده بانک]]-VLOOKUP(TArticle[[#This Row],[کد بانک]],TBank[],7,FALSE),"")</f>
        <v>16449</v>
      </c>
      <c r="AM11" s="49" t="str">
        <f>LEFT(TArticle[[#This Row],[تاریخ]],7)</f>
        <v>1401-01</v>
      </c>
    </row>
    <row r="12" spans="1:39" hidden="1" x14ac:dyDescent="0.25">
      <c r="A12" s="24" t="s">
        <v>1110</v>
      </c>
      <c r="B12" s="49" t="str">
        <f>VLOOKUP(TArticle[[#This Row],[شناسه]],TAccount[],2,TRUE)</f>
        <v>قسط وام بانکی</v>
      </c>
      <c r="C12" s="49" t="str">
        <f>VLOOKUP(TArticle[[#This Row],[تاریخ]],TDays[],7,FALSE)</f>
        <v>چهارشنبه</v>
      </c>
      <c r="D12" s="21" t="s">
        <v>220</v>
      </c>
      <c r="E12" s="1">
        <v>-101</v>
      </c>
      <c r="F12" s="1">
        <f>TArticle[[#This Row],[مبلغ]]+IFERROR(INT(F11),30181+3667+958)</f>
        <v>31920</v>
      </c>
      <c r="H12" s="21">
        <v>19</v>
      </c>
      <c r="J12" s="65"/>
      <c r="K12" s="49">
        <v>1</v>
      </c>
      <c r="L12" s="66" t="str">
        <f>IF(TArticle[[#This Row],[کد وضعیت سند]]&gt;0,VLOOKUP(TArticle[[#This Row],[کد وضعیت سند]],TDocState[],2,FALSE),"")</f>
        <v>انجام شد</v>
      </c>
      <c r="M12" s="67">
        <v>107</v>
      </c>
      <c r="N12" t="str">
        <f>IF(TArticle[[#This Row],[کد طرف حساب]]&gt;0,VLOOKUP(TArticle[[#This Row],[کد طرف حساب]],TContact[],2,FALSE),"")</f>
        <v>وام مهرایران ف</v>
      </c>
      <c r="O12" s="68">
        <f>IF(TArticle[[#This Row],[کد طرف حساب]]&gt;0,VLOOKUP(TArticle[[#This Row],[کد طرف حساب]],TContact[],7,FALSE)-SUMIF($M$2:M12,M12,$E$2:$E12),"")</f>
        <v>-624</v>
      </c>
      <c r="P12" s="67" t="str">
        <f>RIGHT(TArticle[[#This Row],[تاریخ]],2)</f>
        <v>17</v>
      </c>
      <c r="Q12" s="67">
        <f>VLOOKUP(TArticle[[#This Row],[تاریخ]],TDays[],16,FALSE)</f>
        <v>3</v>
      </c>
      <c r="R12" s="67" t="str">
        <f>RIGHT(LEFT(TArticle[[#This Row],[تاریخ]],7),2)</f>
        <v>01</v>
      </c>
      <c r="S12" s="67" t="str">
        <f>LEFT(TArticle[[#This Row],[تاریخ]],4)</f>
        <v>1401</v>
      </c>
      <c r="T12" s="64"/>
      <c r="U12" s="64">
        <f>VLOOKUP(TArticle[[#This Row],[شناسه]],TAccount[],7,TRUE)</f>
        <v>81652</v>
      </c>
      <c r="V12" s="64" t="s">
        <v>220</v>
      </c>
      <c r="W12" s="64">
        <f>IF(AND(TArticle[[#This Row],[مبلغ]]&gt;0, TArticle[[#This Row],[کد وضعیت سند]]=1),TArticle[[#This Row],[مبلغ]],0)</f>
        <v>0</v>
      </c>
      <c r="X12" s="67">
        <f>IF(AND(TArticle[[#This Row],[مبلغ]]&lt;0,TArticle[[#This Row],[کد وضعیت سند]]=1),0-TArticle[[#This Row],[مبلغ]],0)</f>
        <v>101</v>
      </c>
      <c r="Y12" s="27">
        <v>16</v>
      </c>
      <c r="Z12" t="str">
        <f>IF(TArticle[[#This Row],[کد بانک]]&gt;0,VLOOKUP(TArticle[[#This Row],[کد بانک]],TBank[],2,FALSE),"")</f>
        <v>مهرایران</v>
      </c>
      <c r="AA12">
        <f>IF(AND(TArticle[[#This Row],[مبلغ]]&lt;0,TArticle[[#This Row],[کد وضعیت سند]]=1),0-TArticle[[#This Row],[مبلغ]],0)</f>
        <v>101</v>
      </c>
      <c r="AB12">
        <f>IF(AND(TArticle[[#This Row],[مبلغ]]&gt;0, TArticle[[#This Row],[کد وضعیت سند]]=1),TArticle[[#This Row],[مبلغ]],0)</f>
        <v>0</v>
      </c>
      <c r="AC12" s="93">
        <f>IF(TArticle[[#This Row],[کد بانک]]&gt;0,VLOOKUP(TArticle[[#This Row],[کد بانک]],TBank[],9,FALSE)+SUMIF($Y$2:Y12,Y12,$E$2:$E12),"")</f>
        <v>16378</v>
      </c>
      <c r="AD12" s="1">
        <f>IFERROR(IF(INT(LEFT(TArticle[[#This Row],[شناسه]]))=3,IF(TArticle[[#This Row],[کد وضعیت سند]]=1,TArticle[مبلغ],0),0),0)</f>
        <v>0</v>
      </c>
      <c r="AE12" s="1">
        <f>IFERROR(IF(((TArticle[[#This Row],[شناسه]]))="4.1.1",IF(TArticle[[#This Row],[کد وضعیت سند]]=1,TArticle[مبلغ],0),0),0)</f>
        <v>0</v>
      </c>
      <c r="AF12" s="1">
        <f>IFERROR(IF(((TArticle[[#This Row],[شناسه]]))="4.1.2",IF(TArticle[[#This Row],[کد وضعیت سند]]=1,TArticle[مبلغ],0),0),0)</f>
        <v>0</v>
      </c>
      <c r="AG12" s="1">
        <f>IFERROR(IF(INT(LEFT(TArticle[[#This Row],[شناسه]]))=1,IF(TArticle[[#This Row],[کد وضعیت سند]]=1,TArticle[مبلغ],0),0),0)</f>
        <v>-101</v>
      </c>
      <c r="AH12" s="1">
        <f>IFERROR(IF(INT(LEFT(TArticle[[#This Row],[شناسه]]))=2,IF(TArticle[[#This Row],[کد وضعیت سند]]=1,TArticle[مبلغ],0),0),0)</f>
        <v>0</v>
      </c>
      <c r="AI12" s="1">
        <f>IFERROR(IF((LEFT(TArticle[[#This Row],[شناسه]],3))="5.2",IF(TArticle[[#This Row],[کد وضعیت سند]]=1,TArticle[مبلغ],0),0),0)</f>
        <v>0</v>
      </c>
      <c r="AJ12" s="1">
        <f>IF(TArticle[[#This Row],[کد وضعیت سند]]=1,1,0)</f>
        <v>1</v>
      </c>
      <c r="AK12" s="1">
        <f>IF(AND(TArticle[[#This Row],[کد وضعیت سند]]&lt;&gt;1,TArticle[[#This Row],[مبلغ]]&lt;&gt;0),1,0)</f>
        <v>0</v>
      </c>
      <c r="AL12" s="78">
        <f>IF(TArticle[[#This Row],[کد بانک]]&gt;0,TArticle[[#This Row],[مانده بانک]]-VLOOKUP(TArticle[[#This Row],[کد بانک]],TBank[],7,FALSE),"")</f>
        <v>16348</v>
      </c>
      <c r="AM12" s="58" t="str">
        <f>LEFT(TArticle[[#This Row],[تاریخ]],7)</f>
        <v>1401-01</v>
      </c>
    </row>
    <row r="13" spans="1:39" hidden="1" x14ac:dyDescent="0.25">
      <c r="A13" s="24" t="s">
        <v>1110</v>
      </c>
      <c r="B13" s="49" t="str">
        <f>VLOOKUP(TArticle[[#This Row],[شناسه]],TAccount[],2,TRUE)</f>
        <v>قسط وام بانکی</v>
      </c>
      <c r="C13" s="49" t="str">
        <f>VLOOKUP(TArticle[[#This Row],[تاریخ]],TDays[],7,FALSE)</f>
        <v>چهارشنبه</v>
      </c>
      <c r="D13" s="21" t="s">
        <v>220</v>
      </c>
      <c r="E13" s="1">
        <v>-1000</v>
      </c>
      <c r="F13" s="1">
        <f>TArticle[[#This Row],[مبلغ]]+IFERROR(INT(F12),30181+3667+958)</f>
        <v>30920</v>
      </c>
      <c r="G13" t="s">
        <v>1184</v>
      </c>
      <c r="H13" s="64">
        <v>11</v>
      </c>
      <c r="J13" s="65"/>
      <c r="K13" s="64">
        <v>1</v>
      </c>
      <c r="L13" s="66" t="str">
        <f>IF(TArticle[[#This Row],[کد وضعیت سند]]&gt;0,VLOOKUP(TArticle[[#This Row],[کد وضعیت سند]],TDocState[],2,FALSE),"")</f>
        <v>انجام شد</v>
      </c>
      <c r="M13" s="27">
        <v>109</v>
      </c>
      <c r="N13" t="str">
        <f>IF(TArticle[[#This Row],[کد طرف حساب]]&gt;0,VLOOKUP(TArticle[[#This Row],[کد طرف حساب]],TContact[],2,FALSE),"")</f>
        <v>وام درودگران ف</v>
      </c>
      <c r="O13" s="68">
        <f>IF(TArticle[[#This Row],[کد طرف حساب]]&gt;0,VLOOKUP(TArticle[[#This Row],[کد طرف حساب]],TContact[],7,FALSE)-SUMIF($M$2:M13,M13,$E$2:$E13),"")</f>
        <v>-4015</v>
      </c>
      <c r="P13" s="67" t="str">
        <f>RIGHT(TArticle[[#This Row],[تاریخ]],2)</f>
        <v>17</v>
      </c>
      <c r="Q13" s="67">
        <f>VLOOKUP(TArticle[[#This Row],[تاریخ]],TDays[],16,FALSE)</f>
        <v>3</v>
      </c>
      <c r="R13" s="67" t="str">
        <f>RIGHT(LEFT(TArticle[[#This Row],[تاریخ]],7),2)</f>
        <v>01</v>
      </c>
      <c r="S13" s="67" t="str">
        <f>LEFT(TArticle[[#This Row],[تاریخ]],4)</f>
        <v>1401</v>
      </c>
      <c r="T13" s="64"/>
      <c r="U13" s="64">
        <f>VLOOKUP(TArticle[[#This Row],[شناسه]],TAccount[],7,TRUE)</f>
        <v>81652</v>
      </c>
      <c r="V13" s="64"/>
      <c r="W13" s="64">
        <f>IF(AND(TArticle[[#This Row],[مبلغ]]&gt;0, TArticle[[#This Row],[کد وضعیت سند]]=1),TArticle[[#This Row],[مبلغ]],0)</f>
        <v>0</v>
      </c>
      <c r="X13" s="67">
        <f>IF(AND(TArticle[[#This Row],[مبلغ]]&lt;0,TArticle[[#This Row],[کد وضعیت سند]]=1),0-TArticle[[#This Row],[مبلغ]],0)</f>
        <v>1000</v>
      </c>
      <c r="Y13" s="27">
        <v>2</v>
      </c>
      <c r="Z13" t="str">
        <f>IF(TArticle[[#This Row],[کد بانک]]&gt;0,VLOOKUP(TArticle[[#This Row],[کد بانک]],TBank[],2,FALSE),"")</f>
        <v>ملی جاری</v>
      </c>
      <c r="AA13">
        <f>IF(AND(TArticle[[#This Row],[مبلغ]]&lt;0,TArticle[[#This Row],[کد وضعیت سند]]=1),0-TArticle[[#This Row],[مبلغ]],0)</f>
        <v>1000</v>
      </c>
      <c r="AB13">
        <f>IF(AND(TArticle[[#This Row],[مبلغ]]&gt;0, TArticle[[#This Row],[کد وضعیت سند]]=1),TArticle[[#This Row],[مبلغ]],0)</f>
        <v>0</v>
      </c>
      <c r="AC13" s="93">
        <f>IF(TArticle[[#This Row],[کد بانک]]&gt;0,VLOOKUP(TArticle[[#This Row],[کد بانک]],TBank[],9,FALSE)+SUMIF($Y$2:Y13,Y13,$E$2:$E13),"")</f>
        <v>6957</v>
      </c>
      <c r="AD13" s="1">
        <f>IFERROR(IF(INT(LEFT(TArticle[[#This Row],[شناسه]]))=3,IF(TArticle[[#This Row],[کد وضعیت سند]]=1,TArticle[مبلغ],0),0),0)</f>
        <v>0</v>
      </c>
      <c r="AE13" s="1">
        <f>IFERROR(IF(((TArticle[[#This Row],[شناسه]]))="4.1.1",IF(TArticle[[#This Row],[کد وضعیت سند]]=1,TArticle[مبلغ],0),0),0)</f>
        <v>0</v>
      </c>
      <c r="AF13" s="1">
        <f>IFERROR(IF(((TArticle[[#This Row],[شناسه]]))="4.1.2",IF(TArticle[[#This Row],[کد وضعیت سند]]=1,TArticle[مبلغ],0),0),0)</f>
        <v>0</v>
      </c>
      <c r="AG13" s="1">
        <f>IFERROR(IF(INT(LEFT(TArticle[[#This Row],[شناسه]]))=1,IF(TArticle[[#This Row],[کد وضعیت سند]]=1,TArticle[مبلغ],0),0),0)</f>
        <v>-1000</v>
      </c>
      <c r="AH13" s="1">
        <f>IFERROR(IF(INT(LEFT(TArticle[[#This Row],[شناسه]]))=2,IF(TArticle[[#This Row],[کد وضعیت سند]]=1,TArticle[مبلغ],0),0),0)</f>
        <v>0</v>
      </c>
      <c r="AI13" s="1">
        <f>IFERROR(IF((LEFT(TArticle[[#This Row],[شناسه]],3))="5.2",IF(TArticle[[#This Row],[کد وضعیت سند]]=1,TArticle[مبلغ],0),0),0)</f>
        <v>0</v>
      </c>
      <c r="AJ13" s="1">
        <f>IF(TArticle[[#This Row],[کد وضعیت سند]]=1,1,0)</f>
        <v>1</v>
      </c>
      <c r="AK13" s="1">
        <f>IF(AND(TArticle[[#This Row],[کد وضعیت سند]]&lt;&gt;1,TArticle[[#This Row],[مبلغ]]&lt;&gt;0),1,0)</f>
        <v>0</v>
      </c>
      <c r="AL13" s="78">
        <f>IF(TArticle[[#This Row],[کد بانک]]&gt;0,TArticle[[#This Row],[مانده بانک]]-VLOOKUP(TArticle[[#This Row],[کد بانک]],TBank[],7,FALSE),"")</f>
        <v>6957</v>
      </c>
      <c r="AM13" s="58" t="str">
        <f>LEFT(TArticle[[#This Row],[تاریخ]],7)</f>
        <v>1401-01</v>
      </c>
    </row>
    <row r="14" spans="1:39" hidden="1" x14ac:dyDescent="0.25">
      <c r="A14" s="24" t="s">
        <v>1110</v>
      </c>
      <c r="B14" s="49" t="str">
        <f>VLOOKUP(TArticle[[#This Row],[شناسه]],TAccount[],2,TRUE)</f>
        <v>قسط وام بانکی</v>
      </c>
      <c r="C14" s="49" t="str">
        <f>VLOOKUP(TArticle[[#This Row],[تاریخ]],TDays[],7,FALSE)</f>
        <v>چهارشنبه</v>
      </c>
      <c r="D14" s="21" t="s">
        <v>220</v>
      </c>
      <c r="E14" s="1">
        <v>-1830</v>
      </c>
      <c r="F14" s="1">
        <f>TArticle[[#This Row],[مبلغ]]+IFERROR(INT(F13),30181+3667+958)</f>
        <v>29090</v>
      </c>
      <c r="G14" t="s">
        <v>1591</v>
      </c>
      <c r="H14" s="21">
        <v>10</v>
      </c>
      <c r="K14" s="21">
        <v>1</v>
      </c>
      <c r="L14" t="str">
        <f>IF(TArticle[[#This Row],[کد وضعیت سند]]&gt;0,VLOOKUP(TArticle[[#This Row],[کد وضعیت سند]],TDocState[],2,FALSE),"")</f>
        <v>انجام شد</v>
      </c>
      <c r="M14" s="27">
        <v>110</v>
      </c>
      <c r="N14" t="str">
        <f>IF(TArticle[[#This Row],[کد طرف حساب]]&gt;0,VLOOKUP(TArticle[[#This Row],[کد طرف حساب]],TContact[],2,FALSE),"")</f>
        <v>وام ملت</v>
      </c>
      <c r="O14" s="61">
        <f>IF(TArticle[[#This Row],[کد طرف حساب]]&gt;0,VLOOKUP(TArticle[[#This Row],[کد طرف حساب]],TContact[],7,FALSE)-SUMIF($M$2:M14,M14,$E$2:$E14),"")</f>
        <v>-46340</v>
      </c>
      <c r="P14" s="27" t="str">
        <f>RIGHT(TArticle[[#This Row],[تاریخ]],2)</f>
        <v>17</v>
      </c>
      <c r="Q14" s="27">
        <f>VLOOKUP(TArticle[[#This Row],[تاریخ]],TDays[],16,FALSE)</f>
        <v>3</v>
      </c>
      <c r="R14" s="27" t="str">
        <f>RIGHT(LEFT(TArticle[[#This Row],[تاریخ]],7),2)</f>
        <v>01</v>
      </c>
      <c r="S14" s="27" t="str">
        <f>LEFT(TArticle[[#This Row],[تاریخ]],4)</f>
        <v>1401</v>
      </c>
      <c r="U14" s="21">
        <f>VLOOKUP(TArticle[[#This Row],[شناسه]],TAccount[],7,TRUE)</f>
        <v>81652</v>
      </c>
      <c r="V14" s="21" t="s">
        <v>207</v>
      </c>
      <c r="W14" s="21">
        <f>IF(AND(TArticle[[#This Row],[مبلغ]]&gt;0, TArticle[[#This Row],[کد وضعیت سند]]=1),TArticle[[#This Row],[مبلغ]],0)</f>
        <v>0</v>
      </c>
      <c r="X14" s="27">
        <f>IF(AND(TArticle[[#This Row],[مبلغ]]&lt;0,TArticle[[#This Row],[کد وضعیت سند]]=1),0-TArticle[[#This Row],[مبلغ]],0)</f>
        <v>1830</v>
      </c>
      <c r="Y14" s="27">
        <v>2</v>
      </c>
      <c r="Z14" t="str">
        <f>IF(TArticle[[#This Row],[کد بانک]]&gt;0,VLOOKUP(TArticle[[#This Row],[کد بانک]],TBank[],2,FALSE),"")</f>
        <v>ملی جاری</v>
      </c>
      <c r="AA14">
        <f>IF(AND(TArticle[[#This Row],[مبلغ]]&lt;0,TArticle[[#This Row],[کد وضعیت سند]]=1),0-TArticle[[#This Row],[مبلغ]],0)</f>
        <v>1830</v>
      </c>
      <c r="AB14">
        <f>IF(AND(TArticle[[#This Row],[مبلغ]]&gt;0, TArticle[[#This Row],[کد وضعیت سند]]=1),TArticle[[#This Row],[مبلغ]],0)</f>
        <v>0</v>
      </c>
      <c r="AC14" s="84">
        <f>IF(TArticle[[#This Row],[کد بانک]]&gt;0,VLOOKUP(TArticle[[#This Row],[کد بانک]],TBank[],9,FALSE)+SUMIF($Y$2:Y14,Y14,$E$2:$E14),"")</f>
        <v>5127</v>
      </c>
      <c r="AD14" s="1">
        <f>IFERROR(IF(INT(LEFT(TArticle[[#This Row],[شناسه]]))=3,IF(TArticle[[#This Row],[کد وضعیت سند]]=1,TArticle[مبلغ],0),0),0)</f>
        <v>0</v>
      </c>
      <c r="AE14" s="1">
        <f>IFERROR(IF(((TArticle[[#This Row],[شناسه]]))="4.1.1",IF(TArticle[[#This Row],[کد وضعیت سند]]=1,TArticle[مبلغ],0),0),0)</f>
        <v>0</v>
      </c>
      <c r="AF14" s="1">
        <f>IFERROR(IF(((TArticle[[#This Row],[شناسه]]))="4.1.2",IF(TArticle[[#This Row],[کد وضعیت سند]]=1,TArticle[مبلغ],0),0),0)</f>
        <v>0</v>
      </c>
      <c r="AG14" s="1">
        <f>IFERROR(IF(INT(LEFT(TArticle[[#This Row],[شناسه]]))=1,IF(TArticle[[#This Row],[کد وضعیت سند]]=1,TArticle[مبلغ],0),0),0)</f>
        <v>-1830</v>
      </c>
      <c r="AH14" s="1">
        <f>IFERROR(IF(INT(LEFT(TArticle[[#This Row],[شناسه]]))=2,IF(TArticle[[#This Row],[کد وضعیت سند]]=1,TArticle[مبلغ],0),0),0)</f>
        <v>0</v>
      </c>
      <c r="AI14" s="1">
        <f>IFERROR(IF((LEFT(TArticle[[#This Row],[شناسه]],3))="5.2",IF(TArticle[[#This Row],[کد وضعیت سند]]=1,TArticle[مبلغ],0),0),0)</f>
        <v>0</v>
      </c>
      <c r="AJ14" s="1">
        <f>IF(TArticle[[#This Row],[کد وضعیت سند]]=1,1,0)</f>
        <v>1</v>
      </c>
      <c r="AK14" s="1">
        <f>IF(AND(TArticle[[#This Row],[کد وضعیت سند]]&lt;&gt;1,TArticle[[#This Row],[مبلغ]]&lt;&gt;0),1,0)</f>
        <v>0</v>
      </c>
      <c r="AL14" s="51">
        <f>IF(TArticle[[#This Row],[کد بانک]]&gt;0,TArticle[[#This Row],[مانده بانک]]-VLOOKUP(TArticle[[#This Row],[کد بانک]],TBank[],7,FALSE),"")</f>
        <v>5127</v>
      </c>
      <c r="AM14" s="49" t="str">
        <f>LEFT(TArticle[[#This Row],[تاریخ]],7)</f>
        <v>1401-01</v>
      </c>
    </row>
    <row r="15" spans="1:39" hidden="1" x14ac:dyDescent="0.25">
      <c r="A15" s="24" t="s">
        <v>1110</v>
      </c>
      <c r="B15" s="49" t="str">
        <f>VLOOKUP(TArticle[[#This Row],[شناسه]],TAccount[],2,TRUE)</f>
        <v>قسط وام بانکی</v>
      </c>
      <c r="C15" s="49" t="str">
        <f>VLOOKUP(TArticle[[#This Row],[تاریخ]],TDays[],7,FALSE)</f>
        <v>چهارشنبه</v>
      </c>
      <c r="D15" s="21" t="s">
        <v>220</v>
      </c>
      <c r="E15" s="1">
        <v>-1830</v>
      </c>
      <c r="F15" s="1">
        <f>TArticle[[#This Row],[مبلغ]]+IFERROR(INT(F14),30181+3667+958)</f>
        <v>27260</v>
      </c>
      <c r="G15" t="s">
        <v>1591</v>
      </c>
      <c r="H15" s="21">
        <v>10</v>
      </c>
      <c r="K15" s="21">
        <v>1</v>
      </c>
      <c r="L15" t="str">
        <f>IF(TArticle[[#This Row],[کد وضعیت سند]]&gt;0,VLOOKUP(TArticle[[#This Row],[کد وضعیت سند]],TDocState[],2,FALSE),"")</f>
        <v>انجام شد</v>
      </c>
      <c r="M15" s="27">
        <v>111</v>
      </c>
      <c r="N15" t="str">
        <f>IF(TArticle[[#This Row],[کد طرف حساب]]&gt;0,VLOOKUP(TArticle[[#This Row],[کد طرف حساب]],TContact[],2,FALSE),"")</f>
        <v>وام ملت ف</v>
      </c>
      <c r="O15" s="61">
        <f>IF(TArticle[[#This Row],[کد طرف حساب]]&gt;0,VLOOKUP(TArticle[[#This Row],[کد طرف حساب]],TContact[],7,FALSE)-SUMIF($M$2:M15,M15,$E$2:$E15),"")</f>
        <v>-46340</v>
      </c>
      <c r="P15" s="27" t="str">
        <f>RIGHT(TArticle[[#This Row],[تاریخ]],2)</f>
        <v>17</v>
      </c>
      <c r="Q15" s="27">
        <f>VLOOKUP(TArticle[[#This Row],[تاریخ]],TDays[],16,FALSE)</f>
        <v>3</v>
      </c>
      <c r="R15" s="27" t="str">
        <f>RIGHT(LEFT(TArticle[[#This Row],[تاریخ]],7),2)</f>
        <v>01</v>
      </c>
      <c r="S15" s="27" t="str">
        <f>LEFT(TArticle[[#This Row],[تاریخ]],4)</f>
        <v>1401</v>
      </c>
      <c r="U15" s="21">
        <f>VLOOKUP(TArticle[[#This Row],[شناسه]],TAccount[],7,TRUE)</f>
        <v>81652</v>
      </c>
      <c r="V15" s="21" t="s">
        <v>207</v>
      </c>
      <c r="W15" s="21">
        <f>IF(AND(TArticle[[#This Row],[مبلغ]]&gt;0, TArticle[[#This Row],[کد وضعیت سند]]=1),TArticle[[#This Row],[مبلغ]],0)</f>
        <v>0</v>
      </c>
      <c r="X15" s="27">
        <f>IF(AND(TArticle[[#This Row],[مبلغ]]&lt;0,TArticle[[#This Row],[کد وضعیت سند]]=1),0-TArticle[[#This Row],[مبلغ]],0)</f>
        <v>1830</v>
      </c>
      <c r="Y15" s="27">
        <v>2</v>
      </c>
      <c r="Z15" t="str">
        <f>IF(TArticle[[#This Row],[کد بانک]]&gt;0,VLOOKUP(TArticle[[#This Row],[کد بانک]],TBank[],2,FALSE),"")</f>
        <v>ملی جاری</v>
      </c>
      <c r="AA15">
        <f>IF(AND(TArticle[[#This Row],[مبلغ]]&lt;0,TArticle[[#This Row],[کد وضعیت سند]]=1),0-TArticle[[#This Row],[مبلغ]],0)</f>
        <v>1830</v>
      </c>
      <c r="AB15">
        <f>IF(AND(TArticle[[#This Row],[مبلغ]]&gt;0, TArticle[[#This Row],[کد وضعیت سند]]=1),TArticle[[#This Row],[مبلغ]],0)</f>
        <v>0</v>
      </c>
      <c r="AC15" s="84">
        <f>IF(TArticle[[#This Row],[کد بانک]]&gt;0,VLOOKUP(TArticle[[#This Row],[کد بانک]],TBank[],9,FALSE)+SUMIF($Y$2:Y15,Y15,$E$2:$E15),"")</f>
        <v>3297</v>
      </c>
      <c r="AD15" s="1">
        <f>IFERROR(IF(INT(LEFT(TArticle[[#This Row],[شناسه]]))=3,IF(TArticle[[#This Row],[کد وضعیت سند]]=1,TArticle[مبلغ],0),0),0)</f>
        <v>0</v>
      </c>
      <c r="AE15" s="1">
        <f>IFERROR(IF(((TArticle[[#This Row],[شناسه]]))="4.1.1",IF(TArticle[[#This Row],[کد وضعیت سند]]=1,TArticle[مبلغ],0),0),0)</f>
        <v>0</v>
      </c>
      <c r="AF15" s="1">
        <f>IFERROR(IF(((TArticle[[#This Row],[شناسه]]))="4.1.2",IF(TArticle[[#This Row],[کد وضعیت سند]]=1,TArticle[مبلغ],0),0),0)</f>
        <v>0</v>
      </c>
      <c r="AG15" s="1">
        <f>IFERROR(IF(INT(LEFT(TArticle[[#This Row],[شناسه]]))=1,IF(TArticle[[#This Row],[کد وضعیت سند]]=1,TArticle[مبلغ],0),0),0)</f>
        <v>-1830</v>
      </c>
      <c r="AH15" s="1">
        <f>IFERROR(IF(INT(LEFT(TArticle[[#This Row],[شناسه]]))=2,IF(TArticle[[#This Row],[کد وضعیت سند]]=1,TArticle[مبلغ],0),0),0)</f>
        <v>0</v>
      </c>
      <c r="AI15" s="1">
        <f>IFERROR(IF((LEFT(TArticle[[#This Row],[شناسه]],3))="5.2",IF(TArticle[[#This Row],[کد وضعیت سند]]=1,TArticle[مبلغ],0),0),0)</f>
        <v>0</v>
      </c>
      <c r="AJ15" s="1">
        <f>IF(TArticle[[#This Row],[کد وضعیت سند]]=1,1,0)</f>
        <v>1</v>
      </c>
      <c r="AK15" s="1">
        <f>IF(AND(TArticle[[#This Row],[کد وضعیت سند]]&lt;&gt;1,TArticle[[#This Row],[مبلغ]]&lt;&gt;0),1,0)</f>
        <v>0</v>
      </c>
      <c r="AL15" s="51">
        <f>IF(TArticle[[#This Row],[کد بانک]]&gt;0,TArticle[[#This Row],[مانده بانک]]-VLOOKUP(TArticle[[#This Row],[کد بانک]],TBank[],7,FALSE),"")</f>
        <v>3297</v>
      </c>
      <c r="AM15" s="49" t="str">
        <f>LEFT(TArticle[[#This Row],[تاریخ]],7)</f>
        <v>1401-01</v>
      </c>
    </row>
    <row r="16" spans="1:39" hidden="1" x14ac:dyDescent="0.25">
      <c r="A16" s="24" t="s">
        <v>1110</v>
      </c>
      <c r="B16" s="49" t="str">
        <f>VLOOKUP(TArticle[[#This Row],[شناسه]],TAccount[],2,TRUE)</f>
        <v>قسط وام بانکی</v>
      </c>
      <c r="C16" s="49" t="str">
        <f>VLOOKUP(TArticle[[#This Row],[تاریخ]],TDays[],7,FALSE)</f>
        <v>چهارشنبه</v>
      </c>
      <c r="D16" s="21" t="s">
        <v>220</v>
      </c>
      <c r="E16" s="1">
        <v>-1808</v>
      </c>
      <c r="F16" s="1">
        <f>TArticle[[#This Row],[مبلغ]]+IFERROR(INT(F15),30181+3667+958)</f>
        <v>25452</v>
      </c>
      <c r="G16" t="s">
        <v>1597</v>
      </c>
      <c r="H16" s="64">
        <v>5</v>
      </c>
      <c r="J16" s="65"/>
      <c r="K16" s="21">
        <v>1</v>
      </c>
      <c r="L16" s="66" t="str">
        <f>IF(TArticle[[#This Row],[کد وضعیت سند]]&gt;0,VLOOKUP(TArticle[[#This Row],[کد وضعیت سند]],TDocState[],2,FALSE),"")</f>
        <v>انجام شد</v>
      </c>
      <c r="M16" s="67">
        <v>112.1</v>
      </c>
      <c r="N16" t="str">
        <f>IF(TArticle[[#This Row],[کد طرف حساب]]&gt;0,VLOOKUP(TArticle[[#This Row],[کد طرف حساب]],TContact[],2,FALSE),"")</f>
        <v>وام ملی - سود</v>
      </c>
      <c r="O16" s="68">
        <f>IF(TArticle[[#This Row],[کد طرف حساب]]&gt;0,VLOOKUP(TArticle[[#This Row],[کد طرف حساب]],TContact[],7,FALSE)-SUMIF($M$2:M16,M16,$E$2:$E16),"")</f>
        <v>-4225</v>
      </c>
      <c r="P16" s="67" t="str">
        <f>RIGHT(TArticle[[#This Row],[تاریخ]],2)</f>
        <v>17</v>
      </c>
      <c r="Q16" s="67">
        <f>VLOOKUP(TArticle[[#This Row],[تاریخ]],TDays[],16,FALSE)</f>
        <v>3</v>
      </c>
      <c r="R16" s="67" t="str">
        <f>RIGHT(LEFT(TArticle[[#This Row],[تاریخ]],7),2)</f>
        <v>01</v>
      </c>
      <c r="S16" s="67" t="str">
        <f>LEFT(TArticle[[#This Row],[تاریخ]],4)</f>
        <v>1401</v>
      </c>
      <c r="T16" s="64"/>
      <c r="U16" s="64">
        <f>VLOOKUP(TArticle[[#This Row],[شناسه]],TAccount[],7,TRUE)</f>
        <v>81652</v>
      </c>
      <c r="V16" s="28" t="s">
        <v>204</v>
      </c>
      <c r="W16" s="64">
        <f>IF(AND(TArticle[[#This Row],[مبلغ]]&gt;0, TArticle[[#This Row],[کد وضعیت سند]]=1),TArticle[[#This Row],[مبلغ]],0)</f>
        <v>0</v>
      </c>
      <c r="X16" s="67">
        <f>IF(AND(TArticle[[#This Row],[مبلغ]]&lt;0,TArticle[[#This Row],[کد وضعیت سند]]=1),0-TArticle[[#This Row],[مبلغ]],0)</f>
        <v>1808</v>
      </c>
      <c r="Y16" s="27">
        <v>2</v>
      </c>
      <c r="Z16" t="str">
        <f>IF(TArticle[[#This Row],[کد بانک]]&gt;0,VLOOKUP(TArticle[[#This Row],[کد بانک]],TBank[],2,FALSE),"")</f>
        <v>ملی جاری</v>
      </c>
      <c r="AA16">
        <f>IF(AND(TArticle[[#This Row],[مبلغ]]&lt;0,TArticle[[#This Row],[کد وضعیت سند]]=1),0-TArticle[[#This Row],[مبلغ]],0)</f>
        <v>1808</v>
      </c>
      <c r="AB16">
        <f>IF(AND(TArticle[[#This Row],[مبلغ]]&gt;0, TArticle[[#This Row],[کد وضعیت سند]]=1),TArticle[[#This Row],[مبلغ]],0)</f>
        <v>0</v>
      </c>
      <c r="AC16" s="93">
        <f>IF(TArticle[[#This Row],[کد بانک]]&gt;0,VLOOKUP(TArticle[[#This Row],[کد بانک]],TBank[],9,FALSE)+SUMIF($Y$2:Y16,Y16,$E$2:$E16),"")</f>
        <v>1489</v>
      </c>
      <c r="AD16" s="1">
        <f>IFERROR(IF(INT(LEFT(TArticle[[#This Row],[شناسه]]))=3,IF(TArticle[[#This Row],[کد وضعیت سند]]=1,TArticle[مبلغ],0),0),0)</f>
        <v>0</v>
      </c>
      <c r="AE16" s="1">
        <f>IFERROR(IF(((TArticle[[#This Row],[شناسه]]))="4.1.1",IF(TArticle[[#This Row],[کد وضعیت سند]]=1,TArticle[مبلغ],0),0),0)</f>
        <v>0</v>
      </c>
      <c r="AF16" s="1">
        <f>IFERROR(IF(((TArticle[[#This Row],[شناسه]]))="4.1.2",IF(TArticle[[#This Row],[کد وضعیت سند]]=1,TArticle[مبلغ],0),0),0)</f>
        <v>0</v>
      </c>
      <c r="AG16" s="1">
        <f>IFERROR(IF(INT(LEFT(TArticle[[#This Row],[شناسه]]))=1,IF(TArticle[[#This Row],[کد وضعیت سند]]=1,TArticle[مبلغ],0),0),0)</f>
        <v>-1808</v>
      </c>
      <c r="AH16" s="1">
        <f>IFERROR(IF(INT(LEFT(TArticle[[#This Row],[شناسه]]))=2,IF(TArticle[[#This Row],[کد وضعیت سند]]=1,TArticle[مبلغ],0),0),0)</f>
        <v>0</v>
      </c>
      <c r="AI16" s="1">
        <f>IFERROR(IF((LEFT(TArticle[[#This Row],[شناسه]],3))="5.2",IF(TArticle[[#This Row],[کد وضعیت سند]]=1,TArticle[مبلغ],0),0),0)</f>
        <v>0</v>
      </c>
      <c r="AJ16" s="1">
        <f>IF(TArticle[[#This Row],[کد وضعیت سند]]=1,1,0)</f>
        <v>1</v>
      </c>
      <c r="AK16" s="1">
        <f>IF(AND(TArticle[[#This Row],[کد وضعیت سند]]&lt;&gt;1,TArticle[[#This Row],[مبلغ]]&lt;&gt;0),1,0)</f>
        <v>0</v>
      </c>
      <c r="AL16" s="78">
        <f>IF(TArticle[[#This Row],[کد بانک]]&gt;0,TArticle[[#This Row],[مانده بانک]]-VLOOKUP(TArticle[[#This Row],[کد بانک]],TBank[],7,FALSE),"")</f>
        <v>1489</v>
      </c>
      <c r="AM16" s="58" t="str">
        <f>LEFT(TArticle[[#This Row],[تاریخ]],7)</f>
        <v>1401-01</v>
      </c>
    </row>
    <row r="17" spans="1:39" hidden="1" x14ac:dyDescent="0.25">
      <c r="A17" s="24" t="s">
        <v>1110</v>
      </c>
      <c r="B17" s="49" t="str">
        <f>VLOOKUP(TArticle[[#This Row],[شناسه]],TAccount[],2,TRUE)</f>
        <v>قسط وام بانکی</v>
      </c>
      <c r="C17" s="49" t="str">
        <f>VLOOKUP(TArticle[[#This Row],[تاریخ]],TDays[],7,FALSE)</f>
        <v>چهارشنبه</v>
      </c>
      <c r="D17" s="21" t="s">
        <v>220</v>
      </c>
      <c r="E17" s="1">
        <v>-278</v>
      </c>
      <c r="F17" s="1">
        <f>TArticle[[#This Row],[مبلغ]]+IFERROR(INT(F16),30181+3667+958)</f>
        <v>25174</v>
      </c>
      <c r="G17" t="s">
        <v>1109</v>
      </c>
      <c r="H17" s="21">
        <v>28</v>
      </c>
      <c r="K17" s="21">
        <v>1</v>
      </c>
      <c r="L17" t="str">
        <f>IF(TArticle[[#This Row],[کد وضعیت سند]]&gt;0,VLOOKUP(TArticle[[#This Row],[کد وضعیت سند]],TDocState[],2,FALSE),"")</f>
        <v>انجام شد</v>
      </c>
      <c r="M17" s="27">
        <v>104</v>
      </c>
      <c r="N17" t="str">
        <f>IF(TArticle[[#This Row],[کد طرف حساب]]&gt;0,VLOOKUP(TArticle[[#This Row],[کد طرف حساب]],TContact[],2,FALSE),"")</f>
        <v>وام ملی ف</v>
      </c>
      <c r="O17" s="61">
        <f>IF(TArticle[[#This Row],[کد طرف حساب]]&gt;0,VLOOKUP(TArticle[[#This Row],[کد طرف حساب]],TContact[],7,FALSE)-SUMIF($M$2:M17,M17,$E$2:$E17),"")</f>
        <v>-2216</v>
      </c>
      <c r="P17" s="27" t="str">
        <f>RIGHT(TArticle[[#This Row],[تاریخ]],2)</f>
        <v>17</v>
      </c>
      <c r="Q17" s="27">
        <f>VLOOKUP(TArticle[[#This Row],[تاریخ]],TDays[],16,FALSE)</f>
        <v>3</v>
      </c>
      <c r="R17" s="27" t="str">
        <f>RIGHT(LEFT(TArticle[[#This Row],[تاریخ]],7),2)</f>
        <v>01</v>
      </c>
      <c r="S17" s="27" t="str">
        <f>LEFT(TArticle[[#This Row],[تاریخ]],4)</f>
        <v>1401</v>
      </c>
      <c r="U17" s="21">
        <f>VLOOKUP(TArticle[[#This Row],[شناسه]],TAccount[],7,TRUE)</f>
        <v>81652</v>
      </c>
      <c r="V17" s="21" t="s">
        <v>215</v>
      </c>
      <c r="W17" s="21">
        <f>IF(AND(TArticle[[#This Row],[مبلغ]]&gt;0, TArticle[[#This Row],[کد وضعیت سند]]=1),TArticle[[#This Row],[مبلغ]],0)</f>
        <v>0</v>
      </c>
      <c r="X17" s="27">
        <f>IF(AND(TArticle[[#This Row],[مبلغ]]&lt;0,TArticle[[#This Row],[کد وضعیت سند]]=1),0-TArticle[[#This Row],[مبلغ]],0)</f>
        <v>278</v>
      </c>
      <c r="Y17" s="27">
        <v>2</v>
      </c>
      <c r="Z17" t="str">
        <f>IF(TArticle[[#This Row],[کد بانک]]&gt;0,VLOOKUP(TArticle[[#This Row],[کد بانک]],TBank[],2,FALSE),"")</f>
        <v>ملی جاری</v>
      </c>
      <c r="AA17">
        <f>IF(AND(TArticle[[#This Row],[مبلغ]]&lt;0,TArticle[[#This Row],[کد وضعیت سند]]=1),0-TArticle[[#This Row],[مبلغ]],0)</f>
        <v>278</v>
      </c>
      <c r="AB17">
        <f>IF(AND(TArticle[[#This Row],[مبلغ]]&gt;0, TArticle[[#This Row],[کد وضعیت سند]]=1),TArticle[[#This Row],[مبلغ]],0)</f>
        <v>0</v>
      </c>
      <c r="AC17" s="84">
        <f>IF(TArticle[[#This Row],[کد بانک]]&gt;0,VLOOKUP(TArticle[[#This Row],[کد بانک]],TBank[],9,FALSE)+SUMIF($Y$2:Y17,Y17,$E$2:$E17),"")</f>
        <v>1211</v>
      </c>
      <c r="AD17" s="1">
        <f>IFERROR(IF(INT(LEFT(TArticle[[#This Row],[شناسه]]))=3,IF(TArticle[[#This Row],[کد وضعیت سند]]=1,TArticle[مبلغ],0),0),0)</f>
        <v>0</v>
      </c>
      <c r="AE17" s="1">
        <f>IFERROR(IF(((TArticle[[#This Row],[شناسه]]))="4.1.1",IF(TArticle[[#This Row],[کد وضعیت سند]]=1,TArticle[مبلغ],0),0),0)</f>
        <v>0</v>
      </c>
      <c r="AF17" s="1">
        <f>IFERROR(IF(((TArticle[[#This Row],[شناسه]]))="4.1.2",IF(TArticle[[#This Row],[کد وضعیت سند]]=1,TArticle[مبلغ],0),0),0)</f>
        <v>0</v>
      </c>
      <c r="AG17" s="1">
        <f>IFERROR(IF(INT(LEFT(TArticle[[#This Row],[شناسه]]))=1,IF(TArticle[[#This Row],[کد وضعیت سند]]=1,TArticle[مبلغ],0),0),0)</f>
        <v>-278</v>
      </c>
      <c r="AH17" s="1">
        <f>IFERROR(IF(INT(LEFT(TArticle[[#This Row],[شناسه]]))=2,IF(TArticle[[#This Row],[کد وضعیت سند]]=1,TArticle[مبلغ],0),0),0)</f>
        <v>0</v>
      </c>
      <c r="AI17" s="1">
        <f>IFERROR(IF((LEFT(TArticle[[#This Row],[شناسه]],3))="5.2",IF(TArticle[[#This Row],[کد وضعیت سند]]=1,TArticle[مبلغ],0),0),0)</f>
        <v>0</v>
      </c>
      <c r="AJ17" s="1">
        <f>IF(TArticle[[#This Row],[کد وضعیت سند]]=1,1,0)</f>
        <v>1</v>
      </c>
      <c r="AK17" s="1">
        <f>IF(AND(TArticle[[#This Row],[کد وضعیت سند]]&lt;&gt;1,TArticle[[#This Row],[مبلغ]]&lt;&gt;0),1,0)</f>
        <v>0</v>
      </c>
      <c r="AL17" s="51">
        <f>IF(TArticle[[#This Row],[کد بانک]]&gt;0,TArticle[[#This Row],[مانده بانک]]-VLOOKUP(TArticle[[#This Row],[کد بانک]],TBank[],7,FALSE),"")</f>
        <v>1211</v>
      </c>
      <c r="AM17" s="58" t="str">
        <f>LEFT(TArticle[[#This Row],[تاریخ]],7)</f>
        <v>1401-01</v>
      </c>
    </row>
    <row r="18" spans="1:39" hidden="1" x14ac:dyDescent="0.25">
      <c r="A18" s="24" t="s">
        <v>1107</v>
      </c>
      <c r="B18" s="49" t="str">
        <f>VLOOKUP(TArticle[[#This Row],[شناسه]],TAccount[],2,TRUE)</f>
        <v>سود وام</v>
      </c>
      <c r="C18" s="49" t="str">
        <f>VLOOKUP(TArticle[[#This Row],[تاریخ]],TDays[],7,FALSE)</f>
        <v>چهارشنبه</v>
      </c>
      <c r="D18" s="21" t="s">
        <v>220</v>
      </c>
      <c r="E18" s="1">
        <v>-83</v>
      </c>
      <c r="F18" s="1">
        <f>TArticle[[#This Row],[مبلغ]]+IFERROR(INT(F17),30181+3667+958)</f>
        <v>25091</v>
      </c>
      <c r="G18" t="s">
        <v>1109</v>
      </c>
      <c r="H18" s="21">
        <v>28</v>
      </c>
      <c r="K18" s="21">
        <v>1</v>
      </c>
      <c r="L18" t="str">
        <f>IF(TArticle[[#This Row],[کد وضعیت سند]]&gt;0,VLOOKUP(TArticle[[#This Row],[کد وضعیت سند]],TDocState[],2,FALSE),"")</f>
        <v>انجام شد</v>
      </c>
      <c r="M18" s="27">
        <v>104.1</v>
      </c>
      <c r="N18" t="str">
        <f>IF(TArticle[[#This Row],[کد طرف حساب]]&gt;0,VLOOKUP(TArticle[[#This Row],[کد طرف حساب]],TContact[],2,FALSE),"")</f>
        <v>وام ملی ف - سود</v>
      </c>
      <c r="O18" s="61">
        <f>IF(TArticle[[#This Row],[کد طرف حساب]]&gt;0,VLOOKUP(TArticle[[#This Row],[کد طرف حساب]],TContact[],7,FALSE)-SUMIF($M$2:M18,M18,$E$2:$E18),"")</f>
        <v>-578</v>
      </c>
      <c r="P18" s="27" t="str">
        <f>RIGHT(TArticle[[#This Row],[تاریخ]],2)</f>
        <v>17</v>
      </c>
      <c r="Q18" s="27">
        <f>VLOOKUP(TArticle[[#This Row],[تاریخ]],TDays[],16,FALSE)</f>
        <v>3</v>
      </c>
      <c r="R18" s="27" t="str">
        <f>RIGHT(LEFT(TArticle[[#This Row],[تاریخ]],7),2)</f>
        <v>01</v>
      </c>
      <c r="S18" s="27" t="str">
        <f>LEFT(TArticle[[#This Row],[تاریخ]],4)</f>
        <v>1401</v>
      </c>
      <c r="U18" s="21">
        <f>VLOOKUP(TArticle[[#This Row],[شناسه]],TAccount[],7,TRUE)</f>
        <v>9163</v>
      </c>
      <c r="V18" s="21" t="s">
        <v>215</v>
      </c>
      <c r="W18" s="21">
        <f>IF(AND(TArticle[[#This Row],[مبلغ]]&gt;0, TArticle[[#This Row],[کد وضعیت سند]]=1),TArticle[[#This Row],[مبلغ]],0)</f>
        <v>0</v>
      </c>
      <c r="X18" s="27">
        <f>IF(AND(TArticle[[#This Row],[مبلغ]]&lt;0,TArticle[[#This Row],[کد وضعیت سند]]=1),0-TArticle[[#This Row],[مبلغ]],0)</f>
        <v>83</v>
      </c>
      <c r="Y18" s="27">
        <v>2</v>
      </c>
      <c r="Z18" t="str">
        <f>IF(TArticle[[#This Row],[کد بانک]]&gt;0,VLOOKUP(TArticle[[#This Row],[کد بانک]],TBank[],2,FALSE),"")</f>
        <v>ملی جاری</v>
      </c>
      <c r="AA18">
        <f>IF(AND(TArticle[[#This Row],[مبلغ]]&lt;0,TArticle[[#This Row],[کد وضعیت سند]]=1),0-TArticle[[#This Row],[مبلغ]],0)</f>
        <v>83</v>
      </c>
      <c r="AB18">
        <f>IF(AND(TArticle[[#This Row],[مبلغ]]&gt;0, TArticle[[#This Row],[کد وضعیت سند]]=1),TArticle[[#This Row],[مبلغ]],0)</f>
        <v>0</v>
      </c>
      <c r="AC18" s="84">
        <f>IF(TArticle[[#This Row],[کد بانک]]&gt;0,VLOOKUP(TArticle[[#This Row],[کد بانک]],TBank[],9,FALSE)+SUMIF($Y$2:Y18,Y18,$E$2:$E18),"")</f>
        <v>1128</v>
      </c>
      <c r="AD18" s="1">
        <f>IFERROR(IF(INT(LEFT(TArticle[[#This Row],[شناسه]]))=3,IF(TArticle[[#This Row],[کد وضعیت سند]]=1,TArticle[مبلغ],0),0),0)</f>
        <v>-83</v>
      </c>
      <c r="AE18" s="1">
        <f>IFERROR(IF(((TArticle[[#This Row],[شناسه]]))="4.1.1",IF(TArticle[[#This Row],[کد وضعیت سند]]=1,TArticle[مبلغ],0),0),0)</f>
        <v>0</v>
      </c>
      <c r="AF18" s="1">
        <f>IFERROR(IF(((TArticle[[#This Row],[شناسه]]))="4.1.2",IF(TArticle[[#This Row],[کد وضعیت سند]]=1,TArticle[مبلغ],0),0),0)</f>
        <v>0</v>
      </c>
      <c r="AG18" s="1">
        <f>IFERROR(IF(INT(LEFT(TArticle[[#This Row],[شناسه]]))=1,IF(TArticle[[#This Row],[کد وضعیت سند]]=1,TArticle[مبلغ],0),0),0)</f>
        <v>0</v>
      </c>
      <c r="AH18" s="1">
        <f>IFERROR(IF(INT(LEFT(TArticle[[#This Row],[شناسه]]))=2,IF(TArticle[[#This Row],[کد وضعیت سند]]=1,TArticle[مبلغ],0),0),0)</f>
        <v>0</v>
      </c>
      <c r="AI18" s="1">
        <f>IFERROR(IF((LEFT(TArticle[[#This Row],[شناسه]],3))="5.2",IF(TArticle[[#This Row],[کد وضعیت سند]]=1,TArticle[مبلغ],0),0),0)</f>
        <v>0</v>
      </c>
      <c r="AJ18" s="1">
        <f>IF(TArticle[[#This Row],[کد وضعیت سند]]=1,1,0)</f>
        <v>1</v>
      </c>
      <c r="AK18" s="1">
        <f>IF(AND(TArticle[[#This Row],[کد وضعیت سند]]&lt;&gt;1,TArticle[[#This Row],[مبلغ]]&lt;&gt;0),1,0)</f>
        <v>0</v>
      </c>
      <c r="AL18" s="51">
        <f>IF(TArticle[[#This Row],[کد بانک]]&gt;0,TArticle[[#This Row],[مانده بانک]]-VLOOKUP(TArticle[[#This Row],[کد بانک]],TBank[],7,FALSE),"")</f>
        <v>1128</v>
      </c>
      <c r="AM18" s="58" t="str">
        <f>LEFT(TArticle[[#This Row],[تاریخ]],7)</f>
        <v>1401-01</v>
      </c>
    </row>
    <row r="19" spans="1:39" hidden="1" x14ac:dyDescent="0.25">
      <c r="A19" s="24" t="s">
        <v>1177</v>
      </c>
      <c r="B19" s="49" t="str">
        <f>VLOOKUP(TArticle[[#This Row],[شناسه]],TAccount[],2,TRUE)</f>
        <v>درآمد فنارا</v>
      </c>
      <c r="C19" s="49" t="str">
        <f>VLOOKUP(TArticle[[#This Row],[تاریخ]],TDays[],7,FALSE)</f>
        <v>پنجشنبه</v>
      </c>
      <c r="D19" s="21" t="s">
        <v>228</v>
      </c>
      <c r="E19" s="1">
        <v>2500</v>
      </c>
      <c r="F19" s="1">
        <f>TArticle[[#This Row],[مبلغ]]+IFERROR(INT(F18),30181+3667+958)</f>
        <v>27591</v>
      </c>
      <c r="G19" t="s">
        <v>1624</v>
      </c>
      <c r="K19" s="21">
        <v>1</v>
      </c>
      <c r="L19" t="str">
        <f>IF(TArticle[[#This Row],[کد وضعیت سند]]&gt;0,VLOOKUP(TArticle[[#This Row],[کد وضعیت سند]],TDocState[],2,FALSE),"")</f>
        <v>انجام شد</v>
      </c>
      <c r="N19" t="str">
        <f>IF(TArticle[[#This Row],[کد طرف حساب]]&gt;0,VLOOKUP(TArticle[[#This Row],[کد طرف حساب]],TContact[],2,FALSE),"")</f>
        <v/>
      </c>
      <c r="O19" s="61" t="str">
        <f>IF(TArticle[[#This Row],[کد طرف حساب]]&gt;0,VLOOKUP(TArticle[[#This Row],[کد طرف حساب]],TContact[],7,FALSE)-SUMIF($M$2:M19,M19,$E$2:$E19),"")</f>
        <v/>
      </c>
      <c r="P19" s="27" t="str">
        <f>RIGHT(TArticle[[#This Row],[تاریخ]],2)</f>
        <v>25</v>
      </c>
      <c r="Q19" s="27">
        <f>VLOOKUP(TArticle[[#This Row],[تاریخ]],TDays[],16,FALSE)</f>
        <v>4</v>
      </c>
      <c r="R19" s="27" t="str">
        <f>RIGHT(LEFT(TArticle[[#This Row],[تاریخ]],7),2)</f>
        <v>01</v>
      </c>
      <c r="S19" s="27" t="str">
        <f>LEFT(TArticle[[#This Row],[تاریخ]],4)</f>
        <v>1401</v>
      </c>
      <c r="U19" s="21">
        <f>VLOOKUP(TArticle[[#This Row],[شناسه]],TAccount[],7,TRUE)</f>
        <v>2500</v>
      </c>
      <c r="W19" s="21">
        <f>IF(AND(TArticle[[#This Row],[مبلغ]]&gt;0, TArticle[[#This Row],[کد وضعیت سند]]=1),TArticle[[#This Row],[مبلغ]],0)</f>
        <v>2500</v>
      </c>
      <c r="X19" s="27">
        <f>IF(AND(TArticle[[#This Row],[مبلغ]]&lt;0,TArticle[[#This Row],[کد وضعیت سند]]=1),0-TArticle[[#This Row],[مبلغ]],0)</f>
        <v>0</v>
      </c>
      <c r="Y19" s="27">
        <v>2</v>
      </c>
      <c r="Z19" t="str">
        <f>IF(TArticle[[#This Row],[کد بانک]]&gt;0,VLOOKUP(TArticle[[#This Row],[کد بانک]],TBank[],2,FALSE),"")</f>
        <v>ملی جاری</v>
      </c>
      <c r="AA19">
        <f>IF(AND(TArticle[[#This Row],[مبلغ]]&lt;0,TArticle[[#This Row],[کد وضعیت سند]]=1),0-TArticle[[#This Row],[مبلغ]],0)</f>
        <v>0</v>
      </c>
      <c r="AB19">
        <f>IF(AND(TArticle[[#This Row],[مبلغ]]&gt;0, TArticle[[#This Row],[کد وضعیت سند]]=1),TArticle[[#This Row],[مبلغ]],0)</f>
        <v>2500</v>
      </c>
      <c r="AC19" s="84">
        <f>IF(TArticle[[#This Row],[کد بانک]]&gt;0,VLOOKUP(TArticle[[#This Row],[کد بانک]],TBank[],9,FALSE)+SUMIF($Y$2:Y19,Y19,$E$2:$E19),"")</f>
        <v>3628</v>
      </c>
      <c r="AD19" s="1">
        <f>IFERROR(IF(INT(LEFT(TArticle[[#This Row],[شناسه]]))=3,IF(TArticle[[#This Row],[کد وضعیت سند]]=1,TArticle[مبلغ],0),0),0)</f>
        <v>0</v>
      </c>
      <c r="AE19" s="1">
        <f>IFERROR(IF(((TArticle[[#This Row],[شناسه]]))="4.1.1",IF(TArticle[[#This Row],[کد وضعیت سند]]=1,TArticle[مبلغ],0),0),0)</f>
        <v>0</v>
      </c>
      <c r="AF19" s="1">
        <f>IFERROR(IF(((TArticle[[#This Row],[شناسه]]))="4.1.2",IF(TArticle[[#This Row],[کد وضعیت سند]]=1,TArticle[مبلغ],0),0),0)</f>
        <v>0</v>
      </c>
      <c r="AG19" s="1">
        <f>IFERROR(IF(INT(LEFT(TArticle[[#This Row],[شناسه]]))=1,IF(TArticle[[#This Row],[کد وضعیت سند]]=1,TArticle[مبلغ],0),0),0)</f>
        <v>0</v>
      </c>
      <c r="AH19" s="1">
        <f>IFERROR(IF(INT(LEFT(TArticle[[#This Row],[شناسه]]))=2,IF(TArticle[[#This Row],[کد وضعیت سند]]=1,TArticle[مبلغ],0),0),0)</f>
        <v>0</v>
      </c>
      <c r="AI19" s="1">
        <f>IFERROR(IF((LEFT(TArticle[[#This Row],[شناسه]],3))="5.2",IF(TArticle[[#This Row],[کد وضعیت سند]]=1,TArticle[مبلغ],0),0),0)</f>
        <v>0</v>
      </c>
      <c r="AJ19" s="1">
        <f>IF(TArticle[[#This Row],[کد وضعیت سند]]=1,1,0)</f>
        <v>1</v>
      </c>
      <c r="AK19" s="1">
        <f>IF(AND(TArticle[[#This Row],[کد وضعیت سند]]&lt;&gt;1,TArticle[[#This Row],[مبلغ]]&lt;&gt;0),1,0)</f>
        <v>0</v>
      </c>
      <c r="AL19" s="51">
        <f>IF(TArticle[[#This Row],[کد بانک]]&gt;0,TArticle[[#This Row],[مانده بانک]]-VLOOKUP(TArticle[[#This Row],[کد بانک]],TBank[],7,FALSE),"")</f>
        <v>3628</v>
      </c>
      <c r="AM19" s="49" t="str">
        <f>LEFT(TArticle[[#This Row],[تاریخ]],7)</f>
        <v>1401-01</v>
      </c>
    </row>
    <row r="20" spans="1:39" hidden="1" x14ac:dyDescent="0.25">
      <c r="A20" s="24" t="s">
        <v>55</v>
      </c>
      <c r="B20" s="49" t="str">
        <f>VLOOKUP(TArticle[[#This Row],[شناسه]],TAccount[],2,TRUE)</f>
        <v>هزینه کلی</v>
      </c>
      <c r="C20" s="49" t="str">
        <f>VLOOKUP(TArticle[[#This Row],[تاریخ]],TDays[],7,FALSE)</f>
        <v>شنبه</v>
      </c>
      <c r="D20" s="28" t="s">
        <v>230</v>
      </c>
      <c r="E20" s="1">
        <v>-1890</v>
      </c>
      <c r="F20" s="1">
        <f>TArticle[[#This Row],[مبلغ]]+IFERROR(INT(F19),30181+3667+958)</f>
        <v>25701</v>
      </c>
      <c r="K20" s="21">
        <v>1</v>
      </c>
      <c r="L20" t="str">
        <f>IF(TArticle[[#This Row],[کد وضعیت سند]]&gt;0,VLOOKUP(TArticle[[#This Row],[کد وضعیت سند]],TDocState[],2,FALSE),"")</f>
        <v>انجام شد</v>
      </c>
      <c r="N20" t="str">
        <f>IF(TArticle[[#This Row],[کد طرف حساب]]&gt;0,VLOOKUP(TArticle[[#This Row],[کد طرف حساب]],TContact[],2,FALSE),"")</f>
        <v/>
      </c>
      <c r="O20" s="61" t="str">
        <f>IF(TArticle[[#This Row],[کد طرف حساب]]&gt;0,VLOOKUP(TArticle[[#This Row],[کد طرف حساب]],TContact[],7,FALSE)-SUMIF($M$2:M20,M20,$E$2:$E20),"")</f>
        <v/>
      </c>
      <c r="P20" s="27" t="str">
        <f>RIGHT(TArticle[[#This Row],[تاریخ]],2)</f>
        <v>27</v>
      </c>
      <c r="Q20" s="27">
        <f>VLOOKUP(TArticle[[#This Row],[تاریخ]],TDays[],16,FALSE)</f>
        <v>5</v>
      </c>
      <c r="R20" s="27" t="str">
        <f>RIGHT(LEFT(TArticle[[#This Row],[تاریخ]],7),2)</f>
        <v>01</v>
      </c>
      <c r="S20" s="27" t="str">
        <f>LEFT(TArticle[[#This Row],[تاریخ]],4)</f>
        <v>1401</v>
      </c>
      <c r="U20" s="21">
        <f>VLOOKUP(TArticle[[#This Row],[شناسه]],TAccount[],7,TRUE)</f>
        <v>364074</v>
      </c>
      <c r="W20" s="21">
        <f>IF(AND(TArticle[[#This Row],[مبلغ]]&gt;0, TArticle[[#This Row],[کد وضعیت سند]]=1),TArticle[[#This Row],[مبلغ]],0)</f>
        <v>0</v>
      </c>
      <c r="X20" s="27">
        <f>IF(AND(TArticle[[#This Row],[مبلغ]]&lt;0,TArticle[[#This Row],[کد وضعیت سند]]=1),0-TArticle[[#This Row],[مبلغ]],0)</f>
        <v>1890</v>
      </c>
      <c r="Y20" s="27">
        <v>31</v>
      </c>
      <c r="Z20" t="str">
        <f>IF(TArticle[[#This Row],[کد بانک]]&gt;0,VLOOKUP(TArticle[[#This Row],[کد بانک]],TBank[],2,FALSE),"")</f>
        <v>شهروند</v>
      </c>
      <c r="AA20">
        <f>IF(AND(TArticle[[#This Row],[مبلغ]]&lt;0,TArticle[[#This Row],[کد وضعیت سند]]=1),0-TArticle[[#This Row],[مبلغ]],0)</f>
        <v>1890</v>
      </c>
      <c r="AB20">
        <f>IF(AND(TArticle[[#This Row],[مبلغ]]&gt;0, TArticle[[#This Row],[کد وضعیت سند]]=1),TArticle[[#This Row],[مبلغ]],0)</f>
        <v>0</v>
      </c>
      <c r="AC20" s="84">
        <f>IF(TArticle[[#This Row],[کد بانک]]&gt;0,VLOOKUP(TArticle[[#This Row],[کد بانک]],TBank[],9,FALSE)+SUMIF($Y$2:Y20,Y20,$E$2:$E20),"")</f>
        <v>230</v>
      </c>
      <c r="AD20" s="1">
        <f>IFERROR(IF(INT(LEFT(TArticle[[#This Row],[شناسه]]))=3,IF(TArticle[[#This Row],[کد وضعیت سند]]=1,TArticle[مبلغ],0),0),0)</f>
        <v>-1890</v>
      </c>
      <c r="AE20" s="1">
        <f>IFERROR(IF(((TArticle[[#This Row],[شناسه]]))="4.1.1",IF(TArticle[[#This Row],[کد وضعیت سند]]=1,TArticle[مبلغ],0),0),0)</f>
        <v>0</v>
      </c>
      <c r="AF20" s="1">
        <f>IFERROR(IF(((TArticle[[#This Row],[شناسه]]))="4.1.2",IF(TArticle[[#This Row],[کد وضعیت سند]]=1,TArticle[مبلغ],0),0),0)</f>
        <v>0</v>
      </c>
      <c r="AG20" s="1">
        <f>IFERROR(IF(INT(LEFT(TArticle[[#This Row],[شناسه]]))=1,IF(TArticle[[#This Row],[کد وضعیت سند]]=1,TArticle[مبلغ],0),0),0)</f>
        <v>0</v>
      </c>
      <c r="AH20" s="1">
        <f>IFERROR(IF(INT(LEFT(TArticle[[#This Row],[شناسه]]))=2,IF(TArticle[[#This Row],[کد وضعیت سند]]=1,TArticle[مبلغ],0),0),0)</f>
        <v>0</v>
      </c>
      <c r="AI20" s="1">
        <f>IFERROR(IF((LEFT(TArticle[[#This Row],[شناسه]],3))="5.2",IF(TArticle[[#This Row],[کد وضعیت سند]]=1,TArticle[مبلغ],0),0),0)</f>
        <v>0</v>
      </c>
      <c r="AJ20" s="1">
        <f>IF(TArticle[[#This Row],[کد وضعیت سند]]=1,1,0)</f>
        <v>1</v>
      </c>
      <c r="AK20" s="1">
        <f>IF(AND(TArticle[[#This Row],[کد وضعیت سند]]&lt;&gt;1,TArticle[[#This Row],[مبلغ]]&lt;&gt;0),1,0)</f>
        <v>0</v>
      </c>
      <c r="AL20" s="51">
        <f>IF(TArticle[[#This Row],[کد بانک]]&gt;0,TArticle[[#This Row],[مانده بانک]]-VLOOKUP(TArticle[[#This Row],[کد بانک]],TBank[],7,FALSE),"")</f>
        <v>230</v>
      </c>
      <c r="AM20" s="49" t="str">
        <f>LEFT(TArticle[[#This Row],[تاریخ]],7)</f>
        <v>1401-01</v>
      </c>
    </row>
    <row r="21" spans="1:39" hidden="1" x14ac:dyDescent="0.25">
      <c r="A21" s="24" t="s">
        <v>55</v>
      </c>
      <c r="B21" s="49" t="str">
        <f>VLOOKUP(TArticle[[#This Row],[شناسه]],TAccount[],2,TRUE)</f>
        <v>هزینه کلی</v>
      </c>
      <c r="C21" s="49" t="str">
        <f>VLOOKUP(TArticle[[#This Row],[تاریخ]],TDays[],7,FALSE)</f>
        <v>یکشنبه</v>
      </c>
      <c r="D21" s="21" t="s">
        <v>231</v>
      </c>
      <c r="E21" s="1">
        <v>-9000</v>
      </c>
      <c r="F21" s="1">
        <f>TArticle[[#This Row],[مبلغ]]+IFERROR(INT(F20),30181+3667+958)</f>
        <v>16701</v>
      </c>
      <c r="G21" t="s">
        <v>1615</v>
      </c>
      <c r="K21" s="21">
        <v>1</v>
      </c>
      <c r="L21" t="str">
        <f>IF(TArticle[[#This Row],[کد وضعیت سند]]&gt;0,VLOOKUP(TArticle[[#This Row],[کد وضعیت سند]],TDocState[],2,FALSE),"")</f>
        <v>انجام شد</v>
      </c>
      <c r="N21" t="str">
        <f>IF(TArticle[[#This Row],[کد طرف حساب]]&gt;0,VLOOKUP(TArticle[[#This Row],[کد طرف حساب]],TContact[],2,FALSE),"")</f>
        <v/>
      </c>
      <c r="O21" s="61" t="str">
        <f>IF(TArticle[[#This Row],[کد طرف حساب]]&gt;0,VLOOKUP(TArticle[[#This Row],[کد طرف حساب]],TContact[],7,FALSE)-SUMIF($M$2:M21,M21,$E$2:$E21),"")</f>
        <v/>
      </c>
      <c r="P21" s="27" t="str">
        <f>RIGHT(TArticle[[#This Row],[تاریخ]],2)</f>
        <v>28</v>
      </c>
      <c r="Q21" s="27">
        <f>VLOOKUP(TArticle[[#This Row],[تاریخ]],TDays[],16,FALSE)</f>
        <v>5</v>
      </c>
      <c r="R21" s="27" t="str">
        <f>RIGHT(LEFT(TArticle[[#This Row],[تاریخ]],7),2)</f>
        <v>01</v>
      </c>
      <c r="S21" s="27" t="str">
        <f>LEFT(TArticle[[#This Row],[تاریخ]],4)</f>
        <v>1401</v>
      </c>
      <c r="U21" s="21">
        <f>VLOOKUP(TArticle[[#This Row],[شناسه]],TAccount[],7,TRUE)</f>
        <v>364074</v>
      </c>
      <c r="W21" s="21">
        <f>IF(AND(TArticle[[#This Row],[مبلغ]]&gt;0, TArticle[[#This Row],[کد وضعیت سند]]=1),TArticle[[#This Row],[مبلغ]],0)</f>
        <v>0</v>
      </c>
      <c r="X21" s="27">
        <f>IF(AND(TArticle[[#This Row],[مبلغ]]&lt;0,TArticle[[#This Row],[کد وضعیت سند]]=1),0-TArticle[[#This Row],[مبلغ]],0)</f>
        <v>9000</v>
      </c>
      <c r="Y21" s="27">
        <v>16</v>
      </c>
      <c r="Z21" t="str">
        <f>IF(TArticle[[#This Row],[کد بانک]]&gt;0,VLOOKUP(TArticle[[#This Row],[کد بانک]],TBank[],2,FALSE),"")</f>
        <v>مهرایران</v>
      </c>
      <c r="AA21">
        <f>IF(AND(TArticle[[#This Row],[مبلغ]]&lt;0,TArticle[[#This Row],[کد وضعیت سند]]=1),0-TArticle[[#This Row],[مبلغ]],0)</f>
        <v>9000</v>
      </c>
      <c r="AB21">
        <f>IF(AND(TArticle[[#This Row],[مبلغ]]&gt;0, TArticle[[#This Row],[کد وضعیت سند]]=1),TArticle[[#This Row],[مبلغ]],0)</f>
        <v>0</v>
      </c>
      <c r="AC21" s="84">
        <f>IF(TArticle[[#This Row],[کد بانک]]&gt;0,VLOOKUP(TArticle[[#This Row],[کد بانک]],TBank[],9,FALSE)+SUMIF($Y$2:Y21,Y21,$E$2:$E21),"")</f>
        <v>7378</v>
      </c>
      <c r="AD21" s="1">
        <f>IFERROR(IF(INT(LEFT(TArticle[[#This Row],[شناسه]]))=3,IF(TArticle[[#This Row],[کد وضعیت سند]]=1,TArticle[مبلغ],0),0),0)</f>
        <v>-9000</v>
      </c>
      <c r="AE21" s="1">
        <f>IFERROR(IF(((TArticle[[#This Row],[شناسه]]))="4.1.1",IF(TArticle[[#This Row],[کد وضعیت سند]]=1,TArticle[مبلغ],0),0),0)</f>
        <v>0</v>
      </c>
      <c r="AF21" s="1">
        <f>IFERROR(IF(((TArticle[[#This Row],[شناسه]]))="4.1.2",IF(TArticle[[#This Row],[کد وضعیت سند]]=1,TArticle[مبلغ],0),0),0)</f>
        <v>0</v>
      </c>
      <c r="AG21" s="1">
        <f>IFERROR(IF(INT(LEFT(TArticle[[#This Row],[شناسه]]))=1,IF(TArticle[[#This Row],[کد وضعیت سند]]=1,TArticle[مبلغ],0),0),0)</f>
        <v>0</v>
      </c>
      <c r="AH21" s="1">
        <f>IFERROR(IF(INT(LEFT(TArticle[[#This Row],[شناسه]]))=2,IF(TArticle[[#This Row],[کد وضعیت سند]]=1,TArticle[مبلغ],0),0),0)</f>
        <v>0</v>
      </c>
      <c r="AI21" s="1">
        <f>IFERROR(IF((LEFT(TArticle[[#This Row],[شناسه]],3))="5.2",IF(TArticle[[#This Row],[کد وضعیت سند]]=1,TArticle[مبلغ],0),0),0)</f>
        <v>0</v>
      </c>
      <c r="AJ21" s="1">
        <f>IF(TArticle[[#This Row],[کد وضعیت سند]]=1,1,0)</f>
        <v>1</v>
      </c>
      <c r="AK21" s="1">
        <f>IF(AND(TArticle[[#This Row],[کد وضعیت سند]]&lt;&gt;1,TArticle[[#This Row],[مبلغ]]&lt;&gt;0),1,0)</f>
        <v>0</v>
      </c>
      <c r="AL21" s="51">
        <f>IF(TArticle[[#This Row],[کد بانک]]&gt;0,TArticle[[#This Row],[مانده بانک]]-VLOOKUP(TArticle[[#This Row],[کد بانک]],TBank[],7,FALSE),"")</f>
        <v>7348</v>
      </c>
      <c r="AM21" s="49" t="str">
        <f>LEFT(TArticle[[#This Row],[تاریخ]],7)</f>
        <v>1401-01</v>
      </c>
    </row>
    <row r="22" spans="1:39" hidden="1" x14ac:dyDescent="0.25">
      <c r="A22" s="24" t="s">
        <v>112</v>
      </c>
      <c r="B22" s="49" t="str">
        <f>VLOOKUP(TArticle[[#This Row],[شناسه]],TAccount[],2,TRUE)</f>
        <v>رسید دریافت/واریز</v>
      </c>
      <c r="C22" s="49" t="str">
        <f>VLOOKUP(TArticle[[#This Row],[تاریخ]],TDays[],7,FALSE)</f>
        <v>دوشنبه</v>
      </c>
      <c r="D22" s="21" t="s">
        <v>232</v>
      </c>
      <c r="E22" s="1">
        <v>2142</v>
      </c>
      <c r="F22" s="1">
        <f>TArticle[[#This Row],[مبلغ]]+IFERROR(INT(F21),30181+3667+958)</f>
        <v>18843</v>
      </c>
      <c r="G22" t="s">
        <v>1627</v>
      </c>
      <c r="K22" s="21">
        <v>1</v>
      </c>
      <c r="L22" t="str">
        <f>IF(TArticle[[#This Row],[کد وضعیت سند]]&gt;0,VLOOKUP(TArticle[[#This Row],[کد وضعیت سند]],TDocState[],2,FALSE),"")</f>
        <v>انجام شد</v>
      </c>
      <c r="M22" s="27">
        <v>3</v>
      </c>
      <c r="N22" t="str">
        <f>IF(TArticle[[#This Row],[کد طرف حساب]]&gt;0,VLOOKUP(TArticle[[#This Row],[کد طرف حساب]],TContact[],2,FALSE),"")</f>
        <v>اکرم</v>
      </c>
      <c r="O22" s="61">
        <f>IF(TArticle[[#This Row],[کد طرف حساب]]&gt;0,VLOOKUP(TArticle[[#This Row],[کد طرف حساب]],TContact[],7,FALSE)-SUMIF($M$2:M22,M22,$E$2:$E22),"")</f>
        <v>-2142</v>
      </c>
      <c r="P22" s="27" t="str">
        <f>RIGHT(TArticle[[#This Row],[تاریخ]],2)</f>
        <v>29</v>
      </c>
      <c r="Q22" s="27">
        <f>VLOOKUP(TArticle[[#This Row],[تاریخ]],TDays[],16,FALSE)</f>
        <v>5</v>
      </c>
      <c r="R22" s="27" t="str">
        <f>RIGHT(LEFT(TArticle[[#This Row],[تاریخ]],7),2)</f>
        <v>01</v>
      </c>
      <c r="S22" s="27" t="str">
        <f>LEFT(TArticle[[#This Row],[تاریخ]],4)</f>
        <v>1401</v>
      </c>
      <c r="U22" s="21">
        <f>VLOOKUP(TArticle[[#This Row],[شناسه]],TAccount[],7,TRUE)</f>
        <v>257767</v>
      </c>
      <c r="W22" s="21">
        <f>IF(AND(TArticle[[#This Row],[مبلغ]]&gt;0, TArticle[[#This Row],[کد وضعیت سند]]=1),TArticle[[#This Row],[مبلغ]],0)</f>
        <v>2142</v>
      </c>
      <c r="X22" s="27">
        <f>IF(AND(TArticle[[#This Row],[مبلغ]]&lt;0,TArticle[[#This Row],[کد وضعیت سند]]=1),0-TArticle[[#This Row],[مبلغ]],0)</f>
        <v>0</v>
      </c>
      <c r="Y22" s="27">
        <v>2</v>
      </c>
      <c r="Z22" t="str">
        <f>IF(TArticle[[#This Row],[کد بانک]]&gt;0,VLOOKUP(TArticle[[#This Row],[کد بانک]],TBank[],2,FALSE),"")</f>
        <v>ملی جاری</v>
      </c>
      <c r="AA22">
        <f>IF(AND(TArticle[[#This Row],[مبلغ]]&lt;0,TArticle[[#This Row],[کد وضعیت سند]]=1),0-TArticle[[#This Row],[مبلغ]],0)</f>
        <v>0</v>
      </c>
      <c r="AB22">
        <f>IF(AND(TArticle[[#This Row],[مبلغ]]&gt;0, TArticle[[#This Row],[کد وضعیت سند]]=1),TArticle[[#This Row],[مبلغ]],0)</f>
        <v>2142</v>
      </c>
      <c r="AC22" s="84">
        <f>IF(TArticle[[#This Row],[کد بانک]]&gt;0,VLOOKUP(TArticle[[#This Row],[کد بانک]],TBank[],9,FALSE)+SUMIF($Y$2:Y22,Y22,$E$2:$E22),"")</f>
        <v>5770</v>
      </c>
      <c r="AD22" s="1">
        <f>IFERROR(IF(INT(LEFT(TArticle[[#This Row],[شناسه]]))=3,IF(TArticle[[#This Row],[کد وضعیت سند]]=1,TArticle[مبلغ],0),0),0)</f>
        <v>0</v>
      </c>
      <c r="AE22" s="1">
        <f>IFERROR(IF(((TArticle[[#This Row],[شناسه]]))="4.1.1",IF(TArticle[[#This Row],[کد وضعیت سند]]=1,TArticle[مبلغ],0),0),0)</f>
        <v>0</v>
      </c>
      <c r="AF22" s="1">
        <f>IFERROR(IF(((TArticle[[#This Row],[شناسه]]))="4.1.2",IF(TArticle[[#This Row],[کد وضعیت سند]]=1,TArticle[مبلغ],0),0),0)</f>
        <v>0</v>
      </c>
      <c r="AG22" s="1">
        <f>IFERROR(IF(INT(LEFT(TArticle[[#This Row],[شناسه]]))=1,IF(TArticle[[#This Row],[کد وضعیت سند]]=1,TArticle[مبلغ],0),0),0)</f>
        <v>0</v>
      </c>
      <c r="AH22" s="1">
        <f>IFERROR(IF(INT(LEFT(TArticle[[#This Row],[شناسه]]))=2,IF(TArticle[[#This Row],[کد وضعیت سند]]=1,TArticle[مبلغ],0),0),0)</f>
        <v>0</v>
      </c>
      <c r="AI22" s="1">
        <f>IFERROR(IF((LEFT(TArticle[[#This Row],[شناسه]],3))="5.2",IF(TArticle[[#This Row],[کد وضعیت سند]]=1,TArticle[مبلغ],0),0),0)</f>
        <v>0</v>
      </c>
      <c r="AJ22" s="1">
        <f>IF(TArticle[[#This Row],[کد وضعیت سند]]=1,1,0)</f>
        <v>1</v>
      </c>
      <c r="AK22" s="1">
        <f>IF(AND(TArticle[[#This Row],[کد وضعیت سند]]&lt;&gt;1,TArticle[[#This Row],[مبلغ]]&lt;&gt;0),1,0)</f>
        <v>0</v>
      </c>
      <c r="AL22" s="51">
        <f>IF(TArticle[[#This Row],[کد بانک]]&gt;0,TArticle[[#This Row],[مانده بانک]]-VLOOKUP(TArticle[[#This Row],[کد بانک]],TBank[],7,FALSE),"")</f>
        <v>5770</v>
      </c>
      <c r="AM22" s="49" t="str">
        <f>LEFT(TArticle[[#This Row],[تاریخ]],7)</f>
        <v>1401-01</v>
      </c>
    </row>
    <row r="23" spans="1:39" hidden="1" x14ac:dyDescent="0.25">
      <c r="A23" s="24" t="s">
        <v>55</v>
      </c>
      <c r="B23" s="49" t="str">
        <f>VLOOKUP(TArticle[[#This Row],[شناسه]],TAccount[],2,TRUE)</f>
        <v>هزینه کلی</v>
      </c>
      <c r="C23" s="49" t="str">
        <f>VLOOKUP(TArticle[[#This Row],[تاریخ]],TDays[],7,FALSE)</f>
        <v>دوشنبه</v>
      </c>
      <c r="D23" s="21" t="s">
        <v>232</v>
      </c>
      <c r="E23" s="1">
        <v>-2987</v>
      </c>
      <c r="F23" s="1">
        <f>TArticle[[#This Row],[مبلغ]]+IFERROR(INT(F22),30181+3667+958)</f>
        <v>15856</v>
      </c>
      <c r="G23" t="s">
        <v>1615</v>
      </c>
      <c r="K23" s="21">
        <v>1</v>
      </c>
      <c r="L23" t="str">
        <f>IF(TArticle[[#This Row],[کد وضعیت سند]]&gt;0,VLOOKUP(TArticle[[#This Row],[کد وضعیت سند]],TDocState[],2,FALSE),"")</f>
        <v>انجام شد</v>
      </c>
      <c r="N23" t="str">
        <f>IF(TArticle[[#This Row],[کد طرف حساب]]&gt;0,VLOOKUP(TArticle[[#This Row],[کد طرف حساب]],TContact[],2,FALSE),"")</f>
        <v/>
      </c>
      <c r="O23" s="61" t="str">
        <f>IF(TArticle[[#This Row],[کد طرف حساب]]&gt;0,VLOOKUP(TArticle[[#This Row],[کد طرف حساب]],TContact[],7,FALSE)-SUMIF($M$2:M23,M23,$E$2:$E23),"")</f>
        <v/>
      </c>
      <c r="P23" s="27" t="str">
        <f>RIGHT(TArticle[[#This Row],[تاریخ]],2)</f>
        <v>29</v>
      </c>
      <c r="Q23" s="27">
        <f>VLOOKUP(TArticle[[#This Row],[تاریخ]],TDays[],16,FALSE)</f>
        <v>5</v>
      </c>
      <c r="R23" s="27" t="str">
        <f>RIGHT(LEFT(TArticle[[#This Row],[تاریخ]],7),2)</f>
        <v>01</v>
      </c>
      <c r="S23" s="27" t="str">
        <f>LEFT(TArticle[[#This Row],[تاریخ]],4)</f>
        <v>1401</v>
      </c>
      <c r="U23" s="21">
        <f>VLOOKUP(TArticle[[#This Row],[شناسه]],TAccount[],7,TRUE)</f>
        <v>364074</v>
      </c>
      <c r="W23" s="21">
        <f>IF(AND(TArticle[[#This Row],[مبلغ]]&gt;0, TArticle[[#This Row],[کد وضعیت سند]]=1),TArticle[[#This Row],[مبلغ]],0)</f>
        <v>0</v>
      </c>
      <c r="X23" s="27">
        <f>IF(AND(TArticle[[#This Row],[مبلغ]]&lt;0,TArticle[[#This Row],[کد وضعیت سند]]=1),0-TArticle[[#This Row],[مبلغ]],0)</f>
        <v>2987</v>
      </c>
      <c r="Y23" s="27">
        <v>2</v>
      </c>
      <c r="Z23" t="str">
        <f>IF(TArticle[[#This Row],[کد بانک]]&gt;0,VLOOKUP(TArticle[[#This Row],[کد بانک]],TBank[],2,FALSE),"")</f>
        <v>ملی جاری</v>
      </c>
      <c r="AA23">
        <f>IF(AND(TArticle[[#This Row],[مبلغ]]&lt;0,TArticle[[#This Row],[کد وضعیت سند]]=1),0-TArticle[[#This Row],[مبلغ]],0)</f>
        <v>2987</v>
      </c>
      <c r="AB23">
        <f>IF(AND(TArticle[[#This Row],[مبلغ]]&gt;0, TArticle[[#This Row],[کد وضعیت سند]]=1),TArticle[[#This Row],[مبلغ]],0)</f>
        <v>0</v>
      </c>
      <c r="AC23" s="84">
        <f>IF(TArticle[[#This Row],[کد بانک]]&gt;0,VLOOKUP(TArticle[[#This Row],[کد بانک]],TBank[],9,FALSE)+SUMIF($Y$2:Y23,Y23,$E$2:$E23),"")</f>
        <v>2783</v>
      </c>
      <c r="AD23" s="1">
        <f>IFERROR(IF(INT(LEFT(TArticle[[#This Row],[شناسه]]))=3,IF(TArticle[[#This Row],[کد وضعیت سند]]=1,TArticle[مبلغ],0),0),0)</f>
        <v>-2987</v>
      </c>
      <c r="AE23" s="1">
        <f>IFERROR(IF(((TArticle[[#This Row],[شناسه]]))="4.1.1",IF(TArticle[[#This Row],[کد وضعیت سند]]=1,TArticle[مبلغ],0),0),0)</f>
        <v>0</v>
      </c>
      <c r="AF23" s="1">
        <f>IFERROR(IF(((TArticle[[#This Row],[شناسه]]))="4.1.2",IF(TArticle[[#This Row],[کد وضعیت سند]]=1,TArticle[مبلغ],0),0),0)</f>
        <v>0</v>
      </c>
      <c r="AG23" s="1">
        <f>IFERROR(IF(INT(LEFT(TArticle[[#This Row],[شناسه]]))=1,IF(TArticle[[#This Row],[کد وضعیت سند]]=1,TArticle[مبلغ],0),0),0)</f>
        <v>0</v>
      </c>
      <c r="AH23" s="1">
        <f>IFERROR(IF(INT(LEFT(TArticle[[#This Row],[شناسه]]))=2,IF(TArticle[[#This Row],[کد وضعیت سند]]=1,TArticle[مبلغ],0),0),0)</f>
        <v>0</v>
      </c>
      <c r="AI23" s="1">
        <f>IFERROR(IF((LEFT(TArticle[[#This Row],[شناسه]],3))="5.2",IF(TArticle[[#This Row],[کد وضعیت سند]]=1,TArticle[مبلغ],0),0),0)</f>
        <v>0</v>
      </c>
      <c r="AJ23" s="1">
        <f>IF(TArticle[[#This Row],[کد وضعیت سند]]=1,1,0)</f>
        <v>1</v>
      </c>
      <c r="AK23" s="1">
        <f>IF(AND(TArticle[[#This Row],[کد وضعیت سند]]&lt;&gt;1,TArticle[[#This Row],[مبلغ]]&lt;&gt;0),1,0)</f>
        <v>0</v>
      </c>
      <c r="AL23" s="51">
        <f>IF(TArticle[[#This Row],[کد بانک]]&gt;0,TArticle[[#This Row],[مانده بانک]]-VLOOKUP(TArticle[[#This Row],[کد بانک]],TBank[],7,FALSE),"")</f>
        <v>2783</v>
      </c>
      <c r="AM23" s="49" t="str">
        <f>LEFT(TArticle[[#This Row],[تاریخ]],7)</f>
        <v>1401-01</v>
      </c>
    </row>
    <row r="24" spans="1:39" hidden="1" x14ac:dyDescent="0.25">
      <c r="A24" s="24" t="s">
        <v>55</v>
      </c>
      <c r="B24" s="49" t="str">
        <f>VLOOKUP(TArticle[[#This Row],[شناسه]],TAccount[],2,TRUE)</f>
        <v>هزینه کلی</v>
      </c>
      <c r="C24" s="49" t="str">
        <f>VLOOKUP(TArticle[[#This Row],[تاریخ]],TDays[],7,FALSE)</f>
        <v>دوشنبه</v>
      </c>
      <c r="D24" s="21" t="s">
        <v>232</v>
      </c>
      <c r="E24" s="1">
        <v>-560</v>
      </c>
      <c r="F24" s="1">
        <f>TArticle[[#This Row],[مبلغ]]+IFERROR(INT(F23),30181+3667+958)</f>
        <v>15296</v>
      </c>
      <c r="G24" t="s">
        <v>1625</v>
      </c>
      <c r="H24" s="64"/>
      <c r="J24" s="65"/>
      <c r="K24" s="64">
        <v>1</v>
      </c>
      <c r="L24" s="66" t="str">
        <f>IF(TArticle[[#This Row],[کد وضعیت سند]]&gt;0,VLOOKUP(TArticle[[#This Row],[کد وضعیت سند]],TDocState[],2,FALSE),"")</f>
        <v>انجام شد</v>
      </c>
      <c r="M24" s="67"/>
      <c r="N24" t="str">
        <f>IF(TArticle[[#This Row],[کد طرف حساب]]&gt;0,VLOOKUP(TArticle[[#This Row],[کد طرف حساب]],TContact[],2,FALSE),"")</f>
        <v/>
      </c>
      <c r="O24" s="68" t="str">
        <f>IF(TArticle[[#This Row],[کد طرف حساب]]&gt;0,VLOOKUP(TArticle[[#This Row],[کد طرف حساب]],TContact[],7,FALSE)-SUMIF($M$2:M24,M24,$E$2:$E24),"")</f>
        <v/>
      </c>
      <c r="P24" s="67" t="str">
        <f>RIGHT(TArticle[[#This Row],[تاریخ]],2)</f>
        <v>29</v>
      </c>
      <c r="Q24" s="67">
        <f>VLOOKUP(TArticle[[#This Row],[تاریخ]],TDays[],16,FALSE)</f>
        <v>5</v>
      </c>
      <c r="R24" s="67" t="str">
        <f>RIGHT(LEFT(TArticle[[#This Row],[تاریخ]],7),2)</f>
        <v>01</v>
      </c>
      <c r="S24" s="67" t="str">
        <f>LEFT(TArticle[[#This Row],[تاریخ]],4)</f>
        <v>1401</v>
      </c>
      <c r="T24" s="64"/>
      <c r="U24" s="64">
        <f>VLOOKUP(TArticle[[#This Row],[شناسه]],TAccount[],7,TRUE)</f>
        <v>364074</v>
      </c>
      <c r="V24" s="64"/>
      <c r="W24" s="64">
        <f>IF(AND(TArticle[[#This Row],[مبلغ]]&gt;0, TArticle[[#This Row],[کد وضعیت سند]]=1),TArticle[[#This Row],[مبلغ]],0)</f>
        <v>0</v>
      </c>
      <c r="X24" s="67">
        <f>IF(AND(TArticle[[#This Row],[مبلغ]]&lt;0,TArticle[[#This Row],[کد وضعیت سند]]=1),0-TArticle[[#This Row],[مبلغ]],0)</f>
        <v>560</v>
      </c>
      <c r="Y24" s="67">
        <v>2</v>
      </c>
      <c r="Z24" t="str">
        <f>IF(TArticle[[#This Row],[کد بانک]]&gt;0,VLOOKUP(TArticle[[#This Row],[کد بانک]],TBank[],2,FALSE),"")</f>
        <v>ملی جاری</v>
      </c>
      <c r="AA24">
        <f>IF(AND(TArticle[[#This Row],[مبلغ]]&lt;0,TArticle[[#This Row],[کد وضعیت سند]]=1),0-TArticle[[#This Row],[مبلغ]],0)</f>
        <v>560</v>
      </c>
      <c r="AB24">
        <f>IF(AND(TArticle[[#This Row],[مبلغ]]&gt;0, TArticle[[#This Row],[کد وضعیت سند]]=1),TArticle[[#This Row],[مبلغ]],0)</f>
        <v>0</v>
      </c>
      <c r="AC24" s="93">
        <f>IF(TArticle[[#This Row],[کد بانک]]&gt;0,VLOOKUP(TArticle[[#This Row],[کد بانک]],TBank[],9,FALSE)+SUMIF($Y$2:Y24,Y24,$E$2:$E24),"")</f>
        <v>2223</v>
      </c>
      <c r="AD24" s="1">
        <f>IFERROR(IF(INT(LEFT(TArticle[[#This Row],[شناسه]]))=3,IF(TArticle[[#This Row],[کد وضعیت سند]]=1,TArticle[مبلغ],0),0),0)</f>
        <v>-560</v>
      </c>
      <c r="AE24" s="1">
        <f>IFERROR(IF(((TArticle[[#This Row],[شناسه]]))="4.1.1",IF(TArticle[[#This Row],[کد وضعیت سند]]=1,TArticle[مبلغ],0),0),0)</f>
        <v>0</v>
      </c>
      <c r="AF24" s="1">
        <f>IFERROR(IF(((TArticle[[#This Row],[شناسه]]))="4.1.2",IF(TArticle[[#This Row],[کد وضعیت سند]]=1,TArticle[مبلغ],0),0),0)</f>
        <v>0</v>
      </c>
      <c r="AG24" s="1">
        <f>IFERROR(IF(INT(LEFT(TArticle[[#This Row],[شناسه]]))=1,IF(TArticle[[#This Row],[کد وضعیت سند]]=1,TArticle[مبلغ],0),0),0)</f>
        <v>0</v>
      </c>
      <c r="AH24" s="1">
        <f>IFERROR(IF(INT(LEFT(TArticle[[#This Row],[شناسه]]))=2,IF(TArticle[[#This Row],[کد وضعیت سند]]=1,TArticle[مبلغ],0),0),0)</f>
        <v>0</v>
      </c>
      <c r="AI24" s="1">
        <f>IFERROR(IF((LEFT(TArticle[[#This Row],[شناسه]],3))="5.2",IF(TArticle[[#This Row],[کد وضعیت سند]]=1,TArticle[مبلغ],0),0),0)</f>
        <v>0</v>
      </c>
      <c r="AJ24" s="1">
        <f>IF(TArticle[[#This Row],[کد وضعیت سند]]=1,1,0)</f>
        <v>1</v>
      </c>
      <c r="AK24" s="1">
        <f>IF(AND(TArticle[[#This Row],[کد وضعیت سند]]&lt;&gt;1,TArticle[[#This Row],[مبلغ]]&lt;&gt;0),1,0)</f>
        <v>0</v>
      </c>
      <c r="AL24" s="78">
        <f>IF(TArticle[[#This Row],[کد بانک]]&gt;0,TArticle[[#This Row],[مانده بانک]]-VLOOKUP(TArticle[[#This Row],[کد بانک]],TBank[],7,FALSE),"")</f>
        <v>2223</v>
      </c>
      <c r="AM24" s="58" t="str">
        <f>LEFT(TArticle[[#This Row],[تاریخ]],7)</f>
        <v>1401-01</v>
      </c>
    </row>
    <row r="25" spans="1:39" hidden="1" x14ac:dyDescent="0.25">
      <c r="A25" s="24" t="s">
        <v>55</v>
      </c>
      <c r="B25" s="49" t="str">
        <f>VLOOKUP(TArticle[[#This Row],[شناسه]],TAccount[],2,TRUE)</f>
        <v>هزینه کلی</v>
      </c>
      <c r="C25" s="49" t="str">
        <f>VLOOKUP(TArticle[[#This Row],[تاریخ]],TDays[],7,FALSE)</f>
        <v>سه شنبه</v>
      </c>
      <c r="D25" s="21" t="s">
        <v>233</v>
      </c>
      <c r="E25" s="1">
        <f>2385-7378</f>
        <v>-4993</v>
      </c>
      <c r="F25" s="1">
        <f>TArticle[[#This Row],[مبلغ]]+IFERROR(INT(F24),30181+3667+958)</f>
        <v>10303</v>
      </c>
      <c r="G25" t="s">
        <v>1628</v>
      </c>
      <c r="K25" s="21">
        <v>1</v>
      </c>
      <c r="L25" t="str">
        <f>IF(TArticle[[#This Row],[کد وضعیت سند]]&gt;0,VLOOKUP(TArticle[[#This Row],[کد وضعیت سند]],TDocState[],2,FALSE),"")</f>
        <v>انجام شد</v>
      </c>
      <c r="N25" t="str">
        <f>IF(TArticle[[#This Row],[کد طرف حساب]]&gt;0,VLOOKUP(TArticle[[#This Row],[کد طرف حساب]],TContact[],2,FALSE),"")</f>
        <v/>
      </c>
      <c r="O25" s="61" t="str">
        <f>IF(TArticle[[#This Row],[کد طرف حساب]]&gt;0,VLOOKUP(TArticle[[#This Row],[کد طرف حساب]],TContact[],7,FALSE)-SUMIF($M$2:M25,M25,$E$2:$E25),"")</f>
        <v/>
      </c>
      <c r="P25" s="27" t="str">
        <f>RIGHT(TArticle[[#This Row],[تاریخ]],2)</f>
        <v>30</v>
      </c>
      <c r="Q25" s="27">
        <f>VLOOKUP(TArticle[[#This Row],[تاریخ]],TDays[],16,FALSE)</f>
        <v>5</v>
      </c>
      <c r="R25" s="27" t="str">
        <f>RIGHT(LEFT(TArticle[[#This Row],[تاریخ]],7),2)</f>
        <v>01</v>
      </c>
      <c r="S25" s="27" t="str">
        <f>LEFT(TArticle[[#This Row],[تاریخ]],4)</f>
        <v>1401</v>
      </c>
      <c r="U25" s="21">
        <f>VLOOKUP(TArticle[[#This Row],[شناسه]],TAccount[],7,TRUE)</f>
        <v>364074</v>
      </c>
      <c r="W25" s="21">
        <f>IF(AND(TArticle[[#This Row],[مبلغ]]&gt;0, TArticle[[#This Row],[کد وضعیت سند]]=1),TArticle[[#This Row],[مبلغ]],0)</f>
        <v>0</v>
      </c>
      <c r="X25" s="27">
        <f>IF(AND(TArticle[[#This Row],[مبلغ]]&lt;0,TArticle[[#This Row],[کد وضعیت سند]]=1),0-TArticle[[#This Row],[مبلغ]],0)</f>
        <v>4993</v>
      </c>
      <c r="Y25" s="27">
        <v>16</v>
      </c>
      <c r="Z25" t="str">
        <f>IF(TArticle[[#This Row],[کد بانک]]&gt;0,VLOOKUP(TArticle[[#This Row],[کد بانک]],TBank[],2,FALSE),"")</f>
        <v>مهرایران</v>
      </c>
      <c r="AA25">
        <f>IF(AND(TArticle[[#This Row],[مبلغ]]&lt;0,TArticle[[#This Row],[کد وضعیت سند]]=1),0-TArticle[[#This Row],[مبلغ]],0)</f>
        <v>4993</v>
      </c>
      <c r="AB25">
        <f>IF(AND(TArticle[[#This Row],[مبلغ]]&gt;0, TArticle[[#This Row],[کد وضعیت سند]]=1),TArticle[[#This Row],[مبلغ]],0)</f>
        <v>0</v>
      </c>
      <c r="AC25" s="84">
        <f>IF(TArticle[[#This Row],[کد بانک]]&gt;0,VLOOKUP(TArticle[[#This Row],[کد بانک]],TBank[],9,FALSE)+SUMIF($Y$2:Y25,Y25,$E$2:$E25),"")</f>
        <v>2385</v>
      </c>
      <c r="AD25" s="1">
        <f>IFERROR(IF(INT(LEFT(TArticle[[#This Row],[شناسه]]))=3,IF(TArticle[[#This Row],[کد وضعیت سند]]=1,TArticle[مبلغ],0),0),0)</f>
        <v>-4993</v>
      </c>
      <c r="AE25" s="1">
        <f>IFERROR(IF(((TArticle[[#This Row],[شناسه]]))="4.1.1",IF(TArticle[[#This Row],[کد وضعیت سند]]=1,TArticle[مبلغ],0),0),0)</f>
        <v>0</v>
      </c>
      <c r="AF25" s="1">
        <f>IFERROR(IF(((TArticle[[#This Row],[شناسه]]))="4.1.2",IF(TArticle[[#This Row],[کد وضعیت سند]]=1,TArticle[مبلغ],0),0),0)</f>
        <v>0</v>
      </c>
      <c r="AG25" s="1">
        <f>IFERROR(IF(INT(LEFT(TArticle[[#This Row],[شناسه]]))=1,IF(TArticle[[#This Row],[کد وضعیت سند]]=1,TArticle[مبلغ],0),0),0)</f>
        <v>0</v>
      </c>
      <c r="AH25" s="1">
        <f>IFERROR(IF(INT(LEFT(TArticle[[#This Row],[شناسه]]))=2,IF(TArticle[[#This Row],[کد وضعیت سند]]=1,TArticle[مبلغ],0),0),0)</f>
        <v>0</v>
      </c>
      <c r="AI25" s="1">
        <f>IFERROR(IF((LEFT(TArticle[[#This Row],[شناسه]],3))="5.2",IF(TArticle[[#This Row],[کد وضعیت سند]]=1,TArticle[مبلغ],0),0),0)</f>
        <v>0</v>
      </c>
      <c r="AJ25" s="1">
        <f>IF(TArticle[[#This Row],[کد وضعیت سند]]=1,1,0)</f>
        <v>1</v>
      </c>
      <c r="AK25" s="1">
        <f>IF(AND(TArticle[[#This Row],[کد وضعیت سند]]&lt;&gt;1,TArticle[[#This Row],[مبلغ]]&lt;&gt;0),1,0)</f>
        <v>0</v>
      </c>
      <c r="AL25" s="51">
        <f>IF(TArticle[[#This Row],[کد بانک]]&gt;0,TArticle[[#This Row],[مانده بانک]]-VLOOKUP(TArticle[[#This Row],[کد بانک]],TBank[],7,FALSE),"")</f>
        <v>2355</v>
      </c>
      <c r="AM25" s="49" t="str">
        <f>LEFT(TArticle[[#This Row],[تاریخ]],7)</f>
        <v>1401-01</v>
      </c>
    </row>
    <row r="26" spans="1:39" hidden="1" x14ac:dyDescent="0.25">
      <c r="A26" s="24" t="s">
        <v>43</v>
      </c>
      <c r="B26" s="49" t="str">
        <f>VLOOKUP(TArticle[[#This Row],[شناسه]],TAccount[],2,TRUE)</f>
        <v>حقوق</v>
      </c>
      <c r="C26" s="49" t="str">
        <f>VLOOKUP(TArticle[[#This Row],[تاریخ]],TDays[],7,FALSE)</f>
        <v>سه شنبه</v>
      </c>
      <c r="D26" s="21" t="s">
        <v>233</v>
      </c>
      <c r="E26" s="1">
        <v>24516</v>
      </c>
      <c r="F26" s="1">
        <f>TArticle[[#This Row],[مبلغ]]+IFERROR(INT(F25),30181+3667+958)</f>
        <v>34819</v>
      </c>
      <c r="G26" t="s">
        <v>1629</v>
      </c>
      <c r="H26" s="64"/>
      <c r="J26" s="65"/>
      <c r="K26" s="64">
        <v>1</v>
      </c>
      <c r="L26" s="66" t="str">
        <f>IF(TArticle[[#This Row],[کد وضعیت سند]]&gt;0,VLOOKUP(TArticle[[#This Row],[کد وضعیت سند]],TDocState[],2,FALSE),"")</f>
        <v>انجام شد</v>
      </c>
      <c r="M26" s="67"/>
      <c r="N26" t="str">
        <f>IF(TArticle[[#This Row],[کد طرف حساب]]&gt;0,VLOOKUP(TArticle[[#This Row],[کد طرف حساب]],TContact[],2,FALSE),"")</f>
        <v/>
      </c>
      <c r="O26" s="68" t="str">
        <f>IF(TArticle[[#This Row],[کد طرف حساب]]&gt;0,VLOOKUP(TArticle[[#This Row],[کد طرف حساب]],TContact[],7,FALSE)-SUMIF($M$2:M26,M26,$E$2:$E26),"")</f>
        <v/>
      </c>
      <c r="P26" s="67" t="str">
        <f>RIGHT(TArticle[[#This Row],[تاریخ]],2)</f>
        <v>30</v>
      </c>
      <c r="Q26" s="67">
        <f>VLOOKUP(TArticle[[#This Row],[تاریخ]],TDays[],16,FALSE)</f>
        <v>5</v>
      </c>
      <c r="R26" s="67" t="str">
        <f>RIGHT(LEFT(TArticle[[#This Row],[تاریخ]],7),2)</f>
        <v>01</v>
      </c>
      <c r="S26" s="67" t="str">
        <f>LEFT(TArticle[[#This Row],[تاریخ]],4)</f>
        <v>1401</v>
      </c>
      <c r="T26" s="64"/>
      <c r="U26" s="64">
        <f>VLOOKUP(TArticle[[#This Row],[شناسه]],TAccount[],7,TRUE)</f>
        <v>416023</v>
      </c>
      <c r="V26" s="64"/>
      <c r="W26" s="64">
        <f>IF(AND(TArticle[[#This Row],[مبلغ]]&gt;0, TArticle[[#This Row],[کد وضعیت سند]]=1),TArticle[[#This Row],[مبلغ]],0)</f>
        <v>24516</v>
      </c>
      <c r="X26" s="67">
        <f>IF(AND(TArticle[[#This Row],[مبلغ]]&lt;0,TArticle[[#This Row],[کد وضعیت سند]]=1),0-TArticle[[#This Row],[مبلغ]],0)</f>
        <v>0</v>
      </c>
      <c r="Y26" s="67">
        <v>2</v>
      </c>
      <c r="Z26" t="str">
        <f>IF(TArticle[[#This Row],[کد بانک]]&gt;0,VLOOKUP(TArticle[[#This Row],[کد بانک]],TBank[],2,FALSE),"")</f>
        <v>ملی جاری</v>
      </c>
      <c r="AA26">
        <f>IF(AND(TArticle[[#This Row],[مبلغ]]&lt;0,TArticle[[#This Row],[کد وضعیت سند]]=1),0-TArticle[[#This Row],[مبلغ]],0)</f>
        <v>0</v>
      </c>
      <c r="AB26">
        <f>IF(AND(TArticle[[#This Row],[مبلغ]]&gt;0, TArticle[[#This Row],[کد وضعیت سند]]=1),TArticle[[#This Row],[مبلغ]],0)</f>
        <v>24516</v>
      </c>
      <c r="AC26" s="93">
        <f>IF(TArticle[[#This Row],[کد بانک]]&gt;0,VLOOKUP(TArticle[[#This Row],[کد بانک]],TBank[],9,FALSE)+SUMIF($Y$2:Y26,Y26,$E$2:$E26),"")</f>
        <v>26739</v>
      </c>
      <c r="AD26" s="1">
        <f>IFERROR(IF(INT(LEFT(TArticle[[#This Row],[شناسه]]))=3,IF(TArticle[[#This Row],[کد وضعیت سند]]=1,TArticle[مبلغ],0),0),0)</f>
        <v>0</v>
      </c>
      <c r="AE26" s="1">
        <f>IFERROR(IF(((TArticle[[#This Row],[شناسه]]))="4.1.1",IF(TArticle[[#This Row],[کد وضعیت سند]]=1,TArticle[مبلغ],0),0),0)</f>
        <v>24516</v>
      </c>
      <c r="AF26" s="1">
        <f>IFERROR(IF(((TArticle[[#This Row],[شناسه]]))="4.1.2",IF(TArticle[[#This Row],[کد وضعیت سند]]=1,TArticle[مبلغ],0),0),0)</f>
        <v>0</v>
      </c>
      <c r="AG26" s="1">
        <f>IFERROR(IF(INT(LEFT(TArticle[[#This Row],[شناسه]]))=1,IF(TArticle[[#This Row],[کد وضعیت سند]]=1,TArticle[مبلغ],0),0),0)</f>
        <v>0</v>
      </c>
      <c r="AH26" s="1">
        <f>IFERROR(IF(INT(LEFT(TArticle[[#This Row],[شناسه]]))=2,IF(TArticle[[#This Row],[کد وضعیت سند]]=1,TArticle[مبلغ],0),0),0)</f>
        <v>0</v>
      </c>
      <c r="AI26" s="1">
        <f>IFERROR(IF((LEFT(TArticle[[#This Row],[شناسه]],3))="5.2",IF(TArticle[[#This Row],[کد وضعیت سند]]=1,TArticle[مبلغ],0),0),0)</f>
        <v>0</v>
      </c>
      <c r="AJ26" s="1">
        <f>IF(TArticle[[#This Row],[کد وضعیت سند]]=1,1,0)</f>
        <v>1</v>
      </c>
      <c r="AK26" s="1">
        <f>IF(AND(TArticle[[#This Row],[کد وضعیت سند]]&lt;&gt;1,TArticle[[#This Row],[مبلغ]]&lt;&gt;0),1,0)</f>
        <v>0</v>
      </c>
      <c r="AL26" s="78">
        <f>IF(TArticle[[#This Row],[کد بانک]]&gt;0,TArticle[[#This Row],[مانده بانک]]-VLOOKUP(TArticle[[#This Row],[کد بانک]],TBank[],7,FALSE),"")</f>
        <v>26739</v>
      </c>
      <c r="AM26" s="58" t="str">
        <f>LEFT(TArticle[[#This Row],[تاریخ]],7)</f>
        <v>1401-01</v>
      </c>
    </row>
    <row r="27" spans="1:39" hidden="1" x14ac:dyDescent="0.25">
      <c r="A27" s="24" t="s">
        <v>55</v>
      </c>
      <c r="B27" s="49" t="str">
        <f>VLOOKUP(TArticle[[#This Row],[شناسه]],TAccount[],2,TRUE)</f>
        <v>هزینه کلی</v>
      </c>
      <c r="C27" s="49" t="str">
        <f>VLOOKUP(TArticle[[#This Row],[تاریخ]],TDays[],7,FALSE)</f>
        <v>سه شنبه</v>
      </c>
      <c r="D27" s="28" t="s">
        <v>233</v>
      </c>
      <c r="E27" s="1">
        <f>23921-26739</f>
        <v>-2818</v>
      </c>
      <c r="F27" s="1">
        <f>TArticle[[#This Row],[مبلغ]]+IFERROR(INT(F26),30181+3667+958)</f>
        <v>32001</v>
      </c>
      <c r="G27" t="s">
        <v>1628</v>
      </c>
      <c r="K27" s="21">
        <v>1</v>
      </c>
      <c r="L27" t="str">
        <f>IF(TArticle[[#This Row],[کد وضعیت سند]]&gt;0,VLOOKUP(TArticle[[#This Row],[کد وضعیت سند]],TDocState[],2,FALSE),"")</f>
        <v>انجام شد</v>
      </c>
      <c r="N27" t="str">
        <f>IF(TArticle[[#This Row],[کد طرف حساب]]&gt;0,VLOOKUP(TArticle[[#This Row],[کد طرف حساب]],TContact[],2,FALSE),"")</f>
        <v/>
      </c>
      <c r="O27" s="61" t="str">
        <f>IF(TArticle[[#This Row],[کد طرف حساب]]&gt;0,VLOOKUP(TArticle[[#This Row],[کد طرف حساب]],TContact[],7,FALSE)-SUMIF($M$2:M27,M27,$E$2:$E27),"")</f>
        <v/>
      </c>
      <c r="P27" s="27" t="str">
        <f>RIGHT(TArticle[[#This Row],[تاریخ]],2)</f>
        <v>30</v>
      </c>
      <c r="Q27" s="27">
        <f>VLOOKUP(TArticle[[#This Row],[تاریخ]],TDays[],16,FALSE)</f>
        <v>5</v>
      </c>
      <c r="R27" s="27" t="str">
        <f>RIGHT(LEFT(TArticle[[#This Row],[تاریخ]],7),2)</f>
        <v>01</v>
      </c>
      <c r="S27" s="27" t="str">
        <f>LEFT(TArticle[[#This Row],[تاریخ]],4)</f>
        <v>1401</v>
      </c>
      <c r="U27" s="21">
        <f>VLOOKUP(TArticle[[#This Row],[شناسه]],TAccount[],7,TRUE)</f>
        <v>364074</v>
      </c>
      <c r="W27" s="21">
        <f>IF(AND(TArticle[[#This Row],[مبلغ]]&gt;0, TArticle[[#This Row],[کد وضعیت سند]]=1),TArticle[[#This Row],[مبلغ]],0)</f>
        <v>0</v>
      </c>
      <c r="X27" s="27">
        <f>IF(AND(TArticle[[#This Row],[مبلغ]]&lt;0,TArticle[[#This Row],[کد وضعیت سند]]=1),0-TArticle[[#This Row],[مبلغ]],0)</f>
        <v>2818</v>
      </c>
      <c r="Y27" s="27">
        <v>2</v>
      </c>
      <c r="Z27" t="str">
        <f>IF(TArticle[[#This Row],[کد بانک]]&gt;0,VLOOKUP(TArticle[[#This Row],[کد بانک]],TBank[],2,FALSE),"")</f>
        <v>ملی جاری</v>
      </c>
      <c r="AA27">
        <f>IF(AND(TArticle[[#This Row],[مبلغ]]&lt;0,TArticle[[#This Row],[کد وضعیت سند]]=1),0-TArticle[[#This Row],[مبلغ]],0)</f>
        <v>2818</v>
      </c>
      <c r="AB27">
        <f>IF(AND(TArticle[[#This Row],[مبلغ]]&gt;0, TArticle[[#This Row],[کد وضعیت سند]]=1),TArticle[[#This Row],[مبلغ]],0)</f>
        <v>0</v>
      </c>
      <c r="AC27" s="84">
        <f>IF(TArticle[[#This Row],[کد بانک]]&gt;0,VLOOKUP(TArticle[[#This Row],[کد بانک]],TBank[],9,FALSE)+SUMIF($Y$2:Y27,Y27,$E$2:$E27),"")</f>
        <v>23921</v>
      </c>
      <c r="AD27" s="1">
        <f>IFERROR(IF(INT(LEFT(TArticle[[#This Row],[شناسه]]))=3,IF(TArticle[[#This Row],[کد وضعیت سند]]=1,TArticle[مبلغ],0),0),0)</f>
        <v>-2818</v>
      </c>
      <c r="AE27" s="1">
        <f>IFERROR(IF(((TArticle[[#This Row],[شناسه]]))="4.1.1",IF(TArticle[[#This Row],[کد وضعیت سند]]=1,TArticle[مبلغ],0),0),0)</f>
        <v>0</v>
      </c>
      <c r="AF27" s="1">
        <f>IFERROR(IF(((TArticle[[#This Row],[شناسه]]))="4.1.2",IF(TArticle[[#This Row],[کد وضعیت سند]]=1,TArticle[مبلغ],0),0),0)</f>
        <v>0</v>
      </c>
      <c r="AG27" s="1">
        <f>IFERROR(IF(INT(LEFT(TArticle[[#This Row],[شناسه]]))=1,IF(TArticle[[#This Row],[کد وضعیت سند]]=1,TArticle[مبلغ],0),0),0)</f>
        <v>0</v>
      </c>
      <c r="AH27" s="1">
        <f>IFERROR(IF(INT(LEFT(TArticle[[#This Row],[شناسه]]))=2,IF(TArticle[[#This Row],[کد وضعیت سند]]=1,TArticle[مبلغ],0),0),0)</f>
        <v>0</v>
      </c>
      <c r="AI27" s="1">
        <f>IFERROR(IF((LEFT(TArticle[[#This Row],[شناسه]],3))="5.2",IF(TArticle[[#This Row],[کد وضعیت سند]]=1,TArticle[مبلغ],0),0),0)</f>
        <v>0</v>
      </c>
      <c r="AJ27" s="1">
        <f>IF(TArticle[[#This Row],[کد وضعیت سند]]=1,1,0)</f>
        <v>1</v>
      </c>
      <c r="AK27" s="1">
        <f>IF(AND(TArticle[[#This Row],[کد وضعیت سند]]&lt;&gt;1,TArticle[[#This Row],[مبلغ]]&lt;&gt;0),1,0)</f>
        <v>0</v>
      </c>
      <c r="AL27" s="51">
        <f>IF(TArticle[[#This Row],[کد بانک]]&gt;0,TArticle[[#This Row],[مانده بانک]]-VLOOKUP(TArticle[[#This Row],[کد بانک]],TBank[],7,FALSE),"")</f>
        <v>23921</v>
      </c>
      <c r="AM27" s="49" t="str">
        <f>LEFT(TArticle[[#This Row],[تاریخ]],7)</f>
        <v>1401-01</v>
      </c>
    </row>
    <row r="28" spans="1:39" hidden="1" x14ac:dyDescent="0.25">
      <c r="A28" s="24" t="s">
        <v>55</v>
      </c>
      <c r="B28" s="49" t="str">
        <f>VLOOKUP(TArticle[[#This Row],[شناسه]],TAccount[],2,TRUE)</f>
        <v>هزینه کلی</v>
      </c>
      <c r="C28" s="49" t="str">
        <f>VLOOKUP(TArticle[[#This Row],[تاریخ]],TDays[],7,FALSE)</f>
        <v>سه شنبه</v>
      </c>
      <c r="D28" s="28" t="s">
        <v>233</v>
      </c>
      <c r="E28" s="1">
        <v>-750</v>
      </c>
      <c r="F28" s="1">
        <f>TArticle[[#This Row],[مبلغ]]+IFERROR(INT(F27),30181+3667+958)</f>
        <v>31251</v>
      </c>
      <c r="K28" s="21">
        <v>1</v>
      </c>
      <c r="L28" t="str">
        <f>IF(TArticle[[#This Row],[کد وضعیت سند]]&gt;0,VLOOKUP(TArticle[[#This Row],[کد وضعیت سند]],TDocState[],2,FALSE),"")</f>
        <v>انجام شد</v>
      </c>
      <c r="N28" t="str">
        <f>IF(TArticle[[#This Row],[کد طرف حساب]]&gt;0,VLOOKUP(TArticle[[#This Row],[کد طرف حساب]],TContact[],2,FALSE),"")</f>
        <v/>
      </c>
      <c r="O28" s="61" t="str">
        <f>IF(TArticle[[#This Row],[کد طرف حساب]]&gt;0,VLOOKUP(TArticle[[#This Row],[کد طرف حساب]],TContact[],7,FALSE)-SUMIF($M$2:M28,M28,$E$2:$E28),"")</f>
        <v/>
      </c>
      <c r="P28" s="27" t="str">
        <f>RIGHT(TArticle[[#This Row],[تاریخ]],2)</f>
        <v>30</v>
      </c>
      <c r="Q28" s="27">
        <f>VLOOKUP(TArticle[[#This Row],[تاریخ]],TDays[],16,FALSE)</f>
        <v>5</v>
      </c>
      <c r="R28" s="27" t="str">
        <f>RIGHT(LEFT(TArticle[[#This Row],[تاریخ]],7),2)</f>
        <v>01</v>
      </c>
      <c r="S28" s="27" t="str">
        <f>LEFT(TArticle[[#This Row],[تاریخ]],4)</f>
        <v>1401</v>
      </c>
      <c r="U28" s="21">
        <f>VLOOKUP(TArticle[[#This Row],[شناسه]],TAccount[],7,TRUE)</f>
        <v>364074</v>
      </c>
      <c r="W28" s="21">
        <f>IF(AND(TArticle[[#This Row],[مبلغ]]&gt;0, TArticle[[#This Row],[کد وضعیت سند]]=1),TArticle[[#This Row],[مبلغ]],0)</f>
        <v>0</v>
      </c>
      <c r="X28" s="27">
        <f>IF(AND(TArticle[[#This Row],[مبلغ]]&lt;0,TArticle[[#This Row],[کد وضعیت سند]]=1),0-TArticle[[#This Row],[مبلغ]],0)</f>
        <v>750</v>
      </c>
      <c r="Y28" s="27">
        <v>30</v>
      </c>
      <c r="Z28" t="str">
        <f>IF(TArticle[[#This Row],[کد بانک]]&gt;0,VLOOKUP(TArticle[[#This Row],[کد بانک]],TBank[],2,FALSE),"")</f>
        <v>بن کارت</v>
      </c>
      <c r="AA28">
        <f>IF(AND(TArticle[[#This Row],[مبلغ]]&lt;0,TArticle[[#This Row],[کد وضعیت سند]]=1),0-TArticle[[#This Row],[مبلغ]],0)</f>
        <v>750</v>
      </c>
      <c r="AB28">
        <f>IF(AND(TArticle[[#This Row],[مبلغ]]&gt;0, TArticle[[#This Row],[کد وضعیت سند]]=1),TArticle[[#This Row],[مبلغ]],0)</f>
        <v>0</v>
      </c>
      <c r="AC28" s="84">
        <f>IF(TArticle[[#This Row],[کد بانک]]&gt;0,VLOOKUP(TArticle[[#This Row],[کد بانک]],TBank[],9,FALSE)+SUMIF($Y$2:Y28,Y28,$E$2:$E28),"")</f>
        <v>0</v>
      </c>
      <c r="AD28" s="1">
        <f>IFERROR(IF(INT(LEFT(TArticle[[#This Row],[شناسه]]))=3,IF(TArticle[[#This Row],[کد وضعیت سند]]=1,TArticle[مبلغ],0),0),0)</f>
        <v>-750</v>
      </c>
      <c r="AE28" s="1">
        <f>IFERROR(IF(((TArticle[[#This Row],[شناسه]]))="4.1.1",IF(TArticle[[#This Row],[کد وضعیت سند]]=1,TArticle[مبلغ],0),0),0)</f>
        <v>0</v>
      </c>
      <c r="AF28" s="1">
        <f>IFERROR(IF(((TArticle[[#This Row],[شناسه]]))="4.1.2",IF(TArticle[[#This Row],[کد وضعیت سند]]=1,TArticle[مبلغ],0),0),0)</f>
        <v>0</v>
      </c>
      <c r="AG28" s="1">
        <f>IFERROR(IF(INT(LEFT(TArticle[[#This Row],[شناسه]]))=1,IF(TArticle[[#This Row],[کد وضعیت سند]]=1,TArticle[مبلغ],0),0),0)</f>
        <v>0</v>
      </c>
      <c r="AH28" s="1">
        <f>IFERROR(IF(INT(LEFT(TArticle[[#This Row],[شناسه]]))=2,IF(TArticle[[#This Row],[کد وضعیت سند]]=1,TArticle[مبلغ],0),0),0)</f>
        <v>0</v>
      </c>
      <c r="AI28" s="1">
        <f>IFERROR(IF((LEFT(TArticle[[#This Row],[شناسه]],3))="5.2",IF(TArticle[[#This Row],[کد وضعیت سند]]=1,TArticle[مبلغ],0),0),0)</f>
        <v>0</v>
      </c>
      <c r="AJ28" s="1">
        <f>IF(TArticle[[#This Row],[کد وضعیت سند]]=1,1,0)</f>
        <v>1</v>
      </c>
      <c r="AK28" s="1">
        <f>IF(AND(TArticle[[#This Row],[کد وضعیت سند]]&lt;&gt;1,TArticle[[#This Row],[مبلغ]]&lt;&gt;0),1,0)</f>
        <v>0</v>
      </c>
      <c r="AL28" s="51">
        <f>IF(TArticle[[#This Row],[کد بانک]]&gt;0,TArticle[[#This Row],[مانده بانک]]-VLOOKUP(TArticle[[#This Row],[کد بانک]],TBank[],7,FALSE),"")</f>
        <v>0</v>
      </c>
      <c r="AM28" s="49" t="str">
        <f>LEFT(TArticle[[#This Row],[تاریخ]],7)</f>
        <v>1401-01</v>
      </c>
    </row>
    <row r="29" spans="1:39" hidden="1" x14ac:dyDescent="0.25">
      <c r="A29" s="77" t="s">
        <v>76</v>
      </c>
      <c r="B29" s="49" t="str">
        <f>VLOOKUP(TArticle[[#This Row],[شناسه]],TAccount[],2,TRUE)</f>
        <v>قسط</v>
      </c>
      <c r="C29" s="49" t="str">
        <f>VLOOKUP(TArticle[[#This Row],[تاریخ]],TDays[],7,FALSE)</f>
        <v>چهارشنبه</v>
      </c>
      <c r="D29" s="28" t="s">
        <v>234</v>
      </c>
      <c r="E29" s="1">
        <v>-2777</v>
      </c>
      <c r="F29" s="1">
        <f>TArticle[[#This Row],[مبلغ]]+IFERROR(INT(F28),30181+3667+958)</f>
        <v>28474</v>
      </c>
      <c r="H29" s="64">
        <v>21</v>
      </c>
      <c r="J29" s="65"/>
      <c r="K29" s="64">
        <v>1</v>
      </c>
      <c r="L29" s="66" t="str">
        <f>IF(TArticle[[#This Row],[کد وضعیت سند]]&gt;0,VLOOKUP(TArticle[[#This Row],[کد وضعیت سند]],TDocState[],2,FALSE),"")</f>
        <v>انجام شد</v>
      </c>
      <c r="M29" s="67">
        <v>105</v>
      </c>
      <c r="N29" t="str">
        <f>IF(TArticle[[#This Row],[کد طرف حساب]]&gt;0,VLOOKUP(TArticle[[#This Row],[کد طرف حساب]],TContact[],2,FALSE),"")</f>
        <v>وام محبوبه</v>
      </c>
      <c r="O29" s="68">
        <f>IF(TArticle[[#This Row],[کد طرف حساب]]&gt;0,VLOOKUP(TArticle[[#This Row],[کد طرف حساب]],TContact[],7,FALSE)-SUMIF($M$2:M29,M29,$E$2:$E29),"")</f>
        <v>-30783</v>
      </c>
      <c r="P29" s="67" t="str">
        <f>RIGHT(TArticle[[#This Row],[تاریخ]],2)</f>
        <v>31</v>
      </c>
      <c r="Q29" s="67">
        <f>VLOOKUP(TArticle[[#This Row],[تاریخ]],TDays[],16,FALSE)</f>
        <v>5</v>
      </c>
      <c r="R29" s="67" t="str">
        <f>RIGHT(LEFT(TArticle[[#This Row],[تاریخ]],7),2)</f>
        <v>01</v>
      </c>
      <c r="S29" s="67" t="str">
        <f>LEFT(TArticle[[#This Row],[تاریخ]],4)</f>
        <v>1401</v>
      </c>
      <c r="T29" s="64"/>
      <c r="U29" s="64">
        <f>VLOOKUP(TArticle[[#This Row],[شناسه]],TAccount[],7,TRUE)</f>
        <v>36266</v>
      </c>
      <c r="V29" s="28" t="s">
        <v>223</v>
      </c>
      <c r="W29" s="64">
        <f>IF(AND(TArticle[[#This Row],[مبلغ]]&gt;0, TArticle[[#This Row],[کد وضعیت سند]]=1),TArticle[[#This Row],[مبلغ]],0)</f>
        <v>0</v>
      </c>
      <c r="X29" s="67">
        <f>IF(AND(TArticle[[#This Row],[مبلغ]]&lt;0,TArticle[[#This Row],[کد وضعیت سند]]=1),0-TArticle[[#This Row],[مبلغ]],0)</f>
        <v>2777</v>
      </c>
      <c r="Y29" s="27">
        <v>2</v>
      </c>
      <c r="Z29" t="str">
        <f>IF(TArticle[[#This Row],[کد بانک]]&gt;0,VLOOKUP(TArticle[[#This Row],[کد بانک]],TBank[],2,FALSE),"")</f>
        <v>ملی جاری</v>
      </c>
      <c r="AA29">
        <f>IF(AND(TArticle[[#This Row],[مبلغ]]&lt;0,TArticle[[#This Row],[کد وضعیت سند]]=1),0-TArticle[[#This Row],[مبلغ]],0)</f>
        <v>2777</v>
      </c>
      <c r="AB29">
        <f>IF(AND(TArticle[[#This Row],[مبلغ]]&gt;0, TArticle[[#This Row],[کد وضعیت سند]]=1),TArticle[[#This Row],[مبلغ]],0)</f>
        <v>0</v>
      </c>
      <c r="AC29" s="93">
        <f>IF(TArticle[[#This Row],[کد بانک]]&gt;0,VLOOKUP(TArticle[[#This Row],[کد بانک]],TBank[],9,FALSE)+SUMIF($Y$2:Y29,Y29,$E$2:$E29),"")</f>
        <v>21144</v>
      </c>
      <c r="AD29" s="1">
        <f>IFERROR(IF(INT(LEFT(TArticle[[#This Row],[شناسه]]))=3,IF(TArticle[[#This Row],[کد وضعیت سند]]=1,TArticle[مبلغ],0),0),0)</f>
        <v>0</v>
      </c>
      <c r="AE29" s="1">
        <f>IFERROR(IF(((TArticle[[#This Row],[شناسه]]))="4.1.1",IF(TArticle[[#This Row],[کد وضعیت سند]]=1,TArticle[مبلغ],0),0),0)</f>
        <v>0</v>
      </c>
      <c r="AF29" s="1">
        <f>IFERROR(IF(((TArticle[[#This Row],[شناسه]]))="4.1.2",IF(TArticle[[#This Row],[کد وضعیت سند]]=1,TArticle[مبلغ],0),0),0)</f>
        <v>0</v>
      </c>
      <c r="AG29" s="1">
        <f>IFERROR(IF(INT(LEFT(TArticle[[#This Row],[شناسه]]))=1,IF(TArticle[[#This Row],[کد وضعیت سند]]=1,TArticle[مبلغ],0),0),0)</f>
        <v>-2777</v>
      </c>
      <c r="AH29" s="1">
        <f>IFERROR(IF(INT(LEFT(TArticle[[#This Row],[شناسه]]))=2,IF(TArticle[[#This Row],[کد وضعیت سند]]=1,TArticle[مبلغ],0),0),0)</f>
        <v>0</v>
      </c>
      <c r="AI29" s="1">
        <f>IFERROR(IF((LEFT(TArticle[[#This Row],[شناسه]],3))="5.2",IF(TArticle[[#This Row],[کد وضعیت سند]]=1,TArticle[مبلغ],0),0),0)</f>
        <v>0</v>
      </c>
      <c r="AJ29" s="1">
        <f>IF(TArticle[[#This Row],[کد وضعیت سند]]=1,1,0)</f>
        <v>1</v>
      </c>
      <c r="AK29" s="1">
        <f>IF(AND(TArticle[[#This Row],[کد وضعیت سند]]&lt;&gt;1,TArticle[[#This Row],[مبلغ]]&lt;&gt;0),1,0)</f>
        <v>0</v>
      </c>
      <c r="AL29" s="78">
        <f>IF(TArticle[[#This Row],[کد بانک]]&gt;0,TArticle[[#This Row],[مانده بانک]]-VLOOKUP(TArticle[[#This Row],[کد بانک]],TBank[],7,FALSE),"")</f>
        <v>21144</v>
      </c>
      <c r="AM29" s="58" t="str">
        <f>LEFT(TArticle[[#This Row],[تاریخ]],7)</f>
        <v>1401-01</v>
      </c>
    </row>
    <row r="30" spans="1:39" hidden="1" x14ac:dyDescent="0.25">
      <c r="A30" s="24" t="s">
        <v>1110</v>
      </c>
      <c r="B30" s="49" t="str">
        <f>VLOOKUP(TArticle[[#This Row],[شناسه]],TAccount[],2,TRUE)</f>
        <v>قسط وام بانکی</v>
      </c>
      <c r="C30" s="49" t="str">
        <f>VLOOKUP(TArticle[[#This Row],[تاریخ]],TDays[],7,FALSE)</f>
        <v>چهارشنبه</v>
      </c>
      <c r="D30" s="21" t="s">
        <v>234</v>
      </c>
      <c r="E30" s="1">
        <v>-1808</v>
      </c>
      <c r="F30" s="1">
        <f>TArticle[[#This Row],[مبلغ]]+IFERROR(INT(F29),30181+3667+958)</f>
        <v>26666</v>
      </c>
      <c r="G30" t="s">
        <v>1597</v>
      </c>
      <c r="H30" s="64">
        <v>6</v>
      </c>
      <c r="J30" s="65"/>
      <c r="K30" s="21">
        <v>1</v>
      </c>
      <c r="L30" s="66" t="str">
        <f>IF(TArticle[[#This Row],[کد وضعیت سند]]&gt;0,VLOOKUP(TArticle[[#This Row],[کد وضعیت سند]],TDocState[],2,FALSE),"")</f>
        <v>انجام شد</v>
      </c>
      <c r="M30" s="67">
        <v>112.1</v>
      </c>
      <c r="N30" t="str">
        <f>IF(TArticle[[#This Row],[کد طرف حساب]]&gt;0,VLOOKUP(TArticle[[#This Row],[کد طرف حساب]],TContact[],2,FALSE),"")</f>
        <v>وام ملی - سود</v>
      </c>
      <c r="O30" s="68">
        <f>IF(TArticle[[#This Row],[کد طرف حساب]]&gt;0,VLOOKUP(TArticle[[#This Row],[کد طرف حساب]],TContact[],7,FALSE)-SUMIF($M$2:M30,M30,$E$2:$E30),"")</f>
        <v>-2417</v>
      </c>
      <c r="P30" s="67" t="str">
        <f>RIGHT(TArticle[[#This Row],[تاریخ]],2)</f>
        <v>31</v>
      </c>
      <c r="Q30" s="67">
        <f>VLOOKUP(TArticle[[#This Row],[تاریخ]],TDays[],16,FALSE)</f>
        <v>5</v>
      </c>
      <c r="R30" s="67" t="str">
        <f>RIGHT(LEFT(TArticle[[#This Row],[تاریخ]],7),2)</f>
        <v>01</v>
      </c>
      <c r="S30" s="67" t="str">
        <f>LEFT(TArticle[[#This Row],[تاریخ]],4)</f>
        <v>1401</v>
      </c>
      <c r="T30" s="64"/>
      <c r="U30" s="64">
        <f>VLOOKUP(TArticle[[#This Row],[شناسه]],TAccount[],7,TRUE)</f>
        <v>81652</v>
      </c>
      <c r="V30" s="21" t="s">
        <v>231</v>
      </c>
      <c r="W30" s="64">
        <f>IF(AND(TArticle[[#This Row],[مبلغ]]&gt;0, TArticle[[#This Row],[کد وضعیت سند]]=1),TArticle[[#This Row],[مبلغ]],0)</f>
        <v>0</v>
      </c>
      <c r="X30" s="67">
        <f>IF(AND(TArticle[[#This Row],[مبلغ]]&lt;0,TArticle[[#This Row],[کد وضعیت سند]]=1),0-TArticle[[#This Row],[مبلغ]],0)</f>
        <v>1808</v>
      </c>
      <c r="Y30" s="27">
        <v>2</v>
      </c>
      <c r="Z30" t="str">
        <f>IF(TArticle[[#This Row],[کد بانک]]&gt;0,VLOOKUP(TArticle[[#This Row],[کد بانک]],TBank[],2,FALSE),"")</f>
        <v>ملی جاری</v>
      </c>
      <c r="AA30">
        <f>IF(AND(TArticle[[#This Row],[مبلغ]]&lt;0,TArticle[[#This Row],[کد وضعیت سند]]=1),0-TArticle[[#This Row],[مبلغ]],0)</f>
        <v>1808</v>
      </c>
      <c r="AB30">
        <f>IF(AND(TArticle[[#This Row],[مبلغ]]&gt;0, TArticle[[#This Row],[کد وضعیت سند]]=1),TArticle[[#This Row],[مبلغ]],0)</f>
        <v>0</v>
      </c>
      <c r="AC30" s="93">
        <f>IF(TArticle[[#This Row],[کد بانک]]&gt;0,VLOOKUP(TArticle[[#This Row],[کد بانک]],TBank[],9,FALSE)+SUMIF($Y$2:Y30,Y30,$E$2:$E30),"")</f>
        <v>19336</v>
      </c>
      <c r="AD30" s="1">
        <f>IFERROR(IF(INT(LEFT(TArticle[[#This Row],[شناسه]]))=3,IF(TArticle[[#This Row],[کد وضعیت سند]]=1,TArticle[مبلغ],0),0),0)</f>
        <v>0</v>
      </c>
      <c r="AE30" s="1">
        <f>IFERROR(IF(((TArticle[[#This Row],[شناسه]]))="4.1.1",IF(TArticle[[#This Row],[کد وضعیت سند]]=1,TArticle[مبلغ],0),0),0)</f>
        <v>0</v>
      </c>
      <c r="AF30" s="1">
        <f>IFERROR(IF(((TArticle[[#This Row],[شناسه]]))="4.1.2",IF(TArticle[[#This Row],[کد وضعیت سند]]=1,TArticle[مبلغ],0),0),0)</f>
        <v>0</v>
      </c>
      <c r="AG30" s="1">
        <f>IFERROR(IF(INT(LEFT(TArticle[[#This Row],[شناسه]]))=1,IF(TArticle[[#This Row],[کد وضعیت سند]]=1,TArticle[مبلغ],0),0),0)</f>
        <v>-1808</v>
      </c>
      <c r="AH30" s="1">
        <f>IFERROR(IF(INT(LEFT(TArticle[[#This Row],[شناسه]]))=2,IF(TArticle[[#This Row],[کد وضعیت سند]]=1,TArticle[مبلغ],0),0),0)</f>
        <v>0</v>
      </c>
      <c r="AI30" s="1">
        <f>IFERROR(IF((LEFT(TArticle[[#This Row],[شناسه]],3))="5.2",IF(TArticle[[#This Row],[کد وضعیت سند]]=1,TArticle[مبلغ],0),0),0)</f>
        <v>0</v>
      </c>
      <c r="AJ30" s="1">
        <f>IF(TArticle[[#This Row],[کد وضعیت سند]]=1,1,0)</f>
        <v>1</v>
      </c>
      <c r="AK30" s="1">
        <f>IF(AND(TArticle[[#This Row],[کد وضعیت سند]]&lt;&gt;1,TArticle[[#This Row],[مبلغ]]&lt;&gt;0),1,0)</f>
        <v>0</v>
      </c>
      <c r="AL30" s="78">
        <f>IF(TArticle[[#This Row],[کد بانک]]&gt;0,TArticle[[#This Row],[مانده بانک]]-VLOOKUP(TArticle[[#This Row],[کد بانک]],TBank[],7,FALSE),"")</f>
        <v>19336</v>
      </c>
      <c r="AM30" s="58" t="str">
        <f>LEFT(TArticle[[#This Row],[تاریخ]],7)</f>
        <v>1401-01</v>
      </c>
    </row>
    <row r="31" spans="1:39" hidden="1" x14ac:dyDescent="0.25">
      <c r="A31" s="24" t="s">
        <v>1110</v>
      </c>
      <c r="B31" s="49" t="str">
        <f>VLOOKUP(TArticle[[#This Row],[شناسه]],TAccount[],2,TRUE)</f>
        <v>قسط وام بانکی</v>
      </c>
      <c r="C31" s="49" t="str">
        <f>VLOOKUP(TArticle[[#This Row],[تاریخ]],TDays[],7,FALSE)</f>
        <v>چهارشنبه</v>
      </c>
      <c r="D31" s="21" t="s">
        <v>234</v>
      </c>
      <c r="E31" s="1">
        <v>-1830</v>
      </c>
      <c r="F31" s="1">
        <f>TArticle[[#This Row],[مبلغ]]+IFERROR(INT(F30),30181+3667+958)</f>
        <v>24836</v>
      </c>
      <c r="G31" t="s">
        <v>1591</v>
      </c>
      <c r="H31" s="21">
        <v>11</v>
      </c>
      <c r="K31" s="21">
        <v>1</v>
      </c>
      <c r="L31" t="str">
        <f>IF(TArticle[[#This Row],[کد وضعیت سند]]&gt;0,VLOOKUP(TArticle[[#This Row],[کد وضعیت سند]],TDocState[],2,FALSE),"")</f>
        <v>انجام شد</v>
      </c>
      <c r="M31" s="27">
        <v>110</v>
      </c>
      <c r="N31" t="str">
        <f>IF(TArticle[[#This Row],[کد طرف حساب]]&gt;0,VLOOKUP(TArticle[[#This Row],[کد طرف حساب]],TContact[],2,FALSE),"")</f>
        <v>وام ملت</v>
      </c>
      <c r="O31" s="61">
        <f>IF(TArticle[[#This Row],[کد طرف حساب]]&gt;0,VLOOKUP(TArticle[[#This Row],[کد طرف حساب]],TContact[],7,FALSE)-SUMIF($M$2:M31,M31,$E$2:$E31),"")</f>
        <v>-44510</v>
      </c>
      <c r="P31" s="27" t="str">
        <f>RIGHT(TArticle[[#This Row],[تاریخ]],2)</f>
        <v>31</v>
      </c>
      <c r="Q31" s="27">
        <f>VLOOKUP(TArticle[[#This Row],[تاریخ]],TDays[],16,FALSE)</f>
        <v>5</v>
      </c>
      <c r="R31" s="27" t="str">
        <f>RIGHT(LEFT(TArticle[[#This Row],[تاریخ]],7),2)</f>
        <v>01</v>
      </c>
      <c r="S31" s="27" t="str">
        <f>LEFT(TArticle[[#This Row],[تاریخ]],4)</f>
        <v>1401</v>
      </c>
      <c r="U31" s="21">
        <f>VLOOKUP(TArticle[[#This Row],[شناسه]],TAccount[],7,TRUE)</f>
        <v>81652</v>
      </c>
      <c r="V31" s="21" t="s">
        <v>237</v>
      </c>
      <c r="W31" s="21">
        <f>IF(AND(TArticle[[#This Row],[مبلغ]]&gt;0, TArticle[[#This Row],[کد وضعیت سند]]=1),TArticle[[#This Row],[مبلغ]],0)</f>
        <v>0</v>
      </c>
      <c r="X31" s="27">
        <f>IF(AND(TArticle[[#This Row],[مبلغ]]&lt;0,TArticle[[#This Row],[کد وضعیت سند]]=1),0-TArticle[[#This Row],[مبلغ]],0)</f>
        <v>1830</v>
      </c>
      <c r="Y31" s="27">
        <v>2</v>
      </c>
      <c r="Z31" t="str">
        <f>IF(TArticle[[#This Row],[کد بانک]]&gt;0,VLOOKUP(TArticle[[#This Row],[کد بانک]],TBank[],2,FALSE),"")</f>
        <v>ملی جاری</v>
      </c>
      <c r="AA31">
        <f>IF(AND(TArticle[[#This Row],[مبلغ]]&lt;0,TArticle[[#This Row],[کد وضعیت سند]]=1),0-TArticle[[#This Row],[مبلغ]],0)</f>
        <v>1830</v>
      </c>
      <c r="AB31">
        <f>IF(AND(TArticle[[#This Row],[مبلغ]]&gt;0, TArticle[[#This Row],[کد وضعیت سند]]=1),TArticle[[#This Row],[مبلغ]],0)</f>
        <v>0</v>
      </c>
      <c r="AC31" s="84">
        <f>IF(TArticle[[#This Row],[کد بانک]]&gt;0,VLOOKUP(TArticle[[#This Row],[کد بانک]],TBank[],9,FALSE)+SUMIF($Y$2:Y31,Y31,$E$2:$E31),"")</f>
        <v>17506</v>
      </c>
      <c r="AD31" s="1">
        <f>IFERROR(IF(INT(LEFT(TArticle[[#This Row],[شناسه]]))=3,IF(TArticle[[#This Row],[کد وضعیت سند]]=1,TArticle[مبلغ],0),0),0)</f>
        <v>0</v>
      </c>
      <c r="AE31" s="1">
        <f>IFERROR(IF(((TArticle[[#This Row],[شناسه]]))="4.1.1",IF(TArticle[[#This Row],[کد وضعیت سند]]=1,TArticle[مبلغ],0),0),0)</f>
        <v>0</v>
      </c>
      <c r="AF31" s="1">
        <f>IFERROR(IF(((TArticle[[#This Row],[شناسه]]))="4.1.2",IF(TArticle[[#This Row],[کد وضعیت سند]]=1,TArticle[مبلغ],0),0),0)</f>
        <v>0</v>
      </c>
      <c r="AG31" s="1">
        <f>IFERROR(IF(INT(LEFT(TArticle[[#This Row],[شناسه]]))=1,IF(TArticle[[#This Row],[کد وضعیت سند]]=1,TArticle[مبلغ],0),0),0)</f>
        <v>-1830</v>
      </c>
      <c r="AH31" s="1">
        <f>IFERROR(IF(INT(LEFT(TArticle[[#This Row],[شناسه]]))=2,IF(TArticle[[#This Row],[کد وضعیت سند]]=1,TArticle[مبلغ],0),0),0)</f>
        <v>0</v>
      </c>
      <c r="AI31" s="1">
        <f>IFERROR(IF((LEFT(TArticle[[#This Row],[شناسه]],3))="5.2",IF(TArticle[[#This Row],[کد وضعیت سند]]=1,TArticle[مبلغ],0),0),0)</f>
        <v>0</v>
      </c>
      <c r="AJ31" s="1">
        <f>IF(TArticle[[#This Row],[کد وضعیت سند]]=1,1,0)</f>
        <v>1</v>
      </c>
      <c r="AK31" s="1">
        <f>IF(AND(TArticle[[#This Row],[کد وضعیت سند]]&lt;&gt;1,TArticle[[#This Row],[مبلغ]]&lt;&gt;0),1,0)</f>
        <v>0</v>
      </c>
      <c r="AL31" s="51">
        <f>IF(TArticle[[#This Row],[کد بانک]]&gt;0,TArticle[[#This Row],[مانده بانک]]-VLOOKUP(TArticle[[#This Row],[کد بانک]],TBank[],7,FALSE),"")</f>
        <v>17506</v>
      </c>
      <c r="AM31" s="49" t="str">
        <f>LEFT(TArticle[[#This Row],[تاریخ]],7)</f>
        <v>1401-01</v>
      </c>
    </row>
    <row r="32" spans="1:39" hidden="1" x14ac:dyDescent="0.25">
      <c r="A32" s="24" t="s">
        <v>1110</v>
      </c>
      <c r="B32" s="49" t="str">
        <f>VLOOKUP(TArticle[[#This Row],[شناسه]],TAccount[],2,TRUE)</f>
        <v>قسط وام بانکی</v>
      </c>
      <c r="C32" s="49" t="str">
        <f>VLOOKUP(TArticle[[#This Row],[تاریخ]],TDays[],7,FALSE)</f>
        <v>چهارشنبه</v>
      </c>
      <c r="D32" s="21" t="s">
        <v>234</v>
      </c>
      <c r="E32" s="1">
        <v>-1830</v>
      </c>
      <c r="F32" s="1">
        <f>TArticle[[#This Row],[مبلغ]]+IFERROR(INT(F31),30181+3667+958)</f>
        <v>23006</v>
      </c>
      <c r="G32" t="s">
        <v>1591</v>
      </c>
      <c r="H32" s="21">
        <v>11</v>
      </c>
      <c r="K32" s="21">
        <v>1</v>
      </c>
      <c r="L32" t="str">
        <f>IF(TArticle[[#This Row],[کد وضعیت سند]]&gt;0,VLOOKUP(TArticle[[#This Row],[کد وضعیت سند]],TDocState[],2,FALSE),"")</f>
        <v>انجام شد</v>
      </c>
      <c r="M32" s="27">
        <v>111</v>
      </c>
      <c r="N32" t="str">
        <f>IF(TArticle[[#This Row],[کد طرف حساب]]&gt;0,VLOOKUP(TArticle[[#This Row],[کد طرف حساب]],TContact[],2,FALSE),"")</f>
        <v>وام ملت ف</v>
      </c>
      <c r="O32" s="61">
        <f>IF(TArticle[[#This Row],[کد طرف حساب]]&gt;0,VLOOKUP(TArticle[[#This Row],[کد طرف حساب]],TContact[],7,FALSE)-SUMIF($M$2:M32,M32,$E$2:$E32),"")</f>
        <v>-44510</v>
      </c>
      <c r="P32" s="27" t="str">
        <f>RIGHT(TArticle[[#This Row],[تاریخ]],2)</f>
        <v>31</v>
      </c>
      <c r="Q32" s="27">
        <f>VLOOKUP(TArticle[[#This Row],[تاریخ]],TDays[],16,FALSE)</f>
        <v>5</v>
      </c>
      <c r="R32" s="27" t="str">
        <f>RIGHT(LEFT(TArticle[[#This Row],[تاریخ]],7),2)</f>
        <v>01</v>
      </c>
      <c r="S32" s="27" t="str">
        <f>LEFT(TArticle[[#This Row],[تاریخ]],4)</f>
        <v>1401</v>
      </c>
      <c r="U32" s="21">
        <f>VLOOKUP(TArticle[[#This Row],[شناسه]],TAccount[],7,TRUE)</f>
        <v>81652</v>
      </c>
      <c r="V32" s="21" t="s">
        <v>237</v>
      </c>
      <c r="W32" s="21">
        <f>IF(AND(TArticle[[#This Row],[مبلغ]]&gt;0, TArticle[[#This Row],[کد وضعیت سند]]=1),TArticle[[#This Row],[مبلغ]],0)</f>
        <v>0</v>
      </c>
      <c r="X32" s="27">
        <f>IF(AND(TArticle[[#This Row],[مبلغ]]&lt;0,TArticle[[#This Row],[کد وضعیت سند]]=1),0-TArticle[[#This Row],[مبلغ]],0)</f>
        <v>1830</v>
      </c>
      <c r="Y32" s="27">
        <v>2</v>
      </c>
      <c r="Z32" t="str">
        <f>IF(TArticle[[#This Row],[کد بانک]]&gt;0,VLOOKUP(TArticle[[#This Row],[کد بانک]],TBank[],2,FALSE),"")</f>
        <v>ملی جاری</v>
      </c>
      <c r="AA32">
        <f>IF(AND(TArticle[[#This Row],[مبلغ]]&lt;0,TArticle[[#This Row],[کد وضعیت سند]]=1),0-TArticle[[#This Row],[مبلغ]],0)</f>
        <v>1830</v>
      </c>
      <c r="AB32">
        <f>IF(AND(TArticle[[#This Row],[مبلغ]]&gt;0, TArticle[[#This Row],[کد وضعیت سند]]=1),TArticle[[#This Row],[مبلغ]],0)</f>
        <v>0</v>
      </c>
      <c r="AC32" s="84">
        <f>IF(TArticle[[#This Row],[کد بانک]]&gt;0,VLOOKUP(TArticle[[#This Row],[کد بانک]],TBank[],9,FALSE)+SUMIF($Y$2:Y32,Y32,$E$2:$E32),"")</f>
        <v>15676</v>
      </c>
      <c r="AD32" s="1">
        <f>IFERROR(IF(INT(LEFT(TArticle[[#This Row],[شناسه]]))=3,IF(TArticle[[#This Row],[کد وضعیت سند]]=1,TArticle[مبلغ],0),0),0)</f>
        <v>0</v>
      </c>
      <c r="AE32" s="1">
        <f>IFERROR(IF(((TArticle[[#This Row],[شناسه]]))="4.1.1",IF(TArticle[[#This Row],[کد وضعیت سند]]=1,TArticle[مبلغ],0),0),0)</f>
        <v>0</v>
      </c>
      <c r="AF32" s="1">
        <f>IFERROR(IF(((TArticle[[#This Row],[شناسه]]))="4.1.2",IF(TArticle[[#This Row],[کد وضعیت سند]]=1,TArticle[مبلغ],0),0),0)</f>
        <v>0</v>
      </c>
      <c r="AG32" s="1">
        <f>IFERROR(IF(INT(LEFT(TArticle[[#This Row],[شناسه]]))=1,IF(TArticle[[#This Row],[کد وضعیت سند]]=1,TArticle[مبلغ],0),0),0)</f>
        <v>-1830</v>
      </c>
      <c r="AH32" s="1">
        <f>IFERROR(IF(INT(LEFT(TArticle[[#This Row],[شناسه]]))=2,IF(TArticle[[#This Row],[کد وضعیت سند]]=1,TArticle[مبلغ],0),0),0)</f>
        <v>0</v>
      </c>
      <c r="AI32" s="1">
        <f>IFERROR(IF((LEFT(TArticle[[#This Row],[شناسه]],3))="5.2",IF(TArticle[[#This Row],[کد وضعیت سند]]=1,TArticle[مبلغ],0),0),0)</f>
        <v>0</v>
      </c>
      <c r="AJ32" s="1">
        <f>IF(TArticle[[#This Row],[کد وضعیت سند]]=1,1,0)</f>
        <v>1</v>
      </c>
      <c r="AK32" s="1">
        <f>IF(AND(TArticle[[#This Row],[کد وضعیت سند]]&lt;&gt;1,TArticle[[#This Row],[مبلغ]]&lt;&gt;0),1,0)</f>
        <v>0</v>
      </c>
      <c r="AL32" s="51">
        <f>IF(TArticle[[#This Row],[کد بانک]]&gt;0,TArticle[[#This Row],[مانده بانک]]-VLOOKUP(TArticle[[#This Row],[کد بانک]],TBank[],7,FALSE),"")</f>
        <v>15676</v>
      </c>
      <c r="AM32" s="49" t="str">
        <f>LEFT(TArticle[[#This Row],[تاریخ]],7)</f>
        <v>1401-01</v>
      </c>
    </row>
    <row r="33" spans="1:39" hidden="1" x14ac:dyDescent="0.25">
      <c r="A33" s="24" t="s">
        <v>1620</v>
      </c>
      <c r="B33" s="49" t="str">
        <f>VLOOKUP(TArticle[[#This Row],[شناسه]],TAccount[],2,TRUE)</f>
        <v>دریافت خسارت</v>
      </c>
      <c r="C33" s="49" t="str">
        <f>VLOOKUP(TArticle[[#This Row],[تاریخ]],TDays[],7,FALSE)</f>
        <v>پنجشنبه</v>
      </c>
      <c r="D33" s="21" t="s">
        <v>235</v>
      </c>
      <c r="E33" s="1">
        <f>445+183+81</f>
        <v>709</v>
      </c>
      <c r="F33" s="1">
        <f>TArticle[[#This Row],[مبلغ]]+IFERROR(INT(F32),30181+3667+958)</f>
        <v>23715</v>
      </c>
      <c r="K33" s="21">
        <v>1</v>
      </c>
      <c r="L33" t="str">
        <f>IF(TArticle[[#This Row],[کد وضعیت سند]]&gt;0,VLOOKUP(TArticle[[#This Row],[کد وضعیت سند]],TDocState[],2,FALSE),"")</f>
        <v>انجام شد</v>
      </c>
      <c r="N33" t="str">
        <f>IF(TArticle[[#This Row],[کد طرف حساب]]&gt;0,VLOOKUP(TArticle[[#This Row],[کد طرف حساب]],TContact[],2,FALSE),"")</f>
        <v/>
      </c>
      <c r="O33" s="61" t="str">
        <f>IF(TArticle[[#This Row],[کد طرف حساب]]&gt;0,VLOOKUP(TArticle[[#This Row],[کد طرف حساب]],TContact[],7,FALSE)-SUMIF($M$2:M33,M33,$E$2:$E33),"")</f>
        <v/>
      </c>
      <c r="P33" s="27" t="str">
        <f>RIGHT(TArticle[[#This Row],[تاریخ]],2)</f>
        <v>01</v>
      </c>
      <c r="Q33" s="27">
        <f>VLOOKUP(TArticle[[#This Row],[تاریخ]],TDays[],16,FALSE)</f>
        <v>5</v>
      </c>
      <c r="R33" s="27" t="str">
        <f>RIGHT(LEFT(TArticle[[#This Row],[تاریخ]],7),2)</f>
        <v>02</v>
      </c>
      <c r="S33" s="27" t="str">
        <f>LEFT(TArticle[[#This Row],[تاریخ]],4)</f>
        <v>1401</v>
      </c>
      <c r="U33" s="21">
        <f>VLOOKUP(TArticle[[#This Row],[شناسه]],TAccount[],7,TRUE)</f>
        <v>4513</v>
      </c>
      <c r="W33" s="21">
        <f>IF(AND(TArticle[[#This Row],[مبلغ]]&gt;0, TArticle[[#This Row],[کد وضعیت سند]]=1),TArticle[[#This Row],[مبلغ]],0)</f>
        <v>709</v>
      </c>
      <c r="X33" s="27">
        <f>IF(AND(TArticle[[#This Row],[مبلغ]]&lt;0,TArticle[[#This Row],[کد وضعیت سند]]=1),0-TArticle[[#This Row],[مبلغ]],0)</f>
        <v>0</v>
      </c>
      <c r="Y33" s="27">
        <v>2</v>
      </c>
      <c r="Z33" t="str">
        <f>IF(TArticle[[#This Row],[کد بانک]]&gt;0,VLOOKUP(TArticle[[#This Row],[کد بانک]],TBank[],2,FALSE),"")</f>
        <v>ملی جاری</v>
      </c>
      <c r="AA33">
        <f>IF(AND(TArticle[[#This Row],[مبلغ]]&lt;0,TArticle[[#This Row],[کد وضعیت سند]]=1),0-TArticle[[#This Row],[مبلغ]],0)</f>
        <v>0</v>
      </c>
      <c r="AB33">
        <f>IF(AND(TArticle[[#This Row],[مبلغ]]&gt;0, TArticle[[#This Row],[کد وضعیت سند]]=1),TArticle[[#This Row],[مبلغ]],0)</f>
        <v>709</v>
      </c>
      <c r="AC33" s="84">
        <f>IF(TArticle[[#This Row],[کد بانک]]&gt;0,VLOOKUP(TArticle[[#This Row],[کد بانک]],TBank[],9,FALSE)+SUMIF($Y$2:Y33,Y33,$E$2:$E33),"")</f>
        <v>16385</v>
      </c>
      <c r="AD33" s="1">
        <f>IFERROR(IF(INT(LEFT(TArticle[[#This Row],[شناسه]]))=3,IF(TArticle[[#This Row],[کد وضعیت سند]]=1,TArticle[مبلغ],0),0),0)</f>
        <v>0</v>
      </c>
      <c r="AE33" s="1">
        <f>IFERROR(IF(((TArticle[[#This Row],[شناسه]]))="4.1.1",IF(TArticle[[#This Row],[کد وضعیت سند]]=1,TArticle[مبلغ],0),0),0)</f>
        <v>0</v>
      </c>
      <c r="AF33" s="1">
        <f>IFERROR(IF(((TArticle[[#This Row],[شناسه]]))="4.1.2",IF(TArticle[[#This Row],[کد وضعیت سند]]=1,TArticle[مبلغ],0),0),0)</f>
        <v>0</v>
      </c>
      <c r="AG33" s="1">
        <f>IFERROR(IF(INT(LEFT(TArticle[[#This Row],[شناسه]]))=1,IF(TArticle[[#This Row],[کد وضعیت سند]]=1,TArticle[مبلغ],0),0),0)</f>
        <v>0</v>
      </c>
      <c r="AH33" s="1">
        <f>IFERROR(IF(INT(LEFT(TArticle[[#This Row],[شناسه]]))=2,IF(TArticle[[#This Row],[کد وضعیت سند]]=1,TArticle[مبلغ],0),0),0)</f>
        <v>0</v>
      </c>
      <c r="AI33" s="1">
        <f>IFERROR(IF((LEFT(TArticle[[#This Row],[شناسه]],3))="5.2",IF(TArticle[[#This Row],[کد وضعیت سند]]=1,TArticle[مبلغ],0),0),0)</f>
        <v>0</v>
      </c>
      <c r="AJ33" s="1">
        <f>IF(TArticle[[#This Row],[کد وضعیت سند]]=1,1,0)</f>
        <v>1</v>
      </c>
      <c r="AK33" s="1">
        <f>IF(AND(TArticle[[#This Row],[کد وضعیت سند]]&lt;&gt;1,TArticle[[#This Row],[مبلغ]]&lt;&gt;0),1,0)</f>
        <v>0</v>
      </c>
      <c r="AL33" s="51">
        <f>IF(TArticle[[#This Row],[کد بانک]]&gt;0,TArticle[[#This Row],[مانده بانک]]-VLOOKUP(TArticle[[#This Row],[کد بانک]],TBank[],7,FALSE),"")</f>
        <v>16385</v>
      </c>
      <c r="AM33" s="49" t="str">
        <f>LEFT(TArticle[[#This Row],[تاریخ]],7)</f>
        <v>1401-02</v>
      </c>
    </row>
    <row r="34" spans="1:39" hidden="1" x14ac:dyDescent="0.25">
      <c r="A34" s="24" t="s">
        <v>55</v>
      </c>
      <c r="B34" s="49" t="str">
        <f>VLOOKUP(TArticle[[#This Row],[شناسه]],TAccount[],2,TRUE)</f>
        <v>هزینه کلی</v>
      </c>
      <c r="C34" s="49" t="str">
        <f>VLOOKUP(TArticle[[#This Row],[تاریخ]],TDays[],7,FALSE)</f>
        <v>پنجشنبه</v>
      </c>
      <c r="D34" s="21" t="s">
        <v>235</v>
      </c>
      <c r="E34" s="1">
        <f>16051-16385</f>
        <v>-334</v>
      </c>
      <c r="F34" s="1">
        <f>TArticle[[#This Row],[مبلغ]]+IFERROR(INT(F33),30181+3667+958)</f>
        <v>23381</v>
      </c>
      <c r="G34" t="s">
        <v>1652</v>
      </c>
      <c r="J34" s="51"/>
      <c r="K34" s="49">
        <v>1</v>
      </c>
      <c r="L34" t="str">
        <f>IF(TArticle[[#This Row],[کد وضعیت سند]]&gt;0,VLOOKUP(TArticle[[#This Row],[کد وضعیت سند]],TDocState[],2,FALSE),"")</f>
        <v>انجام شد</v>
      </c>
      <c r="M34" s="67"/>
      <c r="N34" t="str">
        <f>IF(TArticle[[#This Row],[کد طرف حساب]]&gt;0,VLOOKUP(TArticle[[#This Row],[کد طرف حساب]],TContact[],2,FALSE),"")</f>
        <v/>
      </c>
      <c r="O34" s="60" t="str">
        <f>IF(TArticle[[#This Row],[کد طرف حساب]]&gt;0,VLOOKUP(TArticle[[#This Row],[کد طرف حساب]],TContact[],7,FALSE)-SUMIF($M$2:M34,M34,$E$2:$E34),"")</f>
        <v/>
      </c>
      <c r="P34" s="27" t="str">
        <f>RIGHT(TArticle[[#This Row],[تاریخ]],2)</f>
        <v>01</v>
      </c>
      <c r="Q34" s="27">
        <f>VLOOKUP(TArticle[[#This Row],[تاریخ]],TDays[],16,FALSE)</f>
        <v>5</v>
      </c>
      <c r="R34" s="27" t="str">
        <f>RIGHT(LEFT(TArticle[[#This Row],[تاریخ]],7),2)</f>
        <v>02</v>
      </c>
      <c r="S34" s="27" t="str">
        <f>LEFT(TArticle[[#This Row],[تاریخ]],4)</f>
        <v>1401</v>
      </c>
      <c r="U34" s="21">
        <f>VLOOKUP(TArticle[[#This Row],[شناسه]],TAccount[],7,TRUE)</f>
        <v>364074</v>
      </c>
      <c r="V34" s="21" t="s">
        <v>223</v>
      </c>
      <c r="W34" s="21">
        <f>IF(AND(TArticle[[#This Row],[مبلغ]]&gt;0, TArticle[[#This Row],[کد وضعیت سند]]=1),TArticle[[#This Row],[مبلغ]],0)</f>
        <v>0</v>
      </c>
      <c r="X34" s="27">
        <f>IF(AND(TArticle[[#This Row],[مبلغ]]&lt;0,TArticle[[#This Row],[کد وضعیت سند]]=1),0-TArticle[[#This Row],[مبلغ]],0)</f>
        <v>334</v>
      </c>
      <c r="Y34" s="27">
        <v>2</v>
      </c>
      <c r="Z34" t="str">
        <f>IF(TArticle[[#This Row],[کد بانک]]&gt;0,VLOOKUP(TArticle[[#This Row],[کد بانک]],TBank[],2,FALSE),"")</f>
        <v>ملی جاری</v>
      </c>
      <c r="AA34">
        <f>IF(AND(TArticle[[#This Row],[مبلغ]]&lt;0,TArticle[[#This Row],[کد وضعیت سند]]=1),0-TArticle[[#This Row],[مبلغ]],0)</f>
        <v>334</v>
      </c>
      <c r="AB34">
        <f>IF(AND(TArticle[[#This Row],[مبلغ]]&gt;0, TArticle[[#This Row],[کد وضعیت سند]]=1),TArticle[[#This Row],[مبلغ]],0)</f>
        <v>0</v>
      </c>
      <c r="AC34" s="92">
        <f>IF(TArticle[[#This Row],[کد بانک]]&gt;0,VLOOKUP(TArticle[[#This Row],[کد بانک]],TBank[],9,FALSE)+SUMIF($Y$2:Y34,Y34,$E$2:$E34),"")</f>
        <v>16051</v>
      </c>
      <c r="AD34" s="1">
        <f>IFERROR(IF(INT(LEFT(TArticle[[#This Row],[شناسه]]))=3,IF(TArticle[[#This Row],[کد وضعیت سند]]=1,TArticle[مبلغ],0),0),0)</f>
        <v>-334</v>
      </c>
      <c r="AE34" s="1">
        <f>IFERROR(IF(((TArticle[[#This Row],[شناسه]]))="4.1.1",IF(TArticle[[#This Row],[کد وضعیت سند]]=1,TArticle[مبلغ],0),0),0)</f>
        <v>0</v>
      </c>
      <c r="AF34" s="1">
        <f>IFERROR(IF(((TArticle[[#This Row],[شناسه]]))="4.1.2",IF(TArticle[[#This Row],[کد وضعیت سند]]=1,TArticle[مبلغ],0),0),0)</f>
        <v>0</v>
      </c>
      <c r="AG34" s="1">
        <f>IFERROR(IF(INT(LEFT(TArticle[[#This Row],[شناسه]]))=1,IF(TArticle[[#This Row],[کد وضعیت سند]]=1,TArticle[مبلغ],0),0),0)</f>
        <v>0</v>
      </c>
      <c r="AH34" s="1">
        <f>IFERROR(IF(INT(LEFT(TArticle[[#This Row],[شناسه]]))=2,IF(TArticle[[#This Row],[کد وضعیت سند]]=1,TArticle[مبلغ],0),0),0)</f>
        <v>0</v>
      </c>
      <c r="AI34" s="1">
        <f>IFERROR(IF((LEFT(TArticle[[#This Row],[شناسه]],3))="5.2",IF(TArticle[[#This Row],[کد وضعیت سند]]=1,TArticle[مبلغ],0),0),0)</f>
        <v>0</v>
      </c>
      <c r="AJ34" s="1">
        <f>IF(TArticle[[#This Row],[کد وضعیت سند]]=1,1,0)</f>
        <v>1</v>
      </c>
      <c r="AK34" s="1">
        <f>IF(AND(TArticle[[#This Row],[کد وضعیت سند]]&lt;&gt;1,TArticle[[#This Row],[مبلغ]]&lt;&gt;0),1,0)</f>
        <v>0</v>
      </c>
      <c r="AL34" s="51">
        <f>IF(TArticle[[#This Row],[کد بانک]]&gt;0,TArticle[[#This Row],[مانده بانک]]-VLOOKUP(TArticle[[#This Row],[کد بانک]],TBank[],7,FALSE),"")</f>
        <v>16051</v>
      </c>
      <c r="AM34" s="58" t="str">
        <f>LEFT(TArticle[[#This Row],[تاریخ]],7)</f>
        <v>1401-02</v>
      </c>
    </row>
    <row r="35" spans="1:39" hidden="1" x14ac:dyDescent="0.25">
      <c r="A35" s="24" t="s">
        <v>38</v>
      </c>
      <c r="B35" s="49" t="str">
        <f>VLOOKUP(TArticle[[#This Row],[شناسه]],TAccount[],2,TRUE)</f>
        <v>چک حافظان وحی</v>
      </c>
      <c r="C35" s="49" t="str">
        <f>VLOOKUP(TArticle[[#This Row],[تاریخ]],TDays[],7,FALSE)</f>
        <v>چهارشنبه</v>
      </c>
      <c r="D35" s="21" t="s">
        <v>241</v>
      </c>
      <c r="E35" s="1">
        <v>-4000</v>
      </c>
      <c r="F35" s="1">
        <f>TArticle[[#This Row],[مبلغ]]+IFERROR(INT(F34),30181+3667+958)</f>
        <v>19381</v>
      </c>
      <c r="H35" s="64">
        <v>131252</v>
      </c>
      <c r="J35" s="65"/>
      <c r="K35" s="64">
        <v>1</v>
      </c>
      <c r="L35" s="66" t="str">
        <f>IF(TArticle[[#This Row],[کد وضعیت سند]]&gt;0,VLOOKUP(TArticle[[#This Row],[کد وضعیت سند]],TDocState[],2,FALSE),"")</f>
        <v>انجام شد</v>
      </c>
      <c r="M35" s="67"/>
      <c r="N35" t="str">
        <f>IF(TArticle[[#This Row],[کد طرف حساب]]&gt;0,VLOOKUP(TArticle[[#This Row],[کد طرف حساب]],TContact[],2,FALSE),"")</f>
        <v/>
      </c>
      <c r="O35" s="68" t="str">
        <f>IF(TArticle[[#This Row],[کد طرف حساب]]&gt;0,VLOOKUP(TArticle[[#This Row],[کد طرف حساب]],TContact[],7,FALSE)-SUMIF($M$2:M35,M35,$E$2:$E35),"")</f>
        <v/>
      </c>
      <c r="P35" s="67" t="str">
        <f>RIGHT(TArticle[[#This Row],[تاریخ]],2)</f>
        <v>07</v>
      </c>
      <c r="Q35" s="67">
        <f>VLOOKUP(TArticle[[#This Row],[تاریخ]],TDays[],16,FALSE)</f>
        <v>6</v>
      </c>
      <c r="R35" s="67" t="str">
        <f>RIGHT(LEFT(TArticle[[#This Row],[تاریخ]],7),2)</f>
        <v>02</v>
      </c>
      <c r="S35" s="67" t="str">
        <f>LEFT(TArticle[[#This Row],[تاریخ]],4)</f>
        <v>1401</v>
      </c>
      <c r="T35" s="64"/>
      <c r="U35" s="64">
        <f>VLOOKUP(TArticle[[#This Row],[شناسه]],TAccount[],7,TRUE)</f>
        <v>8000</v>
      </c>
      <c r="V35" s="64" t="s">
        <v>241</v>
      </c>
      <c r="W35" s="64">
        <f>IF(AND(TArticle[[#This Row],[مبلغ]]&gt;0, TArticle[[#This Row],[کد وضعیت سند]]=1),TArticle[[#This Row],[مبلغ]],0)</f>
        <v>0</v>
      </c>
      <c r="X35" s="67">
        <f>IF(AND(TArticle[[#This Row],[مبلغ]]&lt;0,TArticle[[#This Row],[کد وضعیت سند]]=1),0-TArticle[[#This Row],[مبلغ]],0)</f>
        <v>4000</v>
      </c>
      <c r="Y35" s="67">
        <v>2</v>
      </c>
      <c r="Z35" t="str">
        <f>IF(TArticle[[#This Row],[کد بانک]]&gt;0,VLOOKUP(TArticle[[#This Row],[کد بانک]],TBank[],2,FALSE),"")</f>
        <v>ملی جاری</v>
      </c>
      <c r="AA35">
        <f>IF(AND(TArticle[[#This Row],[مبلغ]]&lt;0,TArticle[[#This Row],[کد وضعیت سند]]=1),0-TArticle[[#This Row],[مبلغ]],0)</f>
        <v>4000</v>
      </c>
      <c r="AB35">
        <f>IF(AND(TArticle[[#This Row],[مبلغ]]&gt;0, TArticle[[#This Row],[کد وضعیت سند]]=1),TArticle[[#This Row],[مبلغ]],0)</f>
        <v>0</v>
      </c>
      <c r="AC35" s="93">
        <f>IF(TArticle[[#This Row],[کد بانک]]&gt;0,VLOOKUP(TArticle[[#This Row],[کد بانک]],TBank[],9,FALSE)+SUMIF($Y$2:Y35,Y35,$E$2:$E35),"")</f>
        <v>12051</v>
      </c>
      <c r="AD35" s="1">
        <f>IFERROR(IF(INT(LEFT(TArticle[[#This Row],[شناسه]]))=3,IF(TArticle[[#This Row],[کد وضعیت سند]]=1,TArticle[مبلغ],0),0),0)</f>
        <v>0</v>
      </c>
      <c r="AE35" s="1">
        <f>IFERROR(IF(((TArticle[[#This Row],[شناسه]]))="4.1.1",IF(TArticle[[#This Row],[کد وضعیت سند]]=1,TArticle[مبلغ],0),0),0)</f>
        <v>0</v>
      </c>
      <c r="AF35" s="1">
        <f>IFERROR(IF(((TArticle[[#This Row],[شناسه]]))="4.1.2",IF(TArticle[[#This Row],[کد وضعیت سند]]=1,TArticle[مبلغ],0),0),0)</f>
        <v>0</v>
      </c>
      <c r="AG35" s="1">
        <f>IFERROR(IF(INT(LEFT(TArticle[[#This Row],[شناسه]]))=1,IF(TArticle[[#This Row],[کد وضعیت سند]]=1,TArticle[مبلغ],0),0),0)</f>
        <v>-4000</v>
      </c>
      <c r="AH35" s="1">
        <f>IFERROR(IF(INT(LEFT(TArticle[[#This Row],[شناسه]]))=2,IF(TArticle[[#This Row],[کد وضعیت سند]]=1,TArticle[مبلغ],0),0),0)</f>
        <v>0</v>
      </c>
      <c r="AI35" s="1">
        <f>IFERROR(IF((LEFT(TArticle[[#This Row],[شناسه]],3))="5.2",IF(TArticle[[#This Row],[کد وضعیت سند]]=1,TArticle[مبلغ],0),0),0)</f>
        <v>0</v>
      </c>
      <c r="AJ35" s="1">
        <f>IF(TArticle[[#This Row],[کد وضعیت سند]]=1,1,0)</f>
        <v>1</v>
      </c>
      <c r="AK35" s="1">
        <f>IF(AND(TArticle[[#This Row],[کد وضعیت سند]]&lt;&gt;1,TArticle[[#This Row],[مبلغ]]&lt;&gt;0),1,0)</f>
        <v>0</v>
      </c>
      <c r="AL35" s="78">
        <f>IF(TArticle[[#This Row],[کد بانک]]&gt;0,TArticle[[#This Row],[مانده بانک]]-VLOOKUP(TArticle[[#This Row],[کد بانک]],TBank[],7,FALSE),"")</f>
        <v>12051</v>
      </c>
      <c r="AM35" s="58" t="str">
        <f>LEFT(TArticle[[#This Row],[تاریخ]],7)</f>
        <v>1401-02</v>
      </c>
    </row>
    <row r="36" spans="1:39" hidden="1" x14ac:dyDescent="0.25">
      <c r="A36" s="24" t="s">
        <v>55</v>
      </c>
      <c r="B36" s="49" t="str">
        <f>VLOOKUP(TArticle[[#This Row],[شناسه]],TAccount[],2,TRUE)</f>
        <v>هزینه کلی</v>
      </c>
      <c r="C36" s="49" t="str">
        <f>VLOOKUP(TArticle[[#This Row],[تاریخ]],TDays[],7,FALSE)</f>
        <v>یکشنبه</v>
      </c>
      <c r="D36" s="21" t="s">
        <v>245</v>
      </c>
      <c r="E36" s="1">
        <v>-7600</v>
      </c>
      <c r="F36" s="1">
        <f>TArticle[[#This Row],[مبلغ]]+IFERROR(INT(F35),30181+3667+958)</f>
        <v>11781</v>
      </c>
      <c r="G36" t="s">
        <v>1610</v>
      </c>
      <c r="K36" s="21">
        <v>1</v>
      </c>
      <c r="L36" t="str">
        <f>IF(TArticle[[#This Row],[کد وضعیت سند]]&gt;0,VLOOKUP(TArticle[[#This Row],[کد وضعیت سند]],TDocState[],2,FALSE),"")</f>
        <v>انجام شد</v>
      </c>
      <c r="N36" t="str">
        <f>IF(TArticle[[#This Row],[کد طرف حساب]]&gt;0,VLOOKUP(TArticle[[#This Row],[کد طرف حساب]],TContact[],2,FALSE),"")</f>
        <v/>
      </c>
      <c r="O36" s="61" t="str">
        <f>IF(TArticle[[#This Row],[کد طرف حساب]]&gt;0,VLOOKUP(TArticle[[#This Row],[کد طرف حساب]],TContact[],7,FALSE)-SUMIF($M$2:M36,M36,$E$2:$E36),"")</f>
        <v/>
      </c>
      <c r="P36" s="27" t="str">
        <f>RIGHT(TArticle[[#This Row],[تاریخ]],2)</f>
        <v>11</v>
      </c>
      <c r="Q36" s="27">
        <f>VLOOKUP(TArticle[[#This Row],[تاریخ]],TDays[],16,FALSE)</f>
        <v>7</v>
      </c>
      <c r="R36" s="27" t="str">
        <f>RIGHT(LEFT(TArticle[[#This Row],[تاریخ]],7),2)</f>
        <v>02</v>
      </c>
      <c r="S36" s="27" t="str">
        <f>LEFT(TArticle[[#This Row],[تاریخ]],4)</f>
        <v>1401</v>
      </c>
      <c r="U36" s="21">
        <f>VLOOKUP(TArticle[[#This Row],[شناسه]],TAccount[],7,TRUE)</f>
        <v>364074</v>
      </c>
      <c r="W36" s="21">
        <f>IF(AND(TArticle[[#This Row],[مبلغ]]&gt;0, TArticle[[#This Row],[کد وضعیت سند]]=1),TArticle[[#This Row],[مبلغ]],0)</f>
        <v>0</v>
      </c>
      <c r="X36" s="27">
        <f>IF(AND(TArticle[[#This Row],[مبلغ]]&lt;0,TArticle[[#This Row],[کد وضعیت سند]]=1),0-TArticle[[#This Row],[مبلغ]],0)</f>
        <v>7600</v>
      </c>
      <c r="Y36" s="27">
        <v>2</v>
      </c>
      <c r="Z36" t="str">
        <f>IF(TArticle[[#This Row],[کد بانک]]&gt;0,VLOOKUP(TArticle[[#This Row],[کد بانک]],TBank[],2,FALSE),"")</f>
        <v>ملی جاری</v>
      </c>
      <c r="AA36">
        <f>IF(AND(TArticle[[#This Row],[مبلغ]]&lt;0,TArticle[[#This Row],[کد وضعیت سند]]=1),0-TArticle[[#This Row],[مبلغ]],0)</f>
        <v>7600</v>
      </c>
      <c r="AB36">
        <f>IF(AND(TArticle[[#This Row],[مبلغ]]&gt;0, TArticle[[#This Row],[کد وضعیت سند]]=1),TArticle[[#This Row],[مبلغ]],0)</f>
        <v>0</v>
      </c>
      <c r="AC36" s="84">
        <f>IF(TArticle[[#This Row],[کد بانک]]&gt;0,VLOOKUP(TArticle[[#This Row],[کد بانک]],TBank[],9,FALSE)+SUMIF($Y$2:Y36,Y36,$E$2:$E36),"")</f>
        <v>4451</v>
      </c>
      <c r="AD36" s="1">
        <f>IFERROR(IF(INT(LEFT(TArticle[[#This Row],[شناسه]]))=3,IF(TArticle[[#This Row],[کد وضعیت سند]]=1,TArticle[مبلغ],0),0),0)</f>
        <v>-7600</v>
      </c>
      <c r="AE36" s="1">
        <f>IFERROR(IF(((TArticle[[#This Row],[شناسه]]))="4.1.1",IF(TArticle[[#This Row],[کد وضعیت سند]]=1,TArticle[مبلغ],0),0),0)</f>
        <v>0</v>
      </c>
      <c r="AF36" s="1">
        <f>IFERROR(IF(((TArticle[[#This Row],[شناسه]]))="4.1.2",IF(TArticle[[#This Row],[کد وضعیت سند]]=1,TArticle[مبلغ],0),0),0)</f>
        <v>0</v>
      </c>
      <c r="AG36" s="1">
        <f>IFERROR(IF(INT(LEFT(TArticle[[#This Row],[شناسه]]))=1,IF(TArticle[[#This Row],[کد وضعیت سند]]=1,TArticle[مبلغ],0),0),0)</f>
        <v>0</v>
      </c>
      <c r="AH36" s="1">
        <f>IFERROR(IF(INT(LEFT(TArticle[[#This Row],[شناسه]]))=2,IF(TArticle[[#This Row],[کد وضعیت سند]]=1,TArticle[مبلغ],0),0),0)</f>
        <v>0</v>
      </c>
      <c r="AI36" s="1">
        <f>IFERROR(IF((LEFT(TArticle[[#This Row],[شناسه]],3))="5.2",IF(TArticle[[#This Row],[کد وضعیت سند]]=1,TArticle[مبلغ],0),0),0)</f>
        <v>0</v>
      </c>
      <c r="AJ36" s="1">
        <f>IF(TArticle[[#This Row],[کد وضعیت سند]]=1,1,0)</f>
        <v>1</v>
      </c>
      <c r="AK36" s="1">
        <f>IF(AND(TArticle[[#This Row],[کد وضعیت سند]]&lt;&gt;1,TArticle[[#This Row],[مبلغ]]&lt;&gt;0),1,0)</f>
        <v>0</v>
      </c>
      <c r="AL36" s="51">
        <f>IF(TArticle[[#This Row],[کد بانک]]&gt;0,TArticle[[#This Row],[مانده بانک]]-VLOOKUP(TArticle[[#This Row],[کد بانک]],TBank[],7,FALSE),"")</f>
        <v>4451</v>
      </c>
      <c r="AM36" s="49" t="str">
        <f>LEFT(TArticle[[#This Row],[تاریخ]],7)</f>
        <v>1401-02</v>
      </c>
    </row>
    <row r="37" spans="1:39" hidden="1" x14ac:dyDescent="0.25">
      <c r="A37" s="24" t="s">
        <v>1210</v>
      </c>
      <c r="B37" s="49" t="str">
        <f>VLOOKUP(TArticle[[#This Row],[شناسه]],TAccount[],2,TRUE)</f>
        <v>حقوق مناسبت</v>
      </c>
      <c r="C37" s="49" t="str">
        <f>VLOOKUP(TArticle[[#This Row],[تاریخ]],TDays[],7,FALSE)</f>
        <v>یکشنبه</v>
      </c>
      <c r="D37" s="28" t="s">
        <v>245</v>
      </c>
      <c r="E37" s="1">
        <v>800</v>
      </c>
      <c r="F37" s="1">
        <f>TArticle[[#This Row],[مبلغ]]+IFERROR(INT(F36),30181+3667+958)</f>
        <v>12581</v>
      </c>
      <c r="H37" s="64"/>
      <c r="J37" s="65"/>
      <c r="K37" s="49">
        <v>1</v>
      </c>
      <c r="L37" s="66" t="str">
        <f>IF(TArticle[[#This Row],[کد وضعیت سند]]&gt;0,VLOOKUP(TArticle[[#This Row],[کد وضعیت سند]],TDocState[],2,FALSE),"")</f>
        <v>انجام شد</v>
      </c>
      <c r="M37" s="67"/>
      <c r="N37" t="str">
        <f>IF(TArticle[[#This Row],[کد طرف حساب]]&gt;0,VLOOKUP(TArticle[[#This Row],[کد طرف حساب]],TContact[],2,FALSE),"")</f>
        <v/>
      </c>
      <c r="O37" s="68" t="str">
        <f>IF(TArticle[[#This Row],[کد طرف حساب]]&gt;0,VLOOKUP(TArticle[[#This Row],[کد طرف حساب]],TContact[],7,FALSE)-SUMIF($M$2:M37,M37,$E$2:$E37),"")</f>
        <v/>
      </c>
      <c r="P37" s="67" t="str">
        <f>RIGHT(TArticle[[#This Row],[تاریخ]],2)</f>
        <v>11</v>
      </c>
      <c r="Q37" s="67">
        <f>VLOOKUP(TArticle[[#This Row],[تاریخ]],TDays[],16,FALSE)</f>
        <v>7</v>
      </c>
      <c r="R37" s="67" t="str">
        <f>RIGHT(LEFT(TArticle[[#This Row],[تاریخ]],7),2)</f>
        <v>02</v>
      </c>
      <c r="S37" s="67" t="str">
        <f>LEFT(TArticle[[#This Row],[تاریخ]],4)</f>
        <v>1401</v>
      </c>
      <c r="T37" s="64"/>
      <c r="U37" s="64">
        <f>VLOOKUP(TArticle[[#This Row],[شناسه]],TAccount[],7,TRUE)</f>
        <v>18339</v>
      </c>
      <c r="V37" s="21" t="s">
        <v>253</v>
      </c>
      <c r="W37" s="64">
        <f>IF(AND(TArticle[[#This Row],[مبلغ]]&gt;0, TArticle[[#This Row],[کد وضعیت سند]]=1),TArticle[[#This Row],[مبلغ]],0)</f>
        <v>800</v>
      </c>
      <c r="X37" s="67">
        <f>IF(AND(TArticle[[#This Row],[مبلغ]]&lt;0,TArticle[[#This Row],[کد وضعیت سند]]=1),0-TArticle[[#This Row],[مبلغ]],0)</f>
        <v>0</v>
      </c>
      <c r="Y37" s="27">
        <v>30</v>
      </c>
      <c r="Z37" t="str">
        <f>IF(TArticle[[#This Row],[کد بانک]]&gt;0,VLOOKUP(TArticle[[#This Row],[کد بانک]],TBank[],2,FALSE),"")</f>
        <v>بن کارت</v>
      </c>
      <c r="AA37">
        <f>IF(AND(TArticle[[#This Row],[مبلغ]]&lt;0,TArticle[[#This Row],[کد وضعیت سند]]=1),0-TArticle[[#This Row],[مبلغ]],0)</f>
        <v>0</v>
      </c>
      <c r="AB37">
        <f>IF(AND(TArticle[[#This Row],[مبلغ]]&gt;0, TArticle[[#This Row],[کد وضعیت سند]]=1),TArticle[[#This Row],[مبلغ]],0)</f>
        <v>800</v>
      </c>
      <c r="AC37" s="93">
        <f>IF(TArticle[[#This Row],[کد بانک]]&gt;0,VLOOKUP(TArticle[[#This Row],[کد بانک]],TBank[],9,FALSE)+SUMIF($Y$2:Y37,Y37,$E$2:$E37),"")</f>
        <v>800</v>
      </c>
      <c r="AD37" s="1">
        <f>IFERROR(IF(INT(LEFT(TArticle[[#This Row],[شناسه]]))=3,IF(TArticle[[#This Row],[کد وضعیت سند]]=1,TArticle[مبلغ],0),0),0)</f>
        <v>0</v>
      </c>
      <c r="AE37" s="1">
        <f>IFERROR(IF(((TArticle[[#This Row],[شناسه]]))="4.1.1",IF(TArticle[[#This Row],[کد وضعیت سند]]=1,TArticle[مبلغ],0),0),0)</f>
        <v>0</v>
      </c>
      <c r="AF37" s="1">
        <f>IFERROR(IF(((TArticle[[#This Row],[شناسه]]))="4.1.2",IF(TArticle[[#This Row],[کد وضعیت سند]]=1,TArticle[مبلغ],0),0),0)</f>
        <v>0</v>
      </c>
      <c r="AG37" s="1">
        <f>IFERROR(IF(INT(LEFT(TArticle[[#This Row],[شناسه]]))=1,IF(TArticle[[#This Row],[کد وضعیت سند]]=1,TArticle[مبلغ],0),0),0)</f>
        <v>0</v>
      </c>
      <c r="AH37" s="1">
        <f>IFERROR(IF(INT(LEFT(TArticle[[#This Row],[شناسه]]))=2,IF(TArticle[[#This Row],[کد وضعیت سند]]=1,TArticle[مبلغ],0),0),0)</f>
        <v>0</v>
      </c>
      <c r="AI37" s="1">
        <f>IFERROR(IF((LEFT(TArticle[[#This Row],[شناسه]],3))="5.2",IF(TArticle[[#This Row],[کد وضعیت سند]]=1,TArticle[مبلغ],0),0),0)</f>
        <v>0</v>
      </c>
      <c r="AJ37" s="1">
        <f>IF(TArticle[[#This Row],[کد وضعیت سند]]=1,1,0)</f>
        <v>1</v>
      </c>
      <c r="AK37" s="1">
        <f>IF(AND(TArticle[[#This Row],[کد وضعیت سند]]&lt;&gt;1,TArticle[[#This Row],[مبلغ]]&lt;&gt;0),1,0)</f>
        <v>0</v>
      </c>
      <c r="AL37" s="78">
        <f>IF(TArticle[[#This Row],[کد بانک]]&gt;0,TArticle[[#This Row],[مانده بانک]]-VLOOKUP(TArticle[[#This Row],[کد بانک]],TBank[],7,FALSE),"")</f>
        <v>800</v>
      </c>
      <c r="AM37" s="58" t="str">
        <f>LEFT(TArticle[[#This Row],[تاریخ]],7)</f>
        <v>1401-02</v>
      </c>
    </row>
    <row r="38" spans="1:39" hidden="1" x14ac:dyDescent="0.25">
      <c r="A38" s="24" t="s">
        <v>55</v>
      </c>
      <c r="B38" s="49" t="str">
        <f>VLOOKUP(TArticle[[#This Row],[شناسه]],TAccount[],2,TRUE)</f>
        <v>هزینه کلی</v>
      </c>
      <c r="C38" s="49" t="str">
        <f>VLOOKUP(TArticle[[#This Row],[تاریخ]],TDays[],7,FALSE)</f>
        <v>دوشنبه</v>
      </c>
      <c r="D38" s="21" t="s">
        <v>246</v>
      </c>
      <c r="E38" s="1">
        <v>-2350</v>
      </c>
      <c r="F38" s="1">
        <f>TArticle[[#This Row],[مبلغ]]+IFERROR(INT(F37),30181+3667+958)</f>
        <v>10231</v>
      </c>
      <c r="K38" s="21">
        <v>1</v>
      </c>
      <c r="L38" t="str">
        <f>IF(TArticle[[#This Row],[کد وضعیت سند]]&gt;0,VLOOKUP(TArticle[[#This Row],[کد وضعیت سند]],TDocState[],2,FALSE),"")</f>
        <v>انجام شد</v>
      </c>
      <c r="N38" t="str">
        <f>IF(TArticle[[#This Row],[کد طرف حساب]]&gt;0,VLOOKUP(TArticle[[#This Row],[کد طرف حساب]],TContact[],2,FALSE),"")</f>
        <v/>
      </c>
      <c r="O38" s="51" t="str">
        <f>IF(TArticle[[#This Row],[کد طرف حساب]]&gt;0,VLOOKUP(TArticle[[#This Row],[کد طرف حساب]],TContact[],7,FALSE)-SUMIF($M$2:M38,M38,$E$2:$E38),"")</f>
        <v/>
      </c>
      <c r="P38" s="27" t="str">
        <f>RIGHT(TArticle[[#This Row],[تاریخ]],2)</f>
        <v>12</v>
      </c>
      <c r="Q38" s="27">
        <f>VLOOKUP(TArticle[[#This Row],[تاریخ]],TDays[],16,FALSE)</f>
        <v>7</v>
      </c>
      <c r="R38" s="27" t="str">
        <f>RIGHT(LEFT(TArticle[[#This Row],[تاریخ]],7),2)</f>
        <v>02</v>
      </c>
      <c r="S38" s="27" t="str">
        <f>LEFT(TArticle[[#This Row],[تاریخ]],4)</f>
        <v>1401</v>
      </c>
      <c r="U38" s="21">
        <f>VLOOKUP(TArticle[[#This Row],[شناسه]],TAccount[],7,TRUE)</f>
        <v>364074</v>
      </c>
      <c r="W38" s="21">
        <f>IF(AND(TArticle[[#This Row],[مبلغ]]&gt;0, TArticle[[#This Row],[کد وضعیت سند]]=1),TArticle[[#This Row],[مبلغ]],0)</f>
        <v>0</v>
      </c>
      <c r="X38" s="27">
        <f>IF(AND(TArticle[[#This Row],[مبلغ]]&lt;0,TArticle[[#This Row],[کد وضعیت سند]]=1),0-TArticle[[#This Row],[مبلغ]],0)</f>
        <v>2350</v>
      </c>
      <c r="Y38" s="27">
        <v>16</v>
      </c>
      <c r="Z38" t="str">
        <f>IF(TArticle[[#This Row],[کد بانک]]&gt;0,VLOOKUP(TArticle[[#This Row],[کد بانک]],TBank[],2,FALSE),"")</f>
        <v>مهرایران</v>
      </c>
      <c r="AA38">
        <f>IF(AND(TArticle[[#This Row],[مبلغ]]&lt;0,TArticle[[#This Row],[کد وضعیت سند]]=1),0-TArticle[[#This Row],[مبلغ]],0)</f>
        <v>2350</v>
      </c>
      <c r="AB38">
        <f>IF(AND(TArticle[[#This Row],[مبلغ]]&gt;0, TArticle[[#This Row],[کد وضعیت سند]]=1),TArticle[[#This Row],[مبلغ]],0)</f>
        <v>0</v>
      </c>
      <c r="AC38" s="84">
        <f>IF(TArticle[[#This Row],[کد بانک]]&gt;0,VLOOKUP(TArticle[[#This Row],[کد بانک]],TBank[],9,FALSE)+SUMIF($Y$2:Y38,Y38,$E$2:$E38),"")</f>
        <v>35</v>
      </c>
      <c r="AD38" s="1">
        <f>IFERROR(IF(INT(LEFT(TArticle[[#This Row],[شناسه]]))=3,IF(TArticle[[#This Row],[کد وضعیت سند]]=1,TArticle[مبلغ],0),0),0)</f>
        <v>-2350</v>
      </c>
      <c r="AE38" s="1">
        <f>IFERROR(IF(((TArticle[[#This Row],[شناسه]]))="4.1.1",IF(TArticle[[#This Row],[کد وضعیت سند]]=1,TArticle[مبلغ],0),0),0)</f>
        <v>0</v>
      </c>
      <c r="AF38" s="1">
        <f>IFERROR(IF(((TArticle[[#This Row],[شناسه]]))="4.1.2",IF(TArticle[[#This Row],[کد وضعیت سند]]=1,TArticle[مبلغ],0),0),0)</f>
        <v>0</v>
      </c>
      <c r="AG38" s="1">
        <f>IFERROR(IF(INT(LEFT(TArticle[[#This Row],[شناسه]]))=1,IF(TArticle[[#This Row],[کد وضعیت سند]]=1,TArticle[مبلغ],0),0),0)</f>
        <v>0</v>
      </c>
      <c r="AH38" s="1">
        <f>IFERROR(IF(INT(LEFT(TArticle[[#This Row],[شناسه]]))=2,IF(TArticle[[#This Row],[کد وضعیت سند]]=1,TArticle[مبلغ],0),0),0)</f>
        <v>0</v>
      </c>
      <c r="AI38" s="1">
        <f>IFERROR(IF((LEFT(TArticle[[#This Row],[شناسه]],3))="5.2",IF(TArticle[[#This Row],[کد وضعیت سند]]=1,TArticle[مبلغ],0),0),0)</f>
        <v>0</v>
      </c>
      <c r="AJ38" s="1">
        <f>IF(TArticle[[#This Row],[کد وضعیت سند]]=1,1,0)</f>
        <v>1</v>
      </c>
      <c r="AK38" s="1">
        <f>IF(AND(TArticle[[#This Row],[کد وضعیت سند]]&lt;&gt;1,TArticle[[#This Row],[مبلغ]]&lt;&gt;0),1,0)</f>
        <v>0</v>
      </c>
      <c r="AL38" s="51">
        <f>IF(TArticle[[#This Row],[کد بانک]]&gt;0,TArticle[[#This Row],[مانده بانک]]-VLOOKUP(TArticle[[#This Row],[کد بانک]],TBank[],7,FALSE),"")</f>
        <v>5</v>
      </c>
      <c r="AM38" s="49" t="str">
        <f>LEFT(TArticle[[#This Row],[تاریخ]],7)</f>
        <v>1401-02</v>
      </c>
    </row>
    <row r="39" spans="1:39" hidden="1" x14ac:dyDescent="0.25">
      <c r="A39" s="24" t="s">
        <v>55</v>
      </c>
      <c r="B39" s="49" t="str">
        <f>VLOOKUP(TArticle[[#This Row],[شناسه]],TAccount[],2,TRUE)</f>
        <v>هزینه کلی</v>
      </c>
      <c r="C39" s="49" t="str">
        <f>VLOOKUP(TArticle[[#This Row],[تاریخ]],TDays[],7,FALSE)</f>
        <v>دوشنبه</v>
      </c>
      <c r="D39" s="21" t="s">
        <v>246</v>
      </c>
      <c r="E39" s="1">
        <v>-4440</v>
      </c>
      <c r="F39" s="1">
        <f>TArticle[[#This Row],[مبلغ]]+IFERROR(INT(F38),30181+3667+958)</f>
        <v>5791</v>
      </c>
      <c r="K39" s="21">
        <v>1</v>
      </c>
      <c r="L39" t="str">
        <f>IF(TArticle[[#This Row],[کد وضعیت سند]]&gt;0,VLOOKUP(TArticle[[#This Row],[کد وضعیت سند]],TDocState[],2,FALSE),"")</f>
        <v>انجام شد</v>
      </c>
      <c r="N39" t="str">
        <f>IF(TArticle[[#This Row],[کد طرف حساب]]&gt;0,VLOOKUP(TArticle[[#This Row],[کد طرف حساب]],TContact[],2,FALSE),"")</f>
        <v/>
      </c>
      <c r="O39" s="51" t="str">
        <f>IF(TArticle[[#This Row],[کد طرف حساب]]&gt;0,VLOOKUP(TArticle[[#This Row],[کد طرف حساب]],TContact[],7,FALSE)-SUMIF($M$2:M39,M39,$E$2:$E39),"")</f>
        <v/>
      </c>
      <c r="P39" s="27" t="str">
        <f>RIGHT(TArticle[[#This Row],[تاریخ]],2)</f>
        <v>12</v>
      </c>
      <c r="Q39" s="27">
        <f>VLOOKUP(TArticle[[#This Row],[تاریخ]],TDays[],16,FALSE)</f>
        <v>7</v>
      </c>
      <c r="R39" s="27" t="str">
        <f>RIGHT(LEFT(TArticle[[#This Row],[تاریخ]],7),2)</f>
        <v>02</v>
      </c>
      <c r="S39" s="27" t="str">
        <f>LEFT(TArticle[[#This Row],[تاریخ]],4)</f>
        <v>1401</v>
      </c>
      <c r="U39" s="21">
        <f>VLOOKUP(TArticle[[#This Row],[شناسه]],TAccount[],7,TRUE)</f>
        <v>364074</v>
      </c>
      <c r="W39" s="21">
        <f>IF(AND(TArticle[[#This Row],[مبلغ]]&gt;0, TArticle[[#This Row],[کد وضعیت سند]]=1),TArticle[[#This Row],[مبلغ]],0)</f>
        <v>0</v>
      </c>
      <c r="X39" s="27">
        <f>IF(AND(TArticle[[#This Row],[مبلغ]]&lt;0,TArticle[[#This Row],[کد وضعیت سند]]=1),0-TArticle[[#This Row],[مبلغ]],0)</f>
        <v>4440</v>
      </c>
      <c r="Y39" s="27">
        <v>2</v>
      </c>
      <c r="Z39" t="str">
        <f>IF(TArticle[[#This Row],[کد بانک]]&gt;0,VLOOKUP(TArticle[[#This Row],[کد بانک]],TBank[],2,FALSE),"")</f>
        <v>ملی جاری</v>
      </c>
      <c r="AA39">
        <f>IF(AND(TArticle[[#This Row],[مبلغ]]&lt;0,TArticle[[#This Row],[کد وضعیت سند]]=1),0-TArticle[[#This Row],[مبلغ]],0)</f>
        <v>4440</v>
      </c>
      <c r="AB39">
        <f>IF(AND(TArticle[[#This Row],[مبلغ]]&gt;0, TArticle[[#This Row],[کد وضعیت سند]]=1),TArticle[[#This Row],[مبلغ]],0)</f>
        <v>0</v>
      </c>
      <c r="AC39" s="84">
        <f>IF(TArticle[[#This Row],[کد بانک]]&gt;0,VLOOKUP(TArticle[[#This Row],[کد بانک]],TBank[],9,FALSE)+SUMIF($Y$2:Y39,Y39,$E$2:$E39),"")</f>
        <v>11</v>
      </c>
      <c r="AD39" s="1">
        <f>IFERROR(IF(INT(LEFT(TArticle[[#This Row],[شناسه]]))=3,IF(TArticle[[#This Row],[کد وضعیت سند]]=1,TArticle[مبلغ],0),0),0)</f>
        <v>-4440</v>
      </c>
      <c r="AE39" s="1">
        <f>IFERROR(IF(((TArticle[[#This Row],[شناسه]]))="4.1.1",IF(TArticle[[#This Row],[کد وضعیت سند]]=1,TArticle[مبلغ],0),0),0)</f>
        <v>0</v>
      </c>
      <c r="AF39" s="1">
        <f>IFERROR(IF(((TArticle[[#This Row],[شناسه]]))="4.1.2",IF(TArticle[[#This Row],[کد وضعیت سند]]=1,TArticle[مبلغ],0),0),0)</f>
        <v>0</v>
      </c>
      <c r="AG39" s="1">
        <f>IFERROR(IF(INT(LEFT(TArticle[[#This Row],[شناسه]]))=1,IF(TArticle[[#This Row],[کد وضعیت سند]]=1,TArticle[مبلغ],0),0),0)</f>
        <v>0</v>
      </c>
      <c r="AH39" s="1">
        <f>IFERROR(IF(INT(LEFT(TArticle[[#This Row],[شناسه]]))=2,IF(TArticle[[#This Row],[کد وضعیت سند]]=1,TArticle[مبلغ],0),0),0)</f>
        <v>0</v>
      </c>
      <c r="AI39" s="1">
        <f>IFERROR(IF((LEFT(TArticle[[#This Row],[شناسه]],3))="5.2",IF(TArticle[[#This Row],[کد وضعیت سند]]=1,TArticle[مبلغ],0),0),0)</f>
        <v>0</v>
      </c>
      <c r="AJ39" s="1">
        <f>IF(TArticle[[#This Row],[کد وضعیت سند]]=1,1,0)</f>
        <v>1</v>
      </c>
      <c r="AK39" s="1">
        <f>IF(AND(TArticle[[#This Row],[کد وضعیت سند]]&lt;&gt;1,TArticle[[#This Row],[مبلغ]]&lt;&gt;0),1,0)</f>
        <v>0</v>
      </c>
      <c r="AL39" s="51">
        <f>IF(TArticle[[#This Row],[کد بانک]]&gt;0,TArticle[[#This Row],[مانده بانک]]-VLOOKUP(TArticle[[#This Row],[کد بانک]],TBank[],7,FALSE),"")</f>
        <v>11</v>
      </c>
      <c r="AM39" s="49" t="str">
        <f>LEFT(TArticle[[#This Row],[تاریخ]],7)</f>
        <v>1401-02</v>
      </c>
    </row>
    <row r="40" spans="1:39" hidden="1" x14ac:dyDescent="0.25">
      <c r="A40" s="24" t="s">
        <v>41</v>
      </c>
      <c r="B40" s="49" t="str">
        <f>VLOOKUP(TArticle[[#This Row],[شناسه]],TAccount[],2,TRUE)</f>
        <v>قرعه هجده (43)</v>
      </c>
      <c r="C40" s="49" t="str">
        <f>VLOOKUP(TArticle[[#This Row],[تاریخ]],TDays[],7,FALSE)</f>
        <v>پنجشنبه</v>
      </c>
      <c r="D40" s="21" t="s">
        <v>248</v>
      </c>
      <c r="E40" s="1">
        <v>-350</v>
      </c>
      <c r="F40" s="1">
        <f>TArticle[[#This Row],[مبلغ]]+IFERROR(INT(F39),30181+3667+958)</f>
        <v>5441</v>
      </c>
      <c r="H40" s="21">
        <v>37</v>
      </c>
      <c r="K40" s="21">
        <v>1</v>
      </c>
      <c r="L40" t="str">
        <f>IF(TArticle[[#This Row],[کد وضعیت سند]]&gt;0,VLOOKUP(TArticle[[#This Row],[کد وضعیت سند]],TDocState[],2,FALSE),"")</f>
        <v>انجام شد</v>
      </c>
      <c r="M40" s="27">
        <v>103</v>
      </c>
      <c r="N40" t="str">
        <f>IF(TArticle[[#This Row],[کد طرف حساب]]&gt;0,VLOOKUP(TArticle[[#This Row],[کد طرف حساب]],TContact[],2,FALSE),"")</f>
        <v>قرعه 18م (43)</v>
      </c>
      <c r="O40" s="51">
        <f>IF(TArticle[[#This Row],[کد طرف حساب]]&gt;0,VLOOKUP(TArticle[[#This Row],[کد طرف حساب]],TContact[],7,FALSE)-SUMIF($M$2:M40,M40,$E$2:$E40),"")</f>
        <v>13300</v>
      </c>
      <c r="P40" s="27" t="str">
        <f>RIGHT(TArticle[[#This Row],[تاریخ]],2)</f>
        <v>15</v>
      </c>
      <c r="Q40" s="27">
        <f>VLOOKUP(TArticle[[#This Row],[تاریخ]],TDays[],16,FALSE)</f>
        <v>7</v>
      </c>
      <c r="R40" s="27" t="str">
        <f>RIGHT(LEFT(TArticle[[#This Row],[تاریخ]],7),2)</f>
        <v>02</v>
      </c>
      <c r="S40" s="27" t="str">
        <f>LEFT(TArticle[[#This Row],[تاریخ]],4)</f>
        <v>1401</v>
      </c>
      <c r="U40" s="21">
        <f>VLOOKUP(TArticle[[#This Row],[شناسه]],TAccount[],7,TRUE)</f>
        <v>4200</v>
      </c>
      <c r="V40" s="21" t="s">
        <v>59</v>
      </c>
      <c r="W40" s="21">
        <f>IF(AND(TArticle[[#This Row],[مبلغ]]&gt;0, TArticle[[#This Row],[کد وضعیت سند]]=1),TArticle[[#This Row],[مبلغ]],0)</f>
        <v>0</v>
      </c>
      <c r="X40" s="21">
        <f>IF(AND(TArticle[[#This Row],[مبلغ]]&lt;0,TArticle[[#This Row],[کد وضعیت سند]]=1),0-TArticle[[#This Row],[مبلغ]],0)</f>
        <v>350</v>
      </c>
      <c r="Y40" s="27">
        <v>30</v>
      </c>
      <c r="Z40" t="str">
        <f>IF(TArticle[[#This Row],[کد بانک]]&gt;0,VLOOKUP(TArticle[[#This Row],[کد بانک]],TBank[],2,FALSE),"")</f>
        <v>بن کارت</v>
      </c>
      <c r="AA40">
        <f>IF(AND(TArticle[[#This Row],[مبلغ]]&lt;0,TArticle[[#This Row],[کد وضعیت سند]]=1),0-TArticle[[#This Row],[مبلغ]],0)</f>
        <v>350</v>
      </c>
      <c r="AB40">
        <f>IF(AND(TArticle[[#This Row],[مبلغ]]&gt;0, TArticle[[#This Row],[کد وضعیت سند]]=1),TArticle[[#This Row],[مبلغ]],0)</f>
        <v>0</v>
      </c>
      <c r="AC40" s="84">
        <f>IF(TArticle[[#This Row],[کد بانک]]&gt;0,VLOOKUP(TArticle[[#This Row],[کد بانک]],TBank[],9,FALSE)+SUMIF($Y$2:Y40,Y40,$E$2:$E40),"")</f>
        <v>450</v>
      </c>
      <c r="AD40" s="1">
        <f>IFERROR(IF(INT(LEFT(TArticle[[#This Row],[شناسه]]))=3,IF(TArticle[[#This Row],[کد وضعیت سند]]=1,TArticle[مبلغ],0),0),0)</f>
        <v>0</v>
      </c>
      <c r="AE40" s="1">
        <f>IFERROR(IF(((TArticle[[#This Row],[شناسه]]))="4.1.1",IF(TArticle[[#This Row],[کد وضعیت سند]]=1,TArticle[مبلغ],0),0),0)</f>
        <v>0</v>
      </c>
      <c r="AF40" s="1">
        <f>IFERROR(IF(((TArticle[[#This Row],[شناسه]]))="4.1.2",IF(TArticle[[#This Row],[کد وضعیت سند]]=1,TArticle[مبلغ],0),0),0)</f>
        <v>0</v>
      </c>
      <c r="AG40" s="1">
        <f>IFERROR(IF(INT(LEFT(TArticle[[#This Row],[شناسه]]))=1,IF(TArticle[[#This Row],[کد وضعیت سند]]=1,TArticle[مبلغ],0),0),0)</f>
        <v>0</v>
      </c>
      <c r="AH40" s="1">
        <f>IFERROR(IF(INT(LEFT(TArticle[[#This Row],[شناسه]]))=2,IF(TArticle[[#This Row],[کد وضعیت سند]]=1,TArticle[مبلغ],0),0),0)</f>
        <v>-350</v>
      </c>
      <c r="AI40" s="1">
        <f>IFERROR(IF((LEFT(TArticle[[#This Row],[شناسه]],3))="5.2",IF(TArticle[[#This Row],[کد وضعیت سند]]=1,TArticle[مبلغ],0),0),0)</f>
        <v>0</v>
      </c>
      <c r="AJ40" s="1">
        <f>IF(TArticle[[#This Row],[کد وضعیت سند]]=1,1,0)</f>
        <v>1</v>
      </c>
      <c r="AK40" s="1">
        <f>IF(AND(TArticle[[#This Row],[کد وضعیت سند]]&lt;&gt;1,TArticle[[#This Row],[مبلغ]]&lt;&gt;0),1,0)</f>
        <v>0</v>
      </c>
      <c r="AL40" s="51">
        <f>IF(TArticle[[#This Row],[کد بانک]]&gt;0,TArticle[[#This Row],[مانده بانک]]-VLOOKUP(TArticle[[#This Row],[کد بانک]],TBank[],7,FALSE),"")</f>
        <v>450</v>
      </c>
      <c r="AM40" s="58" t="str">
        <f>LEFT(TArticle[[#This Row],[تاریخ]],7)</f>
        <v>1401-02</v>
      </c>
    </row>
    <row r="41" spans="1:39" hidden="1" x14ac:dyDescent="0.25">
      <c r="A41" s="24" t="s">
        <v>43</v>
      </c>
      <c r="B41" s="49" t="str">
        <f>VLOOKUP(TArticle[[#This Row],[شناسه]],TAccount[],2,TRUE)</f>
        <v>حقوق</v>
      </c>
      <c r="C41" s="49" t="str">
        <f>VLOOKUP(TArticle[[#This Row],[تاریخ]],TDays[],7,FALSE)</f>
        <v>پنجشنبه</v>
      </c>
      <c r="D41" s="21" t="s">
        <v>262</v>
      </c>
      <c r="E41" s="1">
        <v>42096</v>
      </c>
      <c r="F41" s="1">
        <f>TArticle[[#This Row],[مبلغ]]+IFERROR(INT(F40),30181+3667+958)</f>
        <v>47537</v>
      </c>
      <c r="H41" s="64"/>
      <c r="J41" s="65"/>
      <c r="K41" s="64">
        <v>1</v>
      </c>
      <c r="L41" s="66" t="str">
        <f>IF(TArticle[[#This Row],[کد وضعیت سند]]&gt;0,VLOOKUP(TArticle[[#This Row],[کد وضعیت سند]],TDocState[],2,FALSE),"")</f>
        <v>انجام شد</v>
      </c>
      <c r="M41" s="67"/>
      <c r="N41" t="str">
        <f>IF(TArticle[[#This Row],[کد طرف حساب]]&gt;0,VLOOKUP(TArticle[[#This Row],[کد طرف حساب]],TContact[],2,FALSE),"")</f>
        <v/>
      </c>
      <c r="O41" s="68" t="str">
        <f>IF(TArticle[[#This Row],[کد طرف حساب]]&gt;0,VLOOKUP(TArticle[[#This Row],[کد طرف حساب]],TContact[],7,FALSE)-SUMIF($M$2:M41,M41,$E$2:$E41),"")</f>
        <v/>
      </c>
      <c r="P41" s="67" t="str">
        <f>RIGHT(TArticle[[#This Row],[تاریخ]],2)</f>
        <v>29</v>
      </c>
      <c r="Q41" s="67">
        <f>VLOOKUP(TArticle[[#This Row],[تاریخ]],TDays[],16,FALSE)</f>
        <v>9</v>
      </c>
      <c r="R41" s="67" t="str">
        <f>RIGHT(LEFT(TArticle[[#This Row],[تاریخ]],7),2)</f>
        <v>02</v>
      </c>
      <c r="S41" s="67" t="str">
        <f>LEFT(TArticle[[#This Row],[تاریخ]],4)</f>
        <v>1401</v>
      </c>
      <c r="T41" s="64"/>
      <c r="U41" s="64">
        <f>VLOOKUP(TArticle[[#This Row],[شناسه]],TAccount[],7,TRUE)</f>
        <v>416023</v>
      </c>
      <c r="V41" s="64"/>
      <c r="W41" s="64">
        <f>IF(AND(TArticle[[#This Row],[مبلغ]]&gt;0, TArticle[[#This Row],[کد وضعیت سند]]=1),TArticle[[#This Row],[مبلغ]],0)</f>
        <v>42096</v>
      </c>
      <c r="X41" s="67">
        <f>IF(AND(TArticle[[#This Row],[مبلغ]]&lt;0,TArticle[[#This Row],[کد وضعیت سند]]=1),0-TArticle[[#This Row],[مبلغ]],0)</f>
        <v>0</v>
      </c>
      <c r="Y41" s="67">
        <v>2</v>
      </c>
      <c r="Z41" t="str">
        <f>IF(TArticle[[#This Row],[کد بانک]]&gt;0,VLOOKUP(TArticle[[#This Row],[کد بانک]],TBank[],2,FALSE),"")</f>
        <v>ملی جاری</v>
      </c>
      <c r="AA41">
        <f>IF(AND(TArticle[[#This Row],[مبلغ]]&lt;0,TArticle[[#This Row],[کد وضعیت سند]]=1),0-TArticle[[#This Row],[مبلغ]],0)</f>
        <v>0</v>
      </c>
      <c r="AB41">
        <f>IF(AND(TArticle[[#This Row],[مبلغ]]&gt;0, TArticle[[#This Row],[کد وضعیت سند]]=1),TArticle[[#This Row],[مبلغ]],0)</f>
        <v>42096</v>
      </c>
      <c r="AC41" s="93">
        <f>IF(TArticle[[#This Row],[کد بانک]]&gt;0,VLOOKUP(TArticle[[#This Row],[کد بانک]],TBank[],9,FALSE)+SUMIF($Y$2:Y41,Y41,$E$2:$E41),"")</f>
        <v>42107</v>
      </c>
      <c r="AD41" s="1">
        <f>IFERROR(IF(INT(LEFT(TArticle[[#This Row],[شناسه]]))=3,IF(TArticle[[#This Row],[کد وضعیت سند]]=1,TArticle[مبلغ],0),0),0)</f>
        <v>0</v>
      </c>
      <c r="AE41" s="1">
        <f>IFERROR(IF(((TArticle[[#This Row],[شناسه]]))="4.1.1",IF(TArticle[[#This Row],[کد وضعیت سند]]=1,TArticle[مبلغ],0),0),0)</f>
        <v>42096</v>
      </c>
      <c r="AF41" s="1">
        <f>IFERROR(IF(((TArticle[[#This Row],[شناسه]]))="4.1.2",IF(TArticle[[#This Row],[کد وضعیت سند]]=1,TArticle[مبلغ],0),0),0)</f>
        <v>0</v>
      </c>
      <c r="AG41" s="1">
        <f>IFERROR(IF(INT(LEFT(TArticle[[#This Row],[شناسه]]))=1,IF(TArticle[[#This Row],[کد وضعیت سند]]=1,TArticle[مبلغ],0),0),0)</f>
        <v>0</v>
      </c>
      <c r="AH41" s="1">
        <f>IFERROR(IF(INT(LEFT(TArticle[[#This Row],[شناسه]]))=2,IF(TArticle[[#This Row],[کد وضعیت سند]]=1,TArticle[مبلغ],0),0),0)</f>
        <v>0</v>
      </c>
      <c r="AI41" s="1">
        <f>IFERROR(IF((LEFT(TArticle[[#This Row],[شناسه]],3))="5.2",IF(TArticle[[#This Row],[کد وضعیت سند]]=1,TArticle[مبلغ],0),0),0)</f>
        <v>0</v>
      </c>
      <c r="AJ41" s="1">
        <f>IF(TArticle[[#This Row],[کد وضعیت سند]]=1,1,0)</f>
        <v>1</v>
      </c>
      <c r="AK41" s="1">
        <f>IF(AND(TArticle[[#This Row],[کد وضعیت سند]]&lt;&gt;1,TArticle[[#This Row],[مبلغ]]&lt;&gt;0),1,0)</f>
        <v>0</v>
      </c>
      <c r="AL41" s="78">
        <f>IF(TArticle[[#This Row],[کد بانک]]&gt;0,TArticle[[#This Row],[مانده بانک]]-VLOOKUP(TArticle[[#This Row],[کد بانک]],TBank[],7,FALSE),"")</f>
        <v>42107</v>
      </c>
      <c r="AM41" s="58" t="str">
        <f>LEFT(TArticle[[#This Row],[تاریخ]],7)</f>
        <v>1401-02</v>
      </c>
    </row>
    <row r="42" spans="1:39" hidden="1" x14ac:dyDescent="0.25">
      <c r="A42" s="24" t="s">
        <v>1008</v>
      </c>
      <c r="B42" s="49" t="str">
        <f>VLOOKUP(TArticle[[#This Row],[شناسه]],TAccount[],2,TRUE)</f>
        <v>حواله پرداخت/برداشت</v>
      </c>
      <c r="C42" s="49" t="str">
        <f>VLOOKUP(TArticle[[#This Row],[تاریخ]],TDays[],7,FALSE)</f>
        <v>جمعه</v>
      </c>
      <c r="D42" s="28" t="s">
        <v>263</v>
      </c>
      <c r="E42" s="1">
        <v>-3700</v>
      </c>
      <c r="F42" s="1">
        <f>TArticle[[#This Row],[مبلغ]]+IFERROR(INT(F41),30181+3667+958)</f>
        <v>43837</v>
      </c>
      <c r="K42" s="21">
        <v>1</v>
      </c>
      <c r="L42" t="str">
        <f>IF(TArticle[[#This Row],[کد وضعیت سند]]&gt;0,VLOOKUP(TArticle[[#This Row],[کد وضعیت سند]],TDocState[],2,FALSE),"")</f>
        <v>انجام شد</v>
      </c>
      <c r="N42" t="str">
        <f>IF(TArticle[[#This Row],[کد طرف حساب]]&gt;0,VLOOKUP(TArticle[[#This Row],[کد طرف حساب]],TContact[],2,FALSE),"")</f>
        <v/>
      </c>
      <c r="O42" s="61" t="str">
        <f>IF(TArticle[[#This Row],[کد طرف حساب]]&gt;0,VLOOKUP(TArticle[[#This Row],[کد طرف حساب]],TContact[],7,FALSE)-SUMIF($M$2:M42,M42,$E$2:$E42),"")</f>
        <v/>
      </c>
      <c r="P42" s="27" t="str">
        <f>RIGHT(TArticle[[#This Row],[تاریخ]],2)</f>
        <v>30</v>
      </c>
      <c r="Q42" s="27">
        <f>VLOOKUP(TArticle[[#This Row],[تاریخ]],TDays[],16,FALSE)</f>
        <v>9</v>
      </c>
      <c r="R42" s="27" t="str">
        <f>RIGHT(LEFT(TArticle[[#This Row],[تاریخ]],7),2)</f>
        <v>02</v>
      </c>
      <c r="S42" s="27" t="str">
        <f>LEFT(TArticle[[#This Row],[تاریخ]],4)</f>
        <v>1401</v>
      </c>
      <c r="U42" s="21">
        <f>VLOOKUP(TArticle[[#This Row],[شناسه]],TAccount[],7,TRUE)</f>
        <v>179525</v>
      </c>
      <c r="W42" s="21">
        <f>IF(AND(TArticle[[#This Row],[مبلغ]]&gt;0, TArticle[[#This Row],[کد وضعیت سند]]=1),TArticle[[#This Row],[مبلغ]],0)</f>
        <v>0</v>
      </c>
      <c r="X42" s="27">
        <f>IF(AND(TArticle[[#This Row],[مبلغ]]&lt;0,TArticle[[#This Row],[کد وضعیت سند]]=1),0-TArticle[[#This Row],[مبلغ]],0)</f>
        <v>3700</v>
      </c>
      <c r="Y42" s="27">
        <v>2</v>
      </c>
      <c r="Z42" t="str">
        <f>IF(TArticle[[#This Row],[کد بانک]]&gt;0,VLOOKUP(TArticle[[#This Row],[کد بانک]],TBank[],2,FALSE),"")</f>
        <v>ملی جاری</v>
      </c>
      <c r="AA42">
        <f>IF(AND(TArticle[[#This Row],[مبلغ]]&lt;0,TArticle[[#This Row],[کد وضعیت سند]]=1),0-TArticle[[#This Row],[مبلغ]],0)</f>
        <v>3700</v>
      </c>
      <c r="AB42">
        <f>IF(AND(TArticle[[#This Row],[مبلغ]]&gt;0, TArticle[[#This Row],[کد وضعیت سند]]=1),TArticle[[#This Row],[مبلغ]],0)</f>
        <v>0</v>
      </c>
      <c r="AC42" s="84">
        <f>IF(TArticle[[#This Row],[کد بانک]]&gt;0,VLOOKUP(TArticle[[#This Row],[کد بانک]],TBank[],9,FALSE)+SUMIF($Y$2:Y42,Y42,$E$2:$E42),"")</f>
        <v>38407</v>
      </c>
      <c r="AD42" s="1">
        <f>IFERROR(IF(INT(LEFT(TArticle[[#This Row],[شناسه]]))=3,IF(TArticle[[#This Row],[کد وضعیت سند]]=1,TArticle[مبلغ],0),0),0)</f>
        <v>0</v>
      </c>
      <c r="AE42" s="1">
        <f>IFERROR(IF(((TArticle[[#This Row],[شناسه]]))="4.1.1",IF(TArticle[[#This Row],[کد وضعیت سند]]=1,TArticle[مبلغ],0),0),0)</f>
        <v>0</v>
      </c>
      <c r="AF42" s="1">
        <f>IFERROR(IF(((TArticle[[#This Row],[شناسه]]))="4.1.2",IF(TArticle[[#This Row],[کد وضعیت سند]]=1,TArticle[مبلغ],0),0),0)</f>
        <v>0</v>
      </c>
      <c r="AG42" s="1">
        <f>IFERROR(IF(INT(LEFT(TArticle[[#This Row],[شناسه]]))=1,IF(TArticle[[#This Row],[کد وضعیت سند]]=1,TArticle[مبلغ],0),0),0)</f>
        <v>0</v>
      </c>
      <c r="AH42" s="1">
        <f>IFERROR(IF(INT(LEFT(TArticle[[#This Row],[شناسه]]))=2,IF(TArticle[[#This Row],[کد وضعیت سند]]=1,TArticle[مبلغ],0),0),0)</f>
        <v>0</v>
      </c>
      <c r="AI42" s="1">
        <f>IFERROR(IF((LEFT(TArticle[[#This Row],[شناسه]],3))="5.2",IF(TArticle[[#This Row],[کد وضعیت سند]]=1,TArticle[مبلغ],0),0),0)</f>
        <v>0</v>
      </c>
      <c r="AJ42" s="1">
        <f>IF(TArticle[[#This Row],[کد وضعیت سند]]=1,1,0)</f>
        <v>1</v>
      </c>
      <c r="AK42" s="1">
        <f>IF(AND(TArticle[[#This Row],[کد وضعیت سند]]&lt;&gt;1,TArticle[[#This Row],[مبلغ]]&lt;&gt;0),1,0)</f>
        <v>0</v>
      </c>
      <c r="AL42" s="51">
        <f>IF(TArticle[[#This Row],[کد بانک]]&gt;0,TArticle[[#This Row],[مانده بانک]]-VLOOKUP(TArticle[[#This Row],[کد بانک]],TBank[],7,FALSE),"")</f>
        <v>38407</v>
      </c>
      <c r="AM42" s="49" t="str">
        <f>LEFT(TArticle[[#This Row],[تاریخ]],7)</f>
        <v>1401-02</v>
      </c>
    </row>
    <row r="43" spans="1:39" hidden="1" x14ac:dyDescent="0.25">
      <c r="A43" s="24" t="s">
        <v>112</v>
      </c>
      <c r="B43" s="49" t="str">
        <f>VLOOKUP(TArticle[[#This Row],[شناسه]],TAccount[],2,TRUE)</f>
        <v>رسید دریافت/واریز</v>
      </c>
      <c r="C43" s="49" t="str">
        <f>VLOOKUP(TArticle[[#This Row],[تاریخ]],TDays[],7,FALSE)</f>
        <v>جمعه</v>
      </c>
      <c r="D43" s="28" t="s">
        <v>263</v>
      </c>
      <c r="E43" s="1">
        <v>3700</v>
      </c>
      <c r="F43" s="1">
        <f>TArticle[[#This Row],[مبلغ]]+IFERROR(INT(F42),30181+3667+958)</f>
        <v>47537</v>
      </c>
      <c r="K43" s="21">
        <v>1</v>
      </c>
      <c r="L43" t="str">
        <f>IF(TArticle[[#This Row],[کد وضعیت سند]]&gt;0,VLOOKUP(TArticle[[#This Row],[کد وضعیت سند]],TDocState[],2,FALSE),"")</f>
        <v>انجام شد</v>
      </c>
      <c r="N43" t="str">
        <f>IF(TArticle[[#This Row],[کد طرف حساب]]&gt;0,VLOOKUP(TArticle[[#This Row],[کد طرف حساب]],TContact[],2,FALSE),"")</f>
        <v/>
      </c>
      <c r="O43" s="61" t="str">
        <f>IF(TArticle[[#This Row],[کد طرف حساب]]&gt;0,VLOOKUP(TArticle[[#This Row],[کد طرف حساب]],TContact[],7,FALSE)-SUMIF($M$2:M43,M43,$E$2:$E43),"")</f>
        <v/>
      </c>
      <c r="P43" s="27" t="str">
        <f>RIGHT(TArticle[[#This Row],[تاریخ]],2)</f>
        <v>30</v>
      </c>
      <c r="Q43" s="27">
        <f>VLOOKUP(TArticle[[#This Row],[تاریخ]],TDays[],16,FALSE)</f>
        <v>9</v>
      </c>
      <c r="R43" s="27" t="str">
        <f>RIGHT(LEFT(TArticle[[#This Row],[تاریخ]],7),2)</f>
        <v>02</v>
      </c>
      <c r="S43" s="27" t="str">
        <f>LEFT(TArticle[[#This Row],[تاریخ]],4)</f>
        <v>1401</v>
      </c>
      <c r="U43" s="21">
        <f>VLOOKUP(TArticle[[#This Row],[شناسه]],TAccount[],7,TRUE)</f>
        <v>257767</v>
      </c>
      <c r="W43" s="21">
        <f>IF(AND(TArticle[[#This Row],[مبلغ]]&gt;0, TArticle[[#This Row],[کد وضعیت سند]]=1),TArticle[[#This Row],[مبلغ]],0)</f>
        <v>3700</v>
      </c>
      <c r="X43" s="27">
        <f>IF(AND(TArticle[[#This Row],[مبلغ]]&lt;0,TArticle[[#This Row],[کد وضعیت سند]]=1),0-TArticle[[#This Row],[مبلغ]],0)</f>
        <v>0</v>
      </c>
      <c r="Y43" s="27">
        <v>27</v>
      </c>
      <c r="Z43" t="str">
        <f>IF(TArticle[[#This Row],[کد بانک]]&gt;0,VLOOKUP(TArticle[[#This Row],[کد بانک]],TBank[],2,FALSE),"")</f>
        <v>Bit Pin</v>
      </c>
      <c r="AA43">
        <f>IF(AND(TArticle[[#This Row],[مبلغ]]&lt;0,TArticle[[#This Row],[کد وضعیت سند]]=1),0-TArticle[[#This Row],[مبلغ]],0)</f>
        <v>0</v>
      </c>
      <c r="AB43">
        <f>IF(AND(TArticle[[#This Row],[مبلغ]]&gt;0, TArticle[[#This Row],[کد وضعیت سند]]=1),TArticle[[#This Row],[مبلغ]],0)</f>
        <v>3700</v>
      </c>
      <c r="AC43" s="84">
        <f>IF(TArticle[[#This Row],[کد بانک]]&gt;0,VLOOKUP(TArticle[[#This Row],[کد بانک]],TBank[],9,FALSE)+SUMIF($Y$2:Y43,Y43,$E$2:$E43),"")</f>
        <v>3700</v>
      </c>
      <c r="AD43" s="1">
        <f>IFERROR(IF(INT(LEFT(TArticle[[#This Row],[شناسه]]))=3,IF(TArticle[[#This Row],[کد وضعیت سند]]=1,TArticle[مبلغ],0),0),0)</f>
        <v>0</v>
      </c>
      <c r="AE43" s="1">
        <f>IFERROR(IF(((TArticle[[#This Row],[شناسه]]))="4.1.1",IF(TArticle[[#This Row],[کد وضعیت سند]]=1,TArticle[مبلغ],0),0),0)</f>
        <v>0</v>
      </c>
      <c r="AF43" s="1">
        <f>IFERROR(IF(((TArticle[[#This Row],[شناسه]]))="4.1.2",IF(TArticle[[#This Row],[کد وضعیت سند]]=1,TArticle[مبلغ],0),0),0)</f>
        <v>0</v>
      </c>
      <c r="AG43" s="1">
        <f>IFERROR(IF(INT(LEFT(TArticle[[#This Row],[شناسه]]))=1,IF(TArticle[[#This Row],[کد وضعیت سند]]=1,TArticle[مبلغ],0),0),0)</f>
        <v>0</v>
      </c>
      <c r="AH43" s="1">
        <f>IFERROR(IF(INT(LEFT(TArticle[[#This Row],[شناسه]]))=2,IF(TArticle[[#This Row],[کد وضعیت سند]]=1,TArticle[مبلغ],0),0),0)</f>
        <v>0</v>
      </c>
      <c r="AI43" s="1">
        <f>IFERROR(IF((LEFT(TArticle[[#This Row],[شناسه]],3))="5.2",IF(TArticle[[#This Row],[کد وضعیت سند]]=1,TArticle[مبلغ],0),0),0)</f>
        <v>0</v>
      </c>
      <c r="AJ43" s="1">
        <f>IF(TArticle[[#This Row],[کد وضعیت سند]]=1,1,0)</f>
        <v>1</v>
      </c>
      <c r="AK43" s="1">
        <f>IF(AND(TArticle[[#This Row],[کد وضعیت سند]]&lt;&gt;1,TArticle[[#This Row],[مبلغ]]&lt;&gt;0),1,0)</f>
        <v>0</v>
      </c>
      <c r="AL43" s="51">
        <f>IF(TArticle[[#This Row],[کد بانک]]&gt;0,TArticle[[#This Row],[مانده بانک]]-VLOOKUP(TArticle[[#This Row],[کد بانک]],TBank[],7,FALSE),"")</f>
        <v>3700</v>
      </c>
      <c r="AM43" s="49" t="str">
        <f>LEFT(TArticle[[#This Row],[تاریخ]],7)</f>
        <v>1401-02</v>
      </c>
    </row>
    <row r="44" spans="1:39" hidden="1" x14ac:dyDescent="0.25">
      <c r="A44" s="24" t="s">
        <v>1608</v>
      </c>
      <c r="B44" s="49" t="str">
        <f>VLOOKUP(TArticle[[#This Row],[شناسه]],TAccount[],2,TRUE)</f>
        <v>بن کارت</v>
      </c>
      <c r="C44" s="49" t="str">
        <f>VLOOKUP(TArticle[[#This Row],[تاریخ]],TDays[],7,FALSE)</f>
        <v>یکشنبه</v>
      </c>
      <c r="D44" s="21" t="s">
        <v>265</v>
      </c>
      <c r="E44" s="1">
        <v>1000</v>
      </c>
      <c r="F44" s="1">
        <f>TArticle[[#This Row],[مبلغ]]+IFERROR(INT(F43),30181+3667+958)</f>
        <v>48537</v>
      </c>
      <c r="G44" t="s">
        <v>1657</v>
      </c>
      <c r="K44" s="21">
        <v>1</v>
      </c>
      <c r="L44" t="str">
        <f>IF(TArticle[[#This Row],[کد وضعیت سند]]&gt;0,VLOOKUP(TArticle[[#This Row],[کد وضعیت سند]],TDocState[],2,FALSE),"")</f>
        <v>انجام شد</v>
      </c>
      <c r="N44" t="str">
        <f>IF(TArticle[[#This Row],[کد طرف حساب]]&gt;0,VLOOKUP(TArticle[[#This Row],[کد طرف حساب]],TContact[],2,FALSE),"")</f>
        <v/>
      </c>
      <c r="O44" s="61" t="str">
        <f>IF(TArticle[[#This Row],[کد طرف حساب]]&gt;0,VLOOKUP(TArticle[[#This Row],[کد طرف حساب]],TContact[],7,FALSE)-SUMIF($M$2:M44,M44,$E$2:$E44),"")</f>
        <v/>
      </c>
      <c r="P44" s="27" t="str">
        <f>RIGHT(TArticle[[#This Row],[تاریخ]],2)</f>
        <v>01</v>
      </c>
      <c r="Q44" s="27">
        <f>VLOOKUP(TArticle[[#This Row],[تاریخ]],TDays[],16,FALSE)</f>
        <v>10</v>
      </c>
      <c r="R44" s="27" t="str">
        <f>RIGHT(LEFT(TArticle[[#This Row],[تاریخ]],7),2)</f>
        <v>03</v>
      </c>
      <c r="S44" s="27" t="str">
        <f>LEFT(TArticle[[#This Row],[تاریخ]],4)</f>
        <v>1401</v>
      </c>
      <c r="U44" s="21">
        <f>VLOOKUP(TArticle[[#This Row],[شناسه]],TAccount[],7,TRUE)</f>
        <v>3000</v>
      </c>
      <c r="W44" s="21">
        <f>IF(AND(TArticle[[#This Row],[مبلغ]]&gt;0, TArticle[[#This Row],[کد وضعیت سند]]=1),TArticle[[#This Row],[مبلغ]],0)</f>
        <v>1000</v>
      </c>
      <c r="X44" s="27">
        <f>IF(AND(TArticle[[#This Row],[مبلغ]]&lt;0,TArticle[[#This Row],[کد وضعیت سند]]=1),0-TArticle[[#This Row],[مبلغ]],0)</f>
        <v>0</v>
      </c>
      <c r="Y44" s="27">
        <v>30</v>
      </c>
      <c r="Z44" t="str">
        <f>IF(TArticle[[#This Row],[کد بانک]]&gt;0,VLOOKUP(TArticle[[#This Row],[کد بانک]],TBank[],2,FALSE),"")</f>
        <v>بن کارت</v>
      </c>
      <c r="AA44">
        <f>IF(AND(TArticle[[#This Row],[مبلغ]]&lt;0,TArticle[[#This Row],[کد وضعیت سند]]=1),0-TArticle[[#This Row],[مبلغ]],0)</f>
        <v>0</v>
      </c>
      <c r="AB44">
        <f>IF(AND(TArticle[[#This Row],[مبلغ]]&gt;0, TArticle[[#This Row],[کد وضعیت سند]]=1),TArticle[[#This Row],[مبلغ]],0)</f>
        <v>1000</v>
      </c>
      <c r="AC44" s="84">
        <f>IF(TArticle[[#This Row],[کد بانک]]&gt;0,VLOOKUP(TArticle[[#This Row],[کد بانک]],TBank[],9,FALSE)+SUMIF($Y$2:Y44,Y44,$E$2:$E44),"")</f>
        <v>1450</v>
      </c>
      <c r="AD44" s="1">
        <f>IFERROR(IF(INT(LEFT(TArticle[[#This Row],[شناسه]]))=3,IF(TArticle[[#This Row],[کد وضعیت سند]]=1,TArticle[مبلغ],0),0),0)</f>
        <v>0</v>
      </c>
      <c r="AE44" s="1">
        <f>IFERROR(IF(((TArticle[[#This Row],[شناسه]]))="4.1.1",IF(TArticle[[#This Row],[کد وضعیت سند]]=1,TArticle[مبلغ],0),0),0)</f>
        <v>0</v>
      </c>
      <c r="AF44" s="1">
        <f>IFERROR(IF(((TArticle[[#This Row],[شناسه]]))="4.1.2",IF(TArticle[[#This Row],[کد وضعیت سند]]=1,TArticle[مبلغ],0),0),0)</f>
        <v>0</v>
      </c>
      <c r="AG44" s="1">
        <f>IFERROR(IF(INT(LEFT(TArticle[[#This Row],[شناسه]]))=1,IF(TArticle[[#This Row],[کد وضعیت سند]]=1,TArticle[مبلغ],0),0),0)</f>
        <v>0</v>
      </c>
      <c r="AH44" s="1">
        <f>IFERROR(IF(INT(LEFT(TArticle[[#This Row],[شناسه]]))=2,IF(TArticle[[#This Row],[کد وضعیت سند]]=1,TArticle[مبلغ],0),0),0)</f>
        <v>0</v>
      </c>
      <c r="AI44" s="1">
        <f>IFERROR(IF((LEFT(TArticle[[#This Row],[شناسه]],3))="5.2",IF(TArticle[[#This Row],[کد وضعیت سند]]=1,TArticle[مبلغ],0),0),0)</f>
        <v>0</v>
      </c>
      <c r="AJ44" s="1">
        <f>IF(TArticle[[#This Row],[کد وضعیت سند]]=1,1,0)</f>
        <v>1</v>
      </c>
      <c r="AK44" s="1">
        <f>IF(AND(TArticle[[#This Row],[کد وضعیت سند]]&lt;&gt;1,TArticle[[#This Row],[مبلغ]]&lt;&gt;0),1,0)</f>
        <v>0</v>
      </c>
      <c r="AL44" s="51">
        <f>IF(TArticle[[#This Row],[کد بانک]]&gt;0,TArticle[[#This Row],[مانده بانک]]-VLOOKUP(TArticle[[#This Row],[کد بانک]],TBank[],7,FALSE),"")</f>
        <v>1450</v>
      </c>
      <c r="AM44" s="49" t="str">
        <f>LEFT(TArticle[[#This Row],[تاریخ]],7)</f>
        <v>1401-03</v>
      </c>
    </row>
    <row r="45" spans="1:39" hidden="1" x14ac:dyDescent="0.25">
      <c r="A45" s="24" t="s">
        <v>55</v>
      </c>
      <c r="B45" s="49" t="str">
        <f>VLOOKUP(TArticle[[#This Row],[شناسه]],TAccount[],2,TRUE)</f>
        <v>هزینه کلی</v>
      </c>
      <c r="C45" s="49" t="str">
        <f>VLOOKUP(TArticle[[#This Row],[تاریخ]],TDays[],7,FALSE)</f>
        <v>چهارشنبه</v>
      </c>
      <c r="D45" s="21" t="s">
        <v>268</v>
      </c>
      <c r="E45" s="1">
        <v>-1450</v>
      </c>
      <c r="F45" s="1">
        <f>TArticle[[#This Row],[مبلغ]]+IFERROR(INT(F44),30181+3667+958)</f>
        <v>47087</v>
      </c>
      <c r="K45" s="21">
        <v>1</v>
      </c>
      <c r="L45" t="str">
        <f>IF(TArticle[[#This Row],[کد وضعیت سند]]&gt;0,VLOOKUP(TArticle[[#This Row],[کد وضعیت سند]],TDocState[],2,FALSE),"")</f>
        <v>انجام شد</v>
      </c>
      <c r="N45" t="str">
        <f>IF(TArticle[[#This Row],[کد طرف حساب]]&gt;0,VLOOKUP(TArticle[[#This Row],[کد طرف حساب]],TContact[],2,FALSE),"")</f>
        <v/>
      </c>
      <c r="O45" s="61" t="str">
        <f>IF(TArticle[[#This Row],[کد طرف حساب]]&gt;0,VLOOKUP(TArticle[[#This Row],[کد طرف حساب]],TContact[],7,FALSE)-SUMIF($M$2:M45,M45,$E$2:$E45),"")</f>
        <v/>
      </c>
      <c r="P45" s="27" t="str">
        <f>RIGHT(TArticle[[#This Row],[تاریخ]],2)</f>
        <v>04</v>
      </c>
      <c r="Q45" s="27">
        <f>VLOOKUP(TArticle[[#This Row],[تاریخ]],TDays[],16,FALSE)</f>
        <v>10</v>
      </c>
      <c r="R45" s="27" t="str">
        <f>RIGHT(LEFT(TArticle[[#This Row],[تاریخ]],7),2)</f>
        <v>03</v>
      </c>
      <c r="S45" s="27" t="str">
        <f>LEFT(TArticle[[#This Row],[تاریخ]],4)</f>
        <v>1401</v>
      </c>
      <c r="U45" s="21">
        <f>VLOOKUP(TArticle[[#This Row],[شناسه]],TAccount[],7,TRUE)</f>
        <v>364074</v>
      </c>
      <c r="W45" s="21">
        <f>IF(AND(TArticle[[#This Row],[مبلغ]]&gt;0, TArticle[[#This Row],[کد وضعیت سند]]=1),TArticle[[#This Row],[مبلغ]],0)</f>
        <v>0</v>
      </c>
      <c r="X45" s="27">
        <f>IF(AND(TArticle[[#This Row],[مبلغ]]&lt;0,TArticle[[#This Row],[کد وضعیت سند]]=1),0-TArticle[[#This Row],[مبلغ]],0)</f>
        <v>1450</v>
      </c>
      <c r="Y45" s="27">
        <v>30</v>
      </c>
      <c r="Z45" t="str">
        <f>IF(TArticle[[#This Row],[کد بانک]]&gt;0,VLOOKUP(TArticle[[#This Row],[کد بانک]],TBank[],2,FALSE),"")</f>
        <v>بن کارت</v>
      </c>
      <c r="AA45">
        <f>IF(AND(TArticle[[#This Row],[مبلغ]]&lt;0,TArticle[[#This Row],[کد وضعیت سند]]=1),0-TArticle[[#This Row],[مبلغ]],0)</f>
        <v>1450</v>
      </c>
      <c r="AB45">
        <f>IF(AND(TArticle[[#This Row],[مبلغ]]&gt;0, TArticle[[#This Row],[کد وضعیت سند]]=1),TArticle[[#This Row],[مبلغ]],0)</f>
        <v>0</v>
      </c>
      <c r="AC45" s="84">
        <f>IF(TArticle[[#This Row],[کد بانک]]&gt;0,VLOOKUP(TArticle[[#This Row],[کد بانک]],TBank[],9,FALSE)+SUMIF($Y$2:Y45,Y45,$E$2:$E45),"")</f>
        <v>0</v>
      </c>
      <c r="AD45" s="1">
        <f>IFERROR(IF(INT(LEFT(TArticle[[#This Row],[شناسه]]))=3,IF(TArticle[[#This Row],[کد وضعیت سند]]=1,TArticle[مبلغ],0),0),0)</f>
        <v>-1450</v>
      </c>
      <c r="AE45" s="1">
        <f>IFERROR(IF(((TArticle[[#This Row],[شناسه]]))="4.1.1",IF(TArticle[[#This Row],[کد وضعیت سند]]=1,TArticle[مبلغ],0),0),0)</f>
        <v>0</v>
      </c>
      <c r="AF45" s="1">
        <f>IFERROR(IF(((TArticle[[#This Row],[شناسه]]))="4.1.2",IF(TArticle[[#This Row],[کد وضعیت سند]]=1,TArticle[مبلغ],0),0),0)</f>
        <v>0</v>
      </c>
      <c r="AG45" s="1">
        <f>IFERROR(IF(INT(LEFT(TArticle[[#This Row],[شناسه]]))=1,IF(TArticle[[#This Row],[کد وضعیت سند]]=1,TArticle[مبلغ],0),0),0)</f>
        <v>0</v>
      </c>
      <c r="AH45" s="1">
        <f>IFERROR(IF(INT(LEFT(TArticle[[#This Row],[شناسه]]))=2,IF(TArticle[[#This Row],[کد وضعیت سند]]=1,TArticle[مبلغ],0),0),0)</f>
        <v>0</v>
      </c>
      <c r="AI45" s="1">
        <f>IFERROR(IF((LEFT(TArticle[[#This Row],[شناسه]],3))="5.2",IF(TArticle[[#This Row],[کد وضعیت سند]]=1,TArticle[مبلغ],0),0),0)</f>
        <v>0</v>
      </c>
      <c r="AJ45" s="1">
        <f>IF(TArticle[[#This Row],[کد وضعیت سند]]=1,1,0)</f>
        <v>1</v>
      </c>
      <c r="AK45" s="1">
        <f>IF(AND(TArticle[[#This Row],[کد وضعیت سند]]&lt;&gt;1,TArticle[[#This Row],[مبلغ]]&lt;&gt;0),1,0)</f>
        <v>0</v>
      </c>
      <c r="AL45" s="51">
        <f>IF(TArticle[[#This Row],[کد بانک]]&gt;0,TArticle[[#This Row],[مانده بانک]]-VLOOKUP(TArticle[[#This Row],[کد بانک]],TBank[],7,FALSE),"")</f>
        <v>0</v>
      </c>
      <c r="AM45" s="49" t="str">
        <f>LEFT(TArticle[[#This Row],[تاریخ]],7)</f>
        <v>1401-03</v>
      </c>
    </row>
    <row r="46" spans="1:39" hidden="1" x14ac:dyDescent="0.25">
      <c r="A46" s="24" t="s">
        <v>1612</v>
      </c>
      <c r="B46" s="49" t="str">
        <f>VLOOKUP(TArticle[[#This Row],[شناسه]],TAccount[],2,TRUE)</f>
        <v>تجهیز آپارتمان</v>
      </c>
      <c r="C46" s="49" t="str">
        <f>VLOOKUP(TArticle[[#This Row],[تاریخ]],TDays[],7,FALSE)</f>
        <v>پنجشنبه</v>
      </c>
      <c r="D46" s="21" t="s">
        <v>269</v>
      </c>
      <c r="E46" s="1">
        <f>-20700+8000</f>
        <v>-12700</v>
      </c>
      <c r="F46" s="1">
        <f>TArticle[[#This Row],[مبلغ]]+IFERROR(INT(F45),30181+3667+958)</f>
        <v>34387</v>
      </c>
      <c r="G46" t="s">
        <v>1614</v>
      </c>
      <c r="K46" s="21">
        <v>1</v>
      </c>
      <c r="L46" t="str">
        <f>IF(TArticle[[#This Row],[کد وضعیت سند]]&gt;0,VLOOKUP(TArticle[[#This Row],[کد وضعیت سند]],TDocState[],2,FALSE),"")</f>
        <v>انجام شد</v>
      </c>
      <c r="N46" t="str">
        <f>IF(TArticle[[#This Row],[کد طرف حساب]]&gt;0,VLOOKUP(TArticle[[#This Row],[کد طرف حساب]],TContact[],2,FALSE),"")</f>
        <v/>
      </c>
      <c r="O46" s="61" t="str">
        <f>IF(TArticle[[#This Row],[کد طرف حساب]]&gt;0,VLOOKUP(TArticle[[#This Row],[کد طرف حساب]],TContact[],7,FALSE)-SUMIF($M$2:M46,M46,$E$2:$E46),"")</f>
        <v/>
      </c>
      <c r="P46" s="27" t="str">
        <f>RIGHT(TArticle[[#This Row],[تاریخ]],2)</f>
        <v>05</v>
      </c>
      <c r="Q46" s="27">
        <f>VLOOKUP(TArticle[[#This Row],[تاریخ]],TDays[],16,FALSE)</f>
        <v>10</v>
      </c>
      <c r="R46" s="27" t="str">
        <f>RIGHT(LEFT(TArticle[[#This Row],[تاریخ]],7),2)</f>
        <v>03</v>
      </c>
      <c r="S46" s="27" t="str">
        <f>LEFT(TArticle[[#This Row],[تاریخ]],4)</f>
        <v>1401</v>
      </c>
      <c r="U46" s="21">
        <f>VLOOKUP(TArticle[[#This Row],[شناسه]],TAccount[],7,TRUE)</f>
        <v>97700</v>
      </c>
      <c r="W46" s="21">
        <f>IF(AND(TArticle[[#This Row],[مبلغ]]&gt;0, TArticle[[#This Row],[کد وضعیت سند]]=1),TArticle[[#This Row],[مبلغ]],0)</f>
        <v>0</v>
      </c>
      <c r="X46" s="27">
        <f>IF(AND(TArticle[[#This Row],[مبلغ]]&lt;0,TArticle[[#This Row],[کد وضعیت سند]]=1),0-TArticle[[#This Row],[مبلغ]],0)</f>
        <v>12700</v>
      </c>
      <c r="Y46" s="67">
        <v>2</v>
      </c>
      <c r="Z46" t="str">
        <f>IF(TArticle[[#This Row],[کد بانک]]&gt;0,VLOOKUP(TArticle[[#This Row],[کد بانک]],TBank[],2,FALSE),"")</f>
        <v>ملی جاری</v>
      </c>
      <c r="AA46">
        <f>IF(AND(TArticle[[#This Row],[مبلغ]]&lt;0,TArticle[[#This Row],[کد وضعیت سند]]=1),0-TArticle[[#This Row],[مبلغ]],0)</f>
        <v>12700</v>
      </c>
      <c r="AB46">
        <f>IF(AND(TArticle[[#This Row],[مبلغ]]&gt;0, TArticle[[#This Row],[کد وضعیت سند]]=1),TArticle[[#This Row],[مبلغ]],0)</f>
        <v>0</v>
      </c>
      <c r="AC46" s="84">
        <f>IF(TArticle[[#This Row],[کد بانک]]&gt;0,VLOOKUP(TArticle[[#This Row],[کد بانک]],TBank[],9,FALSE)+SUMIF($Y$2:Y46,Y46,$E$2:$E46),"")</f>
        <v>25707</v>
      </c>
      <c r="AD46" s="1">
        <f>IFERROR(IF(INT(LEFT(TArticle[[#This Row],[شناسه]]))=3,IF(TArticle[[#This Row],[کد وضعیت سند]]=1,TArticle[مبلغ],0),0),0)</f>
        <v>-12700</v>
      </c>
      <c r="AE46" s="1">
        <f>IFERROR(IF(((TArticle[[#This Row],[شناسه]]))="4.1.1",IF(TArticle[[#This Row],[کد وضعیت سند]]=1,TArticle[مبلغ],0),0),0)</f>
        <v>0</v>
      </c>
      <c r="AF46" s="1">
        <f>IFERROR(IF(((TArticle[[#This Row],[شناسه]]))="4.1.2",IF(TArticle[[#This Row],[کد وضعیت سند]]=1,TArticle[مبلغ],0),0),0)</f>
        <v>0</v>
      </c>
      <c r="AG46" s="1">
        <f>IFERROR(IF(INT(LEFT(TArticle[[#This Row],[شناسه]]))=1,IF(TArticle[[#This Row],[کد وضعیت سند]]=1,TArticle[مبلغ],0),0),0)</f>
        <v>0</v>
      </c>
      <c r="AH46" s="1">
        <f>IFERROR(IF(INT(LEFT(TArticle[[#This Row],[شناسه]]))=2,IF(TArticle[[#This Row],[کد وضعیت سند]]=1,TArticle[مبلغ],0),0),0)</f>
        <v>0</v>
      </c>
      <c r="AI46" s="1">
        <f>IFERROR(IF((LEFT(TArticle[[#This Row],[شناسه]],3))="5.2",IF(TArticle[[#This Row],[کد وضعیت سند]]=1,TArticle[مبلغ],0),0),0)</f>
        <v>0</v>
      </c>
      <c r="AJ46" s="1">
        <f>IF(TArticle[[#This Row],[کد وضعیت سند]]=1,1,0)</f>
        <v>1</v>
      </c>
      <c r="AK46" s="1">
        <f>IF(AND(TArticle[[#This Row],[کد وضعیت سند]]&lt;&gt;1,TArticle[[#This Row],[مبلغ]]&lt;&gt;0),1,0)</f>
        <v>0</v>
      </c>
      <c r="AL46" s="51">
        <f>IF(TArticle[[#This Row],[کد بانک]]&gt;0,TArticle[[#This Row],[مانده بانک]]-VLOOKUP(TArticle[[#This Row],[کد بانک]],TBank[],7,FALSE),"")</f>
        <v>25707</v>
      </c>
      <c r="AM46" s="49" t="str">
        <f>LEFT(TArticle[[#This Row],[تاریخ]],7)</f>
        <v>1401-03</v>
      </c>
    </row>
    <row r="47" spans="1:39" hidden="1" x14ac:dyDescent="0.25">
      <c r="A47" s="24" t="s">
        <v>1612</v>
      </c>
      <c r="B47" s="49" t="str">
        <f>VLOOKUP(TArticle[[#This Row],[شناسه]],TAccount[],2,TRUE)</f>
        <v>تجهیز آپارتمان</v>
      </c>
      <c r="C47" s="49" t="str">
        <f>VLOOKUP(TArticle[[#This Row],[تاریخ]],TDays[],7,FALSE)</f>
        <v>پنجشنبه</v>
      </c>
      <c r="D47" s="21" t="s">
        <v>269</v>
      </c>
      <c r="E47" s="1">
        <v>-8000</v>
      </c>
      <c r="F47" s="1">
        <f>TArticle[[#This Row],[مبلغ]]+IFERROR(INT(F46),30181+3667+958)</f>
        <v>26387</v>
      </c>
      <c r="G47" t="s">
        <v>1656</v>
      </c>
      <c r="K47" s="21">
        <v>1</v>
      </c>
      <c r="L47" t="str">
        <f>IF(TArticle[[#This Row],[کد وضعیت سند]]&gt;0,VLOOKUP(TArticle[[#This Row],[کد وضعیت سند]],TDocState[],2,FALSE),"")</f>
        <v>انجام شد</v>
      </c>
      <c r="N47" t="str">
        <f>IF(TArticle[[#This Row],[کد طرف حساب]]&gt;0,VLOOKUP(TArticle[[#This Row],[کد طرف حساب]],TContact[],2,FALSE),"")</f>
        <v/>
      </c>
      <c r="O47" s="61" t="str">
        <f>IF(TArticle[[#This Row],[کد طرف حساب]]&gt;0,VLOOKUP(TArticle[[#This Row],[کد طرف حساب]],TContact[],7,FALSE)-SUMIF($M$2:M47,M47,$E$2:$E47),"")</f>
        <v/>
      </c>
      <c r="P47" s="27" t="str">
        <f>RIGHT(TArticle[[#This Row],[تاریخ]],2)</f>
        <v>05</v>
      </c>
      <c r="Q47" s="27">
        <f>VLOOKUP(TArticle[[#This Row],[تاریخ]],TDays[],16,FALSE)</f>
        <v>10</v>
      </c>
      <c r="R47" s="27" t="str">
        <f>RIGHT(LEFT(TArticle[[#This Row],[تاریخ]],7),2)</f>
        <v>03</v>
      </c>
      <c r="S47" s="27" t="str">
        <f>LEFT(TArticle[[#This Row],[تاریخ]],4)</f>
        <v>1401</v>
      </c>
      <c r="U47" s="21">
        <f>VLOOKUP(TArticle[[#This Row],[شناسه]],TAccount[],7,TRUE)</f>
        <v>97700</v>
      </c>
      <c r="W47" s="21">
        <f>IF(AND(TArticle[[#This Row],[مبلغ]]&gt;0, TArticle[[#This Row],[کد وضعیت سند]]=1),TArticle[[#This Row],[مبلغ]],0)</f>
        <v>0</v>
      </c>
      <c r="X47" s="27">
        <f>IF(AND(TArticle[[#This Row],[مبلغ]]&lt;0,TArticle[[#This Row],[کد وضعیت سند]]=1),0-TArticle[[#This Row],[مبلغ]],0)</f>
        <v>8000</v>
      </c>
      <c r="Y47" s="27">
        <v>2</v>
      </c>
      <c r="Z47" t="str">
        <f>IF(TArticle[[#This Row],[کد بانک]]&gt;0,VLOOKUP(TArticle[[#This Row],[کد بانک]],TBank[],2,FALSE),"")</f>
        <v>ملی جاری</v>
      </c>
      <c r="AA47">
        <f>IF(AND(TArticle[[#This Row],[مبلغ]]&lt;0,TArticle[[#This Row],[کد وضعیت سند]]=1),0-TArticle[[#This Row],[مبلغ]],0)</f>
        <v>8000</v>
      </c>
      <c r="AB47">
        <f>IF(AND(TArticle[[#This Row],[مبلغ]]&gt;0, TArticle[[#This Row],[کد وضعیت سند]]=1),TArticle[[#This Row],[مبلغ]],0)</f>
        <v>0</v>
      </c>
      <c r="AC47" s="84">
        <f>IF(TArticle[[#This Row],[کد بانک]]&gt;0,VLOOKUP(TArticle[[#This Row],[کد بانک]],TBank[],9,FALSE)+SUMIF($Y$2:Y47,Y47,$E$2:$E47),"")</f>
        <v>17707</v>
      </c>
      <c r="AD47" s="1">
        <f>IFERROR(IF(INT(LEFT(TArticle[[#This Row],[شناسه]]))=3,IF(TArticle[[#This Row],[کد وضعیت سند]]=1,TArticle[مبلغ],0),0),0)</f>
        <v>-8000</v>
      </c>
      <c r="AE47" s="1">
        <f>IFERROR(IF(((TArticle[[#This Row],[شناسه]]))="4.1.1",IF(TArticle[[#This Row],[کد وضعیت سند]]=1,TArticle[مبلغ],0),0),0)</f>
        <v>0</v>
      </c>
      <c r="AF47" s="1">
        <f>IFERROR(IF(((TArticle[[#This Row],[شناسه]]))="4.1.2",IF(TArticle[[#This Row],[کد وضعیت سند]]=1,TArticle[مبلغ],0),0),0)</f>
        <v>0</v>
      </c>
      <c r="AG47" s="1">
        <f>IFERROR(IF(INT(LEFT(TArticle[[#This Row],[شناسه]]))=1,IF(TArticle[[#This Row],[کد وضعیت سند]]=1,TArticle[مبلغ],0),0),0)</f>
        <v>0</v>
      </c>
      <c r="AH47" s="1">
        <f>IFERROR(IF(INT(LEFT(TArticle[[#This Row],[شناسه]]))=2,IF(TArticle[[#This Row],[کد وضعیت سند]]=1,TArticle[مبلغ],0),0),0)</f>
        <v>0</v>
      </c>
      <c r="AI47" s="1">
        <f>IFERROR(IF((LEFT(TArticle[[#This Row],[شناسه]],3))="5.2",IF(TArticle[[#This Row],[کد وضعیت سند]]=1,TArticle[مبلغ],0),0),0)</f>
        <v>0</v>
      </c>
      <c r="AJ47" s="1">
        <f>IF(TArticle[[#This Row],[کد وضعیت سند]]=1,1,0)</f>
        <v>1</v>
      </c>
      <c r="AK47" s="1">
        <f>IF(AND(TArticle[[#This Row],[کد وضعیت سند]]&lt;&gt;1,TArticle[[#This Row],[مبلغ]]&lt;&gt;0),1,0)</f>
        <v>0</v>
      </c>
      <c r="AL47" s="51">
        <f>IF(TArticle[[#This Row],[کد بانک]]&gt;0,TArticle[[#This Row],[مانده بانک]]-VLOOKUP(TArticle[[#This Row],[کد بانک]],TBank[],7,FALSE),"")</f>
        <v>17707</v>
      </c>
      <c r="AM47" s="49" t="str">
        <f>LEFT(TArticle[[#This Row],[تاریخ]],7)</f>
        <v>1401-03</v>
      </c>
    </row>
    <row r="48" spans="1:39" hidden="1" x14ac:dyDescent="0.25">
      <c r="A48" s="24" t="s">
        <v>1110</v>
      </c>
      <c r="B48" s="49" t="str">
        <f>VLOOKUP(TArticle[[#This Row],[شناسه]],TAccount[],2,TRUE)</f>
        <v>قسط وام بانکی</v>
      </c>
      <c r="C48" s="49" t="str">
        <f>VLOOKUP(TArticle[[#This Row],[تاریخ]],TDays[],7,FALSE)</f>
        <v>جمعه</v>
      </c>
      <c r="D48" s="21" t="s">
        <v>270</v>
      </c>
      <c r="E48" s="1">
        <v>-278</v>
      </c>
      <c r="F48" s="1">
        <f>TArticle[[#This Row],[مبلغ]]+IFERROR(INT(F47),30181+3667+958)</f>
        <v>26109</v>
      </c>
      <c r="G48" t="s">
        <v>1109</v>
      </c>
      <c r="H48" s="21">
        <v>29</v>
      </c>
      <c r="K48" s="21">
        <v>1</v>
      </c>
      <c r="L48" t="str">
        <f>IF(TArticle[[#This Row],[کد وضعیت سند]]&gt;0,VLOOKUP(TArticle[[#This Row],[کد وضعیت سند]],TDocState[],2,FALSE),"")</f>
        <v>انجام شد</v>
      </c>
      <c r="M48" s="27">
        <v>104</v>
      </c>
      <c r="N48" t="str">
        <f>IF(TArticle[[#This Row],[کد طرف حساب]]&gt;0,VLOOKUP(TArticle[[#This Row],[کد طرف حساب]],TContact[],2,FALSE),"")</f>
        <v>وام ملی ف</v>
      </c>
      <c r="O48" s="61">
        <f>IF(TArticle[[#This Row],[کد طرف حساب]]&gt;0,VLOOKUP(TArticle[[#This Row],[کد طرف حساب]],TContact[],7,FALSE)-SUMIF($M$2:M48,M48,$E$2:$E48),"")</f>
        <v>-1938</v>
      </c>
      <c r="P48" s="27" t="str">
        <f>RIGHT(TArticle[[#This Row],[تاریخ]],2)</f>
        <v>06</v>
      </c>
      <c r="Q48" s="27">
        <f>VLOOKUP(TArticle[[#This Row],[تاریخ]],TDays[],16,FALSE)</f>
        <v>10</v>
      </c>
      <c r="R48" s="27" t="str">
        <f>RIGHT(LEFT(TArticle[[#This Row],[تاریخ]],7),2)</f>
        <v>03</v>
      </c>
      <c r="S48" s="27" t="str">
        <f>LEFT(TArticle[[#This Row],[تاریخ]],4)</f>
        <v>1401</v>
      </c>
      <c r="U48" s="21">
        <f>VLOOKUP(TArticle[[#This Row],[شناسه]],TAccount[],7,TRUE)</f>
        <v>81652</v>
      </c>
      <c r="V48" s="21" t="s">
        <v>245</v>
      </c>
      <c r="W48" s="21">
        <f>IF(AND(TArticle[[#This Row],[مبلغ]]&gt;0, TArticle[[#This Row],[کد وضعیت سند]]=1),TArticle[[#This Row],[مبلغ]],0)</f>
        <v>0</v>
      </c>
      <c r="X48" s="27">
        <f>IF(AND(TArticle[[#This Row],[مبلغ]]&lt;0,TArticle[[#This Row],[کد وضعیت سند]]=1),0-TArticle[[#This Row],[مبلغ]],0)</f>
        <v>278</v>
      </c>
      <c r="Y48" s="27">
        <v>2</v>
      </c>
      <c r="Z48" t="str">
        <f>IF(TArticle[[#This Row],[کد بانک]]&gt;0,VLOOKUP(TArticle[[#This Row],[کد بانک]],TBank[],2,FALSE),"")</f>
        <v>ملی جاری</v>
      </c>
      <c r="AA48">
        <f>IF(AND(TArticle[[#This Row],[مبلغ]]&lt;0,TArticle[[#This Row],[کد وضعیت سند]]=1),0-TArticle[[#This Row],[مبلغ]],0)</f>
        <v>278</v>
      </c>
      <c r="AB48">
        <f>IF(AND(TArticle[[#This Row],[مبلغ]]&gt;0, TArticle[[#This Row],[کد وضعیت سند]]=1),TArticle[[#This Row],[مبلغ]],0)</f>
        <v>0</v>
      </c>
      <c r="AC48" s="84">
        <f>IF(TArticle[[#This Row],[کد بانک]]&gt;0,VLOOKUP(TArticle[[#This Row],[کد بانک]],TBank[],9,FALSE)+SUMIF($Y$2:Y48,Y48,$E$2:$E48),"")</f>
        <v>17429</v>
      </c>
      <c r="AD48" s="1">
        <f>IFERROR(IF(INT(LEFT(TArticle[[#This Row],[شناسه]]))=3,IF(TArticle[[#This Row],[کد وضعیت سند]]=1,TArticle[مبلغ],0),0),0)</f>
        <v>0</v>
      </c>
      <c r="AE48" s="1">
        <f>IFERROR(IF(((TArticle[[#This Row],[شناسه]]))="4.1.1",IF(TArticle[[#This Row],[کد وضعیت سند]]=1,TArticle[مبلغ],0),0),0)</f>
        <v>0</v>
      </c>
      <c r="AF48" s="1">
        <f>IFERROR(IF(((TArticle[[#This Row],[شناسه]]))="4.1.2",IF(TArticle[[#This Row],[کد وضعیت سند]]=1,TArticle[مبلغ],0),0),0)</f>
        <v>0</v>
      </c>
      <c r="AG48" s="1">
        <f>IFERROR(IF(INT(LEFT(TArticle[[#This Row],[شناسه]]))=1,IF(TArticle[[#This Row],[کد وضعیت سند]]=1,TArticle[مبلغ],0),0),0)</f>
        <v>-278</v>
      </c>
      <c r="AH48" s="1">
        <f>IFERROR(IF(INT(LEFT(TArticle[[#This Row],[شناسه]]))=2,IF(TArticle[[#This Row],[کد وضعیت سند]]=1,TArticle[مبلغ],0),0),0)</f>
        <v>0</v>
      </c>
      <c r="AI48" s="1">
        <f>IFERROR(IF((LEFT(TArticle[[#This Row],[شناسه]],3))="5.2",IF(TArticle[[#This Row],[کد وضعیت سند]]=1,TArticle[مبلغ],0),0),0)</f>
        <v>0</v>
      </c>
      <c r="AJ48" s="1">
        <f>IF(TArticle[[#This Row],[کد وضعیت سند]]=1,1,0)</f>
        <v>1</v>
      </c>
      <c r="AK48" s="1">
        <f>IF(AND(TArticle[[#This Row],[کد وضعیت سند]]&lt;&gt;1,TArticle[[#This Row],[مبلغ]]&lt;&gt;0),1,0)</f>
        <v>0</v>
      </c>
      <c r="AL48" s="51">
        <f>IF(TArticle[[#This Row],[کد بانک]]&gt;0,TArticle[[#This Row],[مانده بانک]]-VLOOKUP(TArticle[[#This Row],[کد بانک]],TBank[],7,FALSE),"")</f>
        <v>17429</v>
      </c>
      <c r="AM48" s="58" t="str">
        <f>LEFT(TArticle[[#This Row],[تاریخ]],7)</f>
        <v>1401-03</v>
      </c>
    </row>
    <row r="49" spans="1:39" hidden="1" x14ac:dyDescent="0.25">
      <c r="A49" s="24" t="s">
        <v>1107</v>
      </c>
      <c r="B49" s="49" t="str">
        <f>VLOOKUP(TArticle[[#This Row],[شناسه]],TAccount[],2,TRUE)</f>
        <v>سود وام</v>
      </c>
      <c r="C49" s="49" t="str">
        <f>VLOOKUP(TArticle[[#This Row],[تاریخ]],TDays[],7,FALSE)</f>
        <v>جمعه</v>
      </c>
      <c r="D49" s="21" t="s">
        <v>270</v>
      </c>
      <c r="E49" s="1">
        <v>-84</v>
      </c>
      <c r="F49" s="1">
        <f>TArticle[[#This Row],[مبلغ]]+IFERROR(INT(F48),30181+3667+958)</f>
        <v>26025</v>
      </c>
      <c r="G49" t="s">
        <v>1109</v>
      </c>
      <c r="H49" s="21">
        <v>29</v>
      </c>
      <c r="K49" s="21">
        <v>1</v>
      </c>
      <c r="L49" t="str">
        <f>IF(TArticle[[#This Row],[کد وضعیت سند]]&gt;0,VLOOKUP(TArticle[[#This Row],[کد وضعیت سند]],TDocState[],2,FALSE),"")</f>
        <v>انجام شد</v>
      </c>
      <c r="M49" s="27">
        <v>104.1</v>
      </c>
      <c r="N49" t="str">
        <f>IF(TArticle[[#This Row],[کد طرف حساب]]&gt;0,VLOOKUP(TArticle[[#This Row],[کد طرف حساب]],TContact[],2,FALSE),"")</f>
        <v>وام ملی ف - سود</v>
      </c>
      <c r="O49" s="61">
        <f>IF(TArticle[[#This Row],[کد طرف حساب]]&gt;0,VLOOKUP(TArticle[[#This Row],[کد طرف حساب]],TContact[],7,FALSE)-SUMIF($M$2:M49,M49,$E$2:$E49),"")</f>
        <v>-494</v>
      </c>
      <c r="P49" s="27" t="str">
        <f>RIGHT(TArticle[[#This Row],[تاریخ]],2)</f>
        <v>06</v>
      </c>
      <c r="Q49" s="27">
        <f>VLOOKUP(TArticle[[#This Row],[تاریخ]],TDays[],16,FALSE)</f>
        <v>10</v>
      </c>
      <c r="R49" s="27" t="str">
        <f>RIGHT(LEFT(TArticle[[#This Row],[تاریخ]],7),2)</f>
        <v>03</v>
      </c>
      <c r="S49" s="27" t="str">
        <f>LEFT(TArticle[[#This Row],[تاریخ]],4)</f>
        <v>1401</v>
      </c>
      <c r="U49" s="21">
        <f>VLOOKUP(TArticle[[#This Row],[شناسه]],TAccount[],7,TRUE)</f>
        <v>9163</v>
      </c>
      <c r="V49" s="21" t="s">
        <v>245</v>
      </c>
      <c r="W49" s="21">
        <f>IF(AND(TArticle[[#This Row],[مبلغ]]&gt;0, TArticle[[#This Row],[کد وضعیت سند]]=1),TArticle[[#This Row],[مبلغ]],0)</f>
        <v>0</v>
      </c>
      <c r="X49" s="27">
        <f>IF(AND(TArticle[[#This Row],[مبلغ]]&lt;0,TArticle[[#This Row],[کد وضعیت سند]]=1),0-TArticle[[#This Row],[مبلغ]],0)</f>
        <v>84</v>
      </c>
      <c r="Y49" s="27">
        <v>2</v>
      </c>
      <c r="Z49" t="str">
        <f>IF(TArticle[[#This Row],[کد بانک]]&gt;0,VLOOKUP(TArticle[[#This Row],[کد بانک]],TBank[],2,FALSE),"")</f>
        <v>ملی جاری</v>
      </c>
      <c r="AA49">
        <f>IF(AND(TArticle[[#This Row],[مبلغ]]&lt;0,TArticle[[#This Row],[کد وضعیت سند]]=1),0-TArticle[[#This Row],[مبلغ]],0)</f>
        <v>84</v>
      </c>
      <c r="AB49">
        <f>IF(AND(TArticle[[#This Row],[مبلغ]]&gt;0, TArticle[[#This Row],[کد وضعیت سند]]=1),TArticle[[#This Row],[مبلغ]],0)</f>
        <v>0</v>
      </c>
      <c r="AC49" s="84">
        <f>IF(TArticle[[#This Row],[کد بانک]]&gt;0,VLOOKUP(TArticle[[#This Row],[کد بانک]],TBank[],9,FALSE)+SUMIF($Y$2:Y49,Y49,$E$2:$E49),"")</f>
        <v>17345</v>
      </c>
      <c r="AD49" s="1">
        <f>IFERROR(IF(INT(LEFT(TArticle[[#This Row],[شناسه]]))=3,IF(TArticle[[#This Row],[کد وضعیت سند]]=1,TArticle[مبلغ],0),0),0)</f>
        <v>-84</v>
      </c>
      <c r="AE49" s="1">
        <f>IFERROR(IF(((TArticle[[#This Row],[شناسه]]))="4.1.1",IF(TArticle[[#This Row],[کد وضعیت سند]]=1,TArticle[مبلغ],0),0),0)</f>
        <v>0</v>
      </c>
      <c r="AF49" s="1">
        <f>IFERROR(IF(((TArticle[[#This Row],[شناسه]]))="4.1.2",IF(TArticle[[#This Row],[کد وضعیت سند]]=1,TArticle[مبلغ],0),0),0)</f>
        <v>0</v>
      </c>
      <c r="AG49" s="1">
        <f>IFERROR(IF(INT(LEFT(TArticle[[#This Row],[شناسه]]))=1,IF(TArticle[[#This Row],[کد وضعیت سند]]=1,TArticle[مبلغ],0),0),0)</f>
        <v>0</v>
      </c>
      <c r="AH49" s="1">
        <f>IFERROR(IF(INT(LEFT(TArticle[[#This Row],[شناسه]]))=2,IF(TArticle[[#This Row],[کد وضعیت سند]]=1,TArticle[مبلغ],0),0),0)</f>
        <v>0</v>
      </c>
      <c r="AI49" s="1">
        <f>IFERROR(IF((LEFT(TArticle[[#This Row],[شناسه]],3))="5.2",IF(TArticle[[#This Row],[کد وضعیت سند]]=1,TArticle[مبلغ],0),0),0)</f>
        <v>0</v>
      </c>
      <c r="AJ49" s="1">
        <f>IF(TArticle[[#This Row],[کد وضعیت سند]]=1,1,0)</f>
        <v>1</v>
      </c>
      <c r="AK49" s="1">
        <f>IF(AND(TArticle[[#This Row],[کد وضعیت سند]]&lt;&gt;1,TArticle[[#This Row],[مبلغ]]&lt;&gt;0),1,0)</f>
        <v>0</v>
      </c>
      <c r="AL49" s="51">
        <f>IF(TArticle[[#This Row],[کد بانک]]&gt;0,TArticle[[#This Row],[مانده بانک]]-VLOOKUP(TArticle[[#This Row],[کد بانک]],TBank[],7,FALSE),"")</f>
        <v>17345</v>
      </c>
      <c r="AM49" s="58" t="str">
        <f>LEFT(TArticle[[#This Row],[تاریخ]],7)</f>
        <v>1401-03</v>
      </c>
    </row>
    <row r="50" spans="1:39" hidden="1" x14ac:dyDescent="0.25">
      <c r="A50" s="24" t="s">
        <v>1110</v>
      </c>
      <c r="B50" s="49" t="str">
        <f>VLOOKUP(TArticle[[#This Row],[شناسه]],TAccount[],2,TRUE)</f>
        <v>قسط وام بانکی</v>
      </c>
      <c r="C50" s="49" t="str">
        <f>VLOOKUP(TArticle[[#This Row],[تاریخ]],TDays[],7,FALSE)</f>
        <v>جمعه</v>
      </c>
      <c r="D50" s="21" t="s">
        <v>270</v>
      </c>
      <c r="E50" s="1">
        <v>-104</v>
      </c>
      <c r="F50" s="1">
        <f>TArticle[[#This Row],[مبلغ]]+IFERROR(INT(F49),30181+3667+958)</f>
        <v>25921</v>
      </c>
      <c r="H50" s="21">
        <v>13</v>
      </c>
      <c r="J50" s="51"/>
      <c r="K50" s="49">
        <v>1</v>
      </c>
      <c r="L50" t="str">
        <f>IF(TArticle[[#This Row],[کد وضعیت سند]]&gt;0,VLOOKUP(TArticle[[#This Row],[کد وضعیت سند]],TDocState[],2,FALSE),"")</f>
        <v>انجام شد</v>
      </c>
      <c r="M50" s="27">
        <v>107</v>
      </c>
      <c r="N50" t="str">
        <f>IF(TArticle[[#This Row],[کد طرف حساب]]&gt;0,VLOOKUP(TArticle[[#This Row],[کد طرف حساب]],TContact[],2,FALSE),"")</f>
        <v>وام مهرایران ف</v>
      </c>
      <c r="O50" s="60">
        <f>IF(TArticle[[#This Row],[کد طرف حساب]]&gt;0,VLOOKUP(TArticle[[#This Row],[کد طرف حساب]],TContact[],7,FALSE)-SUMIF($M$2:M50,M50,$E$2:$E50),"")</f>
        <v>-520</v>
      </c>
      <c r="P50" s="27" t="str">
        <f>RIGHT(TArticle[[#This Row],[تاریخ]],2)</f>
        <v>06</v>
      </c>
      <c r="Q50" s="27">
        <f>VLOOKUP(TArticle[[#This Row],[تاریخ]],TDays[],16,FALSE)</f>
        <v>10</v>
      </c>
      <c r="R50" s="27" t="str">
        <f>RIGHT(LEFT(TArticle[[#This Row],[تاریخ]],7),2)</f>
        <v>03</v>
      </c>
      <c r="S50" s="27" t="str">
        <f>LEFT(TArticle[[#This Row],[تاریخ]],4)</f>
        <v>1401</v>
      </c>
      <c r="U50" s="21">
        <f>VLOOKUP(TArticle[[#This Row],[شناسه]],TAccount[],7,TRUE)</f>
        <v>81652</v>
      </c>
      <c r="V50" s="21" t="s">
        <v>250</v>
      </c>
      <c r="W50" s="21">
        <f>IF(AND(TArticle[[#This Row],[مبلغ]]&gt;0, TArticle[[#This Row],[کد وضعیت سند]]=1),TArticle[[#This Row],[مبلغ]],0)</f>
        <v>0</v>
      </c>
      <c r="X50" s="27">
        <f>IF(AND(TArticle[[#This Row],[مبلغ]]&lt;0,TArticle[[#This Row],[کد وضعیت سند]]=1),0-TArticle[[#This Row],[مبلغ]],0)</f>
        <v>104</v>
      </c>
      <c r="Y50" s="27">
        <v>2</v>
      </c>
      <c r="Z50" t="str">
        <f>IF(TArticle[[#This Row],[کد بانک]]&gt;0,VLOOKUP(TArticle[[#This Row],[کد بانک]],TBank[],2,FALSE),"")</f>
        <v>ملی جاری</v>
      </c>
      <c r="AA50">
        <f>IF(AND(TArticle[[#This Row],[مبلغ]]&lt;0,TArticle[[#This Row],[کد وضعیت سند]]=1),0-TArticle[[#This Row],[مبلغ]],0)</f>
        <v>104</v>
      </c>
      <c r="AB50">
        <f>IF(AND(TArticle[[#This Row],[مبلغ]]&gt;0, TArticle[[#This Row],[کد وضعیت سند]]=1),TArticle[[#This Row],[مبلغ]],0)</f>
        <v>0</v>
      </c>
      <c r="AC50" s="92">
        <f>IF(TArticle[[#This Row],[کد بانک]]&gt;0,VLOOKUP(TArticle[[#This Row],[کد بانک]],TBank[],9,FALSE)+SUMIF($Y$2:Y50,Y50,$E$2:$E50),"")</f>
        <v>17241</v>
      </c>
      <c r="AD50" s="1">
        <f>IFERROR(IF(INT(LEFT(TArticle[[#This Row],[شناسه]]))=3,IF(TArticle[[#This Row],[کد وضعیت سند]]=1,TArticle[مبلغ],0),0),0)</f>
        <v>0</v>
      </c>
      <c r="AE50" s="1">
        <f>IFERROR(IF(((TArticle[[#This Row],[شناسه]]))="4.1.1",IF(TArticle[[#This Row],[کد وضعیت سند]]=1,TArticle[مبلغ],0),0),0)</f>
        <v>0</v>
      </c>
      <c r="AF50" s="1">
        <f>IFERROR(IF(((TArticle[[#This Row],[شناسه]]))="4.1.2",IF(TArticle[[#This Row],[کد وضعیت سند]]=1,TArticle[مبلغ],0),0),0)</f>
        <v>0</v>
      </c>
      <c r="AG50" s="1">
        <f>IFERROR(IF(INT(LEFT(TArticle[[#This Row],[شناسه]]))=1,IF(TArticle[[#This Row],[کد وضعیت سند]]=1,TArticle[مبلغ],0),0),0)</f>
        <v>-104</v>
      </c>
      <c r="AH50" s="1">
        <f>IFERROR(IF(INT(LEFT(TArticle[[#This Row],[شناسه]]))=2,IF(TArticle[[#This Row],[کد وضعیت سند]]=1,TArticle[مبلغ],0),0),0)</f>
        <v>0</v>
      </c>
      <c r="AI50" s="1">
        <f>IFERROR(IF((LEFT(TArticle[[#This Row],[شناسه]],3))="5.2",IF(TArticle[[#This Row],[کد وضعیت سند]]=1,TArticle[مبلغ],0),0),0)</f>
        <v>0</v>
      </c>
      <c r="AJ50" s="1">
        <f>IF(TArticle[[#This Row],[کد وضعیت سند]]=1,1,0)</f>
        <v>1</v>
      </c>
      <c r="AK50" s="1">
        <f>IF(AND(TArticle[[#This Row],[کد وضعیت سند]]&lt;&gt;1,TArticle[[#This Row],[مبلغ]]&lt;&gt;0),1,0)</f>
        <v>0</v>
      </c>
      <c r="AL50" s="51">
        <f>IF(TArticle[[#This Row],[کد بانک]]&gt;0,TArticle[[#This Row],[مانده بانک]]-VLOOKUP(TArticle[[#This Row],[کد بانک]],TBank[],7,FALSE),"")</f>
        <v>17241</v>
      </c>
      <c r="AM50" s="58" t="str">
        <f>LEFT(TArticle[[#This Row],[تاریخ]],7)</f>
        <v>1401-03</v>
      </c>
    </row>
    <row r="51" spans="1:39" hidden="1" x14ac:dyDescent="0.25">
      <c r="A51" s="24" t="s">
        <v>1110</v>
      </c>
      <c r="B51" s="49" t="str">
        <f>VLOOKUP(TArticle[[#This Row],[شناسه]],TAccount[],2,TRUE)</f>
        <v>قسط وام بانکی</v>
      </c>
      <c r="C51" s="49" t="str">
        <f>VLOOKUP(TArticle[[#This Row],[تاریخ]],TDays[],7,FALSE)</f>
        <v>جمعه</v>
      </c>
      <c r="D51" s="21" t="s">
        <v>270</v>
      </c>
      <c r="E51" s="1">
        <v>-1808</v>
      </c>
      <c r="F51" s="1">
        <f>TArticle[[#This Row],[مبلغ]]+IFERROR(INT(F50),30181+3667+958)</f>
        <v>24113</v>
      </c>
      <c r="G51" t="s">
        <v>1597</v>
      </c>
      <c r="H51" s="64">
        <v>7</v>
      </c>
      <c r="J51" s="65"/>
      <c r="K51" s="21">
        <v>1</v>
      </c>
      <c r="L51" s="66" t="str">
        <f>IF(TArticle[[#This Row],[کد وضعیت سند]]&gt;0,VLOOKUP(TArticle[[#This Row],[کد وضعیت سند]],TDocState[],2,FALSE),"")</f>
        <v>انجام شد</v>
      </c>
      <c r="M51" s="67">
        <v>112.1</v>
      </c>
      <c r="N51" t="str">
        <f>IF(TArticle[[#This Row],[کد طرف حساب]]&gt;0,VLOOKUP(TArticle[[#This Row],[کد طرف حساب]],TContact[],2,FALSE),"")</f>
        <v>وام ملی - سود</v>
      </c>
      <c r="O51" s="68">
        <f>IF(TArticle[[#This Row],[کد طرف حساب]]&gt;0,VLOOKUP(TArticle[[#This Row],[کد طرف حساب]],TContact[],7,FALSE)-SUMIF($M$2:M51,M51,$E$2:$E51),"")</f>
        <v>-609</v>
      </c>
      <c r="P51" s="67" t="str">
        <f>RIGHT(TArticle[[#This Row],[تاریخ]],2)</f>
        <v>06</v>
      </c>
      <c r="Q51" s="67">
        <f>VLOOKUP(TArticle[[#This Row],[تاریخ]],TDays[],16,FALSE)</f>
        <v>10</v>
      </c>
      <c r="R51" s="67" t="str">
        <f>RIGHT(LEFT(TArticle[[#This Row],[تاریخ]],7),2)</f>
        <v>03</v>
      </c>
      <c r="S51" s="67" t="str">
        <f>LEFT(TArticle[[#This Row],[تاریخ]],4)</f>
        <v>1401</v>
      </c>
      <c r="T51" s="64"/>
      <c r="U51" s="64">
        <f>VLOOKUP(TArticle[[#This Row],[شناسه]],TAccount[],7,TRUE)</f>
        <v>81652</v>
      </c>
      <c r="V51" s="21" t="s">
        <v>261</v>
      </c>
      <c r="W51" s="64">
        <f>IF(AND(TArticle[[#This Row],[مبلغ]]&gt;0, TArticle[[#This Row],[کد وضعیت سند]]=1),TArticle[[#This Row],[مبلغ]],0)</f>
        <v>0</v>
      </c>
      <c r="X51" s="67">
        <f>IF(AND(TArticle[[#This Row],[مبلغ]]&lt;0,TArticle[[#This Row],[کد وضعیت سند]]=1),0-TArticle[[#This Row],[مبلغ]],0)</f>
        <v>1808</v>
      </c>
      <c r="Y51" s="67">
        <v>2</v>
      </c>
      <c r="Z51" t="str">
        <f>IF(TArticle[[#This Row],[کد بانک]]&gt;0,VLOOKUP(TArticle[[#This Row],[کد بانک]],TBank[],2,FALSE),"")</f>
        <v>ملی جاری</v>
      </c>
      <c r="AA51">
        <f>IF(AND(TArticle[[#This Row],[مبلغ]]&lt;0,TArticle[[#This Row],[کد وضعیت سند]]=1),0-TArticle[[#This Row],[مبلغ]],0)</f>
        <v>1808</v>
      </c>
      <c r="AB51">
        <f>IF(AND(TArticle[[#This Row],[مبلغ]]&gt;0, TArticle[[#This Row],[کد وضعیت سند]]=1),TArticle[[#This Row],[مبلغ]],0)</f>
        <v>0</v>
      </c>
      <c r="AC51" s="93">
        <f>IF(TArticle[[#This Row],[کد بانک]]&gt;0,VLOOKUP(TArticle[[#This Row],[کد بانک]],TBank[],9,FALSE)+SUMIF($Y$2:Y51,Y51,$E$2:$E51),"")</f>
        <v>15433</v>
      </c>
      <c r="AD51" s="1">
        <f>IFERROR(IF(INT(LEFT(TArticle[[#This Row],[شناسه]]))=3,IF(TArticle[[#This Row],[کد وضعیت سند]]=1,TArticle[مبلغ],0),0),0)</f>
        <v>0</v>
      </c>
      <c r="AE51" s="1">
        <f>IFERROR(IF(((TArticle[[#This Row],[شناسه]]))="4.1.1",IF(TArticle[[#This Row],[کد وضعیت سند]]=1,TArticle[مبلغ],0),0),0)</f>
        <v>0</v>
      </c>
      <c r="AF51" s="1">
        <f>IFERROR(IF(((TArticle[[#This Row],[شناسه]]))="4.1.2",IF(TArticle[[#This Row],[کد وضعیت سند]]=1,TArticle[مبلغ],0),0),0)</f>
        <v>0</v>
      </c>
      <c r="AG51" s="1">
        <f>IFERROR(IF(INT(LEFT(TArticle[[#This Row],[شناسه]]))=1,IF(TArticle[[#This Row],[کد وضعیت سند]]=1,TArticle[مبلغ],0),0),0)</f>
        <v>-1808</v>
      </c>
      <c r="AH51" s="1">
        <f>IFERROR(IF(INT(LEFT(TArticle[[#This Row],[شناسه]]))=2,IF(TArticle[[#This Row],[کد وضعیت سند]]=1,TArticle[مبلغ],0),0),0)</f>
        <v>0</v>
      </c>
      <c r="AI51" s="1">
        <f>IFERROR(IF((LEFT(TArticle[[#This Row],[شناسه]],3))="5.2",IF(TArticle[[#This Row],[کد وضعیت سند]]=1,TArticle[مبلغ],0),0),0)</f>
        <v>0</v>
      </c>
      <c r="AJ51" s="1">
        <f>IF(TArticle[[#This Row],[کد وضعیت سند]]=1,1,0)</f>
        <v>1</v>
      </c>
      <c r="AK51" s="1">
        <f>IF(AND(TArticle[[#This Row],[کد وضعیت سند]]&lt;&gt;1,TArticle[[#This Row],[مبلغ]]&lt;&gt;0),1,0)</f>
        <v>0</v>
      </c>
      <c r="AL51" s="78">
        <f>IF(TArticle[[#This Row],[کد بانک]]&gt;0,TArticle[[#This Row],[مانده بانک]]-VLOOKUP(TArticle[[#This Row],[کد بانک]],TBank[],7,FALSE),"")</f>
        <v>15433</v>
      </c>
      <c r="AM51" s="58" t="str">
        <f>LEFT(TArticle[[#This Row],[تاریخ]],7)</f>
        <v>1401-03</v>
      </c>
    </row>
    <row r="52" spans="1:39" hidden="1" x14ac:dyDescent="0.25">
      <c r="A52" s="24" t="s">
        <v>55</v>
      </c>
      <c r="B52" s="49" t="str">
        <f>VLOOKUP(TArticle[[#This Row],[شناسه]],TAccount[],2,TRUE)</f>
        <v>هزینه کلی</v>
      </c>
      <c r="C52" s="49" t="str">
        <f>VLOOKUP(TArticle[[#This Row],[تاریخ]],TDays[],7,FALSE)</f>
        <v>جمعه</v>
      </c>
      <c r="D52" s="21" t="s">
        <v>270</v>
      </c>
      <c r="E52" s="1">
        <f>4575-15433+9000+326</f>
        <v>-1532</v>
      </c>
      <c r="F52" s="1">
        <f>TArticle[[#This Row],[مبلغ]]+IFERROR(INT(F51),30181+3667+958)</f>
        <v>22581</v>
      </c>
      <c r="G52" s="89"/>
      <c r="K52" s="21">
        <v>1</v>
      </c>
      <c r="L52" t="str">
        <f>IF(TArticle[[#This Row],[کد وضعیت سند]]&gt;0,VLOOKUP(TArticle[[#This Row],[کد وضعیت سند]],TDocState[],2,FALSE),"")</f>
        <v>انجام شد</v>
      </c>
      <c r="N52" t="str">
        <f>IF(TArticle[[#This Row],[کد طرف حساب]]&gt;0,VLOOKUP(TArticle[[#This Row],[کد طرف حساب]],TContact[],2,FALSE),"")</f>
        <v/>
      </c>
      <c r="O52" s="61" t="str">
        <f>IF(TArticle[[#This Row],[کد طرف حساب]]&gt;0,VLOOKUP(TArticle[[#This Row],[کد طرف حساب]],TContact[],7,FALSE)-SUMIF($M$2:M52,M52,$E$2:$E52),"")</f>
        <v/>
      </c>
      <c r="P52" s="27" t="str">
        <f>RIGHT(TArticle[[#This Row],[تاریخ]],2)</f>
        <v>06</v>
      </c>
      <c r="Q52" s="27">
        <f>VLOOKUP(TArticle[[#This Row],[تاریخ]],TDays[],16,FALSE)</f>
        <v>10</v>
      </c>
      <c r="R52" s="27" t="str">
        <f>RIGHT(LEFT(TArticle[[#This Row],[تاریخ]],7),2)</f>
        <v>03</v>
      </c>
      <c r="S52" s="27" t="str">
        <f>LEFT(TArticle[[#This Row],[تاریخ]],4)</f>
        <v>1401</v>
      </c>
      <c r="U52" s="21">
        <f>VLOOKUP(TArticle[[#This Row],[شناسه]],TAccount[],7,TRUE)</f>
        <v>364074</v>
      </c>
      <c r="W52" s="21">
        <f>IF(AND(TArticle[[#This Row],[مبلغ]]&gt;0, TArticle[[#This Row],[کد وضعیت سند]]=1),TArticle[[#This Row],[مبلغ]],0)</f>
        <v>0</v>
      </c>
      <c r="X52" s="27">
        <f>IF(AND(TArticle[[#This Row],[مبلغ]]&lt;0,TArticle[[#This Row],[کد وضعیت سند]]=1),0-TArticle[[#This Row],[مبلغ]],0)</f>
        <v>1532</v>
      </c>
      <c r="Y52" s="27">
        <v>2</v>
      </c>
      <c r="Z52" t="str">
        <f>IF(TArticle[[#This Row],[کد بانک]]&gt;0,VLOOKUP(TArticle[[#This Row],[کد بانک]],TBank[],2,FALSE),"")</f>
        <v>ملی جاری</v>
      </c>
      <c r="AA52">
        <f>IF(AND(TArticle[[#This Row],[مبلغ]]&lt;0,TArticle[[#This Row],[کد وضعیت سند]]=1),0-TArticle[[#This Row],[مبلغ]],0)</f>
        <v>1532</v>
      </c>
      <c r="AB52">
        <f>IF(AND(TArticle[[#This Row],[مبلغ]]&gt;0, TArticle[[#This Row],[کد وضعیت سند]]=1),TArticle[[#This Row],[مبلغ]],0)</f>
        <v>0</v>
      </c>
      <c r="AC52" s="84">
        <f>IF(TArticle[[#This Row],[کد بانک]]&gt;0,VLOOKUP(TArticle[[#This Row],[کد بانک]],TBank[],9,FALSE)+SUMIF($Y$2:Y52,Y52,$E$2:$E52),"")</f>
        <v>13901</v>
      </c>
      <c r="AD52" s="1">
        <f>IFERROR(IF(INT(LEFT(TArticle[[#This Row],[شناسه]]))=3,IF(TArticle[[#This Row],[کد وضعیت سند]]=1,TArticle[مبلغ],0),0),0)</f>
        <v>-1532</v>
      </c>
      <c r="AE52" s="1">
        <f>IFERROR(IF(((TArticle[[#This Row],[شناسه]]))="4.1.1",IF(TArticle[[#This Row],[کد وضعیت سند]]=1,TArticle[مبلغ],0),0),0)</f>
        <v>0</v>
      </c>
      <c r="AF52" s="1">
        <f>IFERROR(IF(((TArticle[[#This Row],[شناسه]]))="4.1.2",IF(TArticle[[#This Row],[کد وضعیت سند]]=1,TArticle[مبلغ],0),0),0)</f>
        <v>0</v>
      </c>
      <c r="AG52" s="1">
        <f>IFERROR(IF(INT(LEFT(TArticle[[#This Row],[شناسه]]))=1,IF(TArticle[[#This Row],[کد وضعیت سند]]=1,TArticle[مبلغ],0),0),0)</f>
        <v>0</v>
      </c>
      <c r="AH52" s="1">
        <f>IFERROR(IF(INT(LEFT(TArticle[[#This Row],[شناسه]]))=2,IF(TArticle[[#This Row],[کد وضعیت سند]]=1,TArticle[مبلغ],0),0),0)</f>
        <v>0</v>
      </c>
      <c r="AI52" s="1">
        <f>IFERROR(IF((LEFT(TArticle[[#This Row],[شناسه]],3))="5.2",IF(TArticle[[#This Row],[کد وضعیت سند]]=1,TArticle[مبلغ],0),0),0)</f>
        <v>0</v>
      </c>
      <c r="AJ52" s="1">
        <f>IF(TArticle[[#This Row],[کد وضعیت سند]]=1,1,0)</f>
        <v>1</v>
      </c>
      <c r="AK52" s="1">
        <f>IF(AND(TArticle[[#This Row],[کد وضعیت سند]]&lt;&gt;1,TArticle[[#This Row],[مبلغ]]&lt;&gt;0),1,0)</f>
        <v>0</v>
      </c>
      <c r="AL52" s="51">
        <f>IF(TArticle[[#This Row],[کد بانک]]&gt;0,TArticle[[#This Row],[مانده بانک]]-VLOOKUP(TArticle[[#This Row],[کد بانک]],TBank[],7,FALSE),"")</f>
        <v>13901</v>
      </c>
      <c r="AM52" s="49" t="str">
        <f>LEFT(TArticle[[#This Row],[تاریخ]],7)</f>
        <v>1401-03</v>
      </c>
    </row>
    <row r="53" spans="1:39" hidden="1" x14ac:dyDescent="0.25">
      <c r="A53" s="24" t="s">
        <v>1008</v>
      </c>
      <c r="B53" s="49" t="str">
        <f>VLOOKUP(TArticle[[#This Row],[شناسه]],TAccount[],2,TRUE)</f>
        <v>حواله پرداخت/برداشت</v>
      </c>
      <c r="C53" s="49" t="str">
        <f>VLOOKUP(TArticle[[#This Row],[تاریخ]],TDays[],7,FALSE)</f>
        <v>جمعه</v>
      </c>
      <c r="D53" s="21" t="s">
        <v>270</v>
      </c>
      <c r="E53" s="1">
        <v>-9000</v>
      </c>
      <c r="F53" s="1">
        <f>TArticle[[#This Row],[مبلغ]]+IFERROR(INT(F52),30181+3667+958)</f>
        <v>13581</v>
      </c>
      <c r="K53" s="21">
        <v>1</v>
      </c>
      <c r="L53" t="str">
        <f>IF(TArticle[[#This Row],[کد وضعیت سند]]&gt;0,VLOOKUP(TArticle[[#This Row],[کد وضعیت سند]],TDocState[],2,FALSE),"")</f>
        <v>انجام شد</v>
      </c>
      <c r="N53" t="str">
        <f>IF(TArticle[[#This Row],[کد طرف حساب]]&gt;0,VLOOKUP(TArticle[[#This Row],[کد طرف حساب]],TContact[],2,FALSE),"")</f>
        <v/>
      </c>
      <c r="O53" s="61" t="str">
        <f>IF(TArticle[[#This Row],[کد طرف حساب]]&gt;0,VLOOKUP(TArticle[[#This Row],[کد طرف حساب]],TContact[],7,FALSE)-SUMIF($M$2:M53,M53,$E$2:$E53),"")</f>
        <v/>
      </c>
      <c r="P53" s="27" t="str">
        <f>RIGHT(TArticle[[#This Row],[تاریخ]],2)</f>
        <v>06</v>
      </c>
      <c r="Q53" s="27">
        <f>VLOOKUP(TArticle[[#This Row],[تاریخ]],TDays[],16,FALSE)</f>
        <v>10</v>
      </c>
      <c r="R53" s="27" t="str">
        <f>RIGHT(LEFT(TArticle[[#This Row],[تاریخ]],7),2)</f>
        <v>03</v>
      </c>
      <c r="S53" s="27" t="str">
        <f>LEFT(TArticle[[#This Row],[تاریخ]],4)</f>
        <v>1401</v>
      </c>
      <c r="U53" s="21">
        <f>VLOOKUP(TArticle[[#This Row],[شناسه]],TAccount[],7,TRUE)</f>
        <v>179525</v>
      </c>
      <c r="W53" s="21">
        <f>IF(AND(TArticle[[#This Row],[مبلغ]]&gt;0, TArticle[[#This Row],[کد وضعیت سند]]=1),TArticle[[#This Row],[مبلغ]],0)</f>
        <v>0</v>
      </c>
      <c r="X53" s="27">
        <f>IF(AND(TArticle[[#This Row],[مبلغ]]&lt;0,TArticle[[#This Row],[کد وضعیت سند]]=1),0-TArticle[[#This Row],[مبلغ]],0)</f>
        <v>9000</v>
      </c>
      <c r="Y53" s="27">
        <v>2</v>
      </c>
      <c r="Z53" t="str">
        <f>IF(TArticle[[#This Row],[کد بانک]]&gt;0,VLOOKUP(TArticle[[#This Row],[کد بانک]],TBank[],2,FALSE),"")</f>
        <v>ملی جاری</v>
      </c>
      <c r="AA53">
        <f>IF(AND(TArticle[[#This Row],[مبلغ]]&lt;0,TArticle[[#This Row],[کد وضعیت سند]]=1),0-TArticle[[#This Row],[مبلغ]],0)</f>
        <v>9000</v>
      </c>
      <c r="AB53">
        <f>IF(AND(TArticle[[#This Row],[مبلغ]]&gt;0, TArticle[[#This Row],[کد وضعیت سند]]=1),TArticle[[#This Row],[مبلغ]],0)</f>
        <v>0</v>
      </c>
      <c r="AC53" s="84">
        <f>IF(TArticle[[#This Row],[کد بانک]]&gt;0,VLOOKUP(TArticle[[#This Row],[کد بانک]],TBank[],9,FALSE)+SUMIF($Y$2:Y53,Y53,$E$2:$E53),"")</f>
        <v>4901</v>
      </c>
      <c r="AD53" s="1">
        <f>IFERROR(IF(INT(LEFT(TArticle[[#This Row],[شناسه]]))=3,IF(TArticle[[#This Row],[کد وضعیت سند]]=1,TArticle[مبلغ],0),0),0)</f>
        <v>0</v>
      </c>
      <c r="AE53" s="1">
        <f>IFERROR(IF(((TArticle[[#This Row],[شناسه]]))="4.1.1",IF(TArticle[[#This Row],[کد وضعیت سند]]=1,TArticle[مبلغ],0),0),0)</f>
        <v>0</v>
      </c>
      <c r="AF53" s="1">
        <f>IFERROR(IF(((TArticle[[#This Row],[شناسه]]))="4.1.2",IF(TArticle[[#This Row],[کد وضعیت سند]]=1,TArticle[مبلغ],0),0),0)</f>
        <v>0</v>
      </c>
      <c r="AG53" s="1">
        <f>IFERROR(IF(INT(LEFT(TArticle[[#This Row],[شناسه]]))=1,IF(TArticle[[#This Row],[کد وضعیت سند]]=1,TArticle[مبلغ],0),0),0)</f>
        <v>0</v>
      </c>
      <c r="AH53" s="1">
        <f>IFERROR(IF(INT(LEFT(TArticle[[#This Row],[شناسه]]))=2,IF(TArticle[[#This Row],[کد وضعیت سند]]=1,TArticle[مبلغ],0),0),0)</f>
        <v>0</v>
      </c>
      <c r="AI53" s="1">
        <f>IFERROR(IF((LEFT(TArticle[[#This Row],[شناسه]],3))="5.2",IF(TArticle[[#This Row],[کد وضعیت سند]]=1,TArticle[مبلغ],0),0),0)</f>
        <v>0</v>
      </c>
      <c r="AJ53" s="1">
        <f>IF(TArticle[[#This Row],[کد وضعیت سند]]=1,1,0)</f>
        <v>1</v>
      </c>
      <c r="AK53" s="1">
        <f>IF(AND(TArticle[[#This Row],[کد وضعیت سند]]&lt;&gt;1,TArticle[[#This Row],[مبلغ]]&lt;&gt;0),1,0)</f>
        <v>0</v>
      </c>
      <c r="AL53" s="51">
        <f>IF(TArticle[[#This Row],[کد بانک]]&gt;0,TArticle[[#This Row],[مانده بانک]]-VLOOKUP(TArticle[[#This Row],[کد بانک]],TBank[],7,FALSE),"")</f>
        <v>4901</v>
      </c>
      <c r="AM53" s="49" t="str">
        <f>LEFT(TArticle[[#This Row],[تاریخ]],7)</f>
        <v>1401-03</v>
      </c>
    </row>
    <row r="54" spans="1:39" hidden="1" x14ac:dyDescent="0.25">
      <c r="A54" s="24" t="s">
        <v>112</v>
      </c>
      <c r="B54" s="49" t="str">
        <f>VLOOKUP(TArticle[[#This Row],[شناسه]],TAccount[],2,TRUE)</f>
        <v>رسید دریافت/واریز</v>
      </c>
      <c r="C54" s="49" t="str">
        <f>VLOOKUP(TArticle[[#This Row],[تاریخ]],TDays[],7,FALSE)</f>
        <v>جمعه</v>
      </c>
      <c r="D54" s="21" t="s">
        <v>270</v>
      </c>
      <c r="E54" s="1">
        <v>9000</v>
      </c>
      <c r="F54" s="1">
        <f>TArticle[[#This Row],[مبلغ]]+IFERROR(INT(F53),30181+3667+958)</f>
        <v>22581</v>
      </c>
      <c r="K54" s="21">
        <v>1</v>
      </c>
      <c r="L54" t="str">
        <f>IF(TArticle[[#This Row],[کد وضعیت سند]]&gt;0,VLOOKUP(TArticle[[#This Row],[کد وضعیت سند]],TDocState[],2,FALSE),"")</f>
        <v>انجام شد</v>
      </c>
      <c r="N54" t="str">
        <f>IF(TArticle[[#This Row],[کد طرف حساب]]&gt;0,VLOOKUP(TArticle[[#This Row],[کد طرف حساب]],TContact[],2,FALSE),"")</f>
        <v/>
      </c>
      <c r="O54" s="61" t="str">
        <f>IF(TArticle[[#This Row],[کد طرف حساب]]&gt;0,VLOOKUP(TArticle[[#This Row],[کد طرف حساب]],TContact[],7,FALSE)-SUMIF($M$2:M54,M54,$E$2:$E54),"")</f>
        <v/>
      </c>
      <c r="P54" s="27" t="str">
        <f>RIGHT(TArticle[[#This Row],[تاریخ]],2)</f>
        <v>06</v>
      </c>
      <c r="Q54" s="27">
        <f>VLOOKUP(TArticle[[#This Row],[تاریخ]],TDays[],16,FALSE)</f>
        <v>10</v>
      </c>
      <c r="R54" s="27" t="str">
        <f>RIGHT(LEFT(TArticle[[#This Row],[تاریخ]],7),2)</f>
        <v>03</v>
      </c>
      <c r="S54" s="27" t="str">
        <f>LEFT(TArticle[[#This Row],[تاریخ]],4)</f>
        <v>1401</v>
      </c>
      <c r="U54" s="21">
        <f>VLOOKUP(TArticle[[#This Row],[شناسه]],TAccount[],7,TRUE)</f>
        <v>257767</v>
      </c>
      <c r="W54" s="21">
        <f>IF(AND(TArticle[[#This Row],[مبلغ]]&gt;0, TArticle[[#This Row],[کد وضعیت سند]]=1),TArticle[[#This Row],[مبلغ]],0)</f>
        <v>9000</v>
      </c>
      <c r="X54" s="27">
        <f>IF(AND(TArticle[[#This Row],[مبلغ]]&lt;0,TArticle[[#This Row],[کد وضعیت سند]]=1),0-TArticle[[#This Row],[مبلغ]],0)</f>
        <v>0</v>
      </c>
      <c r="Y54" s="27">
        <v>4</v>
      </c>
      <c r="Z54" t="str">
        <f>IF(TArticle[[#This Row],[کد بانک]]&gt;0,VLOOKUP(TArticle[[#This Row],[کد بانک]],TBank[],2,FALSE),"")</f>
        <v>سپه</v>
      </c>
      <c r="AA54">
        <f>IF(AND(TArticle[[#This Row],[مبلغ]]&lt;0,TArticle[[#This Row],[کد وضعیت سند]]=1),0-TArticle[[#This Row],[مبلغ]],0)</f>
        <v>0</v>
      </c>
      <c r="AB54">
        <f>IF(AND(TArticle[[#This Row],[مبلغ]]&gt;0, TArticle[[#This Row],[کد وضعیت سند]]=1),TArticle[[#This Row],[مبلغ]],0)</f>
        <v>9000</v>
      </c>
      <c r="AC54" s="84">
        <f>IF(TArticle[[#This Row],[کد بانک]]&gt;0,VLOOKUP(TArticle[[#This Row],[کد بانک]],TBank[],9,FALSE)+SUMIF($Y$2:Y54,Y54,$E$2:$E54),"")</f>
        <v>9002</v>
      </c>
      <c r="AD54" s="1">
        <f>IFERROR(IF(INT(LEFT(TArticle[[#This Row],[شناسه]]))=3,IF(TArticle[[#This Row],[کد وضعیت سند]]=1,TArticle[مبلغ],0),0),0)</f>
        <v>0</v>
      </c>
      <c r="AE54" s="1">
        <f>IFERROR(IF(((TArticle[[#This Row],[شناسه]]))="4.1.1",IF(TArticle[[#This Row],[کد وضعیت سند]]=1,TArticle[مبلغ],0),0),0)</f>
        <v>0</v>
      </c>
      <c r="AF54" s="1">
        <f>IFERROR(IF(((TArticle[[#This Row],[شناسه]]))="4.1.2",IF(TArticle[[#This Row],[کد وضعیت سند]]=1,TArticle[مبلغ],0),0),0)</f>
        <v>0</v>
      </c>
      <c r="AG54" s="1">
        <f>IFERROR(IF(INT(LEFT(TArticle[[#This Row],[شناسه]]))=1,IF(TArticle[[#This Row],[کد وضعیت سند]]=1,TArticle[مبلغ],0),0),0)</f>
        <v>0</v>
      </c>
      <c r="AH54" s="1">
        <f>IFERROR(IF(INT(LEFT(TArticle[[#This Row],[شناسه]]))=2,IF(TArticle[[#This Row],[کد وضعیت سند]]=1,TArticle[مبلغ],0),0),0)</f>
        <v>0</v>
      </c>
      <c r="AI54" s="1">
        <f>IFERROR(IF((LEFT(TArticle[[#This Row],[شناسه]],3))="5.2",IF(TArticle[[#This Row],[کد وضعیت سند]]=1,TArticle[مبلغ],0),0),0)</f>
        <v>0</v>
      </c>
      <c r="AJ54" s="1">
        <f>IF(TArticle[[#This Row],[کد وضعیت سند]]=1,1,0)</f>
        <v>1</v>
      </c>
      <c r="AK54" s="1">
        <f>IF(AND(TArticle[[#This Row],[کد وضعیت سند]]&lt;&gt;1,TArticle[[#This Row],[مبلغ]]&lt;&gt;0),1,0)</f>
        <v>0</v>
      </c>
      <c r="AL54" s="51">
        <f>IF(TArticle[[#This Row],[کد بانک]]&gt;0,TArticle[[#This Row],[مانده بانک]]-VLOOKUP(TArticle[[#This Row],[کد بانک]],TBank[],7,FALSE),"")</f>
        <v>9000</v>
      </c>
      <c r="AM54" s="49" t="str">
        <f>LEFT(TArticle[[#This Row],[تاریخ]],7)</f>
        <v>1401-03</v>
      </c>
    </row>
    <row r="55" spans="1:39" hidden="1" x14ac:dyDescent="0.25">
      <c r="A55" s="24" t="s">
        <v>1008</v>
      </c>
      <c r="B55" s="49" t="str">
        <f>VLOOKUP(TArticle[[#This Row],[شناسه]],TAccount[],2,TRUE)</f>
        <v>حواله پرداخت/برداشت</v>
      </c>
      <c r="C55" s="49" t="str">
        <f>VLOOKUP(TArticle[[#This Row],[تاریخ]],TDays[],7,FALSE)</f>
        <v>جمعه</v>
      </c>
      <c r="D55" s="21" t="s">
        <v>270</v>
      </c>
      <c r="E55" s="1">
        <v>-326</v>
      </c>
      <c r="F55" s="1">
        <f>TArticle[[#This Row],[مبلغ]]+IFERROR(INT(F54),30181+3667+958)</f>
        <v>22255</v>
      </c>
      <c r="K55" s="21">
        <v>1</v>
      </c>
      <c r="L55" t="str">
        <f>IF(TArticle[[#This Row],[کد وضعیت سند]]&gt;0,VLOOKUP(TArticle[[#This Row],[کد وضعیت سند]],TDocState[],2,FALSE),"")</f>
        <v>انجام شد</v>
      </c>
      <c r="N55" t="str">
        <f>IF(TArticle[[#This Row],[کد طرف حساب]]&gt;0,VLOOKUP(TArticle[[#This Row],[کد طرف حساب]],TContact[],2,FALSE),"")</f>
        <v/>
      </c>
      <c r="O55" s="61" t="str">
        <f>IF(TArticle[[#This Row],[کد طرف حساب]]&gt;0,VLOOKUP(TArticle[[#This Row],[کد طرف حساب]],TContact[],7,FALSE)-SUMIF($M$2:M55,M55,$E$2:$E55),"")</f>
        <v/>
      </c>
      <c r="P55" s="27" t="str">
        <f>RIGHT(TArticle[[#This Row],[تاریخ]],2)</f>
        <v>06</v>
      </c>
      <c r="Q55" s="27">
        <f>VLOOKUP(TArticle[[#This Row],[تاریخ]],TDays[],16,FALSE)</f>
        <v>10</v>
      </c>
      <c r="R55" s="27" t="str">
        <f>RIGHT(LEFT(TArticle[[#This Row],[تاریخ]],7),2)</f>
        <v>03</v>
      </c>
      <c r="S55" s="27" t="str">
        <f>LEFT(TArticle[[#This Row],[تاریخ]],4)</f>
        <v>1401</v>
      </c>
      <c r="U55" s="21">
        <f>VLOOKUP(TArticle[[#This Row],[شناسه]],TAccount[],7,TRUE)</f>
        <v>179525</v>
      </c>
      <c r="W55" s="21">
        <f>IF(AND(TArticle[[#This Row],[مبلغ]]&gt;0, TArticle[[#This Row],[کد وضعیت سند]]=1),TArticle[[#This Row],[مبلغ]],0)</f>
        <v>0</v>
      </c>
      <c r="X55" s="27">
        <f>IF(AND(TArticle[[#This Row],[مبلغ]]&lt;0,TArticle[[#This Row],[کد وضعیت سند]]=1),0-TArticle[[#This Row],[مبلغ]],0)</f>
        <v>326</v>
      </c>
      <c r="Y55" s="27">
        <v>2</v>
      </c>
      <c r="Z55" t="str">
        <f>IF(TArticle[[#This Row],[کد بانک]]&gt;0,VLOOKUP(TArticle[[#This Row],[کد بانک]],TBank[],2,FALSE),"")</f>
        <v>ملی جاری</v>
      </c>
      <c r="AA55">
        <f>IF(AND(TArticle[[#This Row],[مبلغ]]&lt;0,TArticle[[#This Row],[کد وضعیت سند]]=1),0-TArticle[[#This Row],[مبلغ]],0)</f>
        <v>326</v>
      </c>
      <c r="AB55">
        <f>IF(AND(TArticle[[#This Row],[مبلغ]]&gt;0, TArticle[[#This Row],[کد وضعیت سند]]=1),TArticle[[#This Row],[مبلغ]],0)</f>
        <v>0</v>
      </c>
      <c r="AC55" s="84">
        <f>IF(TArticle[[#This Row],[کد بانک]]&gt;0,VLOOKUP(TArticle[[#This Row],[کد بانک]],TBank[],9,FALSE)+SUMIF($Y$2:Y55,Y55,$E$2:$E55),"")</f>
        <v>4575</v>
      </c>
      <c r="AD55" s="1">
        <f>IFERROR(IF(INT(LEFT(TArticle[[#This Row],[شناسه]]))=3,IF(TArticle[[#This Row],[کد وضعیت سند]]=1,TArticle[مبلغ],0),0),0)</f>
        <v>0</v>
      </c>
      <c r="AE55" s="1">
        <f>IFERROR(IF(((TArticle[[#This Row],[شناسه]]))="4.1.1",IF(TArticle[[#This Row],[کد وضعیت سند]]=1,TArticle[مبلغ],0),0),0)</f>
        <v>0</v>
      </c>
      <c r="AF55" s="1">
        <f>IFERROR(IF(((TArticle[[#This Row],[شناسه]]))="4.1.2",IF(TArticle[[#This Row],[کد وضعیت سند]]=1,TArticle[مبلغ],0),0),0)</f>
        <v>0</v>
      </c>
      <c r="AG55" s="1">
        <f>IFERROR(IF(INT(LEFT(TArticle[[#This Row],[شناسه]]))=1,IF(TArticle[[#This Row],[کد وضعیت سند]]=1,TArticle[مبلغ],0),0),0)</f>
        <v>0</v>
      </c>
      <c r="AH55" s="1">
        <f>IFERROR(IF(INT(LEFT(TArticle[[#This Row],[شناسه]]))=2,IF(TArticle[[#This Row],[کد وضعیت سند]]=1,TArticle[مبلغ],0),0),0)</f>
        <v>0</v>
      </c>
      <c r="AI55" s="1">
        <f>IFERROR(IF((LEFT(TArticle[[#This Row],[شناسه]],3))="5.2",IF(TArticle[[#This Row],[کد وضعیت سند]]=1,TArticle[مبلغ],0),0),0)</f>
        <v>0</v>
      </c>
      <c r="AJ55" s="1">
        <f>IF(TArticle[[#This Row],[کد وضعیت سند]]=1,1,0)</f>
        <v>1</v>
      </c>
      <c r="AK55" s="1">
        <f>IF(AND(TArticle[[#This Row],[کد وضعیت سند]]&lt;&gt;1,TArticle[[#This Row],[مبلغ]]&lt;&gt;0),1,0)</f>
        <v>0</v>
      </c>
      <c r="AL55" s="51">
        <f>IF(TArticle[[#This Row],[کد بانک]]&gt;0,TArticle[[#This Row],[مانده بانک]]-VLOOKUP(TArticle[[#This Row],[کد بانک]],TBank[],7,FALSE),"")</f>
        <v>4575</v>
      </c>
      <c r="AM55" s="49" t="str">
        <f>LEFT(TArticle[[#This Row],[تاریخ]],7)</f>
        <v>1401-03</v>
      </c>
    </row>
    <row r="56" spans="1:39" hidden="1" x14ac:dyDescent="0.25">
      <c r="A56" s="24" t="s">
        <v>112</v>
      </c>
      <c r="B56" s="49" t="str">
        <f>VLOOKUP(TArticle[[#This Row],[شناسه]],TAccount[],2,TRUE)</f>
        <v>رسید دریافت/واریز</v>
      </c>
      <c r="C56" s="49" t="str">
        <f>VLOOKUP(TArticle[[#This Row],[تاریخ]],TDays[],7,FALSE)</f>
        <v>جمعه</v>
      </c>
      <c r="D56" s="21" t="s">
        <v>270</v>
      </c>
      <c r="E56" s="1">
        <f>361-35</f>
        <v>326</v>
      </c>
      <c r="F56" s="1">
        <f>TArticle[[#This Row],[مبلغ]]+IFERROR(INT(F55),30181+3667+958)</f>
        <v>22581</v>
      </c>
      <c r="K56" s="21">
        <v>1</v>
      </c>
      <c r="L56" t="str">
        <f>IF(TArticle[[#This Row],[کد وضعیت سند]]&gt;0,VLOOKUP(TArticle[[#This Row],[کد وضعیت سند]],TDocState[],2,FALSE),"")</f>
        <v>انجام شد</v>
      </c>
      <c r="N56" t="str">
        <f>IF(TArticle[[#This Row],[کد طرف حساب]]&gt;0,VLOOKUP(TArticle[[#This Row],[کد طرف حساب]],TContact[],2,FALSE),"")</f>
        <v/>
      </c>
      <c r="O56" s="61" t="str">
        <f>IF(TArticle[[#This Row],[کد طرف حساب]]&gt;0,VLOOKUP(TArticle[[#This Row],[کد طرف حساب]],TContact[],7,FALSE)-SUMIF($M$2:M56,M56,$E$2:$E56),"")</f>
        <v/>
      </c>
      <c r="P56" s="27" t="str">
        <f>RIGHT(TArticle[[#This Row],[تاریخ]],2)</f>
        <v>06</v>
      </c>
      <c r="Q56" s="27">
        <f>VLOOKUP(TArticle[[#This Row],[تاریخ]],TDays[],16,FALSE)</f>
        <v>10</v>
      </c>
      <c r="R56" s="27" t="str">
        <f>RIGHT(LEFT(TArticle[[#This Row],[تاریخ]],7),2)</f>
        <v>03</v>
      </c>
      <c r="S56" s="27" t="str">
        <f>LEFT(TArticle[[#This Row],[تاریخ]],4)</f>
        <v>1401</v>
      </c>
      <c r="U56" s="21">
        <f>VLOOKUP(TArticle[[#This Row],[شناسه]],TAccount[],7,TRUE)</f>
        <v>257767</v>
      </c>
      <c r="W56" s="21">
        <f>IF(AND(TArticle[[#This Row],[مبلغ]]&gt;0, TArticle[[#This Row],[کد وضعیت سند]]=1),TArticle[[#This Row],[مبلغ]],0)</f>
        <v>326</v>
      </c>
      <c r="X56" s="27">
        <f>IF(AND(TArticle[[#This Row],[مبلغ]]&lt;0,TArticle[[#This Row],[کد وضعیت سند]]=1),0-TArticle[[#This Row],[مبلغ]],0)</f>
        <v>0</v>
      </c>
      <c r="Y56" s="27">
        <v>16</v>
      </c>
      <c r="Z56" t="str">
        <f>IF(TArticle[[#This Row],[کد بانک]]&gt;0,VLOOKUP(TArticle[[#This Row],[کد بانک]],TBank[],2,FALSE),"")</f>
        <v>مهرایران</v>
      </c>
      <c r="AA56">
        <f>IF(AND(TArticle[[#This Row],[مبلغ]]&lt;0,TArticle[[#This Row],[کد وضعیت سند]]=1),0-TArticle[[#This Row],[مبلغ]],0)</f>
        <v>0</v>
      </c>
      <c r="AB56">
        <f>IF(AND(TArticle[[#This Row],[مبلغ]]&gt;0, TArticle[[#This Row],[کد وضعیت سند]]=1),TArticle[[#This Row],[مبلغ]],0)</f>
        <v>326</v>
      </c>
      <c r="AC56" s="84">
        <f>IF(TArticle[[#This Row],[کد بانک]]&gt;0,VLOOKUP(TArticle[[#This Row],[کد بانک]],TBank[],9,FALSE)+SUMIF($Y$2:Y56,Y56,$E$2:$E56),"")</f>
        <v>361</v>
      </c>
      <c r="AD56" s="1">
        <f>IFERROR(IF(INT(LEFT(TArticle[[#This Row],[شناسه]]))=3,IF(TArticle[[#This Row],[کد وضعیت سند]]=1,TArticle[مبلغ],0),0),0)</f>
        <v>0</v>
      </c>
      <c r="AE56" s="1">
        <f>IFERROR(IF(((TArticle[[#This Row],[شناسه]]))="4.1.1",IF(TArticle[[#This Row],[کد وضعیت سند]]=1,TArticle[مبلغ],0),0),0)</f>
        <v>0</v>
      </c>
      <c r="AF56" s="1">
        <f>IFERROR(IF(((TArticle[[#This Row],[شناسه]]))="4.1.2",IF(TArticle[[#This Row],[کد وضعیت سند]]=1,TArticle[مبلغ],0),0),0)</f>
        <v>0</v>
      </c>
      <c r="AG56" s="1">
        <f>IFERROR(IF(INT(LEFT(TArticle[[#This Row],[شناسه]]))=1,IF(TArticle[[#This Row],[کد وضعیت سند]]=1,TArticle[مبلغ],0),0),0)</f>
        <v>0</v>
      </c>
      <c r="AH56" s="1">
        <f>IFERROR(IF(INT(LEFT(TArticle[[#This Row],[شناسه]]))=2,IF(TArticle[[#This Row],[کد وضعیت سند]]=1,TArticle[مبلغ],0),0),0)</f>
        <v>0</v>
      </c>
      <c r="AI56" s="1">
        <f>IFERROR(IF((LEFT(TArticle[[#This Row],[شناسه]],3))="5.2",IF(TArticle[[#This Row],[کد وضعیت سند]]=1,TArticle[مبلغ],0),0),0)</f>
        <v>0</v>
      </c>
      <c r="AJ56" s="1">
        <f>IF(TArticle[[#This Row],[کد وضعیت سند]]=1,1,0)</f>
        <v>1</v>
      </c>
      <c r="AK56" s="1">
        <f>IF(AND(TArticle[[#This Row],[کد وضعیت سند]]&lt;&gt;1,TArticle[[#This Row],[مبلغ]]&lt;&gt;0),1,0)</f>
        <v>0</v>
      </c>
      <c r="AL56" s="51">
        <f>IF(TArticle[[#This Row],[کد بانک]]&gt;0,TArticle[[#This Row],[مانده بانک]]-VLOOKUP(TArticle[[#This Row],[کد بانک]],TBank[],7,FALSE),"")</f>
        <v>331</v>
      </c>
      <c r="AM56" s="49" t="str">
        <f>LEFT(TArticle[[#This Row],[تاریخ]],7)</f>
        <v>1401-03</v>
      </c>
    </row>
    <row r="57" spans="1:39" hidden="1" x14ac:dyDescent="0.25">
      <c r="A57" s="24" t="s">
        <v>38</v>
      </c>
      <c r="B57" s="49" t="str">
        <f>VLOOKUP(TArticle[[#This Row],[شناسه]],TAccount[],2,TRUE)</f>
        <v>چک حافظان وحی</v>
      </c>
      <c r="C57" s="49" t="str">
        <f>VLOOKUP(TArticle[[#This Row],[تاریخ]],TDays[],7,FALSE)</f>
        <v>شنبه</v>
      </c>
      <c r="D57" s="21" t="s">
        <v>271</v>
      </c>
      <c r="E57" s="1">
        <v>-4000</v>
      </c>
      <c r="F57" s="1">
        <f>TArticle[[#This Row],[مبلغ]]+IFERROR(INT(F56),30181+3667+958)</f>
        <v>18581</v>
      </c>
      <c r="H57" s="64">
        <v>131253</v>
      </c>
      <c r="J57" s="65"/>
      <c r="K57" s="64">
        <v>1</v>
      </c>
      <c r="L57" s="66" t="str">
        <f>IF(TArticle[[#This Row],[کد وضعیت سند]]&gt;0,VLOOKUP(TArticle[[#This Row],[کد وضعیت سند]],TDocState[],2,FALSE),"")</f>
        <v>انجام شد</v>
      </c>
      <c r="M57" s="67"/>
      <c r="N57" t="str">
        <f>IF(TArticle[[#This Row],[کد طرف حساب]]&gt;0,VLOOKUP(TArticle[[#This Row],[کد طرف حساب]],TContact[],2,FALSE),"")</f>
        <v/>
      </c>
      <c r="O57" s="68" t="str">
        <f>IF(TArticle[[#This Row],[کد طرف حساب]]&gt;0,VLOOKUP(TArticle[[#This Row],[کد طرف حساب]],TContact[],7,FALSE)-SUMIF($M$2:M57,M57,$E$2:$E57),"")</f>
        <v/>
      </c>
      <c r="P57" s="67" t="str">
        <f>RIGHT(TArticle[[#This Row],[تاریخ]],2)</f>
        <v>07</v>
      </c>
      <c r="Q57" s="67">
        <f>VLOOKUP(TArticle[[#This Row],[تاریخ]],TDays[],16,FALSE)</f>
        <v>11</v>
      </c>
      <c r="R57" s="67" t="str">
        <f>RIGHT(LEFT(TArticle[[#This Row],[تاریخ]],7),2)</f>
        <v>03</v>
      </c>
      <c r="S57" s="67" t="str">
        <f>LEFT(TArticle[[#This Row],[تاریخ]],4)</f>
        <v>1401</v>
      </c>
      <c r="T57" s="64"/>
      <c r="U57" s="64">
        <f>VLOOKUP(TArticle[[#This Row],[شناسه]],TAccount[],7,TRUE)</f>
        <v>8000</v>
      </c>
      <c r="V57" s="64" t="s">
        <v>271</v>
      </c>
      <c r="W57" s="64">
        <f>IF(AND(TArticle[[#This Row],[مبلغ]]&gt;0, TArticle[[#This Row],[کد وضعیت سند]]=1),TArticle[[#This Row],[مبلغ]],0)</f>
        <v>0</v>
      </c>
      <c r="X57" s="67">
        <f>IF(AND(TArticle[[#This Row],[مبلغ]]&lt;0,TArticle[[#This Row],[کد وضعیت سند]]=1),0-TArticle[[#This Row],[مبلغ]],0)</f>
        <v>4000</v>
      </c>
      <c r="Y57" s="67">
        <v>2</v>
      </c>
      <c r="Z57" t="str">
        <f>IF(TArticle[[#This Row],[کد بانک]]&gt;0,VLOOKUP(TArticle[[#This Row],[کد بانک]],TBank[],2,FALSE),"")</f>
        <v>ملی جاری</v>
      </c>
      <c r="AA57">
        <f>IF(AND(TArticle[[#This Row],[مبلغ]]&lt;0,TArticle[[#This Row],[کد وضعیت سند]]=1),0-TArticle[[#This Row],[مبلغ]],0)</f>
        <v>4000</v>
      </c>
      <c r="AB57">
        <f>IF(AND(TArticle[[#This Row],[مبلغ]]&gt;0, TArticle[[#This Row],[کد وضعیت سند]]=1),TArticle[[#This Row],[مبلغ]],0)</f>
        <v>0</v>
      </c>
      <c r="AC57" s="93">
        <f>IF(TArticle[[#This Row],[کد بانک]]&gt;0,VLOOKUP(TArticle[[#This Row],[کد بانک]],TBank[],9,FALSE)+SUMIF($Y$2:Y57,Y57,$E$2:$E57),"")</f>
        <v>575</v>
      </c>
      <c r="AD57" s="1">
        <f>IFERROR(IF(INT(LEFT(TArticle[[#This Row],[شناسه]]))=3,IF(TArticle[[#This Row],[کد وضعیت سند]]=1,TArticle[مبلغ],0),0),0)</f>
        <v>0</v>
      </c>
      <c r="AE57" s="1">
        <f>IFERROR(IF(((TArticle[[#This Row],[شناسه]]))="4.1.1",IF(TArticle[[#This Row],[کد وضعیت سند]]=1,TArticle[مبلغ],0),0),0)</f>
        <v>0</v>
      </c>
      <c r="AF57" s="1">
        <f>IFERROR(IF(((TArticle[[#This Row],[شناسه]]))="4.1.2",IF(TArticle[[#This Row],[کد وضعیت سند]]=1,TArticle[مبلغ],0),0),0)</f>
        <v>0</v>
      </c>
      <c r="AG57" s="1">
        <f>IFERROR(IF(INT(LEFT(TArticle[[#This Row],[شناسه]]))=1,IF(TArticle[[#This Row],[کد وضعیت سند]]=1,TArticle[مبلغ],0),0),0)</f>
        <v>-4000</v>
      </c>
      <c r="AH57" s="1">
        <f>IFERROR(IF(INT(LEFT(TArticle[[#This Row],[شناسه]]))=2,IF(TArticle[[#This Row],[کد وضعیت سند]]=1,TArticle[مبلغ],0),0),0)</f>
        <v>0</v>
      </c>
      <c r="AI57" s="1">
        <f>IFERROR(IF((LEFT(TArticle[[#This Row],[شناسه]],3))="5.2",IF(TArticle[[#This Row],[کد وضعیت سند]]=1,TArticle[مبلغ],0),0),0)</f>
        <v>0</v>
      </c>
      <c r="AJ57" s="1">
        <f>IF(TArticle[[#This Row],[کد وضعیت سند]]=1,1,0)</f>
        <v>1</v>
      </c>
      <c r="AK57" s="1">
        <f>IF(AND(TArticle[[#This Row],[کد وضعیت سند]]&lt;&gt;1,TArticle[[#This Row],[مبلغ]]&lt;&gt;0),1,0)</f>
        <v>0</v>
      </c>
      <c r="AL57" s="78">
        <f>IF(TArticle[[#This Row],[کد بانک]]&gt;0,TArticle[[#This Row],[مانده بانک]]-VLOOKUP(TArticle[[#This Row],[کد بانک]],TBank[],7,FALSE),"")</f>
        <v>575</v>
      </c>
      <c r="AM57" s="58" t="str">
        <f>LEFT(TArticle[[#This Row],[تاریخ]],7)</f>
        <v>1401-03</v>
      </c>
    </row>
    <row r="58" spans="1:39" hidden="1" x14ac:dyDescent="0.25">
      <c r="A58" s="24" t="s">
        <v>1042</v>
      </c>
      <c r="B58" s="49" t="str">
        <f>VLOOKUP(TArticle[[#This Row],[شناسه]],TAccount[],2,TRUE)</f>
        <v>دریافت سود سهام</v>
      </c>
      <c r="C58" s="49" t="str">
        <f>VLOOKUP(TArticle[[#This Row],[تاریخ]],TDays[],7,FALSE)</f>
        <v>شنبه</v>
      </c>
      <c r="D58" s="21" t="s">
        <v>271</v>
      </c>
      <c r="E58" s="1">
        <v>9000</v>
      </c>
      <c r="F58" s="1">
        <f>TArticle[[#This Row],[مبلغ]]+IFERROR(INT(F57),30181+3667+958)</f>
        <v>27581</v>
      </c>
      <c r="K58" s="21">
        <v>1</v>
      </c>
      <c r="L58" t="str">
        <f>IF(TArticle[[#This Row],[کد وضعیت سند]]&gt;0,VLOOKUP(TArticle[[#This Row],[کد وضعیت سند]],TDocState[],2,FALSE),"")</f>
        <v>انجام شد</v>
      </c>
      <c r="N58" t="str">
        <f>IF(TArticle[[#This Row],[کد طرف حساب]]&gt;0,VLOOKUP(TArticle[[#This Row],[کد طرف حساب]],TContact[],2,FALSE),"")</f>
        <v/>
      </c>
      <c r="O58" s="61" t="str">
        <f>IF(TArticle[[#This Row],[کد طرف حساب]]&gt;0,VLOOKUP(TArticle[[#This Row],[کد طرف حساب]],TContact[],7,FALSE)-SUMIF($M$2:M58,M58,$E$2:$E58),"")</f>
        <v/>
      </c>
      <c r="P58" s="27" t="str">
        <f>RIGHT(TArticle[[#This Row],[تاریخ]],2)</f>
        <v>07</v>
      </c>
      <c r="Q58" s="27">
        <f>VLOOKUP(TArticle[[#This Row],[تاریخ]],TDays[],16,FALSE)</f>
        <v>11</v>
      </c>
      <c r="R58" s="27" t="str">
        <f>RIGHT(LEFT(TArticle[[#This Row],[تاریخ]],7),2)</f>
        <v>03</v>
      </c>
      <c r="S58" s="27" t="str">
        <f>LEFT(TArticle[[#This Row],[تاریخ]],4)</f>
        <v>1401</v>
      </c>
      <c r="U58" s="21">
        <f>VLOOKUP(TArticle[[#This Row],[شناسه]],TAccount[],7,TRUE)</f>
        <v>9463</v>
      </c>
      <c r="W58" s="21">
        <f>IF(AND(TArticle[[#This Row],[مبلغ]]&gt;0, TArticle[[#This Row],[کد وضعیت سند]]=1),TArticle[[#This Row],[مبلغ]],0)</f>
        <v>9000</v>
      </c>
      <c r="X58" s="27">
        <f>IF(AND(TArticle[[#This Row],[مبلغ]]&lt;0,TArticle[[#This Row],[کد وضعیت سند]]=1),0-TArticle[[#This Row],[مبلغ]],0)</f>
        <v>0</v>
      </c>
      <c r="Y58" s="27">
        <v>22</v>
      </c>
      <c r="Z58" t="str">
        <f>IF(TArticle[[#This Row],[کد بانک]]&gt;0,VLOOKUP(TArticle[[#This Row],[کد بانک]],TBank[],2,FALSE),"")</f>
        <v>بورس</v>
      </c>
      <c r="AA58">
        <f>IF(AND(TArticle[[#This Row],[مبلغ]]&lt;0,TArticle[[#This Row],[کد وضعیت سند]]=1),0-TArticle[[#This Row],[مبلغ]],0)</f>
        <v>0</v>
      </c>
      <c r="AB58">
        <f>IF(AND(TArticle[[#This Row],[مبلغ]]&gt;0, TArticle[[#This Row],[کد وضعیت سند]]=1),TArticle[[#This Row],[مبلغ]],0)</f>
        <v>9000</v>
      </c>
      <c r="AC58" s="84">
        <f>IF(TArticle[[#This Row],[کد بانک]]&gt;0,VLOOKUP(TArticle[[#This Row],[کد بانک]],TBank[],9,FALSE)+SUMIF($Y$2:Y58,Y58,$E$2:$E58),"")</f>
        <v>13625</v>
      </c>
      <c r="AD58" s="1">
        <f>IFERROR(IF(INT(LEFT(TArticle[[#This Row],[شناسه]]))=3,IF(TArticle[[#This Row],[کد وضعیت سند]]=1,TArticle[مبلغ],0),0),0)</f>
        <v>0</v>
      </c>
      <c r="AE58" s="1">
        <f>IFERROR(IF(((TArticle[[#This Row],[شناسه]]))="4.1.1",IF(TArticle[[#This Row],[کد وضعیت سند]]=1,TArticle[مبلغ],0),0),0)</f>
        <v>0</v>
      </c>
      <c r="AF58" s="1">
        <f>IFERROR(IF(((TArticle[[#This Row],[شناسه]]))="4.1.2",IF(TArticle[[#This Row],[کد وضعیت سند]]=1,TArticle[مبلغ],0),0),0)</f>
        <v>0</v>
      </c>
      <c r="AG58" s="1">
        <f>IFERROR(IF(INT(LEFT(TArticle[[#This Row],[شناسه]]))=1,IF(TArticle[[#This Row],[کد وضعیت سند]]=1,TArticle[مبلغ],0),0),0)</f>
        <v>0</v>
      </c>
      <c r="AH58" s="1">
        <f>IFERROR(IF(INT(LEFT(TArticle[[#This Row],[شناسه]]))=2,IF(TArticle[[#This Row],[کد وضعیت سند]]=1,TArticle[مبلغ],0),0),0)</f>
        <v>0</v>
      </c>
      <c r="AI58" s="1">
        <f>IFERROR(IF((LEFT(TArticle[[#This Row],[شناسه]],3))="5.2",IF(TArticle[[#This Row],[کد وضعیت سند]]=1,TArticle[مبلغ],0),0),0)</f>
        <v>0</v>
      </c>
      <c r="AJ58" s="1">
        <f>IF(TArticle[[#This Row],[کد وضعیت سند]]=1,1,0)</f>
        <v>1</v>
      </c>
      <c r="AK58" s="1">
        <f>IF(AND(TArticle[[#This Row],[کد وضعیت سند]]&lt;&gt;1,TArticle[[#This Row],[مبلغ]]&lt;&gt;0),1,0)</f>
        <v>0</v>
      </c>
      <c r="AL58" s="51">
        <f>IF(TArticle[[#This Row],[کد بانک]]&gt;0,TArticle[[#This Row],[مانده بانک]]-VLOOKUP(TArticle[[#This Row],[کد بانک]],TBank[],7,FALSE),"")</f>
        <v>13625</v>
      </c>
      <c r="AM58" s="49" t="str">
        <f>LEFT(TArticle[[#This Row],[تاریخ]],7)</f>
        <v>1401-03</v>
      </c>
    </row>
    <row r="59" spans="1:39" hidden="1" x14ac:dyDescent="0.25">
      <c r="A59" s="24" t="s">
        <v>1008</v>
      </c>
      <c r="B59" s="49" t="str">
        <f>VLOOKUP(TArticle[[#This Row],[شناسه]],TAccount[],2,TRUE)</f>
        <v>حواله پرداخت/برداشت</v>
      </c>
      <c r="C59" s="49" t="str">
        <f>VLOOKUP(TArticle[[#This Row],[تاریخ]],TDays[],7,FALSE)</f>
        <v>یکشنبه</v>
      </c>
      <c r="D59" s="21" t="s">
        <v>272</v>
      </c>
      <c r="E59" s="1">
        <v>-9000</v>
      </c>
      <c r="F59" s="1">
        <f>TArticle[[#This Row],[مبلغ]]+IFERROR(INT(F58),30181+3667+958)</f>
        <v>18581</v>
      </c>
      <c r="K59" s="21">
        <v>1</v>
      </c>
      <c r="L59" t="str">
        <f>IF(TArticle[[#This Row],[کد وضعیت سند]]&gt;0,VLOOKUP(TArticle[[#This Row],[کد وضعیت سند]],TDocState[],2,FALSE),"")</f>
        <v>انجام شد</v>
      </c>
      <c r="N59" t="str">
        <f>IF(TArticle[[#This Row],[کد طرف حساب]]&gt;0,VLOOKUP(TArticle[[#This Row],[کد طرف حساب]],TContact[],2,FALSE),"")</f>
        <v/>
      </c>
      <c r="O59" s="61" t="str">
        <f>IF(TArticle[[#This Row],[کد طرف حساب]]&gt;0,VLOOKUP(TArticle[[#This Row],[کد طرف حساب]],TContact[],7,FALSE)-SUMIF($M$2:M59,M59,$E$2:$E59),"")</f>
        <v/>
      </c>
      <c r="P59" s="27" t="str">
        <f>RIGHT(TArticle[[#This Row],[تاریخ]],2)</f>
        <v>08</v>
      </c>
      <c r="Q59" s="27">
        <f>VLOOKUP(TArticle[[#This Row],[تاریخ]],TDays[],16,FALSE)</f>
        <v>11</v>
      </c>
      <c r="R59" s="27" t="str">
        <f>RIGHT(LEFT(TArticle[[#This Row],[تاریخ]],7),2)</f>
        <v>03</v>
      </c>
      <c r="S59" s="27" t="str">
        <f>LEFT(TArticle[[#This Row],[تاریخ]],4)</f>
        <v>1401</v>
      </c>
      <c r="U59" s="21">
        <f>VLOOKUP(TArticle[[#This Row],[شناسه]],TAccount[],7,TRUE)</f>
        <v>179525</v>
      </c>
      <c r="W59" s="21">
        <f>IF(AND(TArticle[[#This Row],[مبلغ]]&gt;0, TArticle[[#This Row],[کد وضعیت سند]]=1),TArticle[[#This Row],[مبلغ]],0)</f>
        <v>0</v>
      </c>
      <c r="X59" s="27">
        <f>IF(AND(TArticle[[#This Row],[مبلغ]]&lt;0,TArticle[[#This Row],[کد وضعیت سند]]=1),0-TArticle[[#This Row],[مبلغ]],0)</f>
        <v>9000</v>
      </c>
      <c r="Y59" s="27">
        <v>22</v>
      </c>
      <c r="Z59" t="str">
        <f>IF(TArticle[[#This Row],[کد بانک]]&gt;0,VLOOKUP(TArticle[[#This Row],[کد بانک]],TBank[],2,FALSE),"")</f>
        <v>بورس</v>
      </c>
      <c r="AA59">
        <f>IF(AND(TArticle[[#This Row],[مبلغ]]&lt;0,TArticle[[#This Row],[کد وضعیت سند]]=1),0-TArticle[[#This Row],[مبلغ]],0)</f>
        <v>9000</v>
      </c>
      <c r="AB59">
        <f>IF(AND(TArticle[[#This Row],[مبلغ]]&gt;0, TArticle[[#This Row],[کد وضعیت سند]]=1),TArticle[[#This Row],[مبلغ]],0)</f>
        <v>0</v>
      </c>
      <c r="AC59" s="84">
        <f>IF(TArticle[[#This Row],[کد بانک]]&gt;0,VLOOKUP(TArticle[[#This Row],[کد بانک]],TBank[],9,FALSE)+SUMIF($Y$2:Y59,Y59,$E$2:$E59),"")</f>
        <v>4625</v>
      </c>
      <c r="AD59" s="1">
        <f>IFERROR(IF(INT(LEFT(TArticle[[#This Row],[شناسه]]))=3,IF(TArticle[[#This Row],[کد وضعیت سند]]=1,TArticle[مبلغ],0),0),0)</f>
        <v>0</v>
      </c>
      <c r="AE59" s="1">
        <f>IFERROR(IF(((TArticle[[#This Row],[شناسه]]))="4.1.1",IF(TArticle[[#This Row],[کد وضعیت سند]]=1,TArticle[مبلغ],0),0),0)</f>
        <v>0</v>
      </c>
      <c r="AF59" s="1">
        <f>IFERROR(IF(((TArticle[[#This Row],[شناسه]]))="4.1.2",IF(TArticle[[#This Row],[کد وضعیت سند]]=1,TArticle[مبلغ],0),0),0)</f>
        <v>0</v>
      </c>
      <c r="AG59" s="1">
        <f>IFERROR(IF(INT(LEFT(TArticle[[#This Row],[شناسه]]))=1,IF(TArticle[[#This Row],[کد وضعیت سند]]=1,TArticle[مبلغ],0),0),0)</f>
        <v>0</v>
      </c>
      <c r="AH59" s="1">
        <f>IFERROR(IF(INT(LEFT(TArticle[[#This Row],[شناسه]]))=2,IF(TArticle[[#This Row],[کد وضعیت سند]]=1,TArticle[مبلغ],0),0),0)</f>
        <v>0</v>
      </c>
      <c r="AI59" s="1">
        <f>IFERROR(IF((LEFT(TArticle[[#This Row],[شناسه]],3))="5.2",IF(TArticle[[#This Row],[کد وضعیت سند]]=1,TArticle[مبلغ],0),0),0)</f>
        <v>0</v>
      </c>
      <c r="AJ59" s="1">
        <f>IF(TArticle[[#This Row],[کد وضعیت سند]]=1,1,0)</f>
        <v>1</v>
      </c>
      <c r="AK59" s="1">
        <f>IF(AND(TArticle[[#This Row],[کد وضعیت سند]]&lt;&gt;1,TArticle[[#This Row],[مبلغ]]&lt;&gt;0),1,0)</f>
        <v>0</v>
      </c>
      <c r="AL59" s="51">
        <f>IF(TArticle[[#This Row],[کد بانک]]&gt;0,TArticle[[#This Row],[مانده بانک]]-VLOOKUP(TArticle[[#This Row],[کد بانک]],TBank[],7,FALSE),"")</f>
        <v>4625</v>
      </c>
      <c r="AM59" s="49" t="str">
        <f>LEFT(TArticle[[#This Row],[تاریخ]],7)</f>
        <v>1401-03</v>
      </c>
    </row>
    <row r="60" spans="1:39" hidden="1" x14ac:dyDescent="0.25">
      <c r="A60" s="24" t="s">
        <v>112</v>
      </c>
      <c r="B60" s="49" t="str">
        <f>VLOOKUP(TArticle[[#This Row],[شناسه]],TAccount[],2,TRUE)</f>
        <v>رسید دریافت/واریز</v>
      </c>
      <c r="C60" s="49" t="str">
        <f>VLOOKUP(TArticle[[#This Row],[تاریخ]],TDays[],7,FALSE)</f>
        <v>یکشنبه</v>
      </c>
      <c r="D60" s="21" t="s">
        <v>272</v>
      </c>
      <c r="E60" s="1">
        <v>9000</v>
      </c>
      <c r="F60" s="1">
        <f>TArticle[[#This Row],[مبلغ]]+IFERROR(INT(F59),30181+3667+958)</f>
        <v>27581</v>
      </c>
      <c r="K60" s="21">
        <v>1</v>
      </c>
      <c r="L60" t="str">
        <f>IF(TArticle[[#This Row],[کد وضعیت سند]]&gt;0,VLOOKUP(TArticle[[#This Row],[کد وضعیت سند]],TDocState[],2,FALSE),"")</f>
        <v>انجام شد</v>
      </c>
      <c r="N60" t="str">
        <f>IF(TArticle[[#This Row],[کد طرف حساب]]&gt;0,VLOOKUP(TArticle[[#This Row],[کد طرف حساب]],TContact[],2,FALSE),"")</f>
        <v/>
      </c>
      <c r="O60" s="61" t="str">
        <f>IF(TArticle[[#This Row],[کد طرف حساب]]&gt;0,VLOOKUP(TArticle[[#This Row],[کد طرف حساب]],TContact[],7,FALSE)-SUMIF($M$2:M60,M60,$E$2:$E60),"")</f>
        <v/>
      </c>
      <c r="P60" s="27" t="str">
        <f>RIGHT(TArticle[[#This Row],[تاریخ]],2)</f>
        <v>08</v>
      </c>
      <c r="Q60" s="27">
        <f>VLOOKUP(TArticle[[#This Row],[تاریخ]],TDays[],16,FALSE)</f>
        <v>11</v>
      </c>
      <c r="R60" s="27" t="str">
        <f>RIGHT(LEFT(TArticle[[#This Row],[تاریخ]],7),2)</f>
        <v>03</v>
      </c>
      <c r="S60" s="27" t="str">
        <f>LEFT(TArticle[[#This Row],[تاریخ]],4)</f>
        <v>1401</v>
      </c>
      <c r="U60" s="21">
        <f>VLOOKUP(TArticle[[#This Row],[شناسه]],TAccount[],7,TRUE)</f>
        <v>257767</v>
      </c>
      <c r="W60" s="21">
        <f>IF(AND(TArticle[[#This Row],[مبلغ]]&gt;0, TArticle[[#This Row],[کد وضعیت سند]]=1),TArticle[[#This Row],[مبلغ]],0)</f>
        <v>9000</v>
      </c>
      <c r="X60" s="27">
        <f>IF(AND(TArticle[[#This Row],[مبلغ]]&lt;0,TArticle[[#This Row],[کد وضعیت سند]]=1),0-TArticle[[#This Row],[مبلغ]],0)</f>
        <v>0</v>
      </c>
      <c r="Y60" s="27">
        <v>2</v>
      </c>
      <c r="Z60" t="str">
        <f>IF(TArticle[[#This Row],[کد بانک]]&gt;0,VLOOKUP(TArticle[[#This Row],[کد بانک]],TBank[],2,FALSE),"")</f>
        <v>ملی جاری</v>
      </c>
      <c r="AA60">
        <f>IF(AND(TArticle[[#This Row],[مبلغ]]&lt;0,TArticle[[#This Row],[کد وضعیت سند]]=1),0-TArticle[[#This Row],[مبلغ]],0)</f>
        <v>0</v>
      </c>
      <c r="AB60">
        <f>IF(AND(TArticle[[#This Row],[مبلغ]]&gt;0, TArticle[[#This Row],[کد وضعیت سند]]=1),TArticle[[#This Row],[مبلغ]],0)</f>
        <v>9000</v>
      </c>
      <c r="AC60" s="84">
        <f>IF(TArticle[[#This Row],[کد بانک]]&gt;0,VLOOKUP(TArticle[[#This Row],[کد بانک]],TBank[],9,FALSE)+SUMIF($Y$2:Y60,Y60,$E$2:$E60),"")</f>
        <v>9575</v>
      </c>
      <c r="AD60" s="1">
        <f>IFERROR(IF(INT(LEFT(TArticle[[#This Row],[شناسه]]))=3,IF(TArticle[[#This Row],[کد وضعیت سند]]=1,TArticle[مبلغ],0),0),0)</f>
        <v>0</v>
      </c>
      <c r="AE60" s="1">
        <f>IFERROR(IF(((TArticle[[#This Row],[شناسه]]))="4.1.1",IF(TArticle[[#This Row],[کد وضعیت سند]]=1,TArticle[مبلغ],0),0),0)</f>
        <v>0</v>
      </c>
      <c r="AF60" s="1">
        <f>IFERROR(IF(((TArticle[[#This Row],[شناسه]]))="4.1.2",IF(TArticle[[#This Row],[کد وضعیت سند]]=1,TArticle[مبلغ],0),0),0)</f>
        <v>0</v>
      </c>
      <c r="AG60" s="1">
        <f>IFERROR(IF(INT(LEFT(TArticle[[#This Row],[شناسه]]))=1,IF(TArticle[[#This Row],[کد وضعیت سند]]=1,TArticle[مبلغ],0),0),0)</f>
        <v>0</v>
      </c>
      <c r="AH60" s="1">
        <f>IFERROR(IF(INT(LEFT(TArticle[[#This Row],[شناسه]]))=2,IF(TArticle[[#This Row],[کد وضعیت سند]]=1,TArticle[مبلغ],0),0),0)</f>
        <v>0</v>
      </c>
      <c r="AI60" s="1">
        <f>IFERROR(IF((LEFT(TArticle[[#This Row],[شناسه]],3))="5.2",IF(TArticle[[#This Row],[کد وضعیت سند]]=1,TArticle[مبلغ],0),0),0)</f>
        <v>0</v>
      </c>
      <c r="AJ60" s="1">
        <f>IF(TArticle[[#This Row],[کد وضعیت سند]]=1,1,0)</f>
        <v>1</v>
      </c>
      <c r="AK60" s="1">
        <f>IF(AND(TArticle[[#This Row],[کد وضعیت سند]]&lt;&gt;1,TArticle[[#This Row],[مبلغ]]&lt;&gt;0),1,0)</f>
        <v>0</v>
      </c>
      <c r="AL60" s="51">
        <f>IF(TArticle[[#This Row],[کد بانک]]&gt;0,TArticle[[#This Row],[مانده بانک]]-VLOOKUP(TArticle[[#This Row],[کد بانک]],TBank[],7,FALSE),"")</f>
        <v>9575</v>
      </c>
      <c r="AM60" s="49" t="str">
        <f>LEFT(TArticle[[#This Row],[تاریخ]],7)</f>
        <v>1401-03</v>
      </c>
    </row>
    <row r="61" spans="1:39" hidden="1" x14ac:dyDescent="0.25">
      <c r="A61" s="77" t="s">
        <v>76</v>
      </c>
      <c r="B61" s="49" t="str">
        <f>VLOOKUP(TArticle[[#This Row],[شناسه]],TAccount[],2,TRUE)</f>
        <v>قسط</v>
      </c>
      <c r="C61" s="49" t="str">
        <f>VLOOKUP(TArticle[[#This Row],[تاریخ]],TDays[],7,FALSE)</f>
        <v>یکشنبه</v>
      </c>
      <c r="D61" s="21" t="s">
        <v>272</v>
      </c>
      <c r="E61" s="1">
        <v>-2777</v>
      </c>
      <c r="F61" s="1">
        <f>TArticle[[#This Row],[مبلغ]]+IFERROR(INT(F60),30181+3667+958)</f>
        <v>24804</v>
      </c>
      <c r="H61" s="64">
        <v>22</v>
      </c>
      <c r="J61" s="65"/>
      <c r="K61" s="64">
        <v>1</v>
      </c>
      <c r="L61" s="66" t="str">
        <f>IF(TArticle[[#This Row],[کد وضعیت سند]]&gt;0,VLOOKUP(TArticle[[#This Row],[کد وضعیت سند]],TDocState[],2,FALSE),"")</f>
        <v>انجام شد</v>
      </c>
      <c r="M61" s="67">
        <v>105</v>
      </c>
      <c r="N61" t="str">
        <f>IF(TArticle[[#This Row],[کد طرف حساب]]&gt;0,VLOOKUP(TArticle[[#This Row],[کد طرف حساب]],TContact[],2,FALSE),"")</f>
        <v>وام محبوبه</v>
      </c>
      <c r="O61" s="68">
        <f>IF(TArticle[[#This Row],[کد طرف حساب]]&gt;0,VLOOKUP(TArticle[[#This Row],[کد طرف حساب]],TContact[],7,FALSE)-SUMIF($M$2:M61,M61,$E$2:$E61),"")</f>
        <v>-28006</v>
      </c>
      <c r="P61" s="67" t="str">
        <f>RIGHT(TArticle[[#This Row],[تاریخ]],2)</f>
        <v>08</v>
      </c>
      <c r="Q61" s="67">
        <f>VLOOKUP(TArticle[[#This Row],[تاریخ]],TDays[],16,FALSE)</f>
        <v>11</v>
      </c>
      <c r="R61" s="67" t="str">
        <f>RIGHT(LEFT(TArticle[[#This Row],[تاریخ]],7),2)</f>
        <v>03</v>
      </c>
      <c r="S61" s="67" t="str">
        <f>LEFT(TArticle[[#This Row],[تاریخ]],4)</f>
        <v>1401</v>
      </c>
      <c r="T61" s="64"/>
      <c r="U61" s="64">
        <f>VLOOKUP(TArticle[[#This Row],[شناسه]],TAccount[],7,TRUE)</f>
        <v>36266</v>
      </c>
      <c r="V61" s="28" t="s">
        <v>263</v>
      </c>
      <c r="W61" s="64">
        <f>IF(AND(TArticle[[#This Row],[مبلغ]]&gt;0, TArticle[[#This Row],[کد وضعیت سند]]=1),TArticle[[#This Row],[مبلغ]],0)</f>
        <v>0</v>
      </c>
      <c r="X61" s="67">
        <f>IF(AND(TArticle[[#This Row],[مبلغ]]&lt;0,TArticle[[#This Row],[کد وضعیت سند]]=1),0-TArticle[[#This Row],[مبلغ]],0)</f>
        <v>2777</v>
      </c>
      <c r="Y61" s="27">
        <v>2</v>
      </c>
      <c r="Z61" t="str">
        <f>IF(TArticle[[#This Row],[کد بانک]]&gt;0,VLOOKUP(TArticle[[#This Row],[کد بانک]],TBank[],2,FALSE),"")</f>
        <v>ملی جاری</v>
      </c>
      <c r="AA61">
        <f>IF(AND(TArticle[[#This Row],[مبلغ]]&lt;0,TArticle[[#This Row],[کد وضعیت سند]]=1),0-TArticle[[#This Row],[مبلغ]],0)</f>
        <v>2777</v>
      </c>
      <c r="AB61">
        <f>IF(AND(TArticle[[#This Row],[مبلغ]]&gt;0, TArticle[[#This Row],[کد وضعیت سند]]=1),TArticle[[#This Row],[مبلغ]],0)</f>
        <v>0</v>
      </c>
      <c r="AC61" s="93">
        <f>IF(TArticle[[#This Row],[کد بانک]]&gt;0,VLOOKUP(TArticle[[#This Row],[کد بانک]],TBank[],9,FALSE)+SUMIF($Y$2:Y61,Y61,$E$2:$E61),"")</f>
        <v>6798</v>
      </c>
      <c r="AD61" s="1">
        <f>IFERROR(IF(INT(LEFT(TArticle[[#This Row],[شناسه]]))=3,IF(TArticle[[#This Row],[کد وضعیت سند]]=1,TArticle[مبلغ],0),0),0)</f>
        <v>0</v>
      </c>
      <c r="AE61" s="1">
        <f>IFERROR(IF(((TArticle[[#This Row],[شناسه]]))="4.1.1",IF(TArticle[[#This Row],[کد وضعیت سند]]=1,TArticle[مبلغ],0),0),0)</f>
        <v>0</v>
      </c>
      <c r="AF61" s="1">
        <f>IFERROR(IF(((TArticle[[#This Row],[شناسه]]))="4.1.2",IF(TArticle[[#This Row],[کد وضعیت سند]]=1,TArticle[مبلغ],0),0),0)</f>
        <v>0</v>
      </c>
      <c r="AG61" s="1">
        <f>IFERROR(IF(INT(LEFT(TArticle[[#This Row],[شناسه]]))=1,IF(TArticle[[#This Row],[کد وضعیت سند]]=1,TArticle[مبلغ],0),0),0)</f>
        <v>-2777</v>
      </c>
      <c r="AH61" s="1">
        <f>IFERROR(IF(INT(LEFT(TArticle[[#This Row],[شناسه]]))=2,IF(TArticle[[#This Row],[کد وضعیت سند]]=1,TArticle[مبلغ],0),0),0)</f>
        <v>0</v>
      </c>
      <c r="AI61" s="1">
        <f>IFERROR(IF((LEFT(TArticle[[#This Row],[شناسه]],3))="5.2",IF(TArticle[[#This Row],[کد وضعیت سند]]=1,TArticle[مبلغ],0),0),0)</f>
        <v>0</v>
      </c>
      <c r="AJ61" s="1">
        <f>IF(TArticle[[#This Row],[کد وضعیت سند]]=1,1,0)</f>
        <v>1</v>
      </c>
      <c r="AK61" s="1">
        <f>IF(AND(TArticle[[#This Row],[کد وضعیت سند]]&lt;&gt;1,TArticle[[#This Row],[مبلغ]]&lt;&gt;0),1,0)</f>
        <v>0</v>
      </c>
      <c r="AL61" s="78">
        <f>IF(TArticle[[#This Row],[کد بانک]]&gt;0,TArticle[[#This Row],[مانده بانک]]-VLOOKUP(TArticle[[#This Row],[کد بانک]],TBank[],7,FALSE),"")</f>
        <v>6798</v>
      </c>
      <c r="AM61" s="58" t="str">
        <f>LEFT(TArticle[[#This Row],[تاریخ]],7)</f>
        <v>1401-03</v>
      </c>
    </row>
    <row r="62" spans="1:39" hidden="1" x14ac:dyDescent="0.25">
      <c r="A62" s="24" t="s">
        <v>1042</v>
      </c>
      <c r="B62" s="49" t="str">
        <f>VLOOKUP(TArticle[[#This Row],[شناسه]],TAccount[],2,TRUE)</f>
        <v>دریافت سود سهام</v>
      </c>
      <c r="C62" s="49" t="str">
        <f>VLOOKUP(TArticle[[#This Row],[تاریخ]],TDays[],7,FALSE)</f>
        <v>دوشنبه</v>
      </c>
      <c r="D62" s="21" t="s">
        <v>273</v>
      </c>
      <c r="E62" s="1">
        <f>4006+207-3750</f>
        <v>463</v>
      </c>
      <c r="F62" s="1">
        <f>TArticle[[#This Row],[مبلغ]]+IFERROR(INT(F61),30181+3667+958)</f>
        <v>25267</v>
      </c>
      <c r="K62" s="21">
        <v>1</v>
      </c>
      <c r="L62" t="str">
        <f>IF(TArticle[[#This Row],[کد وضعیت سند]]&gt;0,VLOOKUP(TArticle[[#This Row],[کد وضعیت سند]],TDocState[],2,FALSE),"")</f>
        <v>انجام شد</v>
      </c>
      <c r="N62" t="str">
        <f>IF(TArticle[[#This Row],[کد طرف حساب]]&gt;0,VLOOKUP(TArticle[[#This Row],[کد طرف حساب]],TContact[],2,FALSE),"")</f>
        <v/>
      </c>
      <c r="O62" s="61" t="str">
        <f>IF(TArticle[[#This Row],[کد طرف حساب]]&gt;0,VLOOKUP(TArticle[[#This Row],[کد طرف حساب]],TContact[],7,FALSE)-SUMIF($M$2:M62,M62,$E$2:$E62),"")</f>
        <v/>
      </c>
      <c r="P62" s="27" t="str">
        <f>RIGHT(TArticle[[#This Row],[تاریخ]],2)</f>
        <v>09</v>
      </c>
      <c r="Q62" s="27">
        <f>VLOOKUP(TArticle[[#This Row],[تاریخ]],TDays[],16,FALSE)</f>
        <v>11</v>
      </c>
      <c r="R62" s="27" t="str">
        <f>RIGHT(LEFT(TArticle[[#This Row],[تاریخ]],7),2)</f>
        <v>03</v>
      </c>
      <c r="S62" s="27" t="str">
        <f>LEFT(TArticle[[#This Row],[تاریخ]],4)</f>
        <v>1401</v>
      </c>
      <c r="U62" s="21">
        <f>VLOOKUP(TArticle[[#This Row],[شناسه]],TAccount[],7,TRUE)</f>
        <v>9463</v>
      </c>
      <c r="W62" s="21">
        <f>IF(AND(TArticle[[#This Row],[مبلغ]]&gt;0, TArticle[[#This Row],[کد وضعیت سند]]=1),TArticle[[#This Row],[مبلغ]],0)</f>
        <v>463</v>
      </c>
      <c r="X62" s="27">
        <f>IF(AND(TArticle[[#This Row],[مبلغ]]&lt;0,TArticle[[#This Row],[کد وضعیت سند]]=1),0-TArticle[[#This Row],[مبلغ]],0)</f>
        <v>0</v>
      </c>
      <c r="Y62" s="27">
        <v>27</v>
      </c>
      <c r="Z62" t="str">
        <f>IF(TArticle[[#This Row],[کد بانک]]&gt;0,VLOOKUP(TArticle[[#This Row],[کد بانک]],TBank[],2,FALSE),"")</f>
        <v>Bit Pin</v>
      </c>
      <c r="AA62">
        <f>IF(AND(TArticle[[#This Row],[مبلغ]]&lt;0,TArticle[[#This Row],[کد وضعیت سند]]=1),0-TArticle[[#This Row],[مبلغ]],0)</f>
        <v>0</v>
      </c>
      <c r="AB62">
        <f>IF(AND(TArticle[[#This Row],[مبلغ]]&gt;0, TArticle[[#This Row],[کد وضعیت سند]]=1),TArticle[[#This Row],[مبلغ]],0)</f>
        <v>463</v>
      </c>
      <c r="AC62" s="84">
        <f>IF(TArticle[[#This Row],[کد بانک]]&gt;0,VLOOKUP(TArticle[[#This Row],[کد بانک]],TBank[],9,FALSE)+SUMIF($Y$2:Y62,Y62,$E$2:$E62),"")</f>
        <v>4163</v>
      </c>
      <c r="AD62" s="1">
        <f>IFERROR(IF(INT(LEFT(TArticle[[#This Row],[شناسه]]))=3,IF(TArticle[[#This Row],[کد وضعیت سند]]=1,TArticle[مبلغ],0),0),0)</f>
        <v>0</v>
      </c>
      <c r="AE62" s="1">
        <f>IFERROR(IF(((TArticle[[#This Row],[شناسه]]))="4.1.1",IF(TArticle[[#This Row],[کد وضعیت سند]]=1,TArticle[مبلغ],0),0),0)</f>
        <v>0</v>
      </c>
      <c r="AF62" s="1">
        <f>IFERROR(IF(((TArticle[[#This Row],[شناسه]]))="4.1.2",IF(TArticle[[#This Row],[کد وضعیت سند]]=1,TArticle[مبلغ],0),0),0)</f>
        <v>0</v>
      </c>
      <c r="AG62" s="1">
        <f>IFERROR(IF(INT(LEFT(TArticle[[#This Row],[شناسه]]))=1,IF(TArticle[[#This Row],[کد وضعیت سند]]=1,TArticle[مبلغ],0),0),0)</f>
        <v>0</v>
      </c>
      <c r="AH62" s="1">
        <f>IFERROR(IF(INT(LEFT(TArticle[[#This Row],[شناسه]]))=2,IF(TArticle[[#This Row],[کد وضعیت سند]]=1,TArticle[مبلغ],0),0),0)</f>
        <v>0</v>
      </c>
      <c r="AI62" s="1">
        <f>IFERROR(IF((LEFT(TArticle[[#This Row],[شناسه]],3))="5.2",IF(TArticle[[#This Row],[کد وضعیت سند]]=1,TArticle[مبلغ],0),0),0)</f>
        <v>0</v>
      </c>
      <c r="AJ62" s="1">
        <f>IF(TArticle[[#This Row],[کد وضعیت سند]]=1,1,0)</f>
        <v>1</v>
      </c>
      <c r="AK62" s="1">
        <f>IF(AND(TArticle[[#This Row],[کد وضعیت سند]]&lt;&gt;1,TArticle[[#This Row],[مبلغ]]&lt;&gt;0),1,0)</f>
        <v>0</v>
      </c>
      <c r="AL62" s="51">
        <f>IF(TArticle[[#This Row],[کد بانک]]&gt;0,TArticle[[#This Row],[مانده بانک]]-VLOOKUP(TArticle[[#This Row],[کد بانک]],TBank[],7,FALSE),"")</f>
        <v>4163</v>
      </c>
      <c r="AM62" s="49" t="str">
        <f>LEFT(TArticle[[#This Row],[تاریخ]],7)</f>
        <v>1401-03</v>
      </c>
    </row>
    <row r="63" spans="1:39" hidden="1" x14ac:dyDescent="0.25">
      <c r="A63" s="24" t="s">
        <v>1008</v>
      </c>
      <c r="B63" s="49" t="str">
        <f>VLOOKUP(TArticle[[#This Row],[شناسه]],TAccount[],2,TRUE)</f>
        <v>حواله پرداخت/برداشت</v>
      </c>
      <c r="C63" s="49" t="str">
        <f>VLOOKUP(TArticle[[#This Row],[تاریخ]],TDays[],7,FALSE)</f>
        <v>سه شنبه</v>
      </c>
      <c r="D63" s="21" t="s">
        <v>274</v>
      </c>
      <c r="E63" s="1">
        <v>-4006</v>
      </c>
      <c r="F63" s="1">
        <f>TArticle[[#This Row],[مبلغ]]+IFERROR(INT(F62),30181+3667+958)</f>
        <v>21261</v>
      </c>
      <c r="I63">
        <v>0</v>
      </c>
      <c r="J63" s="1">
        <v>4101</v>
      </c>
      <c r="K63" s="49">
        <v>1</v>
      </c>
      <c r="L63" t="str">
        <f>IF(TArticle[[#This Row],[کد وضعیت سند]]&gt;0,VLOOKUP(TArticle[[#This Row],[کد وضعیت سند]],TDocState[],2,FALSE),"")</f>
        <v>انجام شد</v>
      </c>
      <c r="M63" s="67"/>
      <c r="N63" t="str">
        <f>IF(TArticle[[#This Row],[کد طرف حساب]]&gt;0,VLOOKUP(TArticle[[#This Row],[کد طرف حساب]],TContact[],2,FALSE),"")</f>
        <v/>
      </c>
      <c r="O63" s="60" t="str">
        <f>IF(TArticle[[#This Row],[کد طرف حساب]]&gt;0,VLOOKUP(TArticle[[#This Row],[کد طرف حساب]],TContact[],7,FALSE)-SUMIF($M$2:M63,M63,$E$2:$E63),"")</f>
        <v/>
      </c>
      <c r="P63" s="27" t="str">
        <f>RIGHT(TArticle[[#This Row],[تاریخ]],2)</f>
        <v>10</v>
      </c>
      <c r="Q63" s="27">
        <f>VLOOKUP(TArticle[[#This Row],[تاریخ]],TDays[],16,FALSE)</f>
        <v>11</v>
      </c>
      <c r="R63" s="27" t="str">
        <f>RIGHT(LEFT(TArticle[[#This Row],[تاریخ]],7),2)</f>
        <v>03</v>
      </c>
      <c r="S63" s="27" t="str">
        <f>LEFT(TArticle[[#This Row],[تاریخ]],4)</f>
        <v>1401</v>
      </c>
      <c r="U63" s="21">
        <f>VLOOKUP(TArticle[[#This Row],[شناسه]],TAccount[],7,TRUE)</f>
        <v>179525</v>
      </c>
      <c r="W63" s="21">
        <f>IF(AND(TArticle[[#This Row],[مبلغ]]&gt;0, TArticle[[#This Row],[کد وضعیت سند]]=1),TArticle[[#This Row],[مبلغ]],0)</f>
        <v>0</v>
      </c>
      <c r="X63" s="27">
        <f>IF(AND(TArticle[[#This Row],[مبلغ]]&lt;0,TArticle[[#This Row],[کد وضعیت سند]]=1),0-TArticle[[#This Row],[مبلغ]],0)</f>
        <v>4006</v>
      </c>
      <c r="Y63" s="27">
        <v>27</v>
      </c>
      <c r="Z63" t="str">
        <f>IF(TArticle[[#This Row],[کد بانک]]&gt;0,VLOOKUP(TArticle[[#This Row],[کد بانک]],TBank[],2,FALSE),"")</f>
        <v>Bit Pin</v>
      </c>
      <c r="AA63">
        <f>IF(AND(TArticle[[#This Row],[مبلغ]]&lt;0,TArticle[[#This Row],[کد وضعیت سند]]=1),0-TArticle[[#This Row],[مبلغ]],0)</f>
        <v>4006</v>
      </c>
      <c r="AB63">
        <f>IF(AND(TArticle[[#This Row],[مبلغ]]&gt;0, TArticle[[#This Row],[کد وضعیت سند]]=1),TArticle[[#This Row],[مبلغ]],0)</f>
        <v>0</v>
      </c>
      <c r="AC63" s="92">
        <f>IF(TArticle[[#This Row],[کد بانک]]&gt;0,VLOOKUP(TArticle[[#This Row],[کد بانک]],TBank[],9,FALSE)+SUMIF($Y$2:Y63,Y63,$E$2:$E63),"")</f>
        <v>157</v>
      </c>
      <c r="AD63" s="1">
        <f>IFERROR(IF(INT(LEFT(TArticle[[#This Row],[شناسه]]))=3,IF(TArticle[[#This Row],[کد وضعیت سند]]=1,TArticle[مبلغ],0),0),0)</f>
        <v>0</v>
      </c>
      <c r="AE63" s="1">
        <f>IFERROR(IF(((TArticle[[#This Row],[شناسه]]))="4.1.1",IF(TArticle[[#This Row],[کد وضعیت سند]]=1,TArticle[مبلغ],0),0),0)</f>
        <v>0</v>
      </c>
      <c r="AF63" s="1">
        <f>IFERROR(IF(((TArticle[[#This Row],[شناسه]]))="4.1.2",IF(TArticle[[#This Row],[کد وضعیت سند]]=1,TArticle[مبلغ],0),0),0)</f>
        <v>0</v>
      </c>
      <c r="AG63" s="1">
        <f>IFERROR(IF(INT(LEFT(TArticle[[#This Row],[شناسه]]))=1,IF(TArticle[[#This Row],[کد وضعیت سند]]=1,TArticle[مبلغ],0),0),0)</f>
        <v>0</v>
      </c>
      <c r="AH63" s="1">
        <f>IFERROR(IF(INT(LEFT(TArticle[[#This Row],[شناسه]]))=2,IF(TArticle[[#This Row],[کد وضعیت سند]]=1,TArticle[مبلغ],0),0),0)</f>
        <v>0</v>
      </c>
      <c r="AI63" s="1">
        <f>IFERROR(IF((LEFT(TArticle[[#This Row],[شناسه]],3))="5.2",IF(TArticle[[#This Row],[کد وضعیت سند]]=1,TArticle[مبلغ],0),0),0)</f>
        <v>0</v>
      </c>
      <c r="AJ63" s="1">
        <f>IF(TArticle[[#This Row],[کد وضعیت سند]]=1,1,0)</f>
        <v>1</v>
      </c>
      <c r="AK63" s="1">
        <f>IF(AND(TArticle[[#This Row],[کد وضعیت سند]]&lt;&gt;1,TArticle[[#This Row],[مبلغ]]&lt;&gt;0),1,0)</f>
        <v>0</v>
      </c>
      <c r="AL63" s="51">
        <f>IF(TArticle[[#This Row],[کد بانک]]&gt;0,TArticle[[#This Row],[مانده بانک]]-VLOOKUP(TArticle[[#This Row],[کد بانک]],TBank[],7,FALSE),"")</f>
        <v>157</v>
      </c>
      <c r="AM63" s="58" t="str">
        <f>LEFT(TArticle[[#This Row],[تاریخ]],7)</f>
        <v>1401-03</v>
      </c>
    </row>
    <row r="64" spans="1:39" hidden="1" x14ac:dyDescent="0.25">
      <c r="A64" s="24" t="s">
        <v>112</v>
      </c>
      <c r="B64" s="49" t="str">
        <f>VLOOKUP(TArticle[[#This Row],[شناسه]],TAccount[],2,TRUE)</f>
        <v>رسید دریافت/واریز</v>
      </c>
      <c r="C64" s="49" t="str">
        <f>VLOOKUP(TArticle[[#This Row],[تاریخ]],TDays[],7,FALSE)</f>
        <v>سه شنبه</v>
      </c>
      <c r="D64" s="21" t="s">
        <v>274</v>
      </c>
      <c r="E64" s="1">
        <v>4006</v>
      </c>
      <c r="F64" s="1">
        <f>TArticle[[#This Row],[مبلغ]]+IFERROR(INT(F63),30181+3667+958)</f>
        <v>25267</v>
      </c>
      <c r="K64" s="21">
        <v>1</v>
      </c>
      <c r="L64" t="str">
        <f>IF(TArticle[[#This Row],[کد وضعیت سند]]&gt;0,VLOOKUP(TArticle[[#This Row],[کد وضعیت سند]],TDocState[],2,FALSE),"")</f>
        <v>انجام شد</v>
      </c>
      <c r="N64" t="str">
        <f>IF(TArticle[[#This Row],[کد طرف حساب]]&gt;0,VLOOKUP(TArticle[[#This Row],[کد طرف حساب]],TContact[],2,FALSE),"")</f>
        <v/>
      </c>
      <c r="O64" s="61" t="str">
        <f>IF(TArticle[[#This Row],[کد طرف حساب]]&gt;0,VLOOKUP(TArticle[[#This Row],[کد طرف حساب]],TContact[],7,FALSE)-SUMIF($M$2:M64,M64,$E$2:$E64),"")</f>
        <v/>
      </c>
      <c r="P64" s="27" t="str">
        <f>RIGHT(TArticle[[#This Row],[تاریخ]],2)</f>
        <v>10</v>
      </c>
      <c r="Q64" s="27">
        <f>VLOOKUP(TArticle[[#This Row],[تاریخ]],TDays[],16,FALSE)</f>
        <v>11</v>
      </c>
      <c r="R64" s="27" t="str">
        <f>RIGHT(LEFT(TArticle[[#This Row],[تاریخ]],7),2)</f>
        <v>03</v>
      </c>
      <c r="S64" s="27" t="str">
        <f>LEFT(TArticle[[#This Row],[تاریخ]],4)</f>
        <v>1401</v>
      </c>
      <c r="U64" s="21">
        <f>VLOOKUP(TArticle[[#This Row],[شناسه]],TAccount[],7,TRUE)</f>
        <v>257767</v>
      </c>
      <c r="W64" s="21">
        <f>IF(AND(TArticle[[#This Row],[مبلغ]]&gt;0, TArticle[[#This Row],[کد وضعیت سند]]=1),TArticle[[#This Row],[مبلغ]],0)</f>
        <v>4006</v>
      </c>
      <c r="X64" s="27">
        <f>IF(AND(TArticle[[#This Row],[مبلغ]]&lt;0,TArticle[[#This Row],[کد وضعیت سند]]=1),0-TArticle[[#This Row],[مبلغ]],0)</f>
        <v>0</v>
      </c>
      <c r="Y64" s="27">
        <v>2</v>
      </c>
      <c r="Z64" t="str">
        <f>IF(TArticle[[#This Row],[کد بانک]]&gt;0,VLOOKUP(TArticle[[#This Row],[کد بانک]],TBank[],2,FALSE),"")</f>
        <v>ملی جاری</v>
      </c>
      <c r="AA64">
        <f>IF(AND(TArticle[[#This Row],[مبلغ]]&lt;0,TArticle[[#This Row],[کد وضعیت سند]]=1),0-TArticle[[#This Row],[مبلغ]],0)</f>
        <v>0</v>
      </c>
      <c r="AB64">
        <f>IF(AND(TArticle[[#This Row],[مبلغ]]&gt;0, TArticle[[#This Row],[کد وضعیت سند]]=1),TArticle[[#This Row],[مبلغ]],0)</f>
        <v>4006</v>
      </c>
      <c r="AC64" s="84">
        <f>IF(TArticle[[#This Row],[کد بانک]]&gt;0,VLOOKUP(TArticle[[#This Row],[کد بانک]],TBank[],9,FALSE)+SUMIF($Y$2:Y64,Y64,$E$2:$E64),"")</f>
        <v>10804</v>
      </c>
      <c r="AD64" s="1">
        <f>IFERROR(IF(INT(LEFT(TArticle[[#This Row],[شناسه]]))=3,IF(TArticle[[#This Row],[کد وضعیت سند]]=1,TArticle[مبلغ],0),0),0)</f>
        <v>0</v>
      </c>
      <c r="AE64" s="1">
        <f>IFERROR(IF(((TArticle[[#This Row],[شناسه]]))="4.1.1",IF(TArticle[[#This Row],[کد وضعیت سند]]=1,TArticle[مبلغ],0),0),0)</f>
        <v>0</v>
      </c>
      <c r="AF64" s="1">
        <f>IFERROR(IF(((TArticle[[#This Row],[شناسه]]))="4.1.2",IF(TArticle[[#This Row],[کد وضعیت سند]]=1,TArticle[مبلغ],0),0),0)</f>
        <v>0</v>
      </c>
      <c r="AG64" s="1">
        <f>IFERROR(IF(INT(LEFT(TArticle[[#This Row],[شناسه]]))=1,IF(TArticle[[#This Row],[کد وضعیت سند]]=1,TArticle[مبلغ],0),0),0)</f>
        <v>0</v>
      </c>
      <c r="AH64" s="1">
        <f>IFERROR(IF(INT(LEFT(TArticle[[#This Row],[شناسه]]))=2,IF(TArticle[[#This Row],[کد وضعیت سند]]=1,TArticle[مبلغ],0),0),0)</f>
        <v>0</v>
      </c>
      <c r="AI64" s="1">
        <f>IFERROR(IF((LEFT(TArticle[[#This Row],[شناسه]],3))="5.2",IF(TArticle[[#This Row],[کد وضعیت سند]]=1,TArticle[مبلغ],0),0),0)</f>
        <v>0</v>
      </c>
      <c r="AJ64" s="1">
        <f>IF(TArticle[[#This Row],[کد وضعیت سند]]=1,1,0)</f>
        <v>1</v>
      </c>
      <c r="AK64" s="1">
        <f>IF(AND(TArticle[[#This Row],[کد وضعیت سند]]&lt;&gt;1,TArticle[[#This Row],[مبلغ]]&lt;&gt;0),1,0)</f>
        <v>0</v>
      </c>
      <c r="AL64" s="51">
        <f>IF(TArticle[[#This Row],[کد بانک]]&gt;0,TArticle[[#This Row],[مانده بانک]]-VLOOKUP(TArticle[[#This Row],[کد بانک]],TBank[],7,FALSE),"")</f>
        <v>10804</v>
      </c>
      <c r="AM64" s="49" t="str">
        <f>LEFT(TArticle[[#This Row],[تاریخ]],7)</f>
        <v>1401-03</v>
      </c>
    </row>
    <row r="65" spans="1:39" hidden="1" x14ac:dyDescent="0.25">
      <c r="A65" s="24" t="s">
        <v>76</v>
      </c>
      <c r="B65" s="49" t="str">
        <f>VLOOKUP(TArticle[[#This Row],[شناسه]],TAccount[],2,TRUE)</f>
        <v>قسط</v>
      </c>
      <c r="C65" s="49" t="str">
        <f>VLOOKUP(TArticle[[#This Row],[تاریخ]],TDays[],7,FALSE)</f>
        <v>چهارشنبه</v>
      </c>
      <c r="D65" s="21" t="s">
        <v>275</v>
      </c>
      <c r="E65" s="1">
        <v>-1000</v>
      </c>
      <c r="F65" s="1">
        <f>TArticle[[#This Row],[مبلغ]]+IFERROR(INT(F64),30181+3667+958)</f>
        <v>24267</v>
      </c>
      <c r="G65" t="s">
        <v>1655</v>
      </c>
      <c r="K65" s="21">
        <v>1</v>
      </c>
      <c r="L65" t="str">
        <f>IF(TArticle[[#This Row],[کد وضعیت سند]]&gt;0,VLOOKUP(TArticle[[#This Row],[کد وضعیت سند]],TDocState[],2,FALSE),"")</f>
        <v>انجام شد</v>
      </c>
      <c r="N65" t="str">
        <f>IF(TArticle[[#This Row],[کد طرف حساب]]&gt;0,VLOOKUP(TArticle[[#This Row],[کد طرف حساب]],TContact[],2,FALSE),"")</f>
        <v/>
      </c>
      <c r="O65" s="51" t="str">
        <f>IF(TArticle[[#This Row],[کد طرف حساب]]&gt;0,VLOOKUP(TArticle[[#This Row],[کد طرف حساب]],TContact[],7,FALSE)-SUMIF($M$2:M65,M65,$E$2:$E65),"")</f>
        <v/>
      </c>
      <c r="P65" s="27" t="str">
        <f>RIGHT(TArticle[[#This Row],[تاریخ]],2)</f>
        <v>11</v>
      </c>
      <c r="Q65" s="27">
        <f>VLOOKUP(TArticle[[#This Row],[تاریخ]],TDays[],16,FALSE)</f>
        <v>11</v>
      </c>
      <c r="R65" s="27" t="str">
        <f>RIGHT(LEFT(TArticle[[#This Row],[تاریخ]],7),2)</f>
        <v>03</v>
      </c>
      <c r="S65" s="27" t="str">
        <f>LEFT(TArticle[[#This Row],[تاریخ]],4)</f>
        <v>1401</v>
      </c>
      <c r="U65" s="21">
        <f>VLOOKUP(TArticle[[#This Row],[شناسه]],TAccount[],7,TRUE)</f>
        <v>36266</v>
      </c>
      <c r="W65" s="21">
        <f>IF(AND(TArticle[[#This Row],[مبلغ]]&gt;0, TArticle[[#This Row],[کد وضعیت سند]]=1),TArticle[[#This Row],[مبلغ]],0)</f>
        <v>0</v>
      </c>
      <c r="X65" s="27">
        <f>IF(AND(TArticle[[#This Row],[مبلغ]]&lt;0,TArticle[[#This Row],[کد وضعیت سند]]=1),0-TArticle[[#This Row],[مبلغ]],0)</f>
        <v>1000</v>
      </c>
      <c r="Y65" s="27">
        <v>2</v>
      </c>
      <c r="Z65" t="str">
        <f>IF(TArticle[[#This Row],[کد بانک]]&gt;0,VLOOKUP(TArticle[[#This Row],[کد بانک]],TBank[],2,FALSE),"")</f>
        <v>ملی جاری</v>
      </c>
      <c r="AA65">
        <f>IF(AND(TArticle[[#This Row],[مبلغ]]&lt;0,TArticle[[#This Row],[کد وضعیت سند]]=1),0-TArticle[[#This Row],[مبلغ]],0)</f>
        <v>1000</v>
      </c>
      <c r="AB65">
        <f>IF(AND(TArticle[[#This Row],[مبلغ]]&gt;0, TArticle[[#This Row],[کد وضعیت سند]]=1),TArticle[[#This Row],[مبلغ]],0)</f>
        <v>0</v>
      </c>
      <c r="AC65" s="84">
        <f>IF(TArticle[[#This Row],[کد بانک]]&gt;0,VLOOKUP(TArticle[[#This Row],[کد بانک]],TBank[],9,FALSE)+SUMIF($Y$2:Y65,Y65,$E$2:$E65),"")</f>
        <v>9804</v>
      </c>
      <c r="AD65" s="1">
        <f>IFERROR(IF(INT(LEFT(TArticle[[#This Row],[شناسه]]))=3,IF(TArticle[[#This Row],[کد وضعیت سند]]=1,TArticle[مبلغ],0),0),0)</f>
        <v>0</v>
      </c>
      <c r="AE65" s="1">
        <f>IFERROR(IF(((TArticle[[#This Row],[شناسه]]))="4.1.1",IF(TArticle[[#This Row],[کد وضعیت سند]]=1,TArticle[مبلغ],0),0),0)</f>
        <v>0</v>
      </c>
      <c r="AF65" s="1">
        <f>IFERROR(IF(((TArticle[[#This Row],[شناسه]]))="4.1.2",IF(TArticle[[#This Row],[کد وضعیت سند]]=1,TArticle[مبلغ],0),0),0)</f>
        <v>0</v>
      </c>
      <c r="AG65" s="1">
        <f>IFERROR(IF(INT(LEFT(TArticle[[#This Row],[شناسه]]))=1,IF(TArticle[[#This Row],[کد وضعیت سند]]=1,TArticle[مبلغ],0),0),0)</f>
        <v>-1000</v>
      </c>
      <c r="AH65" s="1">
        <f>IFERROR(IF(INT(LEFT(TArticle[[#This Row],[شناسه]]))=2,IF(TArticle[[#This Row],[کد وضعیت سند]]=1,TArticle[مبلغ],0),0),0)</f>
        <v>0</v>
      </c>
      <c r="AI65" s="1">
        <f>IFERROR(IF((LEFT(TArticle[[#This Row],[شناسه]],3))="5.2",IF(TArticle[[#This Row],[کد وضعیت سند]]=1,TArticle[مبلغ],0),0),0)</f>
        <v>0</v>
      </c>
      <c r="AJ65" s="1">
        <f>IF(TArticle[[#This Row],[کد وضعیت سند]]=1,1,0)</f>
        <v>1</v>
      </c>
      <c r="AK65" s="1">
        <f>IF(AND(TArticle[[#This Row],[کد وضعیت سند]]&lt;&gt;1,TArticle[[#This Row],[مبلغ]]&lt;&gt;0),1,0)</f>
        <v>0</v>
      </c>
      <c r="AL65" s="51">
        <f>IF(TArticle[[#This Row],[کد بانک]]&gt;0,TArticle[[#This Row],[مانده بانک]]-VLOOKUP(TArticle[[#This Row],[کد بانک]],TBank[],7,FALSE),"")</f>
        <v>9804</v>
      </c>
      <c r="AM65" s="49" t="str">
        <f>LEFT(TArticle[[#This Row],[تاریخ]],7)</f>
        <v>1401-03</v>
      </c>
    </row>
    <row r="66" spans="1:39" hidden="1" x14ac:dyDescent="0.25">
      <c r="A66" s="24" t="s">
        <v>76</v>
      </c>
      <c r="B66" s="49" t="str">
        <f>VLOOKUP(TArticle[[#This Row],[شناسه]],TAccount[],2,TRUE)</f>
        <v>قسط</v>
      </c>
      <c r="C66" s="49" t="str">
        <f>VLOOKUP(TArticle[[#This Row],[تاریخ]],TDays[],7,FALSE)</f>
        <v>چهارشنبه</v>
      </c>
      <c r="D66" s="21" t="s">
        <v>275</v>
      </c>
      <c r="E66" s="1">
        <v>-4050</v>
      </c>
      <c r="F66" s="1">
        <f>TArticle[[#This Row],[مبلغ]]+IFERROR(INT(F65),30181+3667+958)</f>
        <v>20217</v>
      </c>
      <c r="G66" t="s">
        <v>1654</v>
      </c>
      <c r="K66" s="21">
        <v>1</v>
      </c>
      <c r="L66" t="str">
        <f>IF(TArticle[[#This Row],[کد وضعیت سند]]&gt;0,VLOOKUP(TArticle[[#This Row],[کد وضعیت سند]],TDocState[],2,FALSE),"")</f>
        <v>انجام شد</v>
      </c>
      <c r="N66" t="str">
        <f>IF(TArticle[[#This Row],[کد طرف حساب]]&gt;0,VLOOKUP(TArticle[[#This Row],[کد طرف حساب]],TContact[],2,FALSE),"")</f>
        <v/>
      </c>
      <c r="O66" s="51" t="str">
        <f>IF(TArticle[[#This Row],[کد طرف حساب]]&gt;0,VLOOKUP(TArticle[[#This Row],[کد طرف حساب]],TContact[],7,FALSE)-SUMIF($M$2:M66,M66,$E$2:$E66),"")</f>
        <v/>
      </c>
      <c r="P66" s="27" t="str">
        <f>RIGHT(TArticle[[#This Row],[تاریخ]],2)</f>
        <v>11</v>
      </c>
      <c r="Q66" s="27">
        <f>VLOOKUP(TArticle[[#This Row],[تاریخ]],TDays[],16,FALSE)</f>
        <v>11</v>
      </c>
      <c r="R66" s="27" t="str">
        <f>RIGHT(LEFT(TArticle[[#This Row],[تاریخ]],7),2)</f>
        <v>03</v>
      </c>
      <c r="S66" s="27" t="str">
        <f>LEFT(TArticle[[#This Row],[تاریخ]],4)</f>
        <v>1401</v>
      </c>
      <c r="U66" s="21">
        <f>VLOOKUP(TArticle[[#This Row],[شناسه]],TAccount[],7,TRUE)</f>
        <v>36266</v>
      </c>
      <c r="W66" s="21">
        <f>IF(AND(TArticle[[#This Row],[مبلغ]]&gt;0, TArticle[[#This Row],[کد وضعیت سند]]=1),TArticle[[#This Row],[مبلغ]],0)</f>
        <v>0</v>
      </c>
      <c r="X66" s="27">
        <f>IF(AND(TArticle[[#This Row],[مبلغ]]&lt;0,TArticle[[#This Row],[کد وضعیت سند]]=1),0-TArticle[[#This Row],[مبلغ]],0)</f>
        <v>4050</v>
      </c>
      <c r="Y66" s="27">
        <v>2</v>
      </c>
      <c r="Z66" t="str">
        <f>IF(TArticle[[#This Row],[کد بانک]]&gt;0,VLOOKUP(TArticle[[#This Row],[کد بانک]],TBank[],2,FALSE),"")</f>
        <v>ملی جاری</v>
      </c>
      <c r="AA66">
        <f>IF(AND(TArticle[[#This Row],[مبلغ]]&lt;0,TArticle[[#This Row],[کد وضعیت سند]]=1),0-TArticle[[#This Row],[مبلغ]],0)</f>
        <v>4050</v>
      </c>
      <c r="AB66">
        <f>IF(AND(TArticle[[#This Row],[مبلغ]]&gt;0, TArticle[[#This Row],[کد وضعیت سند]]=1),TArticle[[#This Row],[مبلغ]],0)</f>
        <v>0</v>
      </c>
      <c r="AC66" s="84">
        <f>IF(TArticle[[#This Row],[کد بانک]]&gt;0,VLOOKUP(TArticle[[#This Row],[کد بانک]],TBank[],9,FALSE)+SUMIF($Y$2:Y66,Y66,$E$2:$E66),"")</f>
        <v>5754</v>
      </c>
      <c r="AD66" s="1">
        <f>IFERROR(IF(INT(LEFT(TArticle[[#This Row],[شناسه]]))=3,IF(TArticle[[#This Row],[کد وضعیت سند]]=1,TArticle[مبلغ],0),0),0)</f>
        <v>0</v>
      </c>
      <c r="AE66" s="1">
        <f>IFERROR(IF(((TArticle[[#This Row],[شناسه]]))="4.1.1",IF(TArticle[[#This Row],[کد وضعیت سند]]=1,TArticle[مبلغ],0),0),0)</f>
        <v>0</v>
      </c>
      <c r="AF66" s="1">
        <f>IFERROR(IF(((TArticle[[#This Row],[شناسه]]))="4.1.2",IF(TArticle[[#This Row],[کد وضعیت سند]]=1,TArticle[مبلغ],0),0),0)</f>
        <v>0</v>
      </c>
      <c r="AG66" s="1">
        <f>IFERROR(IF(INT(LEFT(TArticle[[#This Row],[شناسه]]))=1,IF(TArticle[[#This Row],[کد وضعیت سند]]=1,TArticle[مبلغ],0),0),0)</f>
        <v>-4050</v>
      </c>
      <c r="AH66" s="1">
        <f>IFERROR(IF(INT(LEFT(TArticle[[#This Row],[شناسه]]))=2,IF(TArticle[[#This Row],[کد وضعیت سند]]=1,TArticle[مبلغ],0),0),0)</f>
        <v>0</v>
      </c>
      <c r="AI66" s="1">
        <f>IFERROR(IF((LEFT(TArticle[[#This Row],[شناسه]],3))="5.2",IF(TArticle[[#This Row],[کد وضعیت سند]]=1,TArticle[مبلغ],0),0),0)</f>
        <v>0</v>
      </c>
      <c r="AJ66" s="1">
        <f>IF(TArticle[[#This Row],[کد وضعیت سند]]=1,1,0)</f>
        <v>1</v>
      </c>
      <c r="AK66" s="1">
        <f>IF(AND(TArticle[[#This Row],[کد وضعیت سند]]&lt;&gt;1,TArticle[[#This Row],[مبلغ]]&lt;&gt;0),1,0)</f>
        <v>0</v>
      </c>
      <c r="AL66" s="51">
        <f>IF(TArticle[[#This Row],[کد بانک]]&gt;0,TArticle[[#This Row],[مانده بانک]]-VLOOKUP(TArticle[[#This Row],[کد بانک]],TBank[],7,FALSE),"")</f>
        <v>5754</v>
      </c>
      <c r="AM66" s="49" t="str">
        <f>LEFT(TArticle[[#This Row],[تاریخ]],7)</f>
        <v>1401-03</v>
      </c>
    </row>
    <row r="67" spans="1:39" hidden="1" x14ac:dyDescent="0.25">
      <c r="A67" s="24" t="s">
        <v>1110</v>
      </c>
      <c r="B67" s="49" t="str">
        <f>VLOOKUP(TArticle[[#This Row],[شناسه]],TAccount[],2,TRUE)</f>
        <v>قسط وام بانکی</v>
      </c>
      <c r="C67" s="49" t="str">
        <f>VLOOKUP(TArticle[[#This Row],[تاریخ]],TDays[],7,FALSE)</f>
        <v>چهارشنبه</v>
      </c>
      <c r="D67" s="21" t="s">
        <v>275</v>
      </c>
      <c r="E67" s="1">
        <v>-278</v>
      </c>
      <c r="F67" s="1">
        <f>TArticle[[#This Row],[مبلغ]]+IFERROR(INT(F66),30181+3667+958)</f>
        <v>19939</v>
      </c>
      <c r="G67" t="s">
        <v>1109</v>
      </c>
      <c r="H67" s="21">
        <v>30</v>
      </c>
      <c r="K67" s="21">
        <v>1</v>
      </c>
      <c r="L67" t="str">
        <f>IF(TArticle[[#This Row],[کد وضعیت سند]]&gt;0,VLOOKUP(TArticle[[#This Row],[کد وضعیت سند]],TDocState[],2,FALSE),"")</f>
        <v>انجام شد</v>
      </c>
      <c r="M67" s="27">
        <v>104</v>
      </c>
      <c r="N67" t="str">
        <f>IF(TArticle[[#This Row],[کد طرف حساب]]&gt;0,VLOOKUP(TArticle[[#This Row],[کد طرف حساب]],TContact[],2,FALSE),"")</f>
        <v>وام ملی ف</v>
      </c>
      <c r="O67" s="61">
        <f>IF(TArticle[[#This Row],[کد طرف حساب]]&gt;0,VLOOKUP(TArticle[[#This Row],[کد طرف حساب]],TContact[],7,FALSE)-SUMIF($M$2:M67,M67,$E$2:$E67),"")</f>
        <v>-1660</v>
      </c>
      <c r="P67" s="27" t="str">
        <f>RIGHT(TArticle[[#This Row],[تاریخ]],2)</f>
        <v>11</v>
      </c>
      <c r="Q67" s="27">
        <f>VLOOKUP(TArticle[[#This Row],[تاریخ]],TDays[],16,FALSE)</f>
        <v>11</v>
      </c>
      <c r="R67" s="27" t="str">
        <f>RIGHT(LEFT(TArticle[[#This Row],[تاریخ]],7),2)</f>
        <v>03</v>
      </c>
      <c r="S67" s="27" t="str">
        <f>LEFT(TArticle[[#This Row],[تاریخ]],4)</f>
        <v>1401</v>
      </c>
      <c r="U67" s="21">
        <f>VLOOKUP(TArticle[[#This Row],[شناسه]],TAccount[],7,TRUE)</f>
        <v>81652</v>
      </c>
      <c r="V67" s="21" t="s">
        <v>275</v>
      </c>
      <c r="W67" s="21">
        <f>IF(AND(TArticle[[#This Row],[مبلغ]]&gt;0, TArticle[[#This Row],[کد وضعیت سند]]=1),TArticle[[#This Row],[مبلغ]],0)</f>
        <v>0</v>
      </c>
      <c r="X67" s="27">
        <f>IF(AND(TArticle[[#This Row],[مبلغ]]&lt;0,TArticle[[#This Row],[کد وضعیت سند]]=1),0-TArticle[[#This Row],[مبلغ]],0)</f>
        <v>278</v>
      </c>
      <c r="Y67" s="27">
        <v>2</v>
      </c>
      <c r="Z67" t="str">
        <f>IF(TArticle[[#This Row],[کد بانک]]&gt;0,VLOOKUP(TArticle[[#This Row],[کد بانک]],TBank[],2,FALSE),"")</f>
        <v>ملی جاری</v>
      </c>
      <c r="AA67">
        <f>IF(AND(TArticle[[#This Row],[مبلغ]]&lt;0,TArticle[[#This Row],[کد وضعیت سند]]=1),0-TArticle[[#This Row],[مبلغ]],0)</f>
        <v>278</v>
      </c>
      <c r="AB67">
        <f>IF(AND(TArticle[[#This Row],[مبلغ]]&gt;0, TArticle[[#This Row],[کد وضعیت سند]]=1),TArticle[[#This Row],[مبلغ]],0)</f>
        <v>0</v>
      </c>
      <c r="AC67" s="84">
        <f>IF(TArticle[[#This Row],[کد بانک]]&gt;0,VLOOKUP(TArticle[[#This Row],[کد بانک]],TBank[],9,FALSE)+SUMIF($Y$2:Y67,Y67,$E$2:$E67),"")</f>
        <v>5476</v>
      </c>
      <c r="AD67" s="1">
        <f>IFERROR(IF(INT(LEFT(TArticle[[#This Row],[شناسه]]))=3,IF(TArticle[[#This Row],[کد وضعیت سند]]=1,TArticle[مبلغ],0),0),0)</f>
        <v>0</v>
      </c>
      <c r="AE67" s="1">
        <f>IFERROR(IF(((TArticle[[#This Row],[شناسه]]))="4.1.1",IF(TArticle[[#This Row],[کد وضعیت سند]]=1,TArticle[مبلغ],0),0),0)</f>
        <v>0</v>
      </c>
      <c r="AF67" s="1">
        <f>IFERROR(IF(((TArticle[[#This Row],[شناسه]]))="4.1.2",IF(TArticle[[#This Row],[کد وضعیت سند]]=1,TArticle[مبلغ],0),0),0)</f>
        <v>0</v>
      </c>
      <c r="AG67" s="1">
        <f>IFERROR(IF(INT(LEFT(TArticle[[#This Row],[شناسه]]))=1,IF(TArticle[[#This Row],[کد وضعیت سند]]=1,TArticle[مبلغ],0),0),0)</f>
        <v>-278</v>
      </c>
      <c r="AH67" s="1">
        <f>IFERROR(IF(INT(LEFT(TArticle[[#This Row],[شناسه]]))=2,IF(TArticle[[#This Row],[کد وضعیت سند]]=1,TArticle[مبلغ],0),0),0)</f>
        <v>0</v>
      </c>
      <c r="AI67" s="1">
        <f>IFERROR(IF((LEFT(TArticle[[#This Row],[شناسه]],3))="5.2",IF(TArticle[[#This Row],[کد وضعیت سند]]=1,TArticle[مبلغ],0),0),0)</f>
        <v>0</v>
      </c>
      <c r="AJ67" s="1">
        <f>IF(TArticle[[#This Row],[کد وضعیت سند]]=1,1,0)</f>
        <v>1</v>
      </c>
      <c r="AK67" s="1">
        <f>IF(AND(TArticle[[#This Row],[کد وضعیت سند]]&lt;&gt;1,TArticle[[#This Row],[مبلغ]]&lt;&gt;0),1,0)</f>
        <v>0</v>
      </c>
      <c r="AL67" s="51">
        <f>IF(TArticle[[#This Row],[کد بانک]]&gt;0,TArticle[[#This Row],[مانده بانک]]-VLOOKUP(TArticle[[#This Row],[کد بانک]],TBank[],7,FALSE),"")</f>
        <v>5476</v>
      </c>
      <c r="AM67" s="58" t="str">
        <f>LEFT(TArticle[[#This Row],[تاریخ]],7)</f>
        <v>1401-03</v>
      </c>
    </row>
    <row r="68" spans="1:39" hidden="1" x14ac:dyDescent="0.25">
      <c r="A68" s="24" t="s">
        <v>1107</v>
      </c>
      <c r="B68" s="49" t="str">
        <f>VLOOKUP(TArticle[[#This Row],[شناسه]],TAccount[],2,TRUE)</f>
        <v>سود وام</v>
      </c>
      <c r="C68" s="49" t="str">
        <f>VLOOKUP(TArticle[[#This Row],[تاریخ]],TDays[],7,FALSE)</f>
        <v>چهارشنبه</v>
      </c>
      <c r="D68" s="21" t="s">
        <v>275</v>
      </c>
      <c r="E68" s="1">
        <v>-83</v>
      </c>
      <c r="F68" s="1">
        <f>TArticle[[#This Row],[مبلغ]]+IFERROR(INT(F67),30181+3667+958)</f>
        <v>19856</v>
      </c>
      <c r="G68" t="s">
        <v>1109</v>
      </c>
      <c r="H68" s="21">
        <v>30</v>
      </c>
      <c r="K68" s="21">
        <v>1</v>
      </c>
      <c r="L68" t="str">
        <f>IF(TArticle[[#This Row],[کد وضعیت سند]]&gt;0,VLOOKUP(TArticle[[#This Row],[کد وضعیت سند]],TDocState[],2,FALSE),"")</f>
        <v>انجام شد</v>
      </c>
      <c r="M68" s="27">
        <v>104.1</v>
      </c>
      <c r="N68" t="str">
        <f>IF(TArticle[[#This Row],[کد طرف حساب]]&gt;0,VLOOKUP(TArticle[[#This Row],[کد طرف حساب]],TContact[],2,FALSE),"")</f>
        <v>وام ملی ف - سود</v>
      </c>
      <c r="O68" s="61">
        <f>IF(TArticle[[#This Row],[کد طرف حساب]]&gt;0,VLOOKUP(TArticle[[#This Row],[کد طرف حساب]],TContact[],7,FALSE)-SUMIF($M$2:M68,M68,$E$2:$E68),"")</f>
        <v>-411</v>
      </c>
      <c r="P68" s="27" t="str">
        <f>RIGHT(TArticle[[#This Row],[تاریخ]],2)</f>
        <v>11</v>
      </c>
      <c r="Q68" s="27">
        <f>VLOOKUP(TArticle[[#This Row],[تاریخ]],TDays[],16,FALSE)</f>
        <v>11</v>
      </c>
      <c r="R68" s="27" t="str">
        <f>RIGHT(LEFT(TArticle[[#This Row],[تاریخ]],7),2)</f>
        <v>03</v>
      </c>
      <c r="S68" s="27" t="str">
        <f>LEFT(TArticle[[#This Row],[تاریخ]],4)</f>
        <v>1401</v>
      </c>
      <c r="U68" s="21">
        <f>VLOOKUP(TArticle[[#This Row],[شناسه]],TAccount[],7,TRUE)</f>
        <v>9163</v>
      </c>
      <c r="V68" s="21" t="s">
        <v>275</v>
      </c>
      <c r="W68" s="21">
        <f>IF(AND(TArticle[[#This Row],[مبلغ]]&gt;0, TArticle[[#This Row],[کد وضعیت سند]]=1),TArticle[[#This Row],[مبلغ]],0)</f>
        <v>0</v>
      </c>
      <c r="X68" s="27">
        <f>IF(AND(TArticle[[#This Row],[مبلغ]]&lt;0,TArticle[[#This Row],[کد وضعیت سند]]=1),0-TArticle[[#This Row],[مبلغ]],0)</f>
        <v>83</v>
      </c>
      <c r="Y68" s="27">
        <v>2</v>
      </c>
      <c r="Z68" t="str">
        <f>IF(TArticle[[#This Row],[کد بانک]]&gt;0,VLOOKUP(TArticle[[#This Row],[کد بانک]],TBank[],2,FALSE),"")</f>
        <v>ملی جاری</v>
      </c>
      <c r="AA68">
        <f>IF(AND(TArticle[[#This Row],[مبلغ]]&lt;0,TArticle[[#This Row],[کد وضعیت سند]]=1),0-TArticle[[#This Row],[مبلغ]],0)</f>
        <v>83</v>
      </c>
      <c r="AB68">
        <f>IF(AND(TArticle[[#This Row],[مبلغ]]&gt;0, TArticle[[#This Row],[کد وضعیت سند]]=1),TArticle[[#This Row],[مبلغ]],0)</f>
        <v>0</v>
      </c>
      <c r="AC68" s="84">
        <f>IF(TArticle[[#This Row],[کد بانک]]&gt;0,VLOOKUP(TArticle[[#This Row],[کد بانک]],TBank[],9,FALSE)+SUMIF($Y$2:Y68,Y68,$E$2:$E68),"")</f>
        <v>5393</v>
      </c>
      <c r="AD68" s="1">
        <f>IFERROR(IF(INT(LEFT(TArticle[[#This Row],[شناسه]]))=3,IF(TArticle[[#This Row],[کد وضعیت سند]]=1,TArticle[مبلغ],0),0),0)</f>
        <v>-83</v>
      </c>
      <c r="AE68" s="1">
        <f>IFERROR(IF(((TArticle[[#This Row],[شناسه]]))="4.1.1",IF(TArticle[[#This Row],[کد وضعیت سند]]=1,TArticle[مبلغ],0),0),0)</f>
        <v>0</v>
      </c>
      <c r="AF68" s="1">
        <f>IFERROR(IF(((TArticle[[#This Row],[شناسه]]))="4.1.2",IF(TArticle[[#This Row],[کد وضعیت سند]]=1,TArticle[مبلغ],0),0),0)</f>
        <v>0</v>
      </c>
      <c r="AG68" s="1">
        <f>IFERROR(IF(INT(LEFT(TArticle[[#This Row],[شناسه]]))=1,IF(TArticle[[#This Row],[کد وضعیت سند]]=1,TArticle[مبلغ],0),0),0)</f>
        <v>0</v>
      </c>
      <c r="AH68" s="1">
        <f>IFERROR(IF(INT(LEFT(TArticle[[#This Row],[شناسه]]))=2,IF(TArticle[[#This Row],[کد وضعیت سند]]=1,TArticle[مبلغ],0),0),0)</f>
        <v>0</v>
      </c>
      <c r="AI68" s="1">
        <f>IFERROR(IF((LEFT(TArticle[[#This Row],[شناسه]],3))="5.2",IF(TArticle[[#This Row],[کد وضعیت سند]]=1,TArticle[مبلغ],0),0),0)</f>
        <v>0</v>
      </c>
      <c r="AJ68" s="1">
        <f>IF(TArticle[[#This Row],[کد وضعیت سند]]=1,1,0)</f>
        <v>1</v>
      </c>
      <c r="AK68" s="1">
        <f>IF(AND(TArticle[[#This Row],[کد وضعیت سند]]&lt;&gt;1,TArticle[[#This Row],[مبلغ]]&lt;&gt;0),1,0)</f>
        <v>0</v>
      </c>
      <c r="AL68" s="51">
        <f>IF(TArticle[[#This Row],[کد بانک]]&gt;0,TArticle[[#This Row],[مانده بانک]]-VLOOKUP(TArticle[[#This Row],[کد بانک]],TBank[],7,FALSE),"")</f>
        <v>5393</v>
      </c>
      <c r="AM68" s="58" t="str">
        <f>LEFT(TArticle[[#This Row],[تاریخ]],7)</f>
        <v>1401-03</v>
      </c>
    </row>
    <row r="69" spans="1:39" hidden="1" x14ac:dyDescent="0.25">
      <c r="A69" s="24" t="s">
        <v>41</v>
      </c>
      <c r="B69" s="49" t="str">
        <f>VLOOKUP(TArticle[[#This Row],[شناسه]],TAccount[],2,TRUE)</f>
        <v>قرعه هجده (43)</v>
      </c>
      <c r="C69" s="49" t="str">
        <f>VLOOKUP(TArticle[[#This Row],[تاریخ]],TDays[],7,FALSE)</f>
        <v>چهارشنبه</v>
      </c>
      <c r="D69" s="21" t="s">
        <v>275</v>
      </c>
      <c r="E69" s="1">
        <v>-350</v>
      </c>
      <c r="F69" s="1">
        <f>TArticle[[#This Row],[مبلغ]]+IFERROR(INT(F68),30181+3667+958)</f>
        <v>19506</v>
      </c>
      <c r="H69" s="21">
        <v>38</v>
      </c>
      <c r="K69" s="21">
        <v>1</v>
      </c>
      <c r="L69" t="str">
        <f>IF(TArticle[[#This Row],[کد وضعیت سند]]&gt;0,VLOOKUP(TArticle[[#This Row],[کد وضعیت سند]],TDocState[],2,FALSE),"")</f>
        <v>انجام شد</v>
      </c>
      <c r="M69" s="27">
        <v>103</v>
      </c>
      <c r="N69" t="str">
        <f>IF(TArticle[[#This Row],[کد طرف حساب]]&gt;0,VLOOKUP(TArticle[[#This Row],[کد طرف حساب]],TContact[],2,FALSE),"")</f>
        <v>قرعه 18م (43)</v>
      </c>
      <c r="O69" s="51">
        <f>IF(TArticle[[#This Row],[کد طرف حساب]]&gt;0,VLOOKUP(TArticle[[#This Row],[کد طرف حساب]],TContact[],7,FALSE)-SUMIF($M$2:M69,M69,$E$2:$E69),"")</f>
        <v>13650</v>
      </c>
      <c r="P69" s="27" t="str">
        <f>RIGHT(TArticle[[#This Row],[تاریخ]],2)</f>
        <v>11</v>
      </c>
      <c r="Q69" s="27">
        <f>VLOOKUP(TArticle[[#This Row],[تاریخ]],TDays[],16,FALSE)</f>
        <v>11</v>
      </c>
      <c r="R69" s="27" t="str">
        <f>RIGHT(LEFT(TArticle[[#This Row],[تاریخ]],7),2)</f>
        <v>03</v>
      </c>
      <c r="S69" s="27" t="str">
        <f>LEFT(TArticle[[#This Row],[تاریخ]],4)</f>
        <v>1401</v>
      </c>
      <c r="U69" s="21">
        <f>VLOOKUP(TArticle[[#This Row],[شناسه]],TAccount[],7,TRUE)</f>
        <v>4200</v>
      </c>
      <c r="V69" s="21" t="s">
        <v>60</v>
      </c>
      <c r="W69" s="21">
        <f>IF(AND(TArticle[[#This Row],[مبلغ]]&gt;0, TArticle[[#This Row],[کد وضعیت سند]]=1),TArticle[[#This Row],[مبلغ]],0)</f>
        <v>0</v>
      </c>
      <c r="X69" s="21">
        <f>IF(AND(TArticle[[#This Row],[مبلغ]]&lt;0,TArticle[[#This Row],[کد وضعیت سند]]=1),0-TArticle[[#This Row],[مبلغ]],0)</f>
        <v>350</v>
      </c>
      <c r="Y69" s="27">
        <v>2</v>
      </c>
      <c r="Z69" t="str">
        <f>IF(TArticle[[#This Row],[کد بانک]]&gt;0,VLOOKUP(TArticle[[#This Row],[کد بانک]],TBank[],2,FALSE),"")</f>
        <v>ملی جاری</v>
      </c>
      <c r="AA69">
        <f>IF(AND(TArticle[[#This Row],[مبلغ]]&lt;0,TArticle[[#This Row],[کد وضعیت سند]]=1),0-TArticle[[#This Row],[مبلغ]],0)</f>
        <v>350</v>
      </c>
      <c r="AB69">
        <f>IF(AND(TArticle[[#This Row],[مبلغ]]&gt;0, TArticle[[#This Row],[کد وضعیت سند]]=1),TArticle[[#This Row],[مبلغ]],0)</f>
        <v>0</v>
      </c>
      <c r="AC69" s="84">
        <f>IF(TArticle[[#This Row],[کد بانک]]&gt;0,VLOOKUP(TArticle[[#This Row],[کد بانک]],TBank[],9,FALSE)+SUMIF($Y$2:Y69,Y69,$E$2:$E69),"")</f>
        <v>5043</v>
      </c>
      <c r="AD69" s="1">
        <f>IFERROR(IF(INT(LEFT(TArticle[[#This Row],[شناسه]]))=3,IF(TArticle[[#This Row],[کد وضعیت سند]]=1,TArticle[مبلغ],0),0),0)</f>
        <v>0</v>
      </c>
      <c r="AE69" s="1">
        <f>IFERROR(IF(((TArticle[[#This Row],[شناسه]]))="4.1.1",IF(TArticle[[#This Row],[کد وضعیت سند]]=1,TArticle[مبلغ],0),0),0)</f>
        <v>0</v>
      </c>
      <c r="AF69" s="1">
        <f>IFERROR(IF(((TArticle[[#This Row],[شناسه]]))="4.1.2",IF(TArticle[[#This Row],[کد وضعیت سند]]=1,TArticle[مبلغ],0),0),0)</f>
        <v>0</v>
      </c>
      <c r="AG69" s="1">
        <f>IFERROR(IF(INT(LEFT(TArticle[[#This Row],[شناسه]]))=1,IF(TArticle[[#This Row],[کد وضعیت سند]]=1,TArticle[مبلغ],0),0),0)</f>
        <v>0</v>
      </c>
      <c r="AH69" s="1">
        <f>IFERROR(IF(INT(LEFT(TArticle[[#This Row],[شناسه]]))=2,IF(TArticle[[#This Row],[کد وضعیت سند]]=1,TArticle[مبلغ],0),0),0)</f>
        <v>-350</v>
      </c>
      <c r="AI69" s="1">
        <f>IFERROR(IF((LEFT(TArticle[[#This Row],[شناسه]],3))="5.2",IF(TArticle[[#This Row],[کد وضعیت سند]]=1,TArticle[مبلغ],0),0),0)</f>
        <v>0</v>
      </c>
      <c r="AJ69" s="1">
        <f>IF(TArticle[[#This Row],[کد وضعیت سند]]=1,1,0)</f>
        <v>1</v>
      </c>
      <c r="AK69" s="1">
        <f>IF(AND(TArticle[[#This Row],[کد وضعیت سند]]&lt;&gt;1,TArticle[[#This Row],[مبلغ]]&lt;&gt;0),1,0)</f>
        <v>0</v>
      </c>
      <c r="AL69" s="51">
        <f>IF(TArticle[[#This Row],[کد بانک]]&gt;0,TArticle[[#This Row],[مانده بانک]]-VLOOKUP(TArticle[[#This Row],[کد بانک]],TBank[],7,FALSE),"")</f>
        <v>5043</v>
      </c>
      <c r="AM69" s="58" t="str">
        <f>LEFT(TArticle[[#This Row],[تاریخ]],7)</f>
        <v>1401-03</v>
      </c>
    </row>
    <row r="70" spans="1:39" hidden="1" x14ac:dyDescent="0.25">
      <c r="A70" s="24" t="s">
        <v>55</v>
      </c>
      <c r="B70" s="49" t="str">
        <f>VLOOKUP(TArticle[[#This Row],[شناسه]],TAccount[],2,TRUE)</f>
        <v>هزینه کلی</v>
      </c>
      <c r="C70" s="49" t="str">
        <f>VLOOKUP(TArticle[[#This Row],[تاریخ]],TDays[],7,FALSE)</f>
        <v>چهارشنبه</v>
      </c>
      <c r="D70" s="21" t="s">
        <v>275</v>
      </c>
      <c r="E70" s="1">
        <f>2773-5043</f>
        <v>-2270</v>
      </c>
      <c r="F70" s="1">
        <f>TArticle[[#This Row],[مبلغ]]+IFERROR(INT(F69),30181+3667+958)</f>
        <v>17236</v>
      </c>
      <c r="K70" s="21">
        <v>1</v>
      </c>
      <c r="L70" t="str">
        <f>IF(TArticle[[#This Row],[کد وضعیت سند]]&gt;0,VLOOKUP(TArticle[[#This Row],[کد وضعیت سند]],TDocState[],2,FALSE),"")</f>
        <v>انجام شد</v>
      </c>
      <c r="N70" t="str">
        <f>IF(TArticle[[#This Row],[کد طرف حساب]]&gt;0,VLOOKUP(TArticle[[#This Row],[کد طرف حساب]],TContact[],2,FALSE),"")</f>
        <v/>
      </c>
      <c r="O70" s="61" t="str">
        <f>IF(TArticle[[#This Row],[کد طرف حساب]]&gt;0,VLOOKUP(TArticle[[#This Row],[کد طرف حساب]],TContact[],7,FALSE)-SUMIF($M$2:M70,M70,$E$2:$E70),"")</f>
        <v/>
      </c>
      <c r="P70" s="27" t="str">
        <f>RIGHT(TArticle[[#This Row],[تاریخ]],2)</f>
        <v>11</v>
      </c>
      <c r="Q70" s="27">
        <f>VLOOKUP(TArticle[[#This Row],[تاریخ]],TDays[],16,FALSE)</f>
        <v>11</v>
      </c>
      <c r="R70" s="27" t="str">
        <f>RIGHT(LEFT(TArticle[[#This Row],[تاریخ]],7),2)</f>
        <v>03</v>
      </c>
      <c r="S70" s="27" t="str">
        <f>LEFT(TArticle[[#This Row],[تاریخ]],4)</f>
        <v>1401</v>
      </c>
      <c r="U70" s="21">
        <f>VLOOKUP(TArticle[[#This Row],[شناسه]],TAccount[],7,TRUE)</f>
        <v>364074</v>
      </c>
      <c r="W70" s="21">
        <f>IF(AND(TArticle[[#This Row],[مبلغ]]&gt;0, TArticle[[#This Row],[کد وضعیت سند]]=1),TArticle[[#This Row],[مبلغ]],0)</f>
        <v>0</v>
      </c>
      <c r="X70" s="27">
        <f>IF(AND(TArticle[[#This Row],[مبلغ]]&lt;0,TArticle[[#This Row],[کد وضعیت سند]]=1),0-TArticle[[#This Row],[مبلغ]],0)</f>
        <v>2270</v>
      </c>
      <c r="Y70" s="27">
        <v>2</v>
      </c>
      <c r="Z70" t="str">
        <f>IF(TArticle[[#This Row],[کد بانک]]&gt;0,VLOOKUP(TArticle[[#This Row],[کد بانک]],TBank[],2,FALSE),"")</f>
        <v>ملی جاری</v>
      </c>
      <c r="AA70">
        <f>IF(AND(TArticle[[#This Row],[مبلغ]]&lt;0,TArticle[[#This Row],[کد وضعیت سند]]=1),0-TArticle[[#This Row],[مبلغ]],0)</f>
        <v>2270</v>
      </c>
      <c r="AB70">
        <f>IF(AND(TArticle[[#This Row],[مبلغ]]&gt;0, TArticle[[#This Row],[کد وضعیت سند]]=1),TArticle[[#This Row],[مبلغ]],0)</f>
        <v>0</v>
      </c>
      <c r="AC70" s="84">
        <f>IF(TArticle[[#This Row],[کد بانک]]&gt;0,VLOOKUP(TArticle[[#This Row],[کد بانک]],TBank[],9,FALSE)+SUMIF($Y$2:Y70,Y70,$E$2:$E70),"")</f>
        <v>2773</v>
      </c>
      <c r="AD70" s="1">
        <f>IFERROR(IF(INT(LEFT(TArticle[[#This Row],[شناسه]]))=3,IF(TArticle[[#This Row],[کد وضعیت سند]]=1,TArticle[مبلغ],0),0),0)</f>
        <v>-2270</v>
      </c>
      <c r="AE70" s="1">
        <f>IFERROR(IF(((TArticle[[#This Row],[شناسه]]))="4.1.1",IF(TArticle[[#This Row],[کد وضعیت سند]]=1,TArticle[مبلغ],0),0),0)</f>
        <v>0</v>
      </c>
      <c r="AF70" s="1">
        <f>IFERROR(IF(((TArticle[[#This Row],[شناسه]]))="4.1.2",IF(TArticle[[#This Row],[کد وضعیت سند]]=1,TArticle[مبلغ],0),0),0)</f>
        <v>0</v>
      </c>
      <c r="AG70" s="1">
        <f>IFERROR(IF(INT(LEFT(TArticle[[#This Row],[شناسه]]))=1,IF(TArticle[[#This Row],[کد وضعیت سند]]=1,TArticle[مبلغ],0),0),0)</f>
        <v>0</v>
      </c>
      <c r="AH70" s="1">
        <f>IFERROR(IF(INT(LEFT(TArticle[[#This Row],[شناسه]]))=2,IF(TArticle[[#This Row],[کد وضعیت سند]]=1,TArticle[مبلغ],0),0),0)</f>
        <v>0</v>
      </c>
      <c r="AI70" s="1">
        <f>IFERROR(IF((LEFT(TArticle[[#This Row],[شناسه]],3))="5.2",IF(TArticle[[#This Row],[کد وضعیت سند]]=1,TArticle[مبلغ],0),0),0)</f>
        <v>0</v>
      </c>
      <c r="AJ70" s="1">
        <f>IF(TArticle[[#This Row],[کد وضعیت سند]]=1,1,0)</f>
        <v>1</v>
      </c>
      <c r="AK70" s="1">
        <f>IF(AND(TArticle[[#This Row],[کد وضعیت سند]]&lt;&gt;1,TArticle[[#This Row],[مبلغ]]&lt;&gt;0),1,0)</f>
        <v>0</v>
      </c>
      <c r="AL70" s="51">
        <f>IF(TArticle[[#This Row],[کد بانک]]&gt;0,TArticle[[#This Row],[مانده بانک]]-VLOOKUP(TArticle[[#This Row],[کد بانک]],TBank[],7,FALSE),"")</f>
        <v>2773</v>
      </c>
      <c r="AM70" s="49" t="str">
        <f>LEFT(TArticle[[#This Row],[تاریخ]],7)</f>
        <v>1401-03</v>
      </c>
    </row>
    <row r="71" spans="1:39" hidden="1" x14ac:dyDescent="0.25">
      <c r="A71" s="24" t="s">
        <v>1612</v>
      </c>
      <c r="B71" s="49" t="str">
        <f>VLOOKUP(TArticle[[#This Row],[شناسه]],TAccount[],2,TRUE)</f>
        <v>تجهیز آپارتمان</v>
      </c>
      <c r="C71" s="49" t="str">
        <f>VLOOKUP(TArticle[[#This Row],[تاریخ]],TDays[],7,FALSE)</f>
        <v>پنجشنبه</v>
      </c>
      <c r="D71" s="21" t="s">
        <v>276</v>
      </c>
      <c r="E71" s="1">
        <v>-9000</v>
      </c>
      <c r="F71" s="1">
        <f>TArticle[[#This Row],[مبلغ]]+IFERROR(INT(F70),30181+3667+958)</f>
        <v>8236</v>
      </c>
      <c r="G71" t="s">
        <v>1658</v>
      </c>
      <c r="K71" s="21">
        <v>1</v>
      </c>
      <c r="L71" t="str">
        <f>IF(TArticle[[#This Row],[کد وضعیت سند]]&gt;0,VLOOKUP(TArticle[[#This Row],[کد وضعیت سند]],TDocState[],2,FALSE),"")</f>
        <v>انجام شد</v>
      </c>
      <c r="N71" t="str">
        <f>IF(TArticle[[#This Row],[کد طرف حساب]]&gt;0,VLOOKUP(TArticle[[#This Row],[کد طرف حساب]],TContact[],2,FALSE),"")</f>
        <v/>
      </c>
      <c r="O71" s="61" t="str">
        <f>IF(TArticle[[#This Row],[کد طرف حساب]]&gt;0,VLOOKUP(TArticle[[#This Row],[کد طرف حساب]],TContact[],7,FALSE)-SUMIF($M$2:M71,M71,$E$2:$E71),"")</f>
        <v/>
      </c>
      <c r="P71" s="27" t="str">
        <f>RIGHT(TArticle[[#This Row],[تاریخ]],2)</f>
        <v>12</v>
      </c>
      <c r="Q71" s="27">
        <f>VLOOKUP(TArticle[[#This Row],[تاریخ]],TDays[],16,FALSE)</f>
        <v>11</v>
      </c>
      <c r="R71" s="27" t="str">
        <f>RIGHT(LEFT(TArticle[[#This Row],[تاریخ]],7),2)</f>
        <v>03</v>
      </c>
      <c r="S71" s="27" t="str">
        <f>LEFT(TArticle[[#This Row],[تاریخ]],4)</f>
        <v>1401</v>
      </c>
      <c r="U71" s="21">
        <f>VLOOKUP(TArticle[[#This Row],[شناسه]],TAccount[],7,TRUE)</f>
        <v>97700</v>
      </c>
      <c r="W71" s="21">
        <f>IF(AND(TArticle[[#This Row],[مبلغ]]&gt;0, TArticle[[#This Row],[کد وضعیت سند]]=1),TArticle[[#This Row],[مبلغ]],0)</f>
        <v>0</v>
      </c>
      <c r="X71" s="27">
        <f>IF(AND(TArticle[[#This Row],[مبلغ]]&lt;0,TArticle[[#This Row],[کد وضعیت سند]]=1),0-TArticle[[#This Row],[مبلغ]],0)</f>
        <v>9000</v>
      </c>
      <c r="Y71" s="27">
        <v>4</v>
      </c>
      <c r="Z71" t="str">
        <f>IF(TArticle[[#This Row],[کد بانک]]&gt;0,VLOOKUP(TArticle[[#This Row],[کد بانک]],TBank[],2,FALSE),"")</f>
        <v>سپه</v>
      </c>
      <c r="AA71">
        <f>IF(AND(TArticle[[#This Row],[مبلغ]]&lt;0,TArticle[[#This Row],[کد وضعیت سند]]=1),0-TArticle[[#This Row],[مبلغ]],0)</f>
        <v>9000</v>
      </c>
      <c r="AB71">
        <f>IF(AND(TArticle[[#This Row],[مبلغ]]&gt;0, TArticle[[#This Row],[کد وضعیت سند]]=1),TArticle[[#This Row],[مبلغ]],0)</f>
        <v>0</v>
      </c>
      <c r="AC71" s="84">
        <f>IF(TArticle[[#This Row],[کد بانک]]&gt;0,VLOOKUP(TArticle[[#This Row],[کد بانک]],TBank[],9,FALSE)+SUMIF($Y$2:Y71,Y71,$E$2:$E71),"")</f>
        <v>2</v>
      </c>
      <c r="AD71" s="1">
        <f>IFERROR(IF(INT(LEFT(TArticle[[#This Row],[شناسه]]))=3,IF(TArticle[[#This Row],[کد وضعیت سند]]=1,TArticle[مبلغ],0),0),0)</f>
        <v>-9000</v>
      </c>
      <c r="AE71" s="1">
        <f>IFERROR(IF(((TArticle[[#This Row],[شناسه]]))="4.1.1",IF(TArticle[[#This Row],[کد وضعیت سند]]=1,TArticle[مبلغ],0),0),0)</f>
        <v>0</v>
      </c>
      <c r="AF71" s="1">
        <f>IFERROR(IF(((TArticle[[#This Row],[شناسه]]))="4.1.2",IF(TArticle[[#This Row],[کد وضعیت سند]]=1,TArticle[مبلغ],0),0),0)</f>
        <v>0</v>
      </c>
      <c r="AG71" s="1">
        <f>IFERROR(IF(INT(LEFT(TArticle[[#This Row],[شناسه]]))=1,IF(TArticle[[#This Row],[کد وضعیت سند]]=1,TArticle[مبلغ],0),0),0)</f>
        <v>0</v>
      </c>
      <c r="AH71" s="1">
        <f>IFERROR(IF(INT(LEFT(TArticle[[#This Row],[شناسه]]))=2,IF(TArticle[[#This Row],[کد وضعیت سند]]=1,TArticle[مبلغ],0),0),0)</f>
        <v>0</v>
      </c>
      <c r="AI71" s="1">
        <f>IFERROR(IF((LEFT(TArticle[[#This Row],[شناسه]],3))="5.2",IF(TArticle[[#This Row],[کد وضعیت سند]]=1,TArticle[مبلغ],0),0),0)</f>
        <v>0</v>
      </c>
      <c r="AJ71" s="1">
        <f>IF(TArticle[[#This Row],[کد وضعیت سند]]=1,1,0)</f>
        <v>1</v>
      </c>
      <c r="AK71" s="1">
        <f>IF(AND(TArticle[[#This Row],[کد وضعیت سند]]&lt;&gt;1,TArticle[[#This Row],[مبلغ]]&lt;&gt;0),1,0)</f>
        <v>0</v>
      </c>
      <c r="AL71" s="51">
        <f>IF(TArticle[[#This Row],[کد بانک]]&gt;0,TArticle[[#This Row],[مانده بانک]]-VLOOKUP(TArticle[[#This Row],[کد بانک]],TBank[],7,FALSE),"")</f>
        <v>0</v>
      </c>
      <c r="AM71" s="49" t="str">
        <f>LEFT(TArticle[[#This Row],[تاریخ]],7)</f>
        <v>1401-03</v>
      </c>
    </row>
    <row r="72" spans="1:39" hidden="1" x14ac:dyDescent="0.25">
      <c r="A72" s="24" t="s">
        <v>1209</v>
      </c>
      <c r="B72" s="49" t="str">
        <f>VLOOKUP(TArticle[[#This Row],[شناسه]],TAccount[],2,TRUE)</f>
        <v>حقوق پاداش</v>
      </c>
      <c r="C72" s="49" t="str">
        <f>VLOOKUP(TArticle[[#This Row],[تاریخ]],TDays[],7,FALSE)</f>
        <v>دوشنبه</v>
      </c>
      <c r="D72" s="21" t="s">
        <v>279</v>
      </c>
      <c r="E72" s="1">
        <v>10390</v>
      </c>
      <c r="F72" s="1">
        <f>TArticle[[#This Row],[مبلغ]]+IFERROR(INT(F71),30181+3667+958)</f>
        <v>18626</v>
      </c>
      <c r="K72" s="21">
        <v>1</v>
      </c>
      <c r="L72" t="str">
        <f>IF(TArticle[[#This Row],[کد وضعیت سند]]&gt;0,VLOOKUP(TArticle[[#This Row],[کد وضعیت سند]],TDocState[],2,FALSE),"")</f>
        <v>انجام شد</v>
      </c>
      <c r="N72" t="str">
        <f>IF(TArticle[[#This Row],[کد طرف حساب]]&gt;0,VLOOKUP(TArticle[[#This Row],[کد طرف حساب]],TContact[],2,FALSE),"")</f>
        <v/>
      </c>
      <c r="O72" s="61" t="str">
        <f>IF(TArticle[[#This Row],[کد طرف حساب]]&gt;0,VLOOKUP(TArticle[[#This Row],[کد طرف حساب]],TContact[],7,FALSE)-SUMIF($M$2:M72,M72,$E$2:$E72),"")</f>
        <v/>
      </c>
      <c r="P72" s="27" t="str">
        <f>RIGHT(TArticle[[#This Row],[تاریخ]],2)</f>
        <v>16</v>
      </c>
      <c r="Q72" s="27">
        <f>VLOOKUP(TArticle[[#This Row],[تاریخ]],TDays[],16,FALSE)</f>
        <v>12</v>
      </c>
      <c r="R72" s="27" t="str">
        <f>RIGHT(LEFT(TArticle[[#This Row],[تاریخ]],7),2)</f>
        <v>03</v>
      </c>
      <c r="S72" s="27" t="str">
        <f>LEFT(TArticle[[#This Row],[تاریخ]],4)</f>
        <v>1401</v>
      </c>
      <c r="U72" s="21">
        <f>VLOOKUP(TArticle[[#This Row],[شناسه]],TAccount[],7,TRUE)</f>
        <v>35873</v>
      </c>
      <c r="W72" s="21">
        <f>IF(AND(TArticle[[#This Row],[مبلغ]]&gt;0, TArticle[[#This Row],[کد وضعیت سند]]=1),TArticle[[#This Row],[مبلغ]],0)</f>
        <v>10390</v>
      </c>
      <c r="X72" s="27">
        <f>IF(AND(TArticle[[#This Row],[مبلغ]]&lt;0,TArticle[[#This Row],[کد وضعیت سند]]=1),0-TArticle[[#This Row],[مبلغ]],0)</f>
        <v>0</v>
      </c>
      <c r="Y72" s="27">
        <v>2</v>
      </c>
      <c r="Z72" t="str">
        <f>IF(TArticle[[#This Row],[کد بانک]]&gt;0,VLOOKUP(TArticle[[#This Row],[کد بانک]],TBank[],2,FALSE),"")</f>
        <v>ملی جاری</v>
      </c>
      <c r="AA72">
        <f>IF(AND(TArticle[[#This Row],[مبلغ]]&lt;0,TArticle[[#This Row],[کد وضعیت سند]]=1),0-TArticle[[#This Row],[مبلغ]],0)</f>
        <v>0</v>
      </c>
      <c r="AB72">
        <f>IF(AND(TArticle[[#This Row],[مبلغ]]&gt;0, TArticle[[#This Row],[کد وضعیت سند]]=1),TArticle[[#This Row],[مبلغ]],0)</f>
        <v>10390</v>
      </c>
      <c r="AC72" s="84">
        <f>IF(TArticle[[#This Row],[کد بانک]]&gt;0,VLOOKUP(TArticle[[#This Row],[کد بانک]],TBank[],9,FALSE)+SUMIF($Y$2:Y72,Y72,$E$2:$E72),"")</f>
        <v>13163</v>
      </c>
      <c r="AD72" s="1">
        <f>IFERROR(IF(INT(LEFT(TArticle[[#This Row],[شناسه]]))=3,IF(TArticle[[#This Row],[کد وضعیت سند]]=1,TArticle[مبلغ],0),0),0)</f>
        <v>0</v>
      </c>
      <c r="AE72" s="1">
        <f>IFERROR(IF(((TArticle[[#This Row],[شناسه]]))="4.1.1",IF(TArticle[[#This Row],[کد وضعیت سند]]=1,TArticle[مبلغ],0),0),0)</f>
        <v>0</v>
      </c>
      <c r="AF72" s="1">
        <f>IFERROR(IF(((TArticle[[#This Row],[شناسه]]))="4.1.2",IF(TArticle[[#This Row],[کد وضعیت سند]]=1,TArticle[مبلغ],0),0),0)</f>
        <v>0</v>
      </c>
      <c r="AG72" s="1">
        <f>IFERROR(IF(INT(LEFT(TArticle[[#This Row],[شناسه]]))=1,IF(TArticle[[#This Row],[کد وضعیت سند]]=1,TArticle[مبلغ],0),0),0)</f>
        <v>0</v>
      </c>
      <c r="AH72" s="1">
        <f>IFERROR(IF(INT(LEFT(TArticle[[#This Row],[شناسه]]))=2,IF(TArticle[[#This Row],[کد وضعیت سند]]=1,TArticle[مبلغ],0),0),0)</f>
        <v>0</v>
      </c>
      <c r="AI72" s="1">
        <f>IFERROR(IF((LEFT(TArticle[[#This Row],[شناسه]],3))="5.2",IF(TArticle[[#This Row],[کد وضعیت سند]]=1,TArticle[مبلغ],0),0),0)</f>
        <v>0</v>
      </c>
      <c r="AJ72" s="1">
        <f>IF(TArticle[[#This Row],[کد وضعیت سند]]=1,1,0)</f>
        <v>1</v>
      </c>
      <c r="AK72" s="1">
        <f>IF(AND(TArticle[[#This Row],[کد وضعیت سند]]&lt;&gt;1,TArticle[[#This Row],[مبلغ]]&lt;&gt;0),1,0)</f>
        <v>0</v>
      </c>
      <c r="AL72" s="51">
        <f>IF(TArticle[[#This Row],[کد بانک]]&gt;0,TArticle[[#This Row],[مانده بانک]]-VLOOKUP(TArticle[[#This Row],[کد بانک]],TBank[],7,FALSE),"")</f>
        <v>13163</v>
      </c>
      <c r="AM72" s="49" t="str">
        <f>LEFT(TArticle[[#This Row],[تاریخ]],7)</f>
        <v>1401-03</v>
      </c>
    </row>
    <row r="73" spans="1:39" hidden="1" x14ac:dyDescent="0.25">
      <c r="A73" s="24" t="s">
        <v>1110</v>
      </c>
      <c r="B73" s="49" t="str">
        <f>VLOOKUP(TArticle[[#This Row],[شناسه]],TAccount[],2,TRUE)</f>
        <v>قسط وام بانکی</v>
      </c>
      <c r="C73" s="49" t="str">
        <f>VLOOKUP(TArticle[[#This Row],[تاریخ]],TDays[],7,FALSE)</f>
        <v>سه شنبه</v>
      </c>
      <c r="D73" s="21" t="s">
        <v>280</v>
      </c>
      <c r="E73" s="1">
        <v>-104</v>
      </c>
      <c r="F73" s="1">
        <f>TArticle[[#This Row],[مبلغ]]+IFERROR(INT(F72),30181+3667+958)</f>
        <v>18522</v>
      </c>
      <c r="H73" s="21">
        <v>14</v>
      </c>
      <c r="J73" s="51"/>
      <c r="K73" s="49">
        <v>1</v>
      </c>
      <c r="L73" t="str">
        <f>IF(TArticle[[#This Row],[کد وضعیت سند]]&gt;0,VLOOKUP(TArticle[[#This Row],[کد وضعیت سند]],TDocState[],2,FALSE),"")</f>
        <v>انجام شد</v>
      </c>
      <c r="M73" s="27">
        <v>107</v>
      </c>
      <c r="N73" t="str">
        <f>IF(TArticle[[#This Row],[کد طرف حساب]]&gt;0,VLOOKUP(TArticle[[#This Row],[کد طرف حساب]],TContact[],2,FALSE),"")</f>
        <v>وام مهرایران ف</v>
      </c>
      <c r="O73" s="60">
        <f>IF(TArticle[[#This Row],[کد طرف حساب]]&gt;0,VLOOKUP(TArticle[[#This Row],[کد طرف حساب]],TContact[],7,FALSE)-SUMIF($M$2:M73,M73,$E$2:$E73),"")</f>
        <v>-416</v>
      </c>
      <c r="P73" s="27" t="str">
        <f>RIGHT(TArticle[[#This Row],[تاریخ]],2)</f>
        <v>17</v>
      </c>
      <c r="Q73" s="27">
        <f>VLOOKUP(TArticle[[#This Row],[تاریخ]],TDays[],16,FALSE)</f>
        <v>12</v>
      </c>
      <c r="R73" s="27" t="str">
        <f>RIGHT(LEFT(TArticle[[#This Row],[تاریخ]],7),2)</f>
        <v>03</v>
      </c>
      <c r="S73" s="27" t="str">
        <f>LEFT(TArticle[[#This Row],[تاریخ]],4)</f>
        <v>1401</v>
      </c>
      <c r="U73" s="21">
        <f>VLOOKUP(TArticle[[#This Row],[شناسه]],TAccount[],7,TRUE)</f>
        <v>81652</v>
      </c>
      <c r="V73" s="21" t="s">
        <v>280</v>
      </c>
      <c r="W73" s="21">
        <f>IF(AND(TArticle[[#This Row],[مبلغ]]&gt;0, TArticle[[#This Row],[کد وضعیت سند]]=1),TArticle[[#This Row],[مبلغ]],0)</f>
        <v>0</v>
      </c>
      <c r="X73" s="27">
        <f>IF(AND(TArticle[[#This Row],[مبلغ]]&lt;0,TArticle[[#This Row],[کد وضعیت سند]]=1),0-TArticle[[#This Row],[مبلغ]],0)</f>
        <v>104</v>
      </c>
      <c r="Y73" s="27">
        <v>2</v>
      </c>
      <c r="Z73" t="str">
        <f>IF(TArticle[[#This Row],[کد بانک]]&gt;0,VLOOKUP(TArticle[[#This Row],[کد بانک]],TBank[],2,FALSE),"")</f>
        <v>ملی جاری</v>
      </c>
      <c r="AA73">
        <f>IF(AND(TArticle[[#This Row],[مبلغ]]&lt;0,TArticle[[#This Row],[کد وضعیت سند]]=1),0-TArticle[[#This Row],[مبلغ]],0)</f>
        <v>104</v>
      </c>
      <c r="AB73">
        <f>IF(AND(TArticle[[#This Row],[مبلغ]]&gt;0, TArticle[[#This Row],[کد وضعیت سند]]=1),TArticle[[#This Row],[مبلغ]],0)</f>
        <v>0</v>
      </c>
      <c r="AC73" s="92">
        <f>IF(TArticle[[#This Row],[کد بانک]]&gt;0,VLOOKUP(TArticle[[#This Row],[کد بانک]],TBank[],9,FALSE)+SUMIF($Y$2:Y73,Y73,$E$2:$E73),"")</f>
        <v>13059</v>
      </c>
      <c r="AD73" s="1">
        <f>IFERROR(IF(INT(LEFT(TArticle[[#This Row],[شناسه]]))=3,IF(TArticle[[#This Row],[کد وضعیت سند]]=1,TArticle[مبلغ],0),0),0)</f>
        <v>0</v>
      </c>
      <c r="AE73" s="1">
        <f>IFERROR(IF(((TArticle[[#This Row],[شناسه]]))="4.1.1",IF(TArticle[[#This Row],[کد وضعیت سند]]=1,TArticle[مبلغ],0),0),0)</f>
        <v>0</v>
      </c>
      <c r="AF73" s="1">
        <f>IFERROR(IF(((TArticle[[#This Row],[شناسه]]))="4.1.2",IF(TArticle[[#This Row],[کد وضعیت سند]]=1,TArticle[مبلغ],0),0),0)</f>
        <v>0</v>
      </c>
      <c r="AG73" s="1">
        <f>IFERROR(IF(INT(LEFT(TArticle[[#This Row],[شناسه]]))=1,IF(TArticle[[#This Row],[کد وضعیت سند]]=1,TArticle[مبلغ],0),0),0)</f>
        <v>-104</v>
      </c>
      <c r="AH73" s="1">
        <f>IFERROR(IF(INT(LEFT(TArticle[[#This Row],[شناسه]]))=2,IF(TArticle[[#This Row],[کد وضعیت سند]]=1,TArticle[مبلغ],0),0),0)</f>
        <v>0</v>
      </c>
      <c r="AI73" s="1">
        <f>IFERROR(IF((LEFT(TArticle[[#This Row],[شناسه]],3))="5.2",IF(TArticle[[#This Row],[کد وضعیت سند]]=1,TArticle[مبلغ],0),0),0)</f>
        <v>0</v>
      </c>
      <c r="AJ73" s="1">
        <f>IF(TArticle[[#This Row],[کد وضعیت سند]]=1,1,0)</f>
        <v>1</v>
      </c>
      <c r="AK73" s="1">
        <f>IF(AND(TArticle[[#This Row],[کد وضعیت سند]]&lt;&gt;1,TArticle[[#This Row],[مبلغ]]&lt;&gt;0),1,0)</f>
        <v>0</v>
      </c>
      <c r="AL73" s="51">
        <f>IF(TArticle[[#This Row],[کد بانک]]&gt;0,TArticle[[#This Row],[مانده بانک]]-VLOOKUP(TArticle[[#This Row],[کد بانک]],TBank[],7,FALSE),"")</f>
        <v>13059</v>
      </c>
      <c r="AM73" s="58" t="str">
        <f>LEFT(TArticle[[#This Row],[تاریخ]],7)</f>
        <v>1401-03</v>
      </c>
    </row>
    <row r="74" spans="1:39" hidden="1" x14ac:dyDescent="0.25">
      <c r="A74" s="24" t="s">
        <v>1110</v>
      </c>
      <c r="B74" s="49" t="str">
        <f>VLOOKUP(TArticle[[#This Row],[شناسه]],TAccount[],2,TRUE)</f>
        <v>قسط وام بانکی</v>
      </c>
      <c r="C74" s="49" t="str">
        <f>VLOOKUP(TArticle[[#This Row],[تاریخ]],TDays[],7,FALSE)</f>
        <v>چهارشنبه</v>
      </c>
      <c r="D74" s="21" t="s">
        <v>281</v>
      </c>
      <c r="E74" s="1">
        <v>-1000</v>
      </c>
      <c r="F74" s="1">
        <f>TArticle[[#This Row],[مبلغ]]+IFERROR(INT(F73),30181+3667+958)</f>
        <v>17522</v>
      </c>
      <c r="G74" t="s">
        <v>1184</v>
      </c>
      <c r="H74" s="64">
        <v>12</v>
      </c>
      <c r="J74" s="65"/>
      <c r="K74" s="64">
        <v>1</v>
      </c>
      <c r="L74" s="66" t="str">
        <f>IF(TArticle[[#This Row],[کد وضعیت سند]]&gt;0,VLOOKUP(TArticle[[#This Row],[کد وضعیت سند]],TDocState[],2,FALSE),"")</f>
        <v>انجام شد</v>
      </c>
      <c r="M74" s="27">
        <v>109</v>
      </c>
      <c r="N74" t="str">
        <f>IF(TArticle[[#This Row],[کد طرف حساب]]&gt;0,VLOOKUP(TArticle[[#This Row],[کد طرف حساب]],TContact[],2,FALSE),"")</f>
        <v>وام درودگران ف</v>
      </c>
      <c r="O74" s="68">
        <f>IF(TArticle[[#This Row],[کد طرف حساب]]&gt;0,VLOOKUP(TArticle[[#This Row],[کد طرف حساب]],TContact[],7,FALSE)-SUMIF($M$2:M74,M74,$E$2:$E74),"")</f>
        <v>-3015</v>
      </c>
      <c r="P74" s="67" t="str">
        <f>RIGHT(TArticle[[#This Row],[تاریخ]],2)</f>
        <v>18</v>
      </c>
      <c r="Q74" s="67">
        <f>VLOOKUP(TArticle[[#This Row],[تاریخ]],TDays[],16,FALSE)</f>
        <v>12</v>
      </c>
      <c r="R74" s="67" t="str">
        <f>RIGHT(LEFT(TArticle[[#This Row],[تاریخ]],7),2)</f>
        <v>03</v>
      </c>
      <c r="S74" s="67" t="str">
        <f>LEFT(TArticle[[#This Row],[تاریخ]],4)</f>
        <v>1401</v>
      </c>
      <c r="T74" s="64"/>
      <c r="U74" s="64">
        <f>VLOOKUP(TArticle[[#This Row],[شناسه]],TAccount[],7,TRUE)</f>
        <v>81652</v>
      </c>
      <c r="V74" s="64"/>
      <c r="W74" s="64">
        <f>IF(AND(TArticle[[#This Row],[مبلغ]]&gt;0, TArticle[[#This Row],[کد وضعیت سند]]=1),TArticle[[#This Row],[مبلغ]],0)</f>
        <v>0</v>
      </c>
      <c r="X74" s="67">
        <f>IF(AND(TArticle[[#This Row],[مبلغ]]&lt;0,TArticle[[#This Row],[کد وضعیت سند]]=1),0-TArticle[[#This Row],[مبلغ]],0)</f>
        <v>1000</v>
      </c>
      <c r="Y74" s="67">
        <v>2</v>
      </c>
      <c r="Z74" t="str">
        <f>IF(TArticle[[#This Row],[کد بانک]]&gt;0,VLOOKUP(TArticle[[#This Row],[کد بانک]],TBank[],2,FALSE),"")</f>
        <v>ملی جاری</v>
      </c>
      <c r="AA74">
        <f>IF(AND(TArticle[[#This Row],[مبلغ]]&lt;0,TArticle[[#This Row],[کد وضعیت سند]]=1),0-TArticle[[#This Row],[مبلغ]],0)</f>
        <v>1000</v>
      </c>
      <c r="AB74">
        <f>IF(AND(TArticle[[#This Row],[مبلغ]]&gt;0, TArticle[[#This Row],[کد وضعیت سند]]=1),TArticle[[#This Row],[مبلغ]],0)</f>
        <v>0</v>
      </c>
      <c r="AC74" s="93">
        <f>IF(TArticle[[#This Row],[کد بانک]]&gt;0,VLOOKUP(TArticle[[#This Row],[کد بانک]],TBank[],9,FALSE)+SUMIF($Y$2:Y74,Y74,$E$2:$E74),"")</f>
        <v>12059</v>
      </c>
      <c r="AD74" s="1">
        <f>IFERROR(IF(INT(LEFT(TArticle[[#This Row],[شناسه]]))=3,IF(TArticle[[#This Row],[کد وضعیت سند]]=1,TArticle[مبلغ],0),0),0)</f>
        <v>0</v>
      </c>
      <c r="AE74" s="1">
        <f>IFERROR(IF(((TArticle[[#This Row],[شناسه]]))="4.1.1",IF(TArticle[[#This Row],[کد وضعیت سند]]=1,TArticle[مبلغ],0),0),0)</f>
        <v>0</v>
      </c>
      <c r="AF74" s="1">
        <f>IFERROR(IF(((TArticle[[#This Row],[شناسه]]))="4.1.2",IF(TArticle[[#This Row],[کد وضعیت سند]]=1,TArticle[مبلغ],0),0),0)</f>
        <v>0</v>
      </c>
      <c r="AG74" s="1">
        <f>IFERROR(IF(INT(LEFT(TArticle[[#This Row],[شناسه]]))=1,IF(TArticle[[#This Row],[کد وضعیت سند]]=1,TArticle[مبلغ],0),0),0)</f>
        <v>-1000</v>
      </c>
      <c r="AH74" s="1">
        <f>IFERROR(IF(INT(LEFT(TArticle[[#This Row],[شناسه]]))=2,IF(TArticle[[#This Row],[کد وضعیت سند]]=1,TArticle[مبلغ],0),0),0)</f>
        <v>0</v>
      </c>
      <c r="AI74" s="1">
        <f>IFERROR(IF((LEFT(TArticle[[#This Row],[شناسه]],3))="5.2",IF(TArticle[[#This Row],[کد وضعیت سند]]=1,TArticle[مبلغ],0),0),0)</f>
        <v>0</v>
      </c>
      <c r="AJ74" s="1">
        <f>IF(TArticle[[#This Row],[کد وضعیت سند]]=1,1,0)</f>
        <v>1</v>
      </c>
      <c r="AK74" s="1">
        <f>IF(AND(TArticle[[#This Row],[کد وضعیت سند]]&lt;&gt;1,TArticle[[#This Row],[مبلغ]]&lt;&gt;0),1,0)</f>
        <v>0</v>
      </c>
      <c r="AL74" s="78">
        <f>IF(TArticle[[#This Row],[کد بانک]]&gt;0,TArticle[[#This Row],[مانده بانک]]-VLOOKUP(TArticle[[#This Row],[کد بانک]],TBank[],7,FALSE),"")</f>
        <v>12059</v>
      </c>
      <c r="AM74" s="58" t="str">
        <f>LEFT(TArticle[[#This Row],[تاریخ]],7)</f>
        <v>1401-03</v>
      </c>
    </row>
    <row r="75" spans="1:39" hidden="1" x14ac:dyDescent="0.25">
      <c r="A75" s="24" t="s">
        <v>112</v>
      </c>
      <c r="B75" s="49" t="str">
        <f>VLOOKUP(TArticle[[#This Row],[شناسه]],TAccount[],2,TRUE)</f>
        <v>رسید دریافت/واریز</v>
      </c>
      <c r="C75" s="49" t="str">
        <f>VLOOKUP(TArticle[[#This Row],[تاریخ]],TDays[],7,FALSE)</f>
        <v>چهارشنبه</v>
      </c>
      <c r="D75" s="21" t="s">
        <v>281</v>
      </c>
      <c r="E75" s="1">
        <v>4625</v>
      </c>
      <c r="F75" s="1">
        <f>TArticle[[#This Row],[مبلغ]]+IFERROR(INT(F74),30181+3667+958)</f>
        <v>22147</v>
      </c>
      <c r="K75" s="21">
        <v>1</v>
      </c>
      <c r="L75" t="str">
        <f>IF(TArticle[[#This Row],[کد وضعیت سند]]&gt;0,VLOOKUP(TArticle[[#This Row],[کد وضعیت سند]],TDocState[],2,FALSE),"")</f>
        <v>انجام شد</v>
      </c>
      <c r="N75" t="str">
        <f>IF(TArticle[[#This Row],[کد طرف حساب]]&gt;0,VLOOKUP(TArticle[[#This Row],[کد طرف حساب]],TContact[],2,FALSE),"")</f>
        <v/>
      </c>
      <c r="O75" s="61" t="str">
        <f>IF(TArticle[[#This Row],[کد طرف حساب]]&gt;0,VLOOKUP(TArticle[[#This Row],[کد طرف حساب]],TContact[],7,FALSE)-SUMIF($M$2:M75,M75,$E$2:$E75),"")</f>
        <v/>
      </c>
      <c r="P75" s="27" t="str">
        <f>RIGHT(TArticle[[#This Row],[تاریخ]],2)</f>
        <v>18</v>
      </c>
      <c r="Q75" s="27">
        <f>VLOOKUP(TArticle[[#This Row],[تاریخ]],TDays[],16,FALSE)</f>
        <v>12</v>
      </c>
      <c r="R75" s="27" t="str">
        <f>RIGHT(LEFT(TArticle[[#This Row],[تاریخ]],7),2)</f>
        <v>03</v>
      </c>
      <c r="S75" s="27" t="str">
        <f>LEFT(TArticle[[#This Row],[تاریخ]],4)</f>
        <v>1401</v>
      </c>
      <c r="U75" s="21">
        <f>VLOOKUP(TArticle[[#This Row],[شناسه]],TAccount[],7,TRUE)</f>
        <v>257767</v>
      </c>
      <c r="W75" s="21">
        <f>IF(AND(TArticle[[#This Row],[مبلغ]]&gt;0, TArticle[[#This Row],[کد وضعیت سند]]=1),TArticle[[#This Row],[مبلغ]],0)</f>
        <v>4625</v>
      </c>
      <c r="X75" s="27">
        <f>IF(AND(TArticle[[#This Row],[مبلغ]]&lt;0,TArticle[[#This Row],[کد وضعیت سند]]=1),0-TArticle[[#This Row],[مبلغ]],0)</f>
        <v>0</v>
      </c>
      <c r="Y75" s="27">
        <v>2</v>
      </c>
      <c r="Z75" t="str">
        <f>IF(TArticle[[#This Row],[کد بانک]]&gt;0,VLOOKUP(TArticle[[#This Row],[کد بانک]],TBank[],2,FALSE),"")</f>
        <v>ملی جاری</v>
      </c>
      <c r="AA75">
        <f>IF(AND(TArticle[[#This Row],[مبلغ]]&lt;0,TArticle[[#This Row],[کد وضعیت سند]]=1),0-TArticle[[#This Row],[مبلغ]],0)</f>
        <v>0</v>
      </c>
      <c r="AB75">
        <f>IF(AND(TArticle[[#This Row],[مبلغ]]&gt;0, TArticle[[#This Row],[کد وضعیت سند]]=1),TArticle[[#This Row],[مبلغ]],0)</f>
        <v>4625</v>
      </c>
      <c r="AC75" s="84">
        <f>IF(TArticle[[#This Row],[کد بانک]]&gt;0,VLOOKUP(TArticle[[#This Row],[کد بانک]],TBank[],9,FALSE)+SUMIF($Y$2:Y75,Y75,$E$2:$E75),"")</f>
        <v>16684</v>
      </c>
      <c r="AD75" s="1">
        <f>IFERROR(IF(INT(LEFT(TArticle[[#This Row],[شناسه]]))=3,IF(TArticle[[#This Row],[کد وضعیت سند]]=1,TArticle[مبلغ],0),0),0)</f>
        <v>0</v>
      </c>
      <c r="AE75" s="1">
        <f>IFERROR(IF(((TArticle[[#This Row],[شناسه]]))="4.1.1",IF(TArticle[[#This Row],[کد وضعیت سند]]=1,TArticle[مبلغ],0),0),0)</f>
        <v>0</v>
      </c>
      <c r="AF75" s="1">
        <f>IFERROR(IF(((TArticle[[#This Row],[شناسه]]))="4.1.2",IF(TArticle[[#This Row],[کد وضعیت سند]]=1,TArticle[مبلغ],0),0),0)</f>
        <v>0</v>
      </c>
      <c r="AG75" s="1">
        <f>IFERROR(IF(INT(LEFT(TArticle[[#This Row],[شناسه]]))=1,IF(TArticle[[#This Row],[کد وضعیت سند]]=1,TArticle[مبلغ],0),0),0)</f>
        <v>0</v>
      </c>
      <c r="AH75" s="1">
        <f>IFERROR(IF(INT(LEFT(TArticle[[#This Row],[شناسه]]))=2,IF(TArticle[[#This Row],[کد وضعیت سند]]=1,TArticle[مبلغ],0),0),0)</f>
        <v>0</v>
      </c>
      <c r="AI75" s="1">
        <f>IFERROR(IF((LEFT(TArticle[[#This Row],[شناسه]],3))="5.2",IF(TArticle[[#This Row],[کد وضعیت سند]]=1,TArticle[مبلغ],0),0),0)</f>
        <v>0</v>
      </c>
      <c r="AJ75" s="1">
        <f>IF(TArticle[[#This Row],[کد وضعیت سند]]=1,1,0)</f>
        <v>1</v>
      </c>
      <c r="AK75" s="1">
        <f>IF(AND(TArticle[[#This Row],[کد وضعیت سند]]&lt;&gt;1,TArticle[[#This Row],[مبلغ]]&lt;&gt;0),1,0)</f>
        <v>0</v>
      </c>
      <c r="AL75" s="51">
        <f>IF(TArticle[[#This Row],[کد بانک]]&gt;0,TArticle[[#This Row],[مانده بانک]]-VLOOKUP(TArticle[[#This Row],[کد بانک]],TBank[],7,FALSE),"")</f>
        <v>16684</v>
      </c>
      <c r="AM75" s="49" t="str">
        <f>LEFT(TArticle[[#This Row],[تاریخ]],7)</f>
        <v>1401-03</v>
      </c>
    </row>
    <row r="76" spans="1:39" hidden="1" x14ac:dyDescent="0.25">
      <c r="A76" s="24" t="s">
        <v>1008</v>
      </c>
      <c r="B76" s="49" t="str">
        <f>VLOOKUP(TArticle[[#This Row],[شناسه]],TAccount[],2,TRUE)</f>
        <v>حواله پرداخت/برداشت</v>
      </c>
      <c r="C76" s="49" t="str">
        <f>VLOOKUP(TArticle[[#This Row],[تاریخ]],TDays[],7,FALSE)</f>
        <v>چهارشنبه</v>
      </c>
      <c r="D76" s="21" t="s">
        <v>281</v>
      </c>
      <c r="E76" s="1">
        <v>-4625</v>
      </c>
      <c r="F76" s="1">
        <f>TArticle[[#This Row],[مبلغ]]+IFERROR(INT(F75),30181+3667+958)</f>
        <v>17522</v>
      </c>
      <c r="K76" s="21">
        <v>1</v>
      </c>
      <c r="L76" t="str">
        <f>IF(TArticle[[#This Row],[کد وضعیت سند]]&gt;0,VLOOKUP(TArticle[[#This Row],[کد وضعیت سند]],TDocState[],2,FALSE),"")</f>
        <v>انجام شد</v>
      </c>
      <c r="N76" t="str">
        <f>IF(TArticle[[#This Row],[کد طرف حساب]]&gt;0,VLOOKUP(TArticle[[#This Row],[کد طرف حساب]],TContact[],2,FALSE),"")</f>
        <v/>
      </c>
      <c r="O76" s="61" t="str">
        <f>IF(TArticle[[#This Row],[کد طرف حساب]]&gt;0,VLOOKUP(TArticle[[#This Row],[کد طرف حساب]],TContact[],7,FALSE)-SUMIF($M$2:M76,M76,$E$2:$E76),"")</f>
        <v/>
      </c>
      <c r="P76" s="27" t="str">
        <f>RIGHT(TArticle[[#This Row],[تاریخ]],2)</f>
        <v>18</v>
      </c>
      <c r="Q76" s="27">
        <f>VLOOKUP(TArticle[[#This Row],[تاریخ]],TDays[],16,FALSE)</f>
        <v>12</v>
      </c>
      <c r="R76" s="27" t="str">
        <f>RIGHT(LEFT(TArticle[[#This Row],[تاریخ]],7),2)</f>
        <v>03</v>
      </c>
      <c r="S76" s="27" t="str">
        <f>LEFT(TArticle[[#This Row],[تاریخ]],4)</f>
        <v>1401</v>
      </c>
      <c r="U76" s="21">
        <f>VLOOKUP(TArticle[[#This Row],[شناسه]],TAccount[],7,TRUE)</f>
        <v>179525</v>
      </c>
      <c r="W76" s="21">
        <f>IF(AND(TArticle[[#This Row],[مبلغ]]&gt;0, TArticle[[#This Row],[کد وضعیت سند]]=1),TArticle[[#This Row],[مبلغ]],0)</f>
        <v>0</v>
      </c>
      <c r="X76" s="27">
        <f>IF(AND(TArticle[[#This Row],[مبلغ]]&lt;0,TArticle[[#This Row],[کد وضعیت سند]]=1),0-TArticle[[#This Row],[مبلغ]],0)</f>
        <v>4625</v>
      </c>
      <c r="Y76" s="27">
        <v>22</v>
      </c>
      <c r="Z76" t="str">
        <f>IF(TArticle[[#This Row],[کد بانک]]&gt;0,VLOOKUP(TArticle[[#This Row],[کد بانک]],TBank[],2,FALSE),"")</f>
        <v>بورس</v>
      </c>
      <c r="AA76">
        <f>IF(AND(TArticle[[#This Row],[مبلغ]]&lt;0,TArticle[[#This Row],[کد وضعیت سند]]=1),0-TArticle[[#This Row],[مبلغ]],0)</f>
        <v>4625</v>
      </c>
      <c r="AB76">
        <f>IF(AND(TArticle[[#This Row],[مبلغ]]&gt;0, TArticle[[#This Row],[کد وضعیت سند]]=1),TArticle[[#This Row],[مبلغ]],0)</f>
        <v>0</v>
      </c>
      <c r="AC76" s="84">
        <f>IF(TArticle[[#This Row],[کد بانک]]&gt;0,VLOOKUP(TArticle[[#This Row],[کد بانک]],TBank[],9,FALSE)+SUMIF($Y$2:Y76,Y76,$E$2:$E76),"")</f>
        <v>0</v>
      </c>
      <c r="AD76" s="1">
        <f>IFERROR(IF(INT(LEFT(TArticle[[#This Row],[شناسه]]))=3,IF(TArticle[[#This Row],[کد وضعیت سند]]=1,TArticle[مبلغ],0),0),0)</f>
        <v>0</v>
      </c>
      <c r="AE76" s="1">
        <f>IFERROR(IF(((TArticle[[#This Row],[شناسه]]))="4.1.1",IF(TArticle[[#This Row],[کد وضعیت سند]]=1,TArticle[مبلغ],0),0),0)</f>
        <v>0</v>
      </c>
      <c r="AF76" s="1">
        <f>IFERROR(IF(((TArticle[[#This Row],[شناسه]]))="4.1.2",IF(TArticle[[#This Row],[کد وضعیت سند]]=1,TArticle[مبلغ],0),0),0)</f>
        <v>0</v>
      </c>
      <c r="AG76" s="1">
        <f>IFERROR(IF(INT(LEFT(TArticle[[#This Row],[شناسه]]))=1,IF(TArticle[[#This Row],[کد وضعیت سند]]=1,TArticle[مبلغ],0),0),0)</f>
        <v>0</v>
      </c>
      <c r="AH76" s="1">
        <f>IFERROR(IF(INT(LEFT(TArticle[[#This Row],[شناسه]]))=2,IF(TArticle[[#This Row],[کد وضعیت سند]]=1,TArticle[مبلغ],0),0),0)</f>
        <v>0</v>
      </c>
      <c r="AI76" s="1">
        <f>IFERROR(IF((LEFT(TArticle[[#This Row],[شناسه]],3))="5.2",IF(TArticle[[#This Row],[کد وضعیت سند]]=1,TArticle[مبلغ],0),0),0)</f>
        <v>0</v>
      </c>
      <c r="AJ76" s="1">
        <f>IF(TArticle[[#This Row],[کد وضعیت سند]]=1,1,0)</f>
        <v>1</v>
      </c>
      <c r="AK76" s="1">
        <f>IF(AND(TArticle[[#This Row],[کد وضعیت سند]]&lt;&gt;1,TArticle[[#This Row],[مبلغ]]&lt;&gt;0),1,0)</f>
        <v>0</v>
      </c>
      <c r="AL76" s="51">
        <f>IF(TArticle[[#This Row],[کد بانک]]&gt;0,TArticle[[#This Row],[مانده بانک]]-VLOOKUP(TArticle[[#This Row],[کد بانک]],TBank[],7,FALSE),"")</f>
        <v>0</v>
      </c>
      <c r="AM76" s="49" t="str">
        <f>LEFT(TArticle[[#This Row],[تاریخ]],7)</f>
        <v>1401-03</v>
      </c>
    </row>
    <row r="77" spans="1:39" hidden="1" x14ac:dyDescent="0.25">
      <c r="A77" s="24" t="s">
        <v>112</v>
      </c>
      <c r="B77" s="49" t="str">
        <f>VLOOKUP(TArticle[[#This Row],[شناسه]],TAccount[],2,TRUE)</f>
        <v>رسید دریافت/واریز</v>
      </c>
      <c r="C77" s="49" t="str">
        <f>VLOOKUP(TArticle[[#This Row],[تاریخ]],TDays[],7,FALSE)</f>
        <v>جمعه</v>
      </c>
      <c r="D77" s="28" t="s">
        <v>283</v>
      </c>
      <c r="E77" s="1">
        <v>6018</v>
      </c>
      <c r="F77" s="1">
        <f>TArticle[[#This Row],[مبلغ]]+IFERROR(INT(F76),30181+3667+958)</f>
        <v>23540</v>
      </c>
      <c r="K77" s="21">
        <v>1</v>
      </c>
      <c r="L77" t="str">
        <f>IF(TArticle[[#This Row],[کد وضعیت سند]]&gt;0,VLOOKUP(TArticle[[#This Row],[کد وضعیت سند]],TDocState[],2,FALSE),"")</f>
        <v>انجام شد</v>
      </c>
      <c r="N77" t="str">
        <f>IF(TArticle[[#This Row],[کد طرف حساب]]&gt;0,VLOOKUP(TArticle[[#This Row],[کد طرف حساب]],TContact[],2,FALSE),"")</f>
        <v/>
      </c>
      <c r="O77" s="61" t="str">
        <f>IF(TArticle[[#This Row],[کد طرف حساب]]&gt;0,VLOOKUP(TArticle[[#This Row],[کد طرف حساب]],TContact[],7,FALSE)-SUMIF($M$2:M77,M77,$E$2:$E77),"")</f>
        <v/>
      </c>
      <c r="P77" s="27" t="str">
        <f>RIGHT(TArticle[[#This Row],[تاریخ]],2)</f>
        <v>20</v>
      </c>
      <c r="Q77" s="27">
        <f>VLOOKUP(TArticle[[#This Row],[تاریخ]],TDays[],16,FALSE)</f>
        <v>12</v>
      </c>
      <c r="R77" s="27" t="str">
        <f>RIGHT(LEFT(TArticle[[#This Row],[تاریخ]],7),2)</f>
        <v>03</v>
      </c>
      <c r="S77" s="27" t="str">
        <f>LEFT(TArticle[[#This Row],[تاریخ]],4)</f>
        <v>1401</v>
      </c>
      <c r="U77" s="21">
        <f>VLOOKUP(TArticle[[#This Row],[شناسه]],TAccount[],7,TRUE)</f>
        <v>257767</v>
      </c>
      <c r="W77" s="21">
        <f>IF(AND(TArticle[[#This Row],[مبلغ]]&gt;0, TArticle[[#This Row],[کد وضعیت سند]]=1),TArticle[[#This Row],[مبلغ]],0)</f>
        <v>6018</v>
      </c>
      <c r="X77" s="27">
        <f>IF(AND(TArticle[[#This Row],[مبلغ]]&lt;0,TArticle[[#This Row],[کد وضعیت سند]]=1),0-TArticle[[#This Row],[مبلغ]],0)</f>
        <v>0</v>
      </c>
      <c r="Y77" s="27">
        <v>16</v>
      </c>
      <c r="Z77" t="str">
        <f>IF(TArticle[[#This Row],[کد بانک]]&gt;0,VLOOKUP(TArticle[[#This Row],[کد بانک]],TBank[],2,FALSE),"")</f>
        <v>مهرایران</v>
      </c>
      <c r="AA77">
        <f>IF(AND(TArticle[[#This Row],[مبلغ]]&lt;0,TArticle[[#This Row],[کد وضعیت سند]]=1),0-TArticle[[#This Row],[مبلغ]],0)</f>
        <v>0</v>
      </c>
      <c r="AB77">
        <f>IF(AND(TArticle[[#This Row],[مبلغ]]&gt;0, TArticle[[#This Row],[کد وضعیت سند]]=1),TArticle[[#This Row],[مبلغ]],0)</f>
        <v>6018</v>
      </c>
      <c r="AC77" s="84">
        <f>IF(TArticle[[#This Row],[کد بانک]]&gt;0,VLOOKUP(TArticle[[#This Row],[کد بانک]],TBank[],9,FALSE)+SUMIF($Y$2:Y77,Y77,$E$2:$E77),"")</f>
        <v>6379</v>
      </c>
      <c r="AD77" s="1">
        <f>IFERROR(IF(INT(LEFT(TArticle[[#This Row],[شناسه]]))=3,IF(TArticle[[#This Row],[کد وضعیت سند]]=1,TArticle[مبلغ],0),0),0)</f>
        <v>0</v>
      </c>
      <c r="AE77" s="1">
        <f>IFERROR(IF(((TArticle[[#This Row],[شناسه]]))="4.1.1",IF(TArticle[[#This Row],[کد وضعیت سند]]=1,TArticle[مبلغ],0),0),0)</f>
        <v>0</v>
      </c>
      <c r="AF77" s="1">
        <f>IFERROR(IF(((TArticle[[#This Row],[شناسه]]))="4.1.2",IF(TArticle[[#This Row],[کد وضعیت سند]]=1,TArticle[مبلغ],0),0),0)</f>
        <v>0</v>
      </c>
      <c r="AG77" s="1">
        <f>IFERROR(IF(INT(LEFT(TArticle[[#This Row],[شناسه]]))=1,IF(TArticle[[#This Row],[کد وضعیت سند]]=1,TArticle[مبلغ],0),0),0)</f>
        <v>0</v>
      </c>
      <c r="AH77" s="1">
        <f>IFERROR(IF(INT(LEFT(TArticle[[#This Row],[شناسه]]))=2,IF(TArticle[[#This Row],[کد وضعیت سند]]=1,TArticle[مبلغ],0),0),0)</f>
        <v>0</v>
      </c>
      <c r="AI77" s="1">
        <f>IFERROR(IF((LEFT(TArticle[[#This Row],[شناسه]],3))="5.2",IF(TArticle[[#This Row],[کد وضعیت سند]]=1,TArticle[مبلغ],0),0),0)</f>
        <v>0</v>
      </c>
      <c r="AJ77" s="1">
        <f>IF(TArticle[[#This Row],[کد وضعیت سند]]=1,1,0)</f>
        <v>1</v>
      </c>
      <c r="AK77" s="1">
        <f>IF(AND(TArticle[[#This Row],[کد وضعیت سند]]&lt;&gt;1,TArticle[[#This Row],[مبلغ]]&lt;&gt;0),1,0)</f>
        <v>0</v>
      </c>
      <c r="AL77" s="51">
        <f>IF(TArticle[[#This Row],[کد بانک]]&gt;0,TArticle[[#This Row],[مانده بانک]]-VLOOKUP(TArticle[[#This Row],[کد بانک]],TBank[],7,FALSE),"")</f>
        <v>6349</v>
      </c>
      <c r="AM77" s="49" t="str">
        <f>LEFT(TArticle[[#This Row],[تاریخ]],7)</f>
        <v>1401-03</v>
      </c>
    </row>
    <row r="78" spans="1:39" hidden="1" x14ac:dyDescent="0.25">
      <c r="A78" s="24" t="s">
        <v>1008</v>
      </c>
      <c r="B78" s="49" t="str">
        <f>VLOOKUP(TArticle[[#This Row],[شناسه]],TAccount[],2,TRUE)</f>
        <v>حواله پرداخت/برداشت</v>
      </c>
      <c r="C78" s="49" t="str">
        <f>VLOOKUP(TArticle[[#This Row],[تاریخ]],TDays[],7,FALSE)</f>
        <v>جمعه</v>
      </c>
      <c r="D78" s="28" t="s">
        <v>283</v>
      </c>
      <c r="E78" s="1">
        <f>361-6379</f>
        <v>-6018</v>
      </c>
      <c r="F78" s="1">
        <f>TArticle[[#This Row],[مبلغ]]+IFERROR(INT(F77),30181+3667+958)</f>
        <v>17522</v>
      </c>
      <c r="K78" s="21">
        <v>1</v>
      </c>
      <c r="L78" t="str">
        <f>IF(TArticle[[#This Row],[کد وضعیت سند]]&gt;0,VLOOKUP(TArticle[[#This Row],[کد وضعیت سند]],TDocState[],2,FALSE),"")</f>
        <v>انجام شد</v>
      </c>
      <c r="N78" t="str">
        <f>IF(TArticle[[#This Row],[کد طرف حساب]]&gt;0,VLOOKUP(TArticle[[#This Row],[کد طرف حساب]],TContact[],2,FALSE),"")</f>
        <v/>
      </c>
      <c r="O78" s="61" t="str">
        <f>IF(TArticle[[#This Row],[کد طرف حساب]]&gt;0,VLOOKUP(TArticle[[#This Row],[کد طرف حساب]],TContact[],7,FALSE)-SUMIF($M$2:M78,M78,$E$2:$E78),"")</f>
        <v/>
      </c>
      <c r="P78" s="27" t="str">
        <f>RIGHT(TArticle[[#This Row],[تاریخ]],2)</f>
        <v>20</v>
      </c>
      <c r="Q78" s="27">
        <f>VLOOKUP(TArticle[[#This Row],[تاریخ]],TDays[],16,FALSE)</f>
        <v>12</v>
      </c>
      <c r="R78" s="27" t="str">
        <f>RIGHT(LEFT(TArticle[[#This Row],[تاریخ]],7),2)</f>
        <v>03</v>
      </c>
      <c r="S78" s="27" t="str">
        <f>LEFT(TArticle[[#This Row],[تاریخ]],4)</f>
        <v>1401</v>
      </c>
      <c r="U78" s="21">
        <f>VLOOKUP(TArticle[[#This Row],[شناسه]],TAccount[],7,TRUE)</f>
        <v>179525</v>
      </c>
      <c r="W78" s="21">
        <f>IF(AND(TArticle[[#This Row],[مبلغ]]&gt;0, TArticle[[#This Row],[کد وضعیت سند]]=1),TArticle[[#This Row],[مبلغ]],0)</f>
        <v>0</v>
      </c>
      <c r="X78" s="27">
        <f>IF(AND(TArticle[[#This Row],[مبلغ]]&lt;0,TArticle[[#This Row],[کد وضعیت سند]]=1),0-TArticle[[#This Row],[مبلغ]],0)</f>
        <v>6018</v>
      </c>
      <c r="Y78" s="27">
        <v>2</v>
      </c>
      <c r="Z78" t="str">
        <f>IF(TArticle[[#This Row],[کد بانک]]&gt;0,VLOOKUP(TArticle[[#This Row],[کد بانک]],TBank[],2,FALSE),"")</f>
        <v>ملی جاری</v>
      </c>
      <c r="AA78">
        <f>IF(AND(TArticle[[#This Row],[مبلغ]]&lt;0,TArticle[[#This Row],[کد وضعیت سند]]=1),0-TArticle[[#This Row],[مبلغ]],0)</f>
        <v>6018</v>
      </c>
      <c r="AB78">
        <f>IF(AND(TArticle[[#This Row],[مبلغ]]&gt;0, TArticle[[#This Row],[کد وضعیت سند]]=1),TArticle[[#This Row],[مبلغ]],0)</f>
        <v>0</v>
      </c>
      <c r="AC78" s="84">
        <f>IF(TArticle[[#This Row],[کد بانک]]&gt;0,VLOOKUP(TArticle[[#This Row],[کد بانک]],TBank[],9,FALSE)+SUMIF($Y$2:Y78,Y78,$E$2:$E78),"")</f>
        <v>10666</v>
      </c>
      <c r="AD78" s="1">
        <f>IFERROR(IF(INT(LEFT(TArticle[[#This Row],[شناسه]]))=3,IF(TArticle[[#This Row],[کد وضعیت سند]]=1,TArticle[مبلغ],0),0),0)</f>
        <v>0</v>
      </c>
      <c r="AE78" s="1">
        <f>IFERROR(IF(((TArticle[[#This Row],[شناسه]]))="4.1.1",IF(TArticle[[#This Row],[کد وضعیت سند]]=1,TArticle[مبلغ],0),0),0)</f>
        <v>0</v>
      </c>
      <c r="AF78" s="1">
        <f>IFERROR(IF(((TArticle[[#This Row],[شناسه]]))="4.1.2",IF(TArticle[[#This Row],[کد وضعیت سند]]=1,TArticle[مبلغ],0),0),0)</f>
        <v>0</v>
      </c>
      <c r="AG78" s="1">
        <f>IFERROR(IF(INT(LEFT(TArticle[[#This Row],[شناسه]]))=1,IF(TArticle[[#This Row],[کد وضعیت سند]]=1,TArticle[مبلغ],0),0),0)</f>
        <v>0</v>
      </c>
      <c r="AH78" s="1">
        <f>IFERROR(IF(INT(LEFT(TArticle[[#This Row],[شناسه]]))=2,IF(TArticle[[#This Row],[کد وضعیت سند]]=1,TArticle[مبلغ],0),0),0)</f>
        <v>0</v>
      </c>
      <c r="AI78" s="1">
        <f>IFERROR(IF((LEFT(TArticle[[#This Row],[شناسه]],3))="5.2",IF(TArticle[[#This Row],[کد وضعیت سند]]=1,TArticle[مبلغ],0),0),0)</f>
        <v>0</v>
      </c>
      <c r="AJ78" s="1">
        <f>IF(TArticle[[#This Row],[کد وضعیت سند]]=1,1,0)</f>
        <v>1</v>
      </c>
      <c r="AK78" s="1">
        <f>IF(AND(TArticle[[#This Row],[کد وضعیت سند]]&lt;&gt;1,TArticle[[#This Row],[مبلغ]]&lt;&gt;0),1,0)</f>
        <v>0</v>
      </c>
      <c r="AL78" s="51">
        <f>IF(TArticle[[#This Row],[کد بانک]]&gt;0,TArticle[[#This Row],[مانده بانک]]-VLOOKUP(TArticle[[#This Row],[کد بانک]],TBank[],7,FALSE),"")</f>
        <v>10666</v>
      </c>
      <c r="AM78" s="49" t="str">
        <f>LEFT(TArticle[[#This Row],[تاریخ]],7)</f>
        <v>1401-03</v>
      </c>
    </row>
    <row r="79" spans="1:39" hidden="1" x14ac:dyDescent="0.25">
      <c r="A79" s="24" t="s">
        <v>55</v>
      </c>
      <c r="B79" s="49" t="str">
        <f>VLOOKUP(TArticle[[#This Row],[شناسه]],TAccount[],2,TRUE)</f>
        <v>هزینه کلی</v>
      </c>
      <c r="C79" s="49" t="str">
        <f>VLOOKUP(TArticle[[#This Row],[تاریخ]],TDays[],7,FALSE)</f>
        <v>یکشنبه</v>
      </c>
      <c r="D79" s="28" t="s">
        <v>285</v>
      </c>
      <c r="E79" s="1">
        <v>-3768</v>
      </c>
      <c r="F79" s="1">
        <f>TArticle[[#This Row],[مبلغ]]+IFERROR(INT(F78),30181+3667+958)</f>
        <v>13754</v>
      </c>
      <c r="G79" t="s">
        <v>1659</v>
      </c>
      <c r="H79" s="64"/>
      <c r="J79" s="65"/>
      <c r="K79" s="49">
        <v>1</v>
      </c>
      <c r="L79" s="66" t="str">
        <f>IF(TArticle[[#This Row],[کد وضعیت سند]]&gt;0,VLOOKUP(TArticle[[#This Row],[کد وضعیت سند]],TDocState[],2,FALSE),"")</f>
        <v>انجام شد</v>
      </c>
      <c r="M79" s="67"/>
      <c r="N79" t="str">
        <f>IF(TArticle[[#This Row],[کد طرف حساب]]&gt;0,VLOOKUP(TArticle[[#This Row],[کد طرف حساب]],TContact[],2,FALSE),"")</f>
        <v/>
      </c>
      <c r="O79" s="68" t="str">
        <f>IF(TArticle[[#This Row],[کد طرف حساب]]&gt;0,VLOOKUP(TArticle[[#This Row],[کد طرف حساب]],TContact[],7,FALSE)-SUMIF($M$2:M79,M79,$E$2:$E79),"")</f>
        <v/>
      </c>
      <c r="P79" s="67" t="str">
        <f>RIGHT(TArticle[[#This Row],[تاریخ]],2)</f>
        <v>22</v>
      </c>
      <c r="Q79" s="67">
        <f>VLOOKUP(TArticle[[#This Row],[تاریخ]],TDays[],16,FALSE)</f>
        <v>13</v>
      </c>
      <c r="R79" s="67" t="str">
        <f>RIGHT(LEFT(TArticle[[#This Row],[تاریخ]],7),2)</f>
        <v>03</v>
      </c>
      <c r="S79" s="67" t="str">
        <f>LEFT(TArticle[[#This Row],[تاریخ]],4)</f>
        <v>1401</v>
      </c>
      <c r="T79" s="64"/>
      <c r="U79" s="64">
        <f>VLOOKUP(TArticle[[#This Row],[شناسه]],TAccount[],7,TRUE)</f>
        <v>364074</v>
      </c>
      <c r="V79" s="64" t="s">
        <v>283</v>
      </c>
      <c r="W79" s="64">
        <f>IF(AND(TArticle[[#This Row],[مبلغ]]&gt;0, TArticle[[#This Row],[کد وضعیت سند]]=1),TArticle[[#This Row],[مبلغ]],0)</f>
        <v>0</v>
      </c>
      <c r="X79" s="67">
        <f>IF(AND(TArticle[[#This Row],[مبلغ]]&lt;0,TArticle[[#This Row],[کد وضعیت سند]]=1),0-TArticle[[#This Row],[مبلغ]],0)</f>
        <v>3768</v>
      </c>
      <c r="Y79" s="27">
        <v>2</v>
      </c>
      <c r="Z79" t="str">
        <f>IF(TArticle[[#This Row],[کد بانک]]&gt;0,VLOOKUP(TArticle[[#This Row],[کد بانک]],TBank[],2,FALSE),"")</f>
        <v>ملی جاری</v>
      </c>
      <c r="AA79">
        <f>IF(AND(TArticle[[#This Row],[مبلغ]]&lt;0,TArticle[[#This Row],[کد وضعیت سند]]=1),0-TArticle[[#This Row],[مبلغ]],0)</f>
        <v>3768</v>
      </c>
      <c r="AB79">
        <f>IF(AND(TArticle[[#This Row],[مبلغ]]&gt;0, TArticle[[#This Row],[کد وضعیت سند]]=1),TArticle[[#This Row],[مبلغ]],0)</f>
        <v>0</v>
      </c>
      <c r="AC79" s="93">
        <f>IF(TArticle[[#This Row],[کد بانک]]&gt;0,VLOOKUP(TArticle[[#This Row],[کد بانک]],TBank[],9,FALSE)+SUMIF($Y$2:Y79,Y79,$E$2:$E79),"")</f>
        <v>6898</v>
      </c>
      <c r="AD79" s="1">
        <f>IFERROR(IF(INT(LEFT(TArticle[[#This Row],[شناسه]]))=3,IF(TArticle[[#This Row],[کد وضعیت سند]]=1,TArticle[مبلغ],0),0),0)</f>
        <v>-3768</v>
      </c>
      <c r="AE79" s="1">
        <f>IFERROR(IF(((TArticle[[#This Row],[شناسه]]))="4.1.1",IF(TArticle[[#This Row],[کد وضعیت سند]]=1,TArticle[مبلغ],0),0),0)</f>
        <v>0</v>
      </c>
      <c r="AF79" s="1">
        <f>IFERROR(IF(((TArticle[[#This Row],[شناسه]]))="4.1.2",IF(TArticle[[#This Row],[کد وضعیت سند]]=1,TArticle[مبلغ],0),0),0)</f>
        <v>0</v>
      </c>
      <c r="AG79" s="1">
        <f>IFERROR(IF(INT(LEFT(TArticle[[#This Row],[شناسه]]))=1,IF(TArticle[[#This Row],[کد وضعیت سند]]=1,TArticle[مبلغ],0),0),0)</f>
        <v>0</v>
      </c>
      <c r="AH79" s="1">
        <f>IFERROR(IF(INT(LEFT(TArticle[[#This Row],[شناسه]]))=2,IF(TArticle[[#This Row],[کد وضعیت سند]]=1,TArticle[مبلغ],0),0),0)</f>
        <v>0</v>
      </c>
      <c r="AI79" s="1">
        <f>IFERROR(IF((LEFT(TArticle[[#This Row],[شناسه]],3))="5.2",IF(TArticle[[#This Row],[کد وضعیت سند]]=1,TArticle[مبلغ],0),0),0)</f>
        <v>0</v>
      </c>
      <c r="AJ79" s="1">
        <f>IF(TArticle[[#This Row],[کد وضعیت سند]]=1,1,0)</f>
        <v>1</v>
      </c>
      <c r="AK79" s="1">
        <f>IF(AND(TArticle[[#This Row],[کد وضعیت سند]]&lt;&gt;1,TArticle[[#This Row],[مبلغ]]&lt;&gt;0),1,0)</f>
        <v>0</v>
      </c>
      <c r="AL79" s="78">
        <f>IF(TArticle[[#This Row],[کد بانک]]&gt;0,TArticle[[#This Row],[مانده بانک]]-VLOOKUP(TArticle[[#This Row],[کد بانک]],TBank[],7,FALSE),"")</f>
        <v>6898</v>
      </c>
      <c r="AM79" s="58" t="str">
        <f>LEFT(TArticle[[#This Row],[تاریخ]],7)</f>
        <v>1401-03</v>
      </c>
    </row>
    <row r="80" spans="1:39" hidden="1" x14ac:dyDescent="0.25">
      <c r="A80" s="24" t="s">
        <v>55</v>
      </c>
      <c r="B80" s="49" t="str">
        <f>VLOOKUP(TArticle[[#This Row],[شناسه]],TAccount[],2,TRUE)</f>
        <v>هزینه کلی</v>
      </c>
      <c r="C80" s="49" t="str">
        <f>VLOOKUP(TArticle[[#This Row],[تاریخ]],TDays[],7,FALSE)</f>
        <v>جمعه</v>
      </c>
      <c r="D80" s="28" t="s">
        <v>290</v>
      </c>
      <c r="E80" s="1">
        <f>1311-6898</f>
        <v>-5587</v>
      </c>
      <c r="F80" s="1">
        <f>TArticle[[#This Row],[مبلغ]]+IFERROR(INT(F79),30181+3667+958)</f>
        <v>8167</v>
      </c>
      <c r="K80" s="21">
        <v>1</v>
      </c>
      <c r="L80" t="str">
        <f>IF(TArticle[[#This Row],[کد وضعیت سند]]&gt;0,VLOOKUP(TArticle[[#This Row],[کد وضعیت سند]],TDocState[],2,FALSE),"")</f>
        <v>انجام شد</v>
      </c>
      <c r="N80" t="str">
        <f>IF(TArticle[[#This Row],[کد طرف حساب]]&gt;0,VLOOKUP(TArticle[[#This Row],[کد طرف حساب]],TContact[],2,FALSE),"")</f>
        <v/>
      </c>
      <c r="O80" s="61" t="str">
        <f>IF(TArticle[[#This Row],[کد طرف حساب]]&gt;0,VLOOKUP(TArticle[[#This Row],[کد طرف حساب]],TContact[],7,FALSE)-SUMIF($M$2:M80,M80,$E$2:$E80),"")</f>
        <v/>
      </c>
      <c r="P80" s="27" t="str">
        <f>RIGHT(TArticle[[#This Row],[تاریخ]],2)</f>
        <v>27</v>
      </c>
      <c r="Q80" s="27">
        <f>VLOOKUP(TArticle[[#This Row],[تاریخ]],TDays[],16,FALSE)</f>
        <v>13</v>
      </c>
      <c r="R80" s="27" t="str">
        <f>RIGHT(LEFT(TArticle[[#This Row],[تاریخ]],7),2)</f>
        <v>03</v>
      </c>
      <c r="S80" s="27" t="str">
        <f>LEFT(TArticle[[#This Row],[تاریخ]],4)</f>
        <v>1401</v>
      </c>
      <c r="U80" s="21">
        <f>VLOOKUP(TArticle[[#This Row],[شناسه]],TAccount[],7,TRUE)</f>
        <v>364074</v>
      </c>
      <c r="W80" s="21">
        <f>IF(AND(TArticle[[#This Row],[مبلغ]]&gt;0, TArticle[[#This Row],[کد وضعیت سند]]=1),TArticle[[#This Row],[مبلغ]],0)</f>
        <v>0</v>
      </c>
      <c r="X80" s="27">
        <f>IF(AND(TArticle[[#This Row],[مبلغ]]&lt;0,TArticle[[#This Row],[کد وضعیت سند]]=1),0-TArticle[[#This Row],[مبلغ]],0)</f>
        <v>5587</v>
      </c>
      <c r="Y80" s="27">
        <v>2</v>
      </c>
      <c r="Z80" t="str">
        <f>IF(TArticle[[#This Row],[کد بانک]]&gt;0,VLOOKUP(TArticle[[#This Row],[کد بانک]],TBank[],2,FALSE),"")</f>
        <v>ملی جاری</v>
      </c>
      <c r="AA80">
        <f>IF(AND(TArticle[[#This Row],[مبلغ]]&lt;0,TArticle[[#This Row],[کد وضعیت سند]]=1),0-TArticle[[#This Row],[مبلغ]],0)</f>
        <v>5587</v>
      </c>
      <c r="AB80">
        <f>IF(AND(TArticle[[#This Row],[مبلغ]]&gt;0, TArticle[[#This Row],[کد وضعیت سند]]=1),TArticle[[#This Row],[مبلغ]],0)</f>
        <v>0</v>
      </c>
      <c r="AC80" s="84">
        <f>IF(TArticle[[#This Row],[کد بانک]]&gt;0,VLOOKUP(TArticle[[#This Row],[کد بانک]],TBank[],9,FALSE)+SUMIF($Y$2:Y80,Y80,$E$2:$E80),"")</f>
        <v>1311</v>
      </c>
      <c r="AD80" s="1">
        <f>IFERROR(IF(INT(LEFT(TArticle[[#This Row],[شناسه]]))=3,IF(TArticle[[#This Row],[کد وضعیت سند]]=1,TArticle[مبلغ],0),0),0)</f>
        <v>-5587</v>
      </c>
      <c r="AE80" s="1">
        <f>IFERROR(IF(((TArticle[[#This Row],[شناسه]]))="4.1.1",IF(TArticle[[#This Row],[کد وضعیت سند]]=1,TArticle[مبلغ],0),0),0)</f>
        <v>0</v>
      </c>
      <c r="AF80" s="1">
        <f>IFERROR(IF(((TArticle[[#This Row],[شناسه]]))="4.1.2",IF(TArticle[[#This Row],[کد وضعیت سند]]=1,TArticle[مبلغ],0),0),0)</f>
        <v>0</v>
      </c>
      <c r="AG80" s="1">
        <f>IFERROR(IF(INT(LEFT(TArticle[[#This Row],[شناسه]]))=1,IF(TArticle[[#This Row],[کد وضعیت سند]]=1,TArticle[مبلغ],0),0),0)</f>
        <v>0</v>
      </c>
      <c r="AH80" s="1">
        <f>IFERROR(IF(INT(LEFT(TArticle[[#This Row],[شناسه]]))=2,IF(TArticle[[#This Row],[کد وضعیت سند]]=1,TArticle[مبلغ],0),0),0)</f>
        <v>0</v>
      </c>
      <c r="AI80" s="1">
        <f>IFERROR(IF((LEFT(TArticle[[#This Row],[شناسه]],3))="5.2",IF(TArticle[[#This Row],[کد وضعیت سند]]=1,TArticle[مبلغ],0),0),0)</f>
        <v>0</v>
      </c>
      <c r="AJ80" s="1">
        <f>IF(TArticle[[#This Row],[کد وضعیت سند]]=1,1,0)</f>
        <v>1</v>
      </c>
      <c r="AK80" s="1">
        <f>IF(AND(TArticle[[#This Row],[کد وضعیت سند]]&lt;&gt;1,TArticle[[#This Row],[مبلغ]]&lt;&gt;0),1,0)</f>
        <v>0</v>
      </c>
      <c r="AL80" s="51">
        <f>IF(TArticle[[#This Row],[کد بانک]]&gt;0,TArticle[[#This Row],[مانده بانک]]-VLOOKUP(TArticle[[#This Row],[کد بانک]],TBank[],7,FALSE),"")</f>
        <v>1311</v>
      </c>
      <c r="AM80" s="49" t="str">
        <f>LEFT(TArticle[[#This Row],[تاریخ]],7)</f>
        <v>1401-03</v>
      </c>
    </row>
    <row r="81" spans="1:39" hidden="1" x14ac:dyDescent="0.25">
      <c r="A81" s="24" t="s">
        <v>55</v>
      </c>
      <c r="B81" s="49" t="str">
        <f>VLOOKUP(TArticle[[#This Row],[شناسه]],TAccount[],2,TRUE)</f>
        <v>هزینه کلی</v>
      </c>
      <c r="C81" s="49" t="str">
        <f>VLOOKUP(TArticle[[#This Row],[تاریخ]],TDays[],7,FALSE)</f>
        <v>جمعه</v>
      </c>
      <c r="D81" s="28" t="s">
        <v>290</v>
      </c>
      <c r="E81" s="1">
        <v>-120</v>
      </c>
      <c r="F81" s="1">
        <f>TArticle[[#This Row],[مبلغ]]+IFERROR(INT(F80),30181+3667+958)</f>
        <v>8047</v>
      </c>
      <c r="K81" s="21">
        <v>1</v>
      </c>
      <c r="L81" t="str">
        <f>IF(TArticle[[#This Row],[کد وضعیت سند]]&gt;0,VLOOKUP(TArticle[[#This Row],[کد وضعیت سند]],TDocState[],2,FALSE),"")</f>
        <v>انجام شد</v>
      </c>
      <c r="N81" t="str">
        <f>IF(TArticle[[#This Row],[کد طرف حساب]]&gt;0,VLOOKUP(TArticle[[#This Row],[کد طرف حساب]],TContact[],2,FALSE),"")</f>
        <v/>
      </c>
      <c r="O81" s="61" t="str">
        <f>IF(TArticle[[#This Row],[کد طرف حساب]]&gt;0,VLOOKUP(TArticle[[#This Row],[کد طرف حساب]],TContact[],7,FALSE)-SUMIF($M$2:M81,M81,$E$2:$E81),"")</f>
        <v/>
      </c>
      <c r="P81" s="27" t="str">
        <f>RIGHT(TArticle[[#This Row],[تاریخ]],2)</f>
        <v>27</v>
      </c>
      <c r="Q81" s="27">
        <f>VLOOKUP(TArticle[[#This Row],[تاریخ]],TDays[],16,FALSE)</f>
        <v>13</v>
      </c>
      <c r="R81" s="27" t="str">
        <f>RIGHT(LEFT(TArticle[[#This Row],[تاریخ]],7),2)</f>
        <v>03</v>
      </c>
      <c r="S81" s="27" t="str">
        <f>LEFT(TArticle[[#This Row],[تاریخ]],4)</f>
        <v>1401</v>
      </c>
      <c r="U81" s="21">
        <f>VLOOKUP(TArticle[[#This Row],[شناسه]],TAccount[],7,TRUE)</f>
        <v>364074</v>
      </c>
      <c r="W81" s="21">
        <f>IF(AND(TArticle[[#This Row],[مبلغ]]&gt;0, TArticle[[#This Row],[کد وضعیت سند]]=1),TArticle[[#This Row],[مبلغ]],0)</f>
        <v>0</v>
      </c>
      <c r="X81" s="27">
        <f>IF(AND(TArticle[[#This Row],[مبلغ]]&lt;0,TArticle[[#This Row],[کد وضعیت سند]]=1),0-TArticle[[#This Row],[مبلغ]],0)</f>
        <v>120</v>
      </c>
      <c r="Y81" s="27">
        <v>12</v>
      </c>
      <c r="Z81" t="str">
        <f>IF(TArticle[[#This Row],[کد بانک]]&gt;0,VLOOKUP(TArticle[[#This Row],[کد بانک]],TBank[],2,FALSE),"")</f>
        <v>ملی سپرده</v>
      </c>
      <c r="AA81">
        <f>IF(AND(TArticle[[#This Row],[مبلغ]]&lt;0,TArticle[[#This Row],[کد وضعیت سند]]=1),0-TArticle[[#This Row],[مبلغ]],0)</f>
        <v>120</v>
      </c>
      <c r="AB81">
        <f>IF(AND(TArticle[[#This Row],[مبلغ]]&gt;0, TArticle[[#This Row],[کد وضعیت سند]]=1),TArticle[[#This Row],[مبلغ]],0)</f>
        <v>0</v>
      </c>
      <c r="AC81" s="84">
        <f>IF(TArticle[[#This Row],[کد بانک]]&gt;0,VLOOKUP(TArticle[[#This Row],[کد بانک]],TBank[],9,FALSE)+SUMIF($Y$2:Y81,Y81,$E$2:$E81),"")</f>
        <v>0</v>
      </c>
      <c r="AD81" s="1">
        <f>IFERROR(IF(INT(LEFT(TArticle[[#This Row],[شناسه]]))=3,IF(TArticle[[#This Row],[کد وضعیت سند]]=1,TArticle[مبلغ],0),0),0)</f>
        <v>-120</v>
      </c>
      <c r="AE81" s="1">
        <f>IFERROR(IF(((TArticle[[#This Row],[شناسه]]))="4.1.1",IF(TArticle[[#This Row],[کد وضعیت سند]]=1,TArticle[مبلغ],0),0),0)</f>
        <v>0</v>
      </c>
      <c r="AF81" s="1">
        <f>IFERROR(IF(((TArticle[[#This Row],[شناسه]]))="4.1.2",IF(TArticle[[#This Row],[کد وضعیت سند]]=1,TArticle[مبلغ],0),0),0)</f>
        <v>0</v>
      </c>
      <c r="AG81" s="1">
        <f>IFERROR(IF(INT(LEFT(TArticle[[#This Row],[شناسه]]))=1,IF(TArticle[[#This Row],[کد وضعیت سند]]=1,TArticle[مبلغ],0),0),0)</f>
        <v>0</v>
      </c>
      <c r="AH81" s="1">
        <f>IFERROR(IF(INT(LEFT(TArticle[[#This Row],[شناسه]]))=2,IF(TArticle[[#This Row],[کد وضعیت سند]]=1,TArticle[مبلغ],0),0),0)</f>
        <v>0</v>
      </c>
      <c r="AI81" s="1">
        <f>IFERROR(IF((LEFT(TArticle[[#This Row],[شناسه]],3))="5.2",IF(TArticle[[#This Row],[کد وضعیت سند]]=1,TArticle[مبلغ],0),0),0)</f>
        <v>0</v>
      </c>
      <c r="AJ81" s="1">
        <f>IF(TArticle[[#This Row],[کد وضعیت سند]]=1,1,0)</f>
        <v>1</v>
      </c>
      <c r="AK81" s="1">
        <f>IF(AND(TArticle[[#This Row],[کد وضعیت سند]]&lt;&gt;1,TArticle[[#This Row],[مبلغ]]&lt;&gt;0),1,0)</f>
        <v>0</v>
      </c>
      <c r="AL81" s="51">
        <f>IF(TArticle[[#This Row],[کد بانک]]&gt;0,TArticle[[#This Row],[مانده بانک]]-VLOOKUP(TArticle[[#This Row],[کد بانک]],TBank[],7,FALSE),"")</f>
        <v>0</v>
      </c>
      <c r="AM81" s="49" t="str">
        <f>LEFT(TArticle[[#This Row],[تاریخ]],7)</f>
        <v>1401-03</v>
      </c>
    </row>
    <row r="82" spans="1:39" hidden="1" x14ac:dyDescent="0.25">
      <c r="A82" s="24" t="s">
        <v>55</v>
      </c>
      <c r="B82" s="49" t="str">
        <f>VLOOKUP(TArticle[[#This Row],[شناسه]],TAccount[],2,TRUE)</f>
        <v>هزینه کلی</v>
      </c>
      <c r="C82" s="49" t="str">
        <f>VLOOKUP(TArticle[[#This Row],[تاریخ]],TDays[],7,FALSE)</f>
        <v>جمعه</v>
      </c>
      <c r="D82" s="28" t="s">
        <v>290</v>
      </c>
      <c r="E82" s="1">
        <v>-157</v>
      </c>
      <c r="F82" s="1">
        <f>TArticle[[#This Row],[مبلغ]]+IFERROR(INT(F81),30181+3667+958)</f>
        <v>7890</v>
      </c>
      <c r="K82" s="21">
        <v>1</v>
      </c>
      <c r="L82" t="str">
        <f>IF(TArticle[[#This Row],[کد وضعیت سند]]&gt;0,VLOOKUP(TArticle[[#This Row],[کد وضعیت سند]],TDocState[],2,FALSE),"")</f>
        <v>انجام شد</v>
      </c>
      <c r="N82" t="str">
        <f>IF(TArticle[[#This Row],[کد طرف حساب]]&gt;0,VLOOKUP(TArticle[[#This Row],[کد طرف حساب]],TContact[],2,FALSE),"")</f>
        <v/>
      </c>
      <c r="O82" s="61" t="str">
        <f>IF(TArticle[[#This Row],[کد طرف حساب]]&gt;0,VLOOKUP(TArticle[[#This Row],[کد طرف حساب]],TContact[],7,FALSE)-SUMIF($M$2:M82,M82,$E$2:$E82),"")</f>
        <v/>
      </c>
      <c r="P82" s="27" t="str">
        <f>RIGHT(TArticle[[#This Row],[تاریخ]],2)</f>
        <v>27</v>
      </c>
      <c r="Q82" s="27">
        <f>VLOOKUP(TArticle[[#This Row],[تاریخ]],TDays[],16,FALSE)</f>
        <v>13</v>
      </c>
      <c r="R82" s="27" t="str">
        <f>RIGHT(LEFT(TArticle[[#This Row],[تاریخ]],7),2)</f>
        <v>03</v>
      </c>
      <c r="S82" s="27" t="str">
        <f>LEFT(TArticle[[#This Row],[تاریخ]],4)</f>
        <v>1401</v>
      </c>
      <c r="U82" s="21">
        <f>VLOOKUP(TArticle[[#This Row],[شناسه]],TAccount[],7,TRUE)</f>
        <v>364074</v>
      </c>
      <c r="W82" s="21">
        <f>IF(AND(TArticle[[#This Row],[مبلغ]]&gt;0, TArticle[[#This Row],[کد وضعیت سند]]=1),TArticle[[#This Row],[مبلغ]],0)</f>
        <v>0</v>
      </c>
      <c r="X82" s="27">
        <f>IF(AND(TArticle[[#This Row],[مبلغ]]&lt;0,TArticle[[#This Row],[کد وضعیت سند]]=1),0-TArticle[[#This Row],[مبلغ]],0)</f>
        <v>157</v>
      </c>
      <c r="Y82" s="27">
        <v>27</v>
      </c>
      <c r="Z82" t="str">
        <f>IF(TArticle[[#This Row],[کد بانک]]&gt;0,VLOOKUP(TArticle[[#This Row],[کد بانک]],TBank[],2,FALSE),"")</f>
        <v>Bit Pin</v>
      </c>
      <c r="AA82">
        <f>IF(AND(TArticle[[#This Row],[مبلغ]]&lt;0,TArticle[[#This Row],[کد وضعیت سند]]=1),0-TArticle[[#This Row],[مبلغ]],0)</f>
        <v>157</v>
      </c>
      <c r="AB82">
        <f>IF(AND(TArticle[[#This Row],[مبلغ]]&gt;0, TArticle[[#This Row],[کد وضعیت سند]]=1),TArticle[[#This Row],[مبلغ]],0)</f>
        <v>0</v>
      </c>
      <c r="AC82" s="84">
        <f>IF(TArticle[[#This Row],[کد بانک]]&gt;0,VLOOKUP(TArticle[[#This Row],[کد بانک]],TBank[],9,FALSE)+SUMIF($Y$2:Y82,Y82,$E$2:$E82),"")</f>
        <v>0</v>
      </c>
      <c r="AD82" s="1">
        <f>IFERROR(IF(INT(LEFT(TArticle[[#This Row],[شناسه]]))=3,IF(TArticle[[#This Row],[کد وضعیت سند]]=1,TArticle[مبلغ],0),0),0)</f>
        <v>-157</v>
      </c>
      <c r="AE82" s="1">
        <f>IFERROR(IF(((TArticle[[#This Row],[شناسه]]))="4.1.1",IF(TArticle[[#This Row],[کد وضعیت سند]]=1,TArticle[مبلغ],0),0),0)</f>
        <v>0</v>
      </c>
      <c r="AF82" s="1">
        <f>IFERROR(IF(((TArticle[[#This Row],[شناسه]]))="4.1.2",IF(TArticle[[#This Row],[کد وضعیت سند]]=1,TArticle[مبلغ],0),0),0)</f>
        <v>0</v>
      </c>
      <c r="AG82" s="1">
        <f>IFERROR(IF(INT(LEFT(TArticle[[#This Row],[شناسه]]))=1,IF(TArticle[[#This Row],[کد وضعیت سند]]=1,TArticle[مبلغ],0),0),0)</f>
        <v>0</v>
      </c>
      <c r="AH82" s="1">
        <f>IFERROR(IF(INT(LEFT(TArticle[[#This Row],[شناسه]]))=2,IF(TArticle[[#This Row],[کد وضعیت سند]]=1,TArticle[مبلغ],0),0),0)</f>
        <v>0</v>
      </c>
      <c r="AI82" s="1">
        <f>IFERROR(IF((LEFT(TArticle[[#This Row],[شناسه]],3))="5.2",IF(TArticle[[#This Row],[کد وضعیت سند]]=1,TArticle[مبلغ],0),0),0)</f>
        <v>0</v>
      </c>
      <c r="AJ82" s="1">
        <f>IF(TArticle[[#This Row],[کد وضعیت سند]]=1,1,0)</f>
        <v>1</v>
      </c>
      <c r="AK82" s="1">
        <f>IF(AND(TArticle[[#This Row],[کد وضعیت سند]]&lt;&gt;1,TArticle[[#This Row],[مبلغ]]&lt;&gt;0),1,0)</f>
        <v>0</v>
      </c>
      <c r="AL82" s="51">
        <f>IF(TArticle[[#This Row],[کد بانک]]&gt;0,TArticle[[#This Row],[مانده بانک]]-VLOOKUP(TArticle[[#This Row],[کد بانک]],TBank[],7,FALSE),"")</f>
        <v>0</v>
      </c>
      <c r="AM82" s="49" t="str">
        <f>LEFT(TArticle[[#This Row],[تاریخ]],7)</f>
        <v>1401-03</v>
      </c>
    </row>
    <row r="83" spans="1:39" hidden="1" x14ac:dyDescent="0.25">
      <c r="A83" s="24" t="s">
        <v>1110</v>
      </c>
      <c r="B83" s="49" t="str">
        <f>VLOOKUP(TArticle[[#This Row],[شناسه]],TAccount[],2,TRUE)</f>
        <v>قسط وام بانکی</v>
      </c>
      <c r="C83" s="49" t="str">
        <f>VLOOKUP(TArticle[[#This Row],[تاریخ]],TDays[],7,FALSE)</f>
        <v>جمعه</v>
      </c>
      <c r="D83" s="28" t="s">
        <v>290</v>
      </c>
      <c r="E83" s="1">
        <v>-1015</v>
      </c>
      <c r="F83" s="1">
        <f>TArticle[[#This Row],[مبلغ]]+IFERROR(INT(F82),30181+3667+958)</f>
        <v>6875</v>
      </c>
      <c r="G83" t="s">
        <v>1184</v>
      </c>
      <c r="H83" s="64">
        <v>13</v>
      </c>
      <c r="J83" s="65"/>
      <c r="K83" s="64">
        <v>1</v>
      </c>
      <c r="L83" s="66" t="str">
        <f>IF(TArticle[[#This Row],[کد وضعیت سند]]&gt;0,VLOOKUP(TArticle[[#This Row],[کد وضعیت سند]],TDocState[],2,FALSE),"")</f>
        <v>انجام شد</v>
      </c>
      <c r="M83" s="27">
        <v>109</v>
      </c>
      <c r="N83" t="str">
        <f>IF(TArticle[[#This Row],[کد طرف حساب]]&gt;0,VLOOKUP(TArticle[[#This Row],[کد طرف حساب]],TContact[],2,FALSE),"")</f>
        <v>وام درودگران ف</v>
      </c>
      <c r="O83" s="68">
        <f>IF(TArticle[[#This Row],[کد طرف حساب]]&gt;0,VLOOKUP(TArticle[[#This Row],[کد طرف حساب]],TContact[],7,FALSE)-SUMIF($M$2:M83,M83,$E$2:$E83),"")</f>
        <v>-2000</v>
      </c>
      <c r="P83" s="67" t="str">
        <f>RIGHT(TArticle[[#This Row],[تاریخ]],2)</f>
        <v>27</v>
      </c>
      <c r="Q83" s="67">
        <f>VLOOKUP(TArticle[[#This Row],[تاریخ]],TDays[],16,FALSE)</f>
        <v>13</v>
      </c>
      <c r="R83" s="67" t="str">
        <f>RIGHT(LEFT(TArticle[[#This Row],[تاریخ]],7),2)</f>
        <v>03</v>
      </c>
      <c r="S83" s="67" t="str">
        <f>LEFT(TArticle[[#This Row],[تاریخ]],4)</f>
        <v>1401</v>
      </c>
      <c r="T83" s="64"/>
      <c r="U83" s="64">
        <f>VLOOKUP(TArticle[[#This Row],[شناسه]],TAccount[],7,TRUE)</f>
        <v>81652</v>
      </c>
      <c r="V83" s="21" t="s">
        <v>284</v>
      </c>
      <c r="W83" s="64">
        <f>IF(AND(TArticle[[#This Row],[مبلغ]]&gt;0, TArticle[[#This Row],[کد وضعیت سند]]=1),TArticle[[#This Row],[مبلغ]],0)</f>
        <v>0</v>
      </c>
      <c r="X83" s="67">
        <f>IF(AND(TArticle[[#This Row],[مبلغ]]&lt;0,TArticle[[#This Row],[کد وضعیت سند]]=1),0-TArticle[[#This Row],[مبلغ]],0)</f>
        <v>1015</v>
      </c>
      <c r="Y83" s="67">
        <v>2</v>
      </c>
      <c r="Z83" t="str">
        <f>IF(TArticle[[#This Row],[کد بانک]]&gt;0,VLOOKUP(TArticle[[#This Row],[کد بانک]],TBank[],2,FALSE),"")</f>
        <v>ملی جاری</v>
      </c>
      <c r="AA83">
        <f>IF(AND(TArticle[[#This Row],[مبلغ]]&lt;0,TArticle[[#This Row],[کد وضعیت سند]]=1),0-TArticle[[#This Row],[مبلغ]],0)</f>
        <v>1015</v>
      </c>
      <c r="AB83">
        <f>IF(AND(TArticle[[#This Row],[مبلغ]]&gt;0, TArticle[[#This Row],[کد وضعیت سند]]=1),TArticle[[#This Row],[مبلغ]],0)</f>
        <v>0</v>
      </c>
      <c r="AC83" s="93">
        <f>IF(TArticle[[#This Row],[کد بانک]]&gt;0,VLOOKUP(TArticle[[#This Row],[کد بانک]],TBank[],9,FALSE)+SUMIF($Y$2:Y83,Y83,$E$2:$E83),"")</f>
        <v>296</v>
      </c>
      <c r="AD83" s="1">
        <f>IFERROR(IF(INT(LEFT(TArticle[[#This Row],[شناسه]]))=3,IF(TArticle[[#This Row],[کد وضعیت سند]]=1,TArticle[مبلغ],0),0),0)</f>
        <v>0</v>
      </c>
      <c r="AE83" s="1">
        <f>IFERROR(IF(((TArticle[[#This Row],[شناسه]]))="4.1.1",IF(TArticle[[#This Row],[کد وضعیت سند]]=1,TArticle[مبلغ],0),0),0)</f>
        <v>0</v>
      </c>
      <c r="AF83" s="1">
        <f>IFERROR(IF(((TArticle[[#This Row],[شناسه]]))="4.1.2",IF(TArticle[[#This Row],[کد وضعیت سند]]=1,TArticle[مبلغ],0),0),0)</f>
        <v>0</v>
      </c>
      <c r="AG83" s="1">
        <f>IFERROR(IF(INT(LEFT(TArticle[[#This Row],[شناسه]]))=1,IF(TArticle[[#This Row],[کد وضعیت سند]]=1,TArticle[مبلغ],0),0),0)</f>
        <v>-1015</v>
      </c>
      <c r="AH83" s="1">
        <f>IFERROR(IF(INT(LEFT(TArticle[[#This Row],[شناسه]]))=2,IF(TArticle[[#This Row],[کد وضعیت سند]]=1,TArticle[مبلغ],0),0),0)</f>
        <v>0</v>
      </c>
      <c r="AI83" s="1">
        <f>IFERROR(IF((LEFT(TArticle[[#This Row],[شناسه]],3))="5.2",IF(TArticle[[#This Row],[کد وضعیت سند]]=1,TArticle[مبلغ],0),0),0)</f>
        <v>0</v>
      </c>
      <c r="AJ83" s="1">
        <f>IF(TArticle[[#This Row],[کد وضعیت سند]]=1,1,0)</f>
        <v>1</v>
      </c>
      <c r="AK83" s="1">
        <f>IF(AND(TArticle[[#This Row],[کد وضعیت سند]]&lt;&gt;1,TArticle[[#This Row],[مبلغ]]&lt;&gt;0),1,0)</f>
        <v>0</v>
      </c>
      <c r="AL83" s="78">
        <f>IF(TArticle[[#This Row],[کد بانک]]&gt;0,TArticle[[#This Row],[مانده بانک]]-VLOOKUP(TArticle[[#This Row],[کد بانک]],TBank[],7,FALSE),"")</f>
        <v>296</v>
      </c>
      <c r="AM83" s="58" t="str">
        <f>LEFT(TArticle[[#This Row],[تاریخ]],7)</f>
        <v>1401-03</v>
      </c>
    </row>
    <row r="84" spans="1:39" hidden="1" x14ac:dyDescent="0.25">
      <c r="A84" s="24" t="s">
        <v>55</v>
      </c>
      <c r="B84" s="49" t="str">
        <f>VLOOKUP(TArticle[[#This Row],[شناسه]],TAccount[],2,TRUE)</f>
        <v>هزینه کلی</v>
      </c>
      <c r="C84" s="49" t="str">
        <f>VLOOKUP(TArticle[[#This Row],[تاریخ]],TDays[],7,FALSE)</f>
        <v>جمعه</v>
      </c>
      <c r="D84" s="28" t="s">
        <v>290</v>
      </c>
      <c r="E84" s="1">
        <v>-3208</v>
      </c>
      <c r="F84" s="1">
        <f>TArticle[[#This Row],[مبلغ]]+IFERROR(INT(F83),30181+3667+958)</f>
        <v>3667</v>
      </c>
      <c r="K84" s="21">
        <v>1</v>
      </c>
      <c r="L84" t="str">
        <f>IF(TArticle[[#This Row],[کد وضعیت سند]]&gt;0,VLOOKUP(TArticle[[#This Row],[کد وضعیت سند]],TDocState[],2,FALSE),"")</f>
        <v>انجام شد</v>
      </c>
      <c r="N84" t="str">
        <f>IF(TArticle[[#This Row],[کد طرف حساب]]&gt;0,VLOOKUP(TArticle[[#This Row],[کد طرف حساب]],TContact[],2,FALSE),"")</f>
        <v/>
      </c>
      <c r="O84" s="61" t="str">
        <f>IF(TArticle[[#This Row],[کد طرف حساب]]&gt;0,VLOOKUP(TArticle[[#This Row],[کد طرف حساب]],TContact[],7,FALSE)-SUMIF($M$2:M84,M84,$E$2:$E84),"")</f>
        <v/>
      </c>
      <c r="P84" s="27" t="str">
        <f>RIGHT(TArticle[[#This Row],[تاریخ]],2)</f>
        <v>27</v>
      </c>
      <c r="Q84" s="27">
        <f>VLOOKUP(TArticle[[#This Row],[تاریخ]],TDays[],16,FALSE)</f>
        <v>13</v>
      </c>
      <c r="R84" s="27" t="str">
        <f>RIGHT(LEFT(TArticle[[#This Row],[تاریخ]],7),2)</f>
        <v>03</v>
      </c>
      <c r="S84" s="27" t="str">
        <f>LEFT(TArticle[[#This Row],[تاریخ]],4)</f>
        <v>1401</v>
      </c>
      <c r="U84" s="21">
        <f>VLOOKUP(TArticle[[#This Row],[شناسه]],TAccount[],7,TRUE)</f>
        <v>364074</v>
      </c>
      <c r="W84" s="21">
        <f>IF(AND(TArticle[[#This Row],[مبلغ]]&gt;0, TArticle[[#This Row],[کد وضعیت سند]]=1),TArticle[[#This Row],[مبلغ]],0)</f>
        <v>0</v>
      </c>
      <c r="X84" s="27">
        <f>IF(AND(TArticle[[#This Row],[مبلغ]]&lt;0,TArticle[[#This Row],[کد وضعیت سند]]=1),0-TArticle[[#This Row],[مبلغ]],0)</f>
        <v>3208</v>
      </c>
      <c r="Y84" s="27">
        <v>16</v>
      </c>
      <c r="Z84" t="str">
        <f>IF(TArticle[[#This Row],[کد بانک]]&gt;0,VLOOKUP(TArticle[[#This Row],[کد بانک]],TBank[],2,FALSE),"")</f>
        <v>مهرایران</v>
      </c>
      <c r="AA84">
        <f>IF(AND(TArticle[[#This Row],[مبلغ]]&lt;0,TArticle[[#This Row],[کد وضعیت سند]]=1),0-TArticle[[#This Row],[مبلغ]],0)</f>
        <v>3208</v>
      </c>
      <c r="AB84">
        <f>IF(AND(TArticle[[#This Row],[مبلغ]]&gt;0, TArticle[[#This Row],[کد وضعیت سند]]=1),TArticle[[#This Row],[مبلغ]],0)</f>
        <v>0</v>
      </c>
      <c r="AC84" s="84">
        <f>IF(TArticle[[#This Row],[کد بانک]]&gt;0,VLOOKUP(TArticle[[#This Row],[کد بانک]],TBank[],9,FALSE)+SUMIF($Y$2:Y84,Y84,$E$2:$E84),"")</f>
        <v>3171</v>
      </c>
      <c r="AD84" s="1">
        <f>IFERROR(IF(INT(LEFT(TArticle[[#This Row],[شناسه]]))=3,IF(TArticle[[#This Row],[کد وضعیت سند]]=1,TArticle[مبلغ],0),0),0)</f>
        <v>-3208</v>
      </c>
      <c r="AE84" s="1">
        <f>IFERROR(IF(((TArticle[[#This Row],[شناسه]]))="4.1.1",IF(TArticle[[#This Row],[کد وضعیت سند]]=1,TArticle[مبلغ],0),0),0)</f>
        <v>0</v>
      </c>
      <c r="AF84" s="1">
        <f>IFERROR(IF(((TArticle[[#This Row],[شناسه]]))="4.1.2",IF(TArticle[[#This Row],[کد وضعیت سند]]=1,TArticle[مبلغ],0),0),0)</f>
        <v>0</v>
      </c>
      <c r="AG84" s="1">
        <f>IFERROR(IF(INT(LEFT(TArticle[[#This Row],[شناسه]]))=1,IF(TArticle[[#This Row],[کد وضعیت سند]]=1,TArticle[مبلغ],0),0),0)</f>
        <v>0</v>
      </c>
      <c r="AH84" s="1">
        <f>IFERROR(IF(INT(LEFT(TArticle[[#This Row],[شناسه]]))=2,IF(TArticle[[#This Row],[کد وضعیت سند]]=1,TArticle[مبلغ],0),0),0)</f>
        <v>0</v>
      </c>
      <c r="AI84" s="1">
        <f>IFERROR(IF((LEFT(TArticle[[#This Row],[شناسه]],3))="5.2",IF(TArticle[[#This Row],[کد وضعیت سند]]=1,TArticle[مبلغ],0),0),0)</f>
        <v>0</v>
      </c>
      <c r="AJ84" s="1">
        <f>IF(TArticle[[#This Row],[کد وضعیت سند]]=1,1,0)</f>
        <v>1</v>
      </c>
      <c r="AK84" s="1">
        <f>IF(AND(TArticle[[#This Row],[کد وضعیت سند]]&lt;&gt;1,TArticle[[#This Row],[مبلغ]]&lt;&gt;0),1,0)</f>
        <v>0</v>
      </c>
      <c r="AL84" s="51">
        <f>IF(TArticle[[#This Row],[کد بانک]]&gt;0,TArticle[[#This Row],[مانده بانک]]-VLOOKUP(TArticle[[#This Row],[کد بانک]],TBank[],7,FALSE),"")</f>
        <v>3141</v>
      </c>
      <c r="AM84" s="49" t="str">
        <f>LEFT(TArticle[[#This Row],[تاریخ]],7)</f>
        <v>1401-03</v>
      </c>
    </row>
    <row r="85" spans="1:39" hidden="1" x14ac:dyDescent="0.25">
      <c r="A85" s="24" t="s">
        <v>1172</v>
      </c>
      <c r="B85" s="49" t="str">
        <f>VLOOKUP(TArticle[[#This Row],[شناسه]],TAccount[],2,TRUE)</f>
        <v>خرید چکی</v>
      </c>
      <c r="C85" s="49" t="str">
        <f>VLOOKUP(TArticle[[#This Row],[تاریخ]],TDays[],7,FALSE)</f>
        <v>شنبه</v>
      </c>
      <c r="D85" s="21" t="s">
        <v>291</v>
      </c>
      <c r="E85" s="1">
        <v>32000</v>
      </c>
      <c r="F85" s="1">
        <f>TArticle[[#This Row],[مبلغ]]+IFERROR(INT(F84),30181+3667+958)</f>
        <v>35667</v>
      </c>
      <c r="G85" t="s">
        <v>1660</v>
      </c>
      <c r="K85" s="21">
        <v>1</v>
      </c>
      <c r="L85" t="str">
        <f>IF(TArticle[[#This Row],[کد وضعیت سند]]&gt;0,VLOOKUP(TArticle[[#This Row],[کد وضعیت سند]],TDocState[],2,FALSE),"")</f>
        <v>انجام شد</v>
      </c>
      <c r="M85" s="27">
        <v>2</v>
      </c>
      <c r="N85" t="str">
        <f>IF(TArticle[[#This Row],[کد طرف حساب]]&gt;0,VLOOKUP(TArticle[[#This Row],[کد طرف حساب]],TContact[],2,FALSE),"")</f>
        <v>حامد</v>
      </c>
      <c r="O85" s="61">
        <f>IF(TArticle[[#This Row],[کد طرف حساب]]&gt;0,VLOOKUP(TArticle[[#This Row],[کد طرف حساب]],TContact[],7,FALSE)-SUMIF($M$2:M85,M85,$E$2:$E85),"")</f>
        <v>-40000</v>
      </c>
      <c r="P85" s="27" t="str">
        <f>RIGHT(TArticle[[#This Row],[تاریخ]],2)</f>
        <v>28</v>
      </c>
      <c r="Q85" s="27">
        <f>VLOOKUP(TArticle[[#This Row],[تاریخ]],TDays[],16,FALSE)</f>
        <v>14</v>
      </c>
      <c r="R85" s="27" t="str">
        <f>RIGHT(LEFT(TArticle[[#This Row],[تاریخ]],7),2)</f>
        <v>03</v>
      </c>
      <c r="S85" s="27" t="str">
        <f>LEFT(TArticle[[#This Row],[تاریخ]],4)</f>
        <v>1401</v>
      </c>
      <c r="U85" s="21">
        <f>VLOOKUP(TArticle[[#This Row],[شناسه]],TAccount[],7,TRUE)</f>
        <v>83000</v>
      </c>
      <c r="W85" s="21">
        <f>IF(AND(TArticle[[#This Row],[مبلغ]]&gt;0, TArticle[[#This Row],[کد وضعیت سند]]=1),TArticle[[#This Row],[مبلغ]],0)</f>
        <v>32000</v>
      </c>
      <c r="X85" s="27">
        <f>IF(AND(TArticle[[#This Row],[مبلغ]]&lt;0,TArticle[[#This Row],[کد وضعیت سند]]=1),0-TArticle[[#This Row],[مبلغ]],0)</f>
        <v>0</v>
      </c>
      <c r="Y85" s="27">
        <v>10</v>
      </c>
      <c r="Z85" t="str">
        <f>IF(TArticle[[#This Row],[کد بانک]]&gt;0,VLOOKUP(TArticle[[#This Row],[کد بانک]],TBank[],2,FALSE),"")</f>
        <v>نیابتی</v>
      </c>
      <c r="AA85">
        <f>IF(AND(TArticle[[#This Row],[مبلغ]]&lt;0,TArticle[[#This Row],[کد وضعیت سند]]=1),0-TArticle[[#This Row],[مبلغ]],0)</f>
        <v>0</v>
      </c>
      <c r="AB85">
        <f>IF(AND(TArticle[[#This Row],[مبلغ]]&gt;0, TArticle[[#This Row],[کد وضعیت سند]]=1),TArticle[[#This Row],[مبلغ]],0)</f>
        <v>32000</v>
      </c>
      <c r="AC85" s="84">
        <f>IF(TArticle[[#This Row],[کد بانک]]&gt;0,VLOOKUP(TArticle[[#This Row],[کد بانک]],TBank[],9,FALSE)+SUMIF($Y$2:Y85,Y85,$E$2:$E85),"")</f>
        <v>32000</v>
      </c>
      <c r="AD85" s="1">
        <f>IFERROR(IF(INT(LEFT(TArticle[[#This Row],[شناسه]]))=3,IF(TArticle[[#This Row],[کد وضعیت سند]]=1,TArticle[مبلغ],0),0),0)</f>
        <v>0</v>
      </c>
      <c r="AE85" s="1">
        <f>IFERROR(IF(((TArticle[[#This Row],[شناسه]]))="4.1.1",IF(TArticle[[#This Row],[کد وضعیت سند]]=1,TArticle[مبلغ],0),0),0)</f>
        <v>0</v>
      </c>
      <c r="AF85" s="1">
        <f>IFERROR(IF(((TArticle[[#This Row],[شناسه]]))="4.1.2",IF(TArticle[[#This Row],[کد وضعیت سند]]=1,TArticle[مبلغ],0),0),0)</f>
        <v>0</v>
      </c>
      <c r="AG85" s="1">
        <f>IFERROR(IF(INT(LEFT(TArticle[[#This Row],[شناسه]]))=1,IF(TArticle[[#This Row],[کد وضعیت سند]]=1,TArticle[مبلغ],0),0),0)</f>
        <v>0</v>
      </c>
      <c r="AH85" s="1">
        <f>IFERROR(IF(INT(LEFT(TArticle[[#This Row],[شناسه]]))=2,IF(TArticle[[#This Row],[کد وضعیت سند]]=1,TArticle[مبلغ],0),0),0)</f>
        <v>0</v>
      </c>
      <c r="AI85" s="1">
        <f>IFERROR(IF((LEFT(TArticle[[#This Row],[شناسه]],3))="5.2",IF(TArticle[[#This Row],[کد وضعیت سند]]=1,TArticle[مبلغ],0),0),0)</f>
        <v>32000</v>
      </c>
      <c r="AJ85" s="1">
        <f>IF(TArticle[[#This Row],[کد وضعیت سند]]=1,1,0)</f>
        <v>1</v>
      </c>
      <c r="AK85" s="1">
        <f>IF(AND(TArticle[[#This Row],[کد وضعیت سند]]&lt;&gt;1,TArticle[[#This Row],[مبلغ]]&lt;&gt;0),1,0)</f>
        <v>0</v>
      </c>
      <c r="AL85" s="51">
        <f>IF(TArticle[[#This Row],[کد بانک]]&gt;0,TArticle[[#This Row],[مانده بانک]]-VLOOKUP(TArticle[[#This Row],[کد بانک]],TBank[],7,FALSE),"")</f>
        <v>32000</v>
      </c>
      <c r="AM85" s="49" t="str">
        <f>LEFT(TArticle[[#This Row],[تاریخ]],7)</f>
        <v>1401-03</v>
      </c>
    </row>
    <row r="86" spans="1:39" hidden="1" x14ac:dyDescent="0.25">
      <c r="A86" s="24" t="s">
        <v>1612</v>
      </c>
      <c r="B86" s="49" t="str">
        <f>VLOOKUP(TArticle[[#This Row],[شناسه]],TAccount[],2,TRUE)</f>
        <v>تجهیز آپارتمان</v>
      </c>
      <c r="C86" s="49" t="str">
        <f>VLOOKUP(TArticle[[#This Row],[تاریخ]],TDays[],7,FALSE)</f>
        <v>شنبه</v>
      </c>
      <c r="D86" s="21" t="s">
        <v>291</v>
      </c>
      <c r="E86" s="1">
        <v>-32000</v>
      </c>
      <c r="F86" s="1">
        <f>TArticle[[#This Row],[مبلغ]]+IFERROR(INT(F85),30181+3667+958)</f>
        <v>3667</v>
      </c>
      <c r="G86" t="s">
        <v>1660</v>
      </c>
      <c r="K86" s="21">
        <v>1</v>
      </c>
      <c r="L86" t="str">
        <f>IF(TArticle[[#This Row],[کد وضعیت سند]]&gt;0,VLOOKUP(TArticle[[#This Row],[کد وضعیت سند]],TDocState[],2,FALSE),"")</f>
        <v>انجام شد</v>
      </c>
      <c r="N86" t="str">
        <f>IF(TArticle[[#This Row],[کد طرف حساب]]&gt;0,VLOOKUP(TArticle[[#This Row],[کد طرف حساب]],TContact[],2,FALSE),"")</f>
        <v/>
      </c>
      <c r="O86" s="61" t="str">
        <f>IF(TArticle[[#This Row],[کد طرف حساب]]&gt;0,VLOOKUP(TArticle[[#This Row],[کد طرف حساب]],TContact[],7,FALSE)-SUMIF($M$2:M86,M86,$E$2:$E86),"")</f>
        <v/>
      </c>
      <c r="P86" s="27" t="str">
        <f>RIGHT(TArticle[[#This Row],[تاریخ]],2)</f>
        <v>28</v>
      </c>
      <c r="Q86" s="27">
        <f>VLOOKUP(TArticle[[#This Row],[تاریخ]],TDays[],16,FALSE)</f>
        <v>14</v>
      </c>
      <c r="R86" s="27" t="str">
        <f>RIGHT(LEFT(TArticle[[#This Row],[تاریخ]],7),2)</f>
        <v>03</v>
      </c>
      <c r="S86" s="27" t="str">
        <f>LEFT(TArticle[[#This Row],[تاریخ]],4)</f>
        <v>1401</v>
      </c>
      <c r="U86" s="21">
        <f>VLOOKUP(TArticle[[#This Row],[شناسه]],TAccount[],7,TRUE)</f>
        <v>97700</v>
      </c>
      <c r="W86" s="21">
        <f>IF(AND(TArticle[[#This Row],[مبلغ]]&gt;0, TArticle[[#This Row],[کد وضعیت سند]]=1),TArticle[[#This Row],[مبلغ]],0)</f>
        <v>0</v>
      </c>
      <c r="X86" s="27">
        <f>IF(AND(TArticle[[#This Row],[مبلغ]]&lt;0,TArticle[[#This Row],[کد وضعیت سند]]=1),0-TArticle[[#This Row],[مبلغ]],0)</f>
        <v>32000</v>
      </c>
      <c r="Y86" s="27">
        <v>10</v>
      </c>
      <c r="Z86" t="str">
        <f>IF(TArticle[[#This Row],[کد بانک]]&gt;0,VLOOKUP(TArticle[[#This Row],[کد بانک]],TBank[],2,FALSE),"")</f>
        <v>نیابتی</v>
      </c>
      <c r="AA86">
        <f>IF(AND(TArticle[[#This Row],[مبلغ]]&lt;0,TArticle[[#This Row],[کد وضعیت سند]]=1),0-TArticle[[#This Row],[مبلغ]],0)</f>
        <v>32000</v>
      </c>
      <c r="AB86">
        <f>IF(AND(TArticle[[#This Row],[مبلغ]]&gt;0, TArticle[[#This Row],[کد وضعیت سند]]=1),TArticle[[#This Row],[مبلغ]],0)</f>
        <v>0</v>
      </c>
      <c r="AC86" s="84">
        <f>IF(TArticle[[#This Row],[کد بانک]]&gt;0,VLOOKUP(TArticle[[#This Row],[کد بانک]],TBank[],9,FALSE)+SUMIF($Y$2:Y86,Y86,$E$2:$E86),"")</f>
        <v>0</v>
      </c>
      <c r="AD86" s="1">
        <f>IFERROR(IF(INT(LEFT(TArticle[[#This Row],[شناسه]]))=3,IF(TArticle[[#This Row],[کد وضعیت سند]]=1,TArticle[مبلغ],0),0),0)</f>
        <v>-32000</v>
      </c>
      <c r="AE86" s="1">
        <f>IFERROR(IF(((TArticle[[#This Row],[شناسه]]))="4.1.1",IF(TArticle[[#This Row],[کد وضعیت سند]]=1,TArticle[مبلغ],0),0),0)</f>
        <v>0</v>
      </c>
      <c r="AF86" s="1">
        <f>IFERROR(IF(((TArticle[[#This Row],[شناسه]]))="4.1.2",IF(TArticle[[#This Row],[کد وضعیت سند]]=1,TArticle[مبلغ],0),0),0)</f>
        <v>0</v>
      </c>
      <c r="AG86" s="1">
        <f>IFERROR(IF(INT(LEFT(TArticle[[#This Row],[شناسه]]))=1,IF(TArticle[[#This Row],[کد وضعیت سند]]=1,TArticle[مبلغ],0),0),0)</f>
        <v>0</v>
      </c>
      <c r="AH86" s="1">
        <f>IFERROR(IF(INT(LEFT(TArticle[[#This Row],[شناسه]]))=2,IF(TArticle[[#This Row],[کد وضعیت سند]]=1,TArticle[مبلغ],0),0),0)</f>
        <v>0</v>
      </c>
      <c r="AI86" s="1">
        <f>IFERROR(IF((LEFT(TArticle[[#This Row],[شناسه]],3))="5.2",IF(TArticle[[#This Row],[کد وضعیت سند]]=1,TArticle[مبلغ],0),0),0)</f>
        <v>0</v>
      </c>
      <c r="AJ86" s="1">
        <f>IF(TArticle[[#This Row],[کد وضعیت سند]]=1,1,0)</f>
        <v>1</v>
      </c>
      <c r="AK86" s="1">
        <f>IF(AND(TArticle[[#This Row],[کد وضعیت سند]]&lt;&gt;1,TArticle[[#This Row],[مبلغ]]&lt;&gt;0),1,0)</f>
        <v>0</v>
      </c>
      <c r="AL86" s="51">
        <f>IF(TArticle[[#This Row],[کد بانک]]&gt;0,TArticle[[#This Row],[مانده بانک]]-VLOOKUP(TArticle[[#This Row],[کد بانک]],TBank[],7,FALSE),"")</f>
        <v>0</v>
      </c>
      <c r="AM86" s="49" t="str">
        <f>LEFT(TArticle[[#This Row],[تاریخ]],7)</f>
        <v>1401-03</v>
      </c>
    </row>
    <row r="87" spans="1:39" hidden="1" x14ac:dyDescent="0.25">
      <c r="A87" s="24" t="s">
        <v>1608</v>
      </c>
      <c r="B87" s="49" t="str">
        <f>VLOOKUP(TArticle[[#This Row],[شناسه]],TAccount[],2,TRUE)</f>
        <v>بن کارت</v>
      </c>
      <c r="C87" s="49" t="str">
        <f>VLOOKUP(TArticle[[#This Row],[تاریخ]],TDays[],7,FALSE)</f>
        <v>چهارشنبه</v>
      </c>
      <c r="D87" s="21" t="s">
        <v>295</v>
      </c>
      <c r="E87" s="1">
        <v>1000</v>
      </c>
      <c r="F87" s="1">
        <f>TArticle[[#This Row],[مبلغ]]+IFERROR(INT(F86),30181+3667+958)</f>
        <v>4667</v>
      </c>
      <c r="K87" s="21">
        <v>1</v>
      </c>
      <c r="L87" t="str">
        <f>IF(TArticle[[#This Row],[کد وضعیت سند]]&gt;0,VLOOKUP(TArticle[[#This Row],[کد وضعیت سند]],TDocState[],2,FALSE),"")</f>
        <v>انجام شد</v>
      </c>
      <c r="N87" t="str">
        <f>IF(TArticle[[#This Row],[کد طرف حساب]]&gt;0,VLOOKUP(TArticle[[#This Row],[کد طرف حساب]],TContact[],2,FALSE),"")</f>
        <v/>
      </c>
      <c r="O87" s="61" t="str">
        <f>IF(TArticle[[#This Row],[کد طرف حساب]]&gt;0,VLOOKUP(TArticle[[#This Row],[کد طرف حساب]],TContact[],7,FALSE)-SUMIF($M$2:M87,M87,$E$2:$E87),"")</f>
        <v/>
      </c>
      <c r="P87" s="27" t="str">
        <f>RIGHT(TArticle[[#This Row],[تاریخ]],2)</f>
        <v>01</v>
      </c>
      <c r="Q87" s="27">
        <f>VLOOKUP(TArticle[[#This Row],[تاریخ]],TDays[],16,FALSE)</f>
        <v>14</v>
      </c>
      <c r="R87" s="27" t="str">
        <f>RIGHT(LEFT(TArticle[[#This Row],[تاریخ]],7),2)</f>
        <v>04</v>
      </c>
      <c r="S87" s="27" t="str">
        <f>LEFT(TArticle[[#This Row],[تاریخ]],4)</f>
        <v>1401</v>
      </c>
      <c r="U87" s="21">
        <f>VLOOKUP(TArticle[[#This Row],[شناسه]],TAccount[],7,TRUE)</f>
        <v>3000</v>
      </c>
      <c r="W87" s="21">
        <f>IF(AND(TArticle[[#This Row],[مبلغ]]&gt;0, TArticle[[#This Row],[کد وضعیت سند]]=1),TArticle[[#This Row],[مبلغ]],0)</f>
        <v>1000</v>
      </c>
      <c r="X87" s="27">
        <f>IF(AND(TArticle[[#This Row],[مبلغ]]&lt;0,TArticle[[#This Row],[کد وضعیت سند]]=1),0-TArticle[[#This Row],[مبلغ]],0)</f>
        <v>0</v>
      </c>
      <c r="Y87" s="27">
        <v>30</v>
      </c>
      <c r="Z87" t="str">
        <f>IF(TArticle[[#This Row],[کد بانک]]&gt;0,VLOOKUP(TArticle[[#This Row],[کد بانک]],TBank[],2,FALSE),"")</f>
        <v>بن کارت</v>
      </c>
      <c r="AA87">
        <f>IF(AND(TArticle[[#This Row],[مبلغ]]&lt;0,TArticle[[#This Row],[کد وضعیت سند]]=1),0-TArticle[[#This Row],[مبلغ]],0)</f>
        <v>0</v>
      </c>
      <c r="AB87">
        <f>IF(AND(TArticle[[#This Row],[مبلغ]]&gt;0, TArticle[[#This Row],[کد وضعیت سند]]=1),TArticle[[#This Row],[مبلغ]],0)</f>
        <v>1000</v>
      </c>
      <c r="AC87" s="84">
        <f>IF(TArticle[[#This Row],[کد بانک]]&gt;0,VLOOKUP(TArticle[[#This Row],[کد بانک]],TBank[],9,FALSE)+SUMIF($Y$2:Y87,Y87,$E$2:$E87),"")</f>
        <v>1000</v>
      </c>
      <c r="AD87" s="1">
        <f>IFERROR(IF(INT(LEFT(TArticle[[#This Row],[شناسه]]))=3,IF(TArticle[[#This Row],[کد وضعیت سند]]=1,TArticle[مبلغ],0),0),0)</f>
        <v>0</v>
      </c>
      <c r="AE87" s="1">
        <f>IFERROR(IF(((TArticle[[#This Row],[شناسه]]))="4.1.1",IF(TArticle[[#This Row],[کد وضعیت سند]]=1,TArticle[مبلغ],0),0),0)</f>
        <v>0</v>
      </c>
      <c r="AF87" s="1">
        <f>IFERROR(IF(((TArticle[[#This Row],[شناسه]]))="4.1.2",IF(TArticle[[#This Row],[کد وضعیت سند]]=1,TArticle[مبلغ],0),0),0)</f>
        <v>0</v>
      </c>
      <c r="AG87" s="1">
        <f>IFERROR(IF(INT(LEFT(TArticle[[#This Row],[شناسه]]))=1,IF(TArticle[[#This Row],[کد وضعیت سند]]=1,TArticle[مبلغ],0),0),0)</f>
        <v>0</v>
      </c>
      <c r="AH87" s="1">
        <f>IFERROR(IF(INT(LEFT(TArticle[[#This Row],[شناسه]]))=2,IF(TArticle[[#This Row],[کد وضعیت سند]]=1,TArticle[مبلغ],0),0),0)</f>
        <v>0</v>
      </c>
      <c r="AI87" s="1">
        <f>IFERROR(IF((LEFT(TArticle[[#This Row],[شناسه]],3))="5.2",IF(TArticle[[#This Row],[کد وضعیت سند]]=1,TArticle[مبلغ],0),0),0)</f>
        <v>0</v>
      </c>
      <c r="AJ87" s="1">
        <f>IF(TArticle[[#This Row],[کد وضعیت سند]]=1,1,0)</f>
        <v>1</v>
      </c>
      <c r="AK87" s="1">
        <f>IF(AND(TArticle[[#This Row],[کد وضعیت سند]]&lt;&gt;1,TArticle[[#This Row],[مبلغ]]&lt;&gt;0),1,0)</f>
        <v>0</v>
      </c>
      <c r="AL87" s="51">
        <f>IF(TArticle[[#This Row],[کد بانک]]&gt;0,TArticle[[#This Row],[مانده بانک]]-VLOOKUP(TArticle[[#This Row],[کد بانک]],TBank[],7,FALSE),"")</f>
        <v>1000</v>
      </c>
      <c r="AM87" s="49" t="str">
        <f>LEFT(TArticle[[#This Row],[تاریخ]],7)</f>
        <v>1401-04</v>
      </c>
    </row>
    <row r="88" spans="1:39" hidden="1" x14ac:dyDescent="0.25">
      <c r="A88" s="24" t="s">
        <v>43</v>
      </c>
      <c r="B88" s="49" t="str">
        <f>VLOOKUP(TArticle[[#This Row],[شناسه]],TAccount[],2,TRUE)</f>
        <v>حقوق</v>
      </c>
      <c r="C88" s="49" t="str">
        <f>VLOOKUP(TArticle[[#This Row],[تاریخ]],TDays[],7,FALSE)</f>
        <v>چهارشنبه</v>
      </c>
      <c r="D88" s="21" t="s">
        <v>295</v>
      </c>
      <c r="E88" s="1">
        <v>37913</v>
      </c>
      <c r="F88" s="1">
        <f>TArticle[[#This Row],[مبلغ]]+IFERROR(INT(F87),30181+3667+958)</f>
        <v>42580</v>
      </c>
      <c r="H88" s="64"/>
      <c r="J88" s="65"/>
      <c r="K88" s="64">
        <v>1</v>
      </c>
      <c r="L88" s="66" t="str">
        <f>IF(TArticle[[#This Row],[کد وضعیت سند]]&gt;0,VLOOKUP(TArticle[[#This Row],[کد وضعیت سند]],TDocState[],2,FALSE),"")</f>
        <v>انجام شد</v>
      </c>
      <c r="M88" s="67"/>
      <c r="N88" t="str">
        <f>IF(TArticle[[#This Row],[کد طرف حساب]]&gt;0,VLOOKUP(TArticle[[#This Row],[کد طرف حساب]],TContact[],2,FALSE),"")</f>
        <v/>
      </c>
      <c r="O88" s="68" t="str">
        <f>IF(TArticle[[#This Row],[کد طرف حساب]]&gt;0,VLOOKUP(TArticle[[#This Row],[کد طرف حساب]],TContact[],7,FALSE)-SUMIF($M$2:M88,M88,$E$2:$E88),"")</f>
        <v/>
      </c>
      <c r="P88" s="67" t="str">
        <f>RIGHT(TArticle[[#This Row],[تاریخ]],2)</f>
        <v>01</v>
      </c>
      <c r="Q88" s="67">
        <f>VLOOKUP(TArticle[[#This Row],[تاریخ]],TDays[],16,FALSE)</f>
        <v>14</v>
      </c>
      <c r="R88" s="67" t="str">
        <f>RIGHT(LEFT(TArticle[[#This Row],[تاریخ]],7),2)</f>
        <v>04</v>
      </c>
      <c r="S88" s="67" t="str">
        <f>LEFT(TArticle[[#This Row],[تاریخ]],4)</f>
        <v>1401</v>
      </c>
      <c r="T88" s="64"/>
      <c r="U88" s="64">
        <f>VLOOKUP(TArticle[[#This Row],[شناسه]],TAccount[],7,TRUE)</f>
        <v>416023</v>
      </c>
      <c r="V88" s="64"/>
      <c r="W88" s="64">
        <f>IF(AND(TArticle[[#This Row],[مبلغ]]&gt;0, TArticle[[#This Row],[کد وضعیت سند]]=1),TArticle[[#This Row],[مبلغ]],0)</f>
        <v>37913</v>
      </c>
      <c r="X88" s="67">
        <f>IF(AND(TArticle[[#This Row],[مبلغ]]&lt;0,TArticle[[#This Row],[کد وضعیت سند]]=1),0-TArticle[[#This Row],[مبلغ]],0)</f>
        <v>0</v>
      </c>
      <c r="Y88" s="67">
        <v>2</v>
      </c>
      <c r="Z88" t="str">
        <f>IF(TArticle[[#This Row],[کد بانک]]&gt;0,VLOOKUP(TArticle[[#This Row],[کد بانک]],TBank[],2,FALSE),"")</f>
        <v>ملی جاری</v>
      </c>
      <c r="AA88">
        <f>IF(AND(TArticle[[#This Row],[مبلغ]]&lt;0,TArticle[[#This Row],[کد وضعیت سند]]=1),0-TArticle[[#This Row],[مبلغ]],0)</f>
        <v>0</v>
      </c>
      <c r="AB88">
        <f>IF(AND(TArticle[[#This Row],[مبلغ]]&gt;0, TArticle[[#This Row],[کد وضعیت سند]]=1),TArticle[[#This Row],[مبلغ]],0)</f>
        <v>37913</v>
      </c>
      <c r="AC88" s="93">
        <f>IF(TArticle[[#This Row],[کد بانک]]&gt;0,VLOOKUP(TArticle[[#This Row],[کد بانک]],TBank[],9,FALSE)+SUMIF($Y$2:Y88,Y88,$E$2:$E88),"")</f>
        <v>38209</v>
      </c>
      <c r="AD88" s="1">
        <f>IFERROR(IF(INT(LEFT(TArticle[[#This Row],[شناسه]]))=3,IF(TArticle[[#This Row],[کد وضعیت سند]]=1,TArticle[مبلغ],0),0),0)</f>
        <v>0</v>
      </c>
      <c r="AE88" s="1">
        <f>IFERROR(IF(((TArticle[[#This Row],[شناسه]]))="4.1.1",IF(TArticle[[#This Row],[کد وضعیت سند]]=1,TArticle[مبلغ],0),0),0)</f>
        <v>37913</v>
      </c>
      <c r="AF88" s="1">
        <f>IFERROR(IF(((TArticle[[#This Row],[شناسه]]))="4.1.2",IF(TArticle[[#This Row],[کد وضعیت سند]]=1,TArticle[مبلغ],0),0),0)</f>
        <v>0</v>
      </c>
      <c r="AG88" s="1">
        <f>IFERROR(IF(INT(LEFT(TArticle[[#This Row],[شناسه]]))=1,IF(TArticle[[#This Row],[کد وضعیت سند]]=1,TArticle[مبلغ],0),0),0)</f>
        <v>0</v>
      </c>
      <c r="AH88" s="1">
        <f>IFERROR(IF(INT(LEFT(TArticle[[#This Row],[شناسه]]))=2,IF(TArticle[[#This Row],[کد وضعیت سند]]=1,TArticle[مبلغ],0),0),0)</f>
        <v>0</v>
      </c>
      <c r="AI88" s="1">
        <f>IFERROR(IF((LEFT(TArticle[[#This Row],[شناسه]],3))="5.2",IF(TArticle[[#This Row],[کد وضعیت سند]]=1,TArticle[مبلغ],0),0),0)</f>
        <v>0</v>
      </c>
      <c r="AJ88" s="1">
        <f>IF(TArticle[[#This Row],[کد وضعیت سند]]=1,1,0)</f>
        <v>1</v>
      </c>
      <c r="AK88" s="1">
        <f>IF(AND(TArticle[[#This Row],[کد وضعیت سند]]&lt;&gt;1,TArticle[[#This Row],[مبلغ]]&lt;&gt;0),1,0)</f>
        <v>0</v>
      </c>
      <c r="AL88" s="78">
        <f>IF(TArticle[[#This Row],[کد بانک]]&gt;0,TArticle[[#This Row],[مانده بانک]]-VLOOKUP(TArticle[[#This Row],[کد بانک]],TBank[],7,FALSE),"")</f>
        <v>38209</v>
      </c>
      <c r="AM88" s="58" t="str">
        <f>LEFT(TArticle[[#This Row],[تاریخ]],7)</f>
        <v>1401-04</v>
      </c>
    </row>
    <row r="89" spans="1:39" hidden="1" x14ac:dyDescent="0.25">
      <c r="A89" s="24" t="s">
        <v>1110</v>
      </c>
      <c r="B89" s="49" t="str">
        <f>VLOOKUP(TArticle[[#This Row],[شناسه]],TAccount[],2,TRUE)</f>
        <v>قسط وام بانکی</v>
      </c>
      <c r="C89" s="49" t="str">
        <f>VLOOKUP(TArticle[[#This Row],[تاریخ]],TDays[],7,FALSE)</f>
        <v>چهارشنبه</v>
      </c>
      <c r="D89" s="21" t="s">
        <v>295</v>
      </c>
      <c r="E89" s="1">
        <v>-1830</v>
      </c>
      <c r="F89" s="1">
        <f>TArticle[[#This Row],[مبلغ]]+IFERROR(INT(F88),30181+3667+958)</f>
        <v>40750</v>
      </c>
      <c r="G89" t="s">
        <v>1591</v>
      </c>
      <c r="H89" s="21">
        <v>12</v>
      </c>
      <c r="K89" s="21">
        <v>1</v>
      </c>
      <c r="L89" t="str">
        <f>IF(TArticle[[#This Row],[کد وضعیت سند]]&gt;0,VLOOKUP(TArticle[[#This Row],[کد وضعیت سند]],TDocState[],2,FALSE),"")</f>
        <v>انجام شد</v>
      </c>
      <c r="M89" s="27">
        <v>110</v>
      </c>
      <c r="N89" t="str">
        <f>IF(TArticle[[#This Row],[کد طرف حساب]]&gt;0,VLOOKUP(TArticle[[#This Row],[کد طرف حساب]],TContact[],2,FALSE),"")</f>
        <v>وام ملت</v>
      </c>
      <c r="O89" s="61">
        <f>IF(TArticle[[#This Row],[کد طرف حساب]]&gt;0,VLOOKUP(TArticle[[#This Row],[کد طرف حساب]],TContact[],7,FALSE)-SUMIF($M$2:M89,M89,$E$2:$E89),"")</f>
        <v>-42680</v>
      </c>
      <c r="P89" s="27" t="str">
        <f>RIGHT(TArticle[[#This Row],[تاریخ]],2)</f>
        <v>01</v>
      </c>
      <c r="Q89" s="27">
        <f>VLOOKUP(TArticle[[#This Row],[تاریخ]],TDays[],16,FALSE)</f>
        <v>14</v>
      </c>
      <c r="R89" s="27" t="str">
        <f>RIGHT(LEFT(TArticle[[#This Row],[تاریخ]],7),2)</f>
        <v>04</v>
      </c>
      <c r="S89" s="27" t="str">
        <f>LEFT(TArticle[[#This Row],[تاریخ]],4)</f>
        <v>1401</v>
      </c>
      <c r="U89" s="21">
        <f>VLOOKUP(TArticle[[#This Row],[شناسه]],TAccount[],7,TRUE)</f>
        <v>81652</v>
      </c>
      <c r="V89" s="21" t="s">
        <v>267</v>
      </c>
      <c r="W89" s="21">
        <f>IF(AND(TArticle[[#This Row],[مبلغ]]&gt;0, TArticle[[#This Row],[کد وضعیت سند]]=1),TArticle[[#This Row],[مبلغ]],0)</f>
        <v>0</v>
      </c>
      <c r="X89" s="27">
        <f>IF(AND(TArticle[[#This Row],[مبلغ]]&lt;0,TArticle[[#This Row],[کد وضعیت سند]]=1),0-TArticle[[#This Row],[مبلغ]],0)</f>
        <v>1830</v>
      </c>
      <c r="Y89" s="27">
        <v>2</v>
      </c>
      <c r="Z89" t="str">
        <f>IF(TArticle[[#This Row],[کد بانک]]&gt;0,VLOOKUP(TArticle[[#This Row],[کد بانک]],TBank[],2,FALSE),"")</f>
        <v>ملی جاری</v>
      </c>
      <c r="AA89">
        <f>IF(AND(TArticle[[#This Row],[مبلغ]]&lt;0,TArticle[[#This Row],[کد وضعیت سند]]=1),0-TArticle[[#This Row],[مبلغ]],0)</f>
        <v>1830</v>
      </c>
      <c r="AB89">
        <f>IF(AND(TArticle[[#This Row],[مبلغ]]&gt;0, TArticle[[#This Row],[کد وضعیت سند]]=1),TArticle[[#This Row],[مبلغ]],0)</f>
        <v>0</v>
      </c>
      <c r="AC89" s="84">
        <f>IF(TArticle[[#This Row],[کد بانک]]&gt;0,VLOOKUP(TArticle[[#This Row],[کد بانک]],TBank[],9,FALSE)+SUMIF($Y$2:Y89,Y89,$E$2:$E89),"")</f>
        <v>36379</v>
      </c>
      <c r="AD89" s="1">
        <f>IFERROR(IF(INT(LEFT(TArticle[[#This Row],[شناسه]]))=3,IF(TArticle[[#This Row],[کد وضعیت سند]]=1,TArticle[مبلغ],0),0),0)</f>
        <v>0</v>
      </c>
      <c r="AE89" s="1">
        <f>IFERROR(IF(((TArticle[[#This Row],[شناسه]]))="4.1.1",IF(TArticle[[#This Row],[کد وضعیت سند]]=1,TArticle[مبلغ],0),0),0)</f>
        <v>0</v>
      </c>
      <c r="AF89" s="1">
        <f>IFERROR(IF(((TArticle[[#This Row],[شناسه]]))="4.1.2",IF(TArticle[[#This Row],[کد وضعیت سند]]=1,TArticle[مبلغ],0),0),0)</f>
        <v>0</v>
      </c>
      <c r="AG89" s="1">
        <f>IFERROR(IF(INT(LEFT(TArticle[[#This Row],[شناسه]]))=1,IF(TArticle[[#This Row],[کد وضعیت سند]]=1,TArticle[مبلغ],0),0),0)</f>
        <v>-1830</v>
      </c>
      <c r="AH89" s="1">
        <f>IFERROR(IF(INT(LEFT(TArticle[[#This Row],[شناسه]]))=2,IF(TArticle[[#This Row],[کد وضعیت سند]]=1,TArticle[مبلغ],0),0),0)</f>
        <v>0</v>
      </c>
      <c r="AI89" s="1">
        <f>IFERROR(IF((LEFT(TArticle[[#This Row],[شناسه]],3))="5.2",IF(TArticle[[#This Row],[کد وضعیت سند]]=1,TArticle[مبلغ],0),0),0)</f>
        <v>0</v>
      </c>
      <c r="AJ89" s="1">
        <f>IF(TArticle[[#This Row],[کد وضعیت سند]]=1,1,0)</f>
        <v>1</v>
      </c>
      <c r="AK89" s="1">
        <f>IF(AND(TArticle[[#This Row],[کد وضعیت سند]]&lt;&gt;1,TArticle[[#This Row],[مبلغ]]&lt;&gt;0),1,0)</f>
        <v>0</v>
      </c>
      <c r="AL89" s="51">
        <f>IF(TArticle[[#This Row],[کد بانک]]&gt;0,TArticle[[#This Row],[مانده بانک]]-VLOOKUP(TArticle[[#This Row],[کد بانک]],TBank[],7,FALSE),"")</f>
        <v>36379</v>
      </c>
      <c r="AM89" s="49" t="str">
        <f>LEFT(TArticle[[#This Row],[تاریخ]],7)</f>
        <v>1401-04</v>
      </c>
    </row>
    <row r="90" spans="1:39" hidden="1" x14ac:dyDescent="0.25">
      <c r="A90" s="24" t="s">
        <v>1110</v>
      </c>
      <c r="B90" s="49" t="str">
        <f>VLOOKUP(TArticle[[#This Row],[شناسه]],TAccount[],2,TRUE)</f>
        <v>قسط وام بانکی</v>
      </c>
      <c r="C90" s="49" t="str">
        <f>VLOOKUP(TArticle[[#This Row],[تاریخ]],TDays[],7,FALSE)</f>
        <v>چهارشنبه</v>
      </c>
      <c r="D90" s="21" t="s">
        <v>295</v>
      </c>
      <c r="E90" s="1">
        <v>-1830</v>
      </c>
      <c r="F90" s="1">
        <f>TArticle[[#This Row],[مبلغ]]+IFERROR(INT(F89),30181+3667+958)</f>
        <v>38920</v>
      </c>
      <c r="G90" t="s">
        <v>1591</v>
      </c>
      <c r="H90" s="21">
        <v>12</v>
      </c>
      <c r="K90" s="21">
        <v>1</v>
      </c>
      <c r="L90" t="str">
        <f>IF(TArticle[[#This Row],[کد وضعیت سند]]&gt;0,VLOOKUP(TArticle[[#This Row],[کد وضعیت سند]],TDocState[],2,FALSE),"")</f>
        <v>انجام شد</v>
      </c>
      <c r="M90" s="27">
        <v>111</v>
      </c>
      <c r="N90" t="str">
        <f>IF(TArticle[[#This Row],[کد طرف حساب]]&gt;0,VLOOKUP(TArticle[[#This Row],[کد طرف حساب]],TContact[],2,FALSE),"")</f>
        <v>وام ملت ف</v>
      </c>
      <c r="O90" s="61">
        <f>IF(TArticle[[#This Row],[کد طرف حساب]]&gt;0,VLOOKUP(TArticle[[#This Row],[کد طرف حساب]],TContact[],7,FALSE)-SUMIF($M$2:M90,M90,$E$2:$E90),"")</f>
        <v>-42680</v>
      </c>
      <c r="P90" s="27" t="str">
        <f>RIGHT(TArticle[[#This Row],[تاریخ]],2)</f>
        <v>01</v>
      </c>
      <c r="Q90" s="27">
        <f>VLOOKUP(TArticle[[#This Row],[تاریخ]],TDays[],16,FALSE)</f>
        <v>14</v>
      </c>
      <c r="R90" s="27" t="str">
        <f>RIGHT(LEFT(TArticle[[#This Row],[تاریخ]],7),2)</f>
        <v>04</v>
      </c>
      <c r="S90" s="27" t="str">
        <f>LEFT(TArticle[[#This Row],[تاریخ]],4)</f>
        <v>1401</v>
      </c>
      <c r="U90" s="21">
        <f>VLOOKUP(TArticle[[#This Row],[شناسه]],TAccount[],7,TRUE)</f>
        <v>81652</v>
      </c>
      <c r="V90" s="21" t="s">
        <v>267</v>
      </c>
      <c r="W90" s="21">
        <f>IF(AND(TArticle[[#This Row],[مبلغ]]&gt;0, TArticle[[#This Row],[کد وضعیت سند]]=1),TArticle[[#This Row],[مبلغ]],0)</f>
        <v>0</v>
      </c>
      <c r="X90" s="27">
        <f>IF(AND(TArticle[[#This Row],[مبلغ]]&lt;0,TArticle[[#This Row],[کد وضعیت سند]]=1),0-TArticle[[#This Row],[مبلغ]],0)</f>
        <v>1830</v>
      </c>
      <c r="Y90" s="27">
        <v>2</v>
      </c>
      <c r="Z90" t="str">
        <f>IF(TArticle[[#This Row],[کد بانک]]&gt;0,VLOOKUP(TArticle[[#This Row],[کد بانک]],TBank[],2,FALSE),"")</f>
        <v>ملی جاری</v>
      </c>
      <c r="AA90">
        <f>IF(AND(TArticle[[#This Row],[مبلغ]]&lt;0,TArticle[[#This Row],[کد وضعیت سند]]=1),0-TArticle[[#This Row],[مبلغ]],0)</f>
        <v>1830</v>
      </c>
      <c r="AB90">
        <f>IF(AND(TArticle[[#This Row],[مبلغ]]&gt;0, TArticle[[#This Row],[کد وضعیت سند]]=1),TArticle[[#This Row],[مبلغ]],0)</f>
        <v>0</v>
      </c>
      <c r="AC90" s="84">
        <f>IF(TArticle[[#This Row],[کد بانک]]&gt;0,VLOOKUP(TArticle[[#This Row],[کد بانک]],TBank[],9,FALSE)+SUMIF($Y$2:Y90,Y90,$E$2:$E90),"")</f>
        <v>34549</v>
      </c>
      <c r="AD90" s="1">
        <f>IFERROR(IF(INT(LEFT(TArticle[[#This Row],[شناسه]]))=3,IF(TArticle[[#This Row],[کد وضعیت سند]]=1,TArticle[مبلغ],0),0),0)</f>
        <v>0</v>
      </c>
      <c r="AE90" s="1">
        <f>IFERROR(IF(((TArticle[[#This Row],[شناسه]]))="4.1.1",IF(TArticle[[#This Row],[کد وضعیت سند]]=1,TArticle[مبلغ],0),0),0)</f>
        <v>0</v>
      </c>
      <c r="AF90" s="1">
        <f>IFERROR(IF(((TArticle[[#This Row],[شناسه]]))="4.1.2",IF(TArticle[[#This Row],[کد وضعیت سند]]=1,TArticle[مبلغ],0),0),0)</f>
        <v>0</v>
      </c>
      <c r="AG90" s="1">
        <f>IFERROR(IF(INT(LEFT(TArticle[[#This Row],[شناسه]]))=1,IF(TArticle[[#This Row],[کد وضعیت سند]]=1,TArticle[مبلغ],0),0),0)</f>
        <v>-1830</v>
      </c>
      <c r="AH90" s="1">
        <f>IFERROR(IF(INT(LEFT(TArticle[[#This Row],[شناسه]]))=2,IF(TArticle[[#This Row],[کد وضعیت سند]]=1,TArticle[مبلغ],0),0),0)</f>
        <v>0</v>
      </c>
      <c r="AI90" s="1">
        <f>IFERROR(IF((LEFT(TArticle[[#This Row],[شناسه]],3))="5.2",IF(TArticle[[#This Row],[کد وضعیت سند]]=1,TArticle[مبلغ],0),0),0)</f>
        <v>0</v>
      </c>
      <c r="AJ90" s="1">
        <f>IF(TArticle[[#This Row],[کد وضعیت سند]]=1,1,0)</f>
        <v>1</v>
      </c>
      <c r="AK90" s="1">
        <f>IF(AND(TArticle[[#This Row],[کد وضعیت سند]]&lt;&gt;1,TArticle[[#This Row],[مبلغ]]&lt;&gt;0),1,0)</f>
        <v>0</v>
      </c>
      <c r="AL90" s="51">
        <f>IF(TArticle[[#This Row],[کد بانک]]&gt;0,TArticle[[#This Row],[مانده بانک]]-VLOOKUP(TArticle[[#This Row],[کد بانک]],TBank[],7,FALSE),"")</f>
        <v>34549</v>
      </c>
      <c r="AM90" s="49" t="str">
        <f>LEFT(TArticle[[#This Row],[تاریخ]],7)</f>
        <v>1401-04</v>
      </c>
    </row>
    <row r="91" spans="1:39" hidden="1" x14ac:dyDescent="0.25">
      <c r="A91" s="24" t="s">
        <v>1110</v>
      </c>
      <c r="B91" s="49" t="str">
        <f>VLOOKUP(TArticle[[#This Row],[شناسه]],TAccount[],2,TRUE)</f>
        <v>قسط وام بانکی</v>
      </c>
      <c r="C91" s="49" t="str">
        <f>VLOOKUP(TArticle[[#This Row],[تاریخ]],TDays[],7,FALSE)</f>
        <v>چهارشنبه</v>
      </c>
      <c r="D91" s="21" t="s">
        <v>295</v>
      </c>
      <c r="E91" s="1">
        <v>-1830</v>
      </c>
      <c r="F91" s="1">
        <f>TArticle[[#This Row],[مبلغ]]+IFERROR(INT(F90),30181+3667+958)</f>
        <v>37090</v>
      </c>
      <c r="G91" t="s">
        <v>1591</v>
      </c>
      <c r="H91" s="21">
        <v>13</v>
      </c>
      <c r="K91" s="21">
        <v>1</v>
      </c>
      <c r="L91" t="str">
        <f>IF(TArticle[[#This Row],[کد وضعیت سند]]&gt;0,VLOOKUP(TArticle[[#This Row],[کد وضعیت سند]],TDocState[],2,FALSE),"")</f>
        <v>انجام شد</v>
      </c>
      <c r="M91" s="27">
        <v>110</v>
      </c>
      <c r="N91" t="str">
        <f>IF(TArticle[[#This Row],[کد طرف حساب]]&gt;0,VLOOKUP(TArticle[[#This Row],[کد طرف حساب]],TContact[],2,FALSE),"")</f>
        <v>وام ملت</v>
      </c>
      <c r="O91" s="61">
        <f>IF(TArticle[[#This Row],[کد طرف حساب]]&gt;0,VLOOKUP(TArticle[[#This Row],[کد طرف حساب]],TContact[],7,FALSE)-SUMIF($M$2:M91,M91,$E$2:$E91),"")</f>
        <v>-40850</v>
      </c>
      <c r="P91" s="27" t="str">
        <f>RIGHT(TArticle[[#This Row],[تاریخ]],2)</f>
        <v>01</v>
      </c>
      <c r="Q91" s="27">
        <f>VLOOKUP(TArticle[[#This Row],[تاریخ]],TDays[],16,FALSE)</f>
        <v>14</v>
      </c>
      <c r="R91" s="27" t="str">
        <f>RIGHT(LEFT(TArticle[[#This Row],[تاریخ]],7),2)</f>
        <v>04</v>
      </c>
      <c r="S91" s="27" t="str">
        <f>LEFT(TArticle[[#This Row],[تاریخ]],4)</f>
        <v>1401</v>
      </c>
      <c r="U91" s="21">
        <f>VLOOKUP(TArticle[[#This Row],[شناسه]],TAccount[],7,TRUE)</f>
        <v>81652</v>
      </c>
      <c r="V91" s="21" t="s">
        <v>297</v>
      </c>
      <c r="W91" s="21">
        <f>IF(AND(TArticle[[#This Row],[مبلغ]]&gt;0, TArticle[[#This Row],[کد وضعیت سند]]=1),TArticle[[#This Row],[مبلغ]],0)</f>
        <v>0</v>
      </c>
      <c r="X91" s="27">
        <f>IF(AND(TArticle[[#This Row],[مبلغ]]&lt;0,TArticle[[#This Row],[کد وضعیت سند]]=1),0-TArticle[[#This Row],[مبلغ]],0)</f>
        <v>1830</v>
      </c>
      <c r="Y91" s="27">
        <v>2</v>
      </c>
      <c r="Z91" t="str">
        <f>IF(TArticle[[#This Row],[کد بانک]]&gt;0,VLOOKUP(TArticle[[#This Row],[کد بانک]],TBank[],2,FALSE),"")</f>
        <v>ملی جاری</v>
      </c>
      <c r="AA91">
        <f>IF(AND(TArticle[[#This Row],[مبلغ]]&lt;0,TArticle[[#This Row],[کد وضعیت سند]]=1),0-TArticle[[#This Row],[مبلغ]],0)</f>
        <v>1830</v>
      </c>
      <c r="AB91">
        <f>IF(AND(TArticle[[#This Row],[مبلغ]]&gt;0, TArticle[[#This Row],[کد وضعیت سند]]=1),TArticle[[#This Row],[مبلغ]],0)</f>
        <v>0</v>
      </c>
      <c r="AC91" s="84">
        <f>IF(TArticle[[#This Row],[کد بانک]]&gt;0,VLOOKUP(TArticle[[#This Row],[کد بانک]],TBank[],9,FALSE)+SUMIF($Y$2:Y91,Y91,$E$2:$E91),"")</f>
        <v>32719</v>
      </c>
      <c r="AD91" s="1">
        <f>IFERROR(IF(INT(LEFT(TArticle[[#This Row],[شناسه]]))=3,IF(TArticle[[#This Row],[کد وضعیت سند]]=1,TArticle[مبلغ],0),0),0)</f>
        <v>0</v>
      </c>
      <c r="AE91" s="1">
        <f>IFERROR(IF(((TArticle[[#This Row],[شناسه]]))="4.1.1",IF(TArticle[[#This Row],[کد وضعیت سند]]=1,TArticle[مبلغ],0),0),0)</f>
        <v>0</v>
      </c>
      <c r="AF91" s="1">
        <f>IFERROR(IF(((TArticle[[#This Row],[شناسه]]))="4.1.2",IF(TArticle[[#This Row],[کد وضعیت سند]]=1,TArticle[مبلغ],0),0),0)</f>
        <v>0</v>
      </c>
      <c r="AG91" s="1">
        <f>IFERROR(IF(INT(LEFT(TArticle[[#This Row],[شناسه]]))=1,IF(TArticle[[#This Row],[کد وضعیت سند]]=1,TArticle[مبلغ],0),0),0)</f>
        <v>-1830</v>
      </c>
      <c r="AH91" s="1">
        <f>IFERROR(IF(INT(LEFT(TArticle[[#This Row],[شناسه]]))=2,IF(TArticle[[#This Row],[کد وضعیت سند]]=1,TArticle[مبلغ],0),0),0)</f>
        <v>0</v>
      </c>
      <c r="AI91" s="1">
        <f>IFERROR(IF((LEFT(TArticle[[#This Row],[شناسه]],3))="5.2",IF(TArticle[[#This Row],[کد وضعیت سند]]=1,TArticle[مبلغ],0),0),0)</f>
        <v>0</v>
      </c>
      <c r="AJ91" s="1">
        <f>IF(TArticle[[#This Row],[کد وضعیت سند]]=1,1,0)</f>
        <v>1</v>
      </c>
      <c r="AK91" s="1">
        <f>IF(AND(TArticle[[#This Row],[کد وضعیت سند]]&lt;&gt;1,TArticle[[#This Row],[مبلغ]]&lt;&gt;0),1,0)</f>
        <v>0</v>
      </c>
      <c r="AL91" s="51">
        <f>IF(TArticle[[#This Row],[کد بانک]]&gt;0,TArticle[[#This Row],[مانده بانک]]-VLOOKUP(TArticle[[#This Row],[کد بانک]],TBank[],7,FALSE),"")</f>
        <v>32719</v>
      </c>
      <c r="AM91" s="49" t="str">
        <f>LEFT(TArticle[[#This Row],[تاریخ]],7)</f>
        <v>1401-04</v>
      </c>
    </row>
    <row r="92" spans="1:39" hidden="1" x14ac:dyDescent="0.25">
      <c r="A92" s="24" t="s">
        <v>1110</v>
      </c>
      <c r="B92" s="49" t="str">
        <f>VLOOKUP(TArticle[[#This Row],[شناسه]],TAccount[],2,TRUE)</f>
        <v>قسط وام بانکی</v>
      </c>
      <c r="C92" s="49" t="str">
        <f>VLOOKUP(TArticle[[#This Row],[تاریخ]],TDays[],7,FALSE)</f>
        <v>چهارشنبه</v>
      </c>
      <c r="D92" s="21" t="s">
        <v>295</v>
      </c>
      <c r="E92" s="1">
        <v>-1830</v>
      </c>
      <c r="F92" s="1">
        <f>TArticle[[#This Row],[مبلغ]]+IFERROR(INT(F91),30181+3667+958)</f>
        <v>35260</v>
      </c>
      <c r="G92" t="s">
        <v>1591</v>
      </c>
      <c r="H92" s="21">
        <v>13</v>
      </c>
      <c r="K92" s="21">
        <v>1</v>
      </c>
      <c r="L92" t="str">
        <f>IF(TArticle[[#This Row],[کد وضعیت سند]]&gt;0,VLOOKUP(TArticle[[#This Row],[کد وضعیت سند]],TDocState[],2,FALSE),"")</f>
        <v>انجام شد</v>
      </c>
      <c r="M92" s="27">
        <v>111</v>
      </c>
      <c r="N92" t="str">
        <f>IF(TArticle[[#This Row],[کد طرف حساب]]&gt;0,VLOOKUP(TArticle[[#This Row],[کد طرف حساب]],TContact[],2,FALSE),"")</f>
        <v>وام ملت ف</v>
      </c>
      <c r="O92" s="61">
        <f>IF(TArticle[[#This Row],[کد طرف حساب]]&gt;0,VLOOKUP(TArticle[[#This Row],[کد طرف حساب]],TContact[],7,FALSE)-SUMIF($M$2:M92,M92,$E$2:$E92),"")</f>
        <v>-40850</v>
      </c>
      <c r="P92" s="27" t="str">
        <f>RIGHT(TArticle[[#This Row],[تاریخ]],2)</f>
        <v>01</v>
      </c>
      <c r="Q92" s="27">
        <f>VLOOKUP(TArticle[[#This Row],[تاریخ]],TDays[],16,FALSE)</f>
        <v>14</v>
      </c>
      <c r="R92" s="27" t="str">
        <f>RIGHT(LEFT(TArticle[[#This Row],[تاریخ]],7),2)</f>
        <v>04</v>
      </c>
      <c r="S92" s="27" t="str">
        <f>LEFT(TArticle[[#This Row],[تاریخ]],4)</f>
        <v>1401</v>
      </c>
      <c r="U92" s="21">
        <f>VLOOKUP(TArticle[[#This Row],[شناسه]],TAccount[],7,TRUE)</f>
        <v>81652</v>
      </c>
      <c r="V92" s="21" t="s">
        <v>297</v>
      </c>
      <c r="W92" s="21">
        <f>IF(AND(TArticle[[#This Row],[مبلغ]]&gt;0, TArticle[[#This Row],[کد وضعیت سند]]=1),TArticle[[#This Row],[مبلغ]],0)</f>
        <v>0</v>
      </c>
      <c r="X92" s="27">
        <f>IF(AND(TArticle[[#This Row],[مبلغ]]&lt;0,TArticle[[#This Row],[کد وضعیت سند]]=1),0-TArticle[[#This Row],[مبلغ]],0)</f>
        <v>1830</v>
      </c>
      <c r="Y92" s="27">
        <v>2</v>
      </c>
      <c r="Z92" t="str">
        <f>IF(TArticle[[#This Row],[کد بانک]]&gt;0,VLOOKUP(TArticle[[#This Row],[کد بانک]],TBank[],2,FALSE),"")</f>
        <v>ملی جاری</v>
      </c>
      <c r="AA92">
        <f>IF(AND(TArticle[[#This Row],[مبلغ]]&lt;0,TArticle[[#This Row],[کد وضعیت سند]]=1),0-TArticle[[#This Row],[مبلغ]],0)</f>
        <v>1830</v>
      </c>
      <c r="AB92">
        <f>IF(AND(TArticle[[#This Row],[مبلغ]]&gt;0, TArticle[[#This Row],[کد وضعیت سند]]=1),TArticle[[#This Row],[مبلغ]],0)</f>
        <v>0</v>
      </c>
      <c r="AC92" s="84">
        <f>IF(TArticle[[#This Row],[کد بانک]]&gt;0,VLOOKUP(TArticle[[#This Row],[کد بانک]],TBank[],9,FALSE)+SUMIF($Y$2:Y92,Y92,$E$2:$E92),"")</f>
        <v>30889</v>
      </c>
      <c r="AD92" s="1">
        <f>IFERROR(IF(INT(LEFT(TArticle[[#This Row],[شناسه]]))=3,IF(TArticle[[#This Row],[کد وضعیت سند]]=1,TArticle[مبلغ],0),0),0)</f>
        <v>0</v>
      </c>
      <c r="AE92" s="1">
        <f>IFERROR(IF(((TArticle[[#This Row],[شناسه]]))="4.1.1",IF(TArticle[[#This Row],[کد وضعیت سند]]=1,TArticle[مبلغ],0),0),0)</f>
        <v>0</v>
      </c>
      <c r="AF92" s="1">
        <f>IFERROR(IF(((TArticle[[#This Row],[شناسه]]))="4.1.2",IF(TArticle[[#This Row],[کد وضعیت سند]]=1,TArticle[مبلغ],0),0),0)</f>
        <v>0</v>
      </c>
      <c r="AG92" s="1">
        <f>IFERROR(IF(INT(LEFT(TArticle[[#This Row],[شناسه]]))=1,IF(TArticle[[#This Row],[کد وضعیت سند]]=1,TArticle[مبلغ],0),0),0)</f>
        <v>-1830</v>
      </c>
      <c r="AH92" s="1">
        <f>IFERROR(IF(INT(LEFT(TArticle[[#This Row],[شناسه]]))=2,IF(TArticle[[#This Row],[کد وضعیت سند]]=1,TArticle[مبلغ],0),0),0)</f>
        <v>0</v>
      </c>
      <c r="AI92" s="1">
        <f>IFERROR(IF((LEFT(TArticle[[#This Row],[شناسه]],3))="5.2",IF(TArticle[[#This Row],[کد وضعیت سند]]=1,TArticle[مبلغ],0),0),0)</f>
        <v>0</v>
      </c>
      <c r="AJ92" s="1">
        <f>IF(TArticle[[#This Row],[کد وضعیت سند]]=1,1,0)</f>
        <v>1</v>
      </c>
      <c r="AK92" s="1">
        <f>IF(AND(TArticle[[#This Row],[کد وضعیت سند]]&lt;&gt;1,TArticle[[#This Row],[مبلغ]]&lt;&gt;0),1,0)</f>
        <v>0</v>
      </c>
      <c r="AL92" s="51">
        <f>IF(TArticle[[#This Row],[کد بانک]]&gt;0,TArticle[[#This Row],[مانده بانک]]-VLOOKUP(TArticle[[#This Row],[کد بانک]],TBank[],7,FALSE),"")</f>
        <v>30889</v>
      </c>
      <c r="AM92" s="49" t="str">
        <f>LEFT(TArticle[[#This Row],[تاریخ]],7)</f>
        <v>1401-04</v>
      </c>
    </row>
    <row r="93" spans="1:39" hidden="1" x14ac:dyDescent="0.25">
      <c r="A93" s="24" t="s">
        <v>1008</v>
      </c>
      <c r="B93" s="49" t="str">
        <f>VLOOKUP(TArticle[[#This Row],[شناسه]],TAccount[],2,TRUE)</f>
        <v>حواله پرداخت/برداشت</v>
      </c>
      <c r="C93" s="49" t="str">
        <f>VLOOKUP(TArticle[[#This Row],[تاریخ]],TDays[],7,FALSE)</f>
        <v>چهارشنبه</v>
      </c>
      <c r="D93" s="21" t="s">
        <v>295</v>
      </c>
      <c r="E93" s="1">
        <v>-14000</v>
      </c>
      <c r="F93" s="1">
        <f>TArticle[[#This Row],[مبلغ]]+IFERROR(INT(F92),30181+3667+958)</f>
        <v>21260</v>
      </c>
      <c r="K93" s="21">
        <v>1</v>
      </c>
      <c r="L93" t="str">
        <f>IF(TArticle[[#This Row],[کد وضعیت سند]]&gt;0,VLOOKUP(TArticle[[#This Row],[کد وضعیت سند]],TDocState[],2,FALSE),"")</f>
        <v>انجام شد</v>
      </c>
      <c r="N93" t="str">
        <f>IF(TArticle[[#This Row],[کد طرف حساب]]&gt;0,VLOOKUP(TArticle[[#This Row],[کد طرف حساب]],TContact[],2,FALSE),"")</f>
        <v/>
      </c>
      <c r="O93" s="61" t="str">
        <f>IF(TArticle[[#This Row],[کد طرف حساب]]&gt;0,VLOOKUP(TArticle[[#This Row],[کد طرف حساب]],TContact[],7,FALSE)-SUMIF($M$2:M93,M93,$E$2:$E93),"")</f>
        <v/>
      </c>
      <c r="P93" s="27" t="str">
        <f>RIGHT(TArticle[[#This Row],[تاریخ]],2)</f>
        <v>01</v>
      </c>
      <c r="Q93" s="27">
        <f>VLOOKUP(TArticle[[#This Row],[تاریخ]],TDays[],16,FALSE)</f>
        <v>14</v>
      </c>
      <c r="R93" s="27" t="str">
        <f>RIGHT(LEFT(TArticle[[#This Row],[تاریخ]],7),2)</f>
        <v>04</v>
      </c>
      <c r="S93" s="27" t="str">
        <f>LEFT(TArticle[[#This Row],[تاریخ]],4)</f>
        <v>1401</v>
      </c>
      <c r="U93" s="21">
        <f>VLOOKUP(TArticle[[#This Row],[شناسه]],TAccount[],7,TRUE)</f>
        <v>179525</v>
      </c>
      <c r="W93" s="21">
        <f>IF(AND(TArticle[[#This Row],[مبلغ]]&gt;0, TArticle[[#This Row],[کد وضعیت سند]]=1),TArticle[[#This Row],[مبلغ]],0)</f>
        <v>0</v>
      </c>
      <c r="X93" s="27">
        <f>IF(AND(TArticle[[#This Row],[مبلغ]]&lt;0,TArticle[[#This Row],[کد وضعیت سند]]=1),0-TArticle[[#This Row],[مبلغ]],0)</f>
        <v>14000</v>
      </c>
      <c r="Y93" s="27">
        <v>2</v>
      </c>
      <c r="Z93" t="str">
        <f>IF(TArticle[[#This Row],[کد بانک]]&gt;0,VLOOKUP(TArticle[[#This Row],[کد بانک]],TBank[],2,FALSE),"")</f>
        <v>ملی جاری</v>
      </c>
      <c r="AA93">
        <f>IF(AND(TArticle[[#This Row],[مبلغ]]&lt;0,TArticle[[#This Row],[کد وضعیت سند]]=1),0-TArticle[[#This Row],[مبلغ]],0)</f>
        <v>14000</v>
      </c>
      <c r="AB93">
        <f>IF(AND(TArticle[[#This Row],[مبلغ]]&gt;0, TArticle[[#This Row],[کد وضعیت سند]]=1),TArticle[[#This Row],[مبلغ]],0)</f>
        <v>0</v>
      </c>
      <c r="AC93" s="84">
        <f>IF(TArticle[[#This Row],[کد بانک]]&gt;0,VLOOKUP(TArticle[[#This Row],[کد بانک]],TBank[],9,FALSE)+SUMIF($Y$2:Y93,Y93,$E$2:$E93),"")</f>
        <v>16889</v>
      </c>
      <c r="AD93" s="1">
        <f>IFERROR(IF(INT(LEFT(TArticle[[#This Row],[شناسه]]))=3,IF(TArticle[[#This Row],[کد وضعیت سند]]=1,TArticle[مبلغ],0),0),0)</f>
        <v>0</v>
      </c>
      <c r="AE93" s="1">
        <f>IFERROR(IF(((TArticle[[#This Row],[شناسه]]))="4.1.1",IF(TArticle[[#This Row],[کد وضعیت سند]]=1,TArticle[مبلغ],0),0),0)</f>
        <v>0</v>
      </c>
      <c r="AF93" s="1">
        <f>IFERROR(IF(((TArticle[[#This Row],[شناسه]]))="4.1.2",IF(TArticle[[#This Row],[کد وضعیت سند]]=1,TArticle[مبلغ],0),0),0)</f>
        <v>0</v>
      </c>
      <c r="AG93" s="1">
        <f>IFERROR(IF(INT(LEFT(TArticle[[#This Row],[شناسه]]))=1,IF(TArticle[[#This Row],[کد وضعیت سند]]=1,TArticle[مبلغ],0),0),0)</f>
        <v>0</v>
      </c>
      <c r="AH93" s="1">
        <f>IFERROR(IF(INT(LEFT(TArticle[[#This Row],[شناسه]]))=2,IF(TArticle[[#This Row],[کد وضعیت سند]]=1,TArticle[مبلغ],0),0),0)</f>
        <v>0</v>
      </c>
      <c r="AI93" s="1">
        <f>IFERROR(IF((LEFT(TArticle[[#This Row],[شناسه]],3))="5.2",IF(TArticle[[#This Row],[کد وضعیت سند]]=1,TArticle[مبلغ],0),0),0)</f>
        <v>0</v>
      </c>
      <c r="AJ93" s="1">
        <f>IF(TArticle[[#This Row],[کد وضعیت سند]]=1,1,0)</f>
        <v>1</v>
      </c>
      <c r="AK93" s="1">
        <f>IF(AND(TArticle[[#This Row],[کد وضعیت سند]]&lt;&gt;1,TArticle[[#This Row],[مبلغ]]&lt;&gt;0),1,0)</f>
        <v>0</v>
      </c>
      <c r="AL93" s="51">
        <f>IF(TArticle[[#This Row],[کد بانک]]&gt;0,TArticle[[#This Row],[مانده بانک]]-VLOOKUP(TArticle[[#This Row],[کد بانک]],TBank[],7,FALSE),"")</f>
        <v>16889</v>
      </c>
      <c r="AM93" s="49" t="str">
        <f>LEFT(TArticle[[#This Row],[تاریخ]],7)</f>
        <v>1401-04</v>
      </c>
    </row>
    <row r="94" spans="1:39" hidden="1" x14ac:dyDescent="0.25">
      <c r="A94" s="24" t="s">
        <v>112</v>
      </c>
      <c r="B94" s="49" t="str">
        <f>VLOOKUP(TArticle[[#This Row],[شناسه]],TAccount[],2,TRUE)</f>
        <v>رسید دریافت/واریز</v>
      </c>
      <c r="C94" s="49" t="str">
        <f>VLOOKUP(TArticle[[#This Row],[تاریخ]],TDays[],7,FALSE)</f>
        <v>چهارشنبه</v>
      </c>
      <c r="D94" s="21" t="s">
        <v>295</v>
      </c>
      <c r="E94" s="1">
        <v>14000</v>
      </c>
      <c r="F94" s="1">
        <f>TArticle[[#This Row],[مبلغ]]+IFERROR(INT(F93),30181+3667+958)</f>
        <v>35260</v>
      </c>
      <c r="K94" s="21">
        <v>1</v>
      </c>
      <c r="L94" t="str">
        <f>IF(TArticle[[#This Row],[کد وضعیت سند]]&gt;0,VLOOKUP(TArticle[[#This Row],[کد وضعیت سند]],TDocState[],2,FALSE),"")</f>
        <v>انجام شد</v>
      </c>
      <c r="N94" t="str">
        <f>IF(TArticle[[#This Row],[کد طرف حساب]]&gt;0,VLOOKUP(TArticle[[#This Row],[کد طرف حساب]],TContact[],2,FALSE),"")</f>
        <v/>
      </c>
      <c r="O94" s="61" t="str">
        <f>IF(TArticle[[#This Row],[کد طرف حساب]]&gt;0,VLOOKUP(TArticle[[#This Row],[کد طرف حساب]],TContact[],7,FALSE)-SUMIF($M$2:M94,M94,$E$2:$E94),"")</f>
        <v/>
      </c>
      <c r="P94" s="27" t="str">
        <f>RIGHT(TArticle[[#This Row],[تاریخ]],2)</f>
        <v>01</v>
      </c>
      <c r="Q94" s="27">
        <f>VLOOKUP(TArticle[[#This Row],[تاریخ]],TDays[],16,FALSE)</f>
        <v>14</v>
      </c>
      <c r="R94" s="27" t="str">
        <f>RIGHT(LEFT(TArticle[[#This Row],[تاریخ]],7),2)</f>
        <v>04</v>
      </c>
      <c r="S94" s="27" t="str">
        <f>LEFT(TArticle[[#This Row],[تاریخ]],4)</f>
        <v>1401</v>
      </c>
      <c r="U94" s="21">
        <f>VLOOKUP(TArticle[[#This Row],[شناسه]],TAccount[],7,TRUE)</f>
        <v>257767</v>
      </c>
      <c r="W94" s="21">
        <f>IF(AND(TArticle[[#This Row],[مبلغ]]&gt;0, TArticle[[#This Row],[کد وضعیت سند]]=1),TArticle[[#This Row],[مبلغ]],0)</f>
        <v>14000</v>
      </c>
      <c r="X94" s="27">
        <f>IF(AND(TArticle[[#This Row],[مبلغ]]&lt;0,TArticle[[#This Row],[کد وضعیت سند]]=1),0-TArticle[[#This Row],[مبلغ]],0)</f>
        <v>0</v>
      </c>
      <c r="Y94" s="27">
        <v>4</v>
      </c>
      <c r="Z94" t="str">
        <f>IF(TArticle[[#This Row],[کد بانک]]&gt;0,VLOOKUP(TArticle[[#This Row],[کد بانک]],TBank[],2,FALSE),"")</f>
        <v>سپه</v>
      </c>
      <c r="AA94">
        <f>IF(AND(TArticle[[#This Row],[مبلغ]]&lt;0,TArticle[[#This Row],[کد وضعیت سند]]=1),0-TArticle[[#This Row],[مبلغ]],0)</f>
        <v>0</v>
      </c>
      <c r="AB94">
        <f>IF(AND(TArticle[[#This Row],[مبلغ]]&gt;0, TArticle[[#This Row],[کد وضعیت سند]]=1),TArticle[[#This Row],[مبلغ]],0)</f>
        <v>14000</v>
      </c>
      <c r="AC94" s="84">
        <f>IF(TArticle[[#This Row],[کد بانک]]&gt;0,VLOOKUP(TArticle[[#This Row],[کد بانک]],TBank[],9,FALSE)+SUMIF($Y$2:Y94,Y94,$E$2:$E94),"")</f>
        <v>14002</v>
      </c>
      <c r="AD94" s="1">
        <f>IFERROR(IF(INT(LEFT(TArticle[[#This Row],[شناسه]]))=3,IF(TArticle[[#This Row],[کد وضعیت سند]]=1,TArticle[مبلغ],0),0),0)</f>
        <v>0</v>
      </c>
      <c r="AE94" s="1">
        <f>IFERROR(IF(((TArticle[[#This Row],[شناسه]]))="4.1.1",IF(TArticle[[#This Row],[کد وضعیت سند]]=1,TArticle[مبلغ],0),0),0)</f>
        <v>0</v>
      </c>
      <c r="AF94" s="1">
        <f>IFERROR(IF(((TArticle[[#This Row],[شناسه]]))="4.1.2",IF(TArticle[[#This Row],[کد وضعیت سند]]=1,TArticle[مبلغ],0),0),0)</f>
        <v>0</v>
      </c>
      <c r="AG94" s="1">
        <f>IFERROR(IF(INT(LEFT(TArticle[[#This Row],[شناسه]]))=1,IF(TArticle[[#This Row],[کد وضعیت سند]]=1,TArticle[مبلغ],0),0),0)</f>
        <v>0</v>
      </c>
      <c r="AH94" s="1">
        <f>IFERROR(IF(INT(LEFT(TArticle[[#This Row],[شناسه]]))=2,IF(TArticle[[#This Row],[کد وضعیت سند]]=1,TArticle[مبلغ],0),0),0)</f>
        <v>0</v>
      </c>
      <c r="AI94" s="1">
        <f>IFERROR(IF((LEFT(TArticle[[#This Row],[شناسه]],3))="5.2",IF(TArticle[[#This Row],[کد وضعیت سند]]=1,TArticle[مبلغ],0),0),0)</f>
        <v>0</v>
      </c>
      <c r="AJ94" s="1">
        <f>IF(TArticle[[#This Row],[کد وضعیت سند]]=1,1,0)</f>
        <v>1</v>
      </c>
      <c r="AK94" s="1">
        <f>IF(AND(TArticle[[#This Row],[کد وضعیت سند]]&lt;&gt;1,TArticle[[#This Row],[مبلغ]]&lt;&gt;0),1,0)</f>
        <v>0</v>
      </c>
      <c r="AL94" s="51">
        <f>IF(TArticle[[#This Row],[کد بانک]]&gt;0,TArticle[[#This Row],[مانده بانک]]-VLOOKUP(TArticle[[#This Row],[کد بانک]],TBank[],7,FALSE),"")</f>
        <v>14000</v>
      </c>
      <c r="AM94" s="49" t="str">
        <f>LEFT(TArticle[[#This Row],[تاریخ]],7)</f>
        <v>1401-04</v>
      </c>
    </row>
    <row r="95" spans="1:39" hidden="1" x14ac:dyDescent="0.25">
      <c r="A95" s="77" t="s">
        <v>76</v>
      </c>
      <c r="B95" s="49" t="str">
        <f>VLOOKUP(TArticle[[#This Row],[شناسه]],TAccount[],2,TRUE)</f>
        <v>قسط</v>
      </c>
      <c r="C95" s="49" t="str">
        <f>VLOOKUP(TArticle[[#This Row],[تاریخ]],TDays[],7,FALSE)</f>
        <v>چهارشنبه</v>
      </c>
      <c r="D95" s="21" t="s">
        <v>295</v>
      </c>
      <c r="E95" s="1">
        <v>-2777</v>
      </c>
      <c r="F95" s="1">
        <f>TArticle[[#This Row],[مبلغ]]+IFERROR(INT(F94),30181+3667+958)</f>
        <v>32483</v>
      </c>
      <c r="H95" s="64">
        <v>23</v>
      </c>
      <c r="J95" s="65"/>
      <c r="K95" s="64">
        <v>1</v>
      </c>
      <c r="L95" s="66" t="str">
        <f>IF(TArticle[[#This Row],[کد وضعیت سند]]&gt;0,VLOOKUP(TArticle[[#This Row],[کد وضعیت سند]],TDocState[],2,FALSE),"")</f>
        <v>انجام شد</v>
      </c>
      <c r="M95" s="67">
        <v>105</v>
      </c>
      <c r="N95" t="str">
        <f>IF(TArticle[[#This Row],[کد طرف حساب]]&gt;0,VLOOKUP(TArticle[[#This Row],[کد طرف حساب]],TContact[],2,FALSE),"")</f>
        <v>وام محبوبه</v>
      </c>
      <c r="O95" s="68">
        <f>IF(TArticle[[#This Row],[کد طرف حساب]]&gt;0,VLOOKUP(TArticle[[#This Row],[کد طرف حساب]],TContact[],7,FALSE)-SUMIF($M$2:M95,M95,$E$2:$E95),"")</f>
        <v>-25229</v>
      </c>
      <c r="P95" s="67" t="str">
        <f>RIGHT(TArticle[[#This Row],[تاریخ]],2)</f>
        <v>01</v>
      </c>
      <c r="Q95" s="67">
        <f>VLOOKUP(TArticle[[#This Row],[تاریخ]],TDays[],16,FALSE)</f>
        <v>14</v>
      </c>
      <c r="R95" s="67" t="str">
        <f>RIGHT(LEFT(TArticle[[#This Row],[تاریخ]],7),2)</f>
        <v>04</v>
      </c>
      <c r="S95" s="67" t="str">
        <f>LEFT(TArticle[[#This Row],[تاریخ]],4)</f>
        <v>1401</v>
      </c>
      <c r="T95" s="64"/>
      <c r="U95" s="64">
        <f>VLOOKUP(TArticle[[#This Row],[شناسه]],TAccount[],7,TRUE)</f>
        <v>36266</v>
      </c>
      <c r="V95" s="28" t="s">
        <v>293</v>
      </c>
      <c r="W95" s="64">
        <f>IF(AND(TArticle[[#This Row],[مبلغ]]&gt;0, TArticle[[#This Row],[کد وضعیت سند]]=1),TArticle[[#This Row],[مبلغ]],0)</f>
        <v>0</v>
      </c>
      <c r="X95" s="67">
        <f>IF(AND(TArticle[[#This Row],[مبلغ]]&lt;0,TArticle[[#This Row],[کد وضعیت سند]]=1),0-TArticle[[#This Row],[مبلغ]],0)</f>
        <v>2777</v>
      </c>
      <c r="Y95" s="27">
        <v>2</v>
      </c>
      <c r="Z95" t="str">
        <f>IF(TArticle[[#This Row],[کد بانک]]&gt;0,VLOOKUP(TArticle[[#This Row],[کد بانک]],TBank[],2,FALSE),"")</f>
        <v>ملی جاری</v>
      </c>
      <c r="AA95">
        <f>IF(AND(TArticle[[#This Row],[مبلغ]]&lt;0,TArticle[[#This Row],[کد وضعیت سند]]=1),0-TArticle[[#This Row],[مبلغ]],0)</f>
        <v>2777</v>
      </c>
      <c r="AB95">
        <f>IF(AND(TArticle[[#This Row],[مبلغ]]&gt;0, TArticle[[#This Row],[کد وضعیت سند]]=1),TArticle[[#This Row],[مبلغ]],0)</f>
        <v>0</v>
      </c>
      <c r="AC95" s="93">
        <f>IF(TArticle[[#This Row],[کد بانک]]&gt;0,VLOOKUP(TArticle[[#This Row],[کد بانک]],TBank[],9,FALSE)+SUMIF($Y$2:Y95,Y95,$E$2:$E95),"")</f>
        <v>14112</v>
      </c>
      <c r="AD95" s="1">
        <f>IFERROR(IF(INT(LEFT(TArticle[[#This Row],[شناسه]]))=3,IF(TArticle[[#This Row],[کد وضعیت سند]]=1,TArticle[مبلغ],0),0),0)</f>
        <v>0</v>
      </c>
      <c r="AE95" s="1">
        <f>IFERROR(IF(((TArticle[[#This Row],[شناسه]]))="4.1.1",IF(TArticle[[#This Row],[کد وضعیت سند]]=1,TArticle[مبلغ],0),0),0)</f>
        <v>0</v>
      </c>
      <c r="AF95" s="1">
        <f>IFERROR(IF(((TArticle[[#This Row],[شناسه]]))="4.1.2",IF(TArticle[[#This Row],[کد وضعیت سند]]=1,TArticle[مبلغ],0),0),0)</f>
        <v>0</v>
      </c>
      <c r="AG95" s="1">
        <f>IFERROR(IF(INT(LEFT(TArticle[[#This Row],[شناسه]]))=1,IF(TArticle[[#This Row],[کد وضعیت سند]]=1,TArticle[مبلغ],0),0),0)</f>
        <v>-2777</v>
      </c>
      <c r="AH95" s="1">
        <f>IFERROR(IF(INT(LEFT(TArticle[[#This Row],[شناسه]]))=2,IF(TArticle[[#This Row],[کد وضعیت سند]]=1,TArticle[مبلغ],0),0),0)</f>
        <v>0</v>
      </c>
      <c r="AI95" s="1">
        <f>IFERROR(IF((LEFT(TArticle[[#This Row],[شناسه]],3))="5.2",IF(TArticle[[#This Row],[کد وضعیت سند]]=1,TArticle[مبلغ],0),0),0)</f>
        <v>0</v>
      </c>
      <c r="AJ95" s="1">
        <f>IF(TArticle[[#This Row],[کد وضعیت سند]]=1,1,0)</f>
        <v>1</v>
      </c>
      <c r="AK95" s="1">
        <f>IF(AND(TArticle[[#This Row],[کد وضعیت سند]]&lt;&gt;1,TArticle[[#This Row],[مبلغ]]&lt;&gt;0),1,0)</f>
        <v>0</v>
      </c>
      <c r="AL95" s="78">
        <f>IF(TArticle[[#This Row],[کد بانک]]&gt;0,TArticle[[#This Row],[مانده بانک]]-VLOOKUP(TArticle[[#This Row],[کد بانک]],TBank[],7,FALSE),"")</f>
        <v>14112</v>
      </c>
      <c r="AM95" s="58" t="str">
        <f>LEFT(TArticle[[#This Row],[تاریخ]],7)</f>
        <v>1401-04</v>
      </c>
    </row>
    <row r="96" spans="1:39" hidden="1" x14ac:dyDescent="0.25">
      <c r="A96" s="24" t="s">
        <v>1110</v>
      </c>
      <c r="B96" s="49" t="str">
        <f>VLOOKUP(TArticle[[#This Row],[شناسه]],TAccount[],2,TRUE)</f>
        <v>قسط وام بانکی</v>
      </c>
      <c r="C96" s="49" t="str">
        <f>VLOOKUP(TArticle[[#This Row],[تاریخ]],TDays[],7,FALSE)</f>
        <v>چهارشنبه</v>
      </c>
      <c r="D96" s="21" t="s">
        <v>295</v>
      </c>
      <c r="E96" s="1">
        <v>-278</v>
      </c>
      <c r="F96" s="1">
        <f>TArticle[[#This Row],[مبلغ]]+IFERROR(INT(F95),30181+3667+958)</f>
        <v>32205</v>
      </c>
      <c r="G96" t="s">
        <v>1109</v>
      </c>
      <c r="H96" s="21">
        <v>31</v>
      </c>
      <c r="K96" s="21">
        <v>1</v>
      </c>
      <c r="L96" t="str">
        <f>IF(TArticle[[#This Row],[کد وضعیت سند]]&gt;0,VLOOKUP(TArticle[[#This Row],[کد وضعیت سند]],TDocState[],2,FALSE),"")</f>
        <v>انجام شد</v>
      </c>
      <c r="M96" s="27">
        <v>104</v>
      </c>
      <c r="N96" t="str">
        <f>IF(TArticle[[#This Row],[کد طرف حساب]]&gt;0,VLOOKUP(TArticle[[#This Row],[کد طرف حساب]],TContact[],2,FALSE),"")</f>
        <v>وام ملی ف</v>
      </c>
      <c r="O96" s="61">
        <f>IF(TArticle[[#This Row],[کد طرف حساب]]&gt;0,VLOOKUP(TArticle[[#This Row],[کد طرف حساب]],TContact[],7,FALSE)-SUMIF($M$2:M96,M96,$E$2:$E96),"")</f>
        <v>-1382</v>
      </c>
      <c r="P96" s="27" t="str">
        <f>RIGHT(TArticle[[#This Row],[تاریخ]],2)</f>
        <v>01</v>
      </c>
      <c r="Q96" s="27">
        <f>VLOOKUP(TArticle[[#This Row],[تاریخ]],TDays[],16,FALSE)</f>
        <v>14</v>
      </c>
      <c r="R96" s="27" t="str">
        <f>RIGHT(LEFT(TArticle[[#This Row],[تاریخ]],7),2)</f>
        <v>04</v>
      </c>
      <c r="S96" s="27" t="str">
        <f>LEFT(TArticle[[#This Row],[تاریخ]],4)</f>
        <v>1401</v>
      </c>
      <c r="U96" s="21">
        <f>VLOOKUP(TArticle[[#This Row],[شناسه]],TAccount[],7,TRUE)</f>
        <v>81652</v>
      </c>
      <c r="V96" s="21" t="s">
        <v>305</v>
      </c>
      <c r="W96" s="21">
        <f>IF(AND(TArticle[[#This Row],[مبلغ]]&gt;0, TArticle[[#This Row],[کد وضعیت سند]]=1),TArticle[[#This Row],[مبلغ]],0)</f>
        <v>0</v>
      </c>
      <c r="X96" s="27">
        <f>IF(AND(TArticle[[#This Row],[مبلغ]]&lt;0,TArticle[[#This Row],[کد وضعیت سند]]=1),0-TArticle[[#This Row],[مبلغ]],0)</f>
        <v>278</v>
      </c>
      <c r="Y96" s="27">
        <v>2</v>
      </c>
      <c r="Z96" t="str">
        <f>IF(TArticle[[#This Row],[کد بانک]]&gt;0,VLOOKUP(TArticle[[#This Row],[کد بانک]],TBank[],2,FALSE),"")</f>
        <v>ملی جاری</v>
      </c>
      <c r="AA96">
        <f>IF(AND(TArticle[[#This Row],[مبلغ]]&lt;0,TArticle[[#This Row],[کد وضعیت سند]]=1),0-TArticle[[#This Row],[مبلغ]],0)</f>
        <v>278</v>
      </c>
      <c r="AB96">
        <f>IF(AND(TArticle[[#This Row],[مبلغ]]&gt;0, TArticle[[#This Row],[کد وضعیت سند]]=1),TArticle[[#This Row],[مبلغ]],0)</f>
        <v>0</v>
      </c>
      <c r="AC96" s="84">
        <f>IF(TArticle[[#This Row],[کد بانک]]&gt;0,VLOOKUP(TArticle[[#This Row],[کد بانک]],TBank[],9,FALSE)+SUMIF($Y$2:Y96,Y96,$E$2:$E96),"")</f>
        <v>13834</v>
      </c>
      <c r="AD96" s="1">
        <f>IFERROR(IF(INT(LEFT(TArticle[[#This Row],[شناسه]]))=3,IF(TArticle[[#This Row],[کد وضعیت سند]]=1,TArticle[مبلغ],0),0),0)</f>
        <v>0</v>
      </c>
      <c r="AE96" s="1">
        <f>IFERROR(IF(((TArticle[[#This Row],[شناسه]]))="4.1.1",IF(TArticle[[#This Row],[کد وضعیت سند]]=1,TArticle[مبلغ],0),0),0)</f>
        <v>0</v>
      </c>
      <c r="AF96" s="1">
        <f>IFERROR(IF(((TArticle[[#This Row],[شناسه]]))="4.1.2",IF(TArticle[[#This Row],[کد وضعیت سند]]=1,TArticle[مبلغ],0),0),0)</f>
        <v>0</v>
      </c>
      <c r="AG96" s="1">
        <f>IFERROR(IF(INT(LEFT(TArticle[[#This Row],[شناسه]]))=1,IF(TArticle[[#This Row],[کد وضعیت سند]]=1,TArticle[مبلغ],0),0),0)</f>
        <v>-278</v>
      </c>
      <c r="AH96" s="1">
        <f>IFERROR(IF(INT(LEFT(TArticle[[#This Row],[شناسه]]))=2,IF(TArticle[[#This Row],[کد وضعیت سند]]=1,TArticle[مبلغ],0),0),0)</f>
        <v>0</v>
      </c>
      <c r="AI96" s="1">
        <f>IFERROR(IF((LEFT(TArticle[[#This Row],[شناسه]],3))="5.2",IF(TArticle[[#This Row],[کد وضعیت سند]]=1,TArticle[مبلغ],0),0),0)</f>
        <v>0</v>
      </c>
      <c r="AJ96" s="1">
        <f>IF(TArticle[[#This Row],[کد وضعیت سند]]=1,1,0)</f>
        <v>1</v>
      </c>
      <c r="AK96" s="1">
        <f>IF(AND(TArticle[[#This Row],[کد وضعیت سند]]&lt;&gt;1,TArticle[[#This Row],[مبلغ]]&lt;&gt;0),1,0)</f>
        <v>0</v>
      </c>
      <c r="AL96" s="51">
        <f>IF(TArticle[[#This Row],[کد بانک]]&gt;0,TArticle[[#This Row],[مانده بانک]]-VLOOKUP(TArticle[[#This Row],[کد بانک]],TBank[],7,FALSE),"")</f>
        <v>13834</v>
      </c>
      <c r="AM96" s="58" t="str">
        <f>LEFT(TArticle[[#This Row],[تاریخ]],7)</f>
        <v>1401-04</v>
      </c>
    </row>
    <row r="97" spans="1:39" hidden="1" x14ac:dyDescent="0.25">
      <c r="A97" s="24" t="s">
        <v>1107</v>
      </c>
      <c r="B97" s="49" t="str">
        <f>VLOOKUP(TArticle[[#This Row],[شناسه]],TAccount[],2,TRUE)</f>
        <v>سود وام</v>
      </c>
      <c r="C97" s="49" t="str">
        <f>VLOOKUP(TArticle[[#This Row],[تاریخ]],TDays[],7,FALSE)</f>
        <v>چهارشنبه</v>
      </c>
      <c r="D97" s="21" t="s">
        <v>295</v>
      </c>
      <c r="E97" s="1">
        <v>-84</v>
      </c>
      <c r="F97" s="1">
        <f>TArticle[[#This Row],[مبلغ]]+IFERROR(INT(F96),30181+3667+958)</f>
        <v>32121</v>
      </c>
      <c r="G97" t="s">
        <v>1109</v>
      </c>
      <c r="H97" s="21">
        <v>31</v>
      </c>
      <c r="K97" s="21">
        <v>1</v>
      </c>
      <c r="L97" t="str">
        <f>IF(TArticle[[#This Row],[کد وضعیت سند]]&gt;0,VLOOKUP(TArticle[[#This Row],[کد وضعیت سند]],TDocState[],2,FALSE),"")</f>
        <v>انجام شد</v>
      </c>
      <c r="M97" s="27">
        <v>104.1</v>
      </c>
      <c r="N97" t="str">
        <f>IF(TArticle[[#This Row],[کد طرف حساب]]&gt;0,VLOOKUP(TArticle[[#This Row],[کد طرف حساب]],TContact[],2,FALSE),"")</f>
        <v>وام ملی ف - سود</v>
      </c>
      <c r="O97" s="61">
        <f>IF(TArticle[[#This Row],[کد طرف حساب]]&gt;0,VLOOKUP(TArticle[[#This Row],[کد طرف حساب]],TContact[],7,FALSE)-SUMIF($M$2:M97,M97,$E$2:$E97),"")</f>
        <v>-327</v>
      </c>
      <c r="P97" s="27" t="str">
        <f>RIGHT(TArticle[[#This Row],[تاریخ]],2)</f>
        <v>01</v>
      </c>
      <c r="Q97" s="27">
        <f>VLOOKUP(TArticle[[#This Row],[تاریخ]],TDays[],16,FALSE)</f>
        <v>14</v>
      </c>
      <c r="R97" s="27" t="str">
        <f>RIGHT(LEFT(TArticle[[#This Row],[تاریخ]],7),2)</f>
        <v>04</v>
      </c>
      <c r="S97" s="27" t="str">
        <f>LEFT(TArticle[[#This Row],[تاریخ]],4)</f>
        <v>1401</v>
      </c>
      <c r="U97" s="21">
        <f>VLOOKUP(TArticle[[#This Row],[شناسه]],TAccount[],7,TRUE)</f>
        <v>9163</v>
      </c>
      <c r="V97" s="21" t="s">
        <v>305</v>
      </c>
      <c r="W97" s="21">
        <f>IF(AND(TArticle[[#This Row],[مبلغ]]&gt;0, TArticle[[#This Row],[کد وضعیت سند]]=1),TArticle[[#This Row],[مبلغ]],0)</f>
        <v>0</v>
      </c>
      <c r="X97" s="27">
        <f>IF(AND(TArticle[[#This Row],[مبلغ]]&lt;0,TArticle[[#This Row],[کد وضعیت سند]]=1),0-TArticle[[#This Row],[مبلغ]],0)</f>
        <v>84</v>
      </c>
      <c r="Y97" s="27">
        <v>2</v>
      </c>
      <c r="Z97" t="str">
        <f>IF(TArticle[[#This Row],[کد بانک]]&gt;0,VLOOKUP(TArticle[[#This Row],[کد بانک]],TBank[],2,FALSE),"")</f>
        <v>ملی جاری</v>
      </c>
      <c r="AA97">
        <f>IF(AND(TArticle[[#This Row],[مبلغ]]&lt;0,TArticle[[#This Row],[کد وضعیت سند]]=1),0-TArticle[[#This Row],[مبلغ]],0)</f>
        <v>84</v>
      </c>
      <c r="AB97">
        <f>IF(AND(TArticle[[#This Row],[مبلغ]]&gt;0, TArticle[[#This Row],[کد وضعیت سند]]=1),TArticle[[#This Row],[مبلغ]],0)</f>
        <v>0</v>
      </c>
      <c r="AC97" s="84">
        <f>IF(TArticle[[#This Row],[کد بانک]]&gt;0,VLOOKUP(TArticle[[#This Row],[کد بانک]],TBank[],9,FALSE)+SUMIF($Y$2:Y97,Y97,$E$2:$E97),"")</f>
        <v>13750</v>
      </c>
      <c r="AD97" s="1">
        <f>IFERROR(IF(INT(LEFT(TArticle[[#This Row],[شناسه]]))=3,IF(TArticle[[#This Row],[کد وضعیت سند]]=1,TArticle[مبلغ],0),0),0)</f>
        <v>-84</v>
      </c>
      <c r="AE97" s="1">
        <f>IFERROR(IF(((TArticle[[#This Row],[شناسه]]))="4.1.1",IF(TArticle[[#This Row],[کد وضعیت سند]]=1,TArticle[مبلغ],0),0),0)</f>
        <v>0</v>
      </c>
      <c r="AF97" s="1">
        <f>IFERROR(IF(((TArticle[[#This Row],[شناسه]]))="4.1.2",IF(TArticle[[#This Row],[کد وضعیت سند]]=1,TArticle[مبلغ],0),0),0)</f>
        <v>0</v>
      </c>
      <c r="AG97" s="1">
        <f>IFERROR(IF(INT(LEFT(TArticle[[#This Row],[شناسه]]))=1,IF(TArticle[[#This Row],[کد وضعیت سند]]=1,TArticle[مبلغ],0),0),0)</f>
        <v>0</v>
      </c>
      <c r="AH97" s="1">
        <f>IFERROR(IF(INT(LEFT(TArticle[[#This Row],[شناسه]]))=2,IF(TArticle[[#This Row],[کد وضعیت سند]]=1,TArticle[مبلغ],0),0),0)</f>
        <v>0</v>
      </c>
      <c r="AI97" s="1">
        <f>IFERROR(IF((LEFT(TArticle[[#This Row],[شناسه]],3))="5.2",IF(TArticle[[#This Row],[کد وضعیت سند]]=1,TArticle[مبلغ],0),0),0)</f>
        <v>0</v>
      </c>
      <c r="AJ97" s="1">
        <f>IF(TArticle[[#This Row],[کد وضعیت سند]]=1,1,0)</f>
        <v>1</v>
      </c>
      <c r="AK97" s="1">
        <f>IF(AND(TArticle[[#This Row],[کد وضعیت سند]]&lt;&gt;1,TArticle[[#This Row],[مبلغ]]&lt;&gt;0),1,0)</f>
        <v>0</v>
      </c>
      <c r="AL97" s="51">
        <f>IF(TArticle[[#This Row],[کد بانک]]&gt;0,TArticle[[#This Row],[مانده بانک]]-VLOOKUP(TArticle[[#This Row],[کد بانک]],TBank[],7,FALSE),"")</f>
        <v>13750</v>
      </c>
      <c r="AM97" s="58" t="str">
        <f>LEFT(TArticle[[#This Row],[تاریخ]],7)</f>
        <v>1401-04</v>
      </c>
    </row>
    <row r="98" spans="1:39" hidden="1" x14ac:dyDescent="0.25">
      <c r="A98" s="24" t="s">
        <v>1110</v>
      </c>
      <c r="B98" s="49" t="str">
        <f>VLOOKUP(TArticle[[#This Row],[شناسه]],TAccount[],2,TRUE)</f>
        <v>قسط وام بانکی</v>
      </c>
      <c r="C98" s="49" t="str">
        <f>VLOOKUP(TArticle[[#This Row],[تاریخ]],TDays[],7,FALSE)</f>
        <v>چهارشنبه</v>
      </c>
      <c r="D98" s="28" t="s">
        <v>295</v>
      </c>
      <c r="E98" s="1">
        <v>-1000</v>
      </c>
      <c r="F98" s="1">
        <f>TArticle[[#This Row],[مبلغ]]+IFERROR(INT(F97),30181+3667+958)</f>
        <v>31121</v>
      </c>
      <c r="G98" t="s">
        <v>1184</v>
      </c>
      <c r="H98" s="64">
        <v>14</v>
      </c>
      <c r="J98" s="65"/>
      <c r="K98" s="64">
        <v>1</v>
      </c>
      <c r="L98" s="66" t="str">
        <f>IF(TArticle[[#This Row],[کد وضعیت سند]]&gt;0,VLOOKUP(TArticle[[#This Row],[کد وضعیت سند]],TDocState[],2,FALSE),"")</f>
        <v>انجام شد</v>
      </c>
      <c r="M98" s="27">
        <v>109</v>
      </c>
      <c r="N98" t="str">
        <f>IF(TArticle[[#This Row],[کد طرف حساب]]&gt;0,VLOOKUP(TArticle[[#This Row],[کد طرف حساب]],TContact[],2,FALSE),"")</f>
        <v>وام درودگران ف</v>
      </c>
      <c r="O98" s="68">
        <f>IF(TArticle[[#This Row],[کد طرف حساب]]&gt;0,VLOOKUP(TArticle[[#This Row],[کد طرف حساب]],TContact[],7,FALSE)-SUMIF($M$2:M98,M98,$E$2:$E98),"")</f>
        <v>-1000</v>
      </c>
      <c r="P98" s="67" t="str">
        <f>RIGHT(TArticle[[#This Row],[تاریخ]],2)</f>
        <v>01</v>
      </c>
      <c r="Q98" s="67">
        <f>VLOOKUP(TArticle[[#This Row],[تاریخ]],TDays[],16,FALSE)</f>
        <v>14</v>
      </c>
      <c r="R98" s="67" t="str">
        <f>RIGHT(LEFT(TArticle[[#This Row],[تاریخ]],7),2)</f>
        <v>04</v>
      </c>
      <c r="S98" s="67" t="str">
        <f>LEFT(TArticle[[#This Row],[تاریخ]],4)</f>
        <v>1401</v>
      </c>
      <c r="T98" s="64"/>
      <c r="U98" s="64">
        <f>VLOOKUP(TArticle[[#This Row],[شناسه]],TAccount[],7,TRUE)</f>
        <v>81652</v>
      </c>
      <c r="V98" s="21" t="s">
        <v>314</v>
      </c>
      <c r="W98" s="64">
        <f>IF(AND(TArticle[[#This Row],[مبلغ]]&gt;0, TArticle[[#This Row],[کد وضعیت سند]]=1),TArticle[[#This Row],[مبلغ]],0)</f>
        <v>0</v>
      </c>
      <c r="X98" s="67">
        <f>IF(AND(TArticle[[#This Row],[مبلغ]]&lt;0,TArticle[[#This Row],[کد وضعیت سند]]=1),0-TArticle[[#This Row],[مبلغ]],0)</f>
        <v>1000</v>
      </c>
      <c r="Y98" s="67">
        <v>2</v>
      </c>
      <c r="Z98" t="str">
        <f>IF(TArticle[[#This Row],[کد بانک]]&gt;0,VLOOKUP(TArticle[[#This Row],[کد بانک]],TBank[],2,FALSE),"")</f>
        <v>ملی جاری</v>
      </c>
      <c r="AA98">
        <f>IF(AND(TArticle[[#This Row],[مبلغ]]&lt;0,TArticle[[#This Row],[کد وضعیت سند]]=1),0-TArticle[[#This Row],[مبلغ]],0)</f>
        <v>1000</v>
      </c>
      <c r="AB98">
        <f>IF(AND(TArticle[[#This Row],[مبلغ]]&gt;0, TArticle[[#This Row],[کد وضعیت سند]]=1),TArticle[[#This Row],[مبلغ]],0)</f>
        <v>0</v>
      </c>
      <c r="AC98" s="93">
        <f>IF(TArticle[[#This Row],[کد بانک]]&gt;0,VLOOKUP(TArticle[[#This Row],[کد بانک]],TBank[],9,FALSE)+SUMIF($Y$2:Y98,Y98,$E$2:$E98),"")</f>
        <v>12750</v>
      </c>
      <c r="AD98" s="1">
        <f>IFERROR(IF(INT(LEFT(TArticle[[#This Row],[شناسه]]))=3,IF(TArticle[[#This Row],[کد وضعیت سند]]=1,TArticle[مبلغ],0),0),0)</f>
        <v>0</v>
      </c>
      <c r="AE98" s="1">
        <f>IFERROR(IF(((TArticle[[#This Row],[شناسه]]))="4.1.1",IF(TArticle[[#This Row],[کد وضعیت سند]]=1,TArticle[مبلغ],0),0),0)</f>
        <v>0</v>
      </c>
      <c r="AF98" s="1">
        <f>IFERROR(IF(((TArticle[[#This Row],[شناسه]]))="4.1.2",IF(TArticle[[#This Row],[کد وضعیت سند]]=1,TArticle[مبلغ],0),0),0)</f>
        <v>0</v>
      </c>
      <c r="AG98" s="1">
        <f>IFERROR(IF(INT(LEFT(TArticle[[#This Row],[شناسه]]))=1,IF(TArticle[[#This Row],[کد وضعیت سند]]=1,TArticle[مبلغ],0),0),0)</f>
        <v>-1000</v>
      </c>
      <c r="AH98" s="1">
        <f>IFERROR(IF(INT(LEFT(TArticle[[#This Row],[شناسه]]))=2,IF(TArticle[[#This Row],[کد وضعیت سند]]=1,TArticle[مبلغ],0),0),0)</f>
        <v>0</v>
      </c>
      <c r="AI98" s="1">
        <f>IFERROR(IF((LEFT(TArticle[[#This Row],[شناسه]],3))="5.2",IF(TArticle[[#This Row],[کد وضعیت سند]]=1,TArticle[مبلغ],0),0),0)</f>
        <v>0</v>
      </c>
      <c r="AJ98" s="1">
        <f>IF(TArticle[[#This Row],[کد وضعیت سند]]=1,1,0)</f>
        <v>1</v>
      </c>
      <c r="AK98" s="1">
        <f>IF(AND(TArticle[[#This Row],[کد وضعیت سند]]&lt;&gt;1,TArticle[[#This Row],[مبلغ]]&lt;&gt;0),1,0)</f>
        <v>0</v>
      </c>
      <c r="AL98" s="78">
        <f>IF(TArticle[[#This Row],[کد بانک]]&gt;0,TArticle[[#This Row],[مانده بانک]]-VLOOKUP(TArticle[[#This Row],[کد بانک]],TBank[],7,FALSE),"")</f>
        <v>12750</v>
      </c>
      <c r="AM98" s="58" t="str">
        <f>LEFT(TArticle[[#This Row],[تاریخ]],7)</f>
        <v>1401-04</v>
      </c>
    </row>
    <row r="99" spans="1:39" hidden="1" x14ac:dyDescent="0.25">
      <c r="A99" s="24" t="s">
        <v>1612</v>
      </c>
      <c r="B99" s="49" t="str">
        <f>VLOOKUP(TArticle[[#This Row],[شناسه]],TAccount[],2,TRUE)</f>
        <v>تجهیز آپارتمان</v>
      </c>
      <c r="C99" s="49" t="str">
        <f>VLOOKUP(TArticle[[#This Row],[تاریخ]],TDays[],7,FALSE)</f>
        <v>یکشنبه</v>
      </c>
      <c r="D99" s="21" t="s">
        <v>299</v>
      </c>
      <c r="E99" s="1">
        <v>-9000</v>
      </c>
      <c r="F99" s="1">
        <f>TArticle[[#This Row],[مبلغ]]+IFERROR(INT(F98),30181+3667+958)</f>
        <v>22121</v>
      </c>
      <c r="G99" t="s">
        <v>1658</v>
      </c>
      <c r="K99" s="21">
        <v>1</v>
      </c>
      <c r="L99" t="str">
        <f>IF(TArticle[[#This Row],[کد وضعیت سند]]&gt;0,VLOOKUP(TArticle[[#This Row],[کد وضعیت سند]],TDocState[],2,FALSE),"")</f>
        <v>انجام شد</v>
      </c>
      <c r="N99" t="str">
        <f>IF(TArticle[[#This Row],[کد طرف حساب]]&gt;0,VLOOKUP(TArticle[[#This Row],[کد طرف حساب]],TContact[],2,FALSE),"")</f>
        <v/>
      </c>
      <c r="O99" s="61" t="str">
        <f>IF(TArticle[[#This Row],[کد طرف حساب]]&gt;0,VLOOKUP(TArticle[[#This Row],[کد طرف حساب]],TContact[],7,FALSE)-SUMIF($M$2:M99,M99,$E$2:$E99),"")</f>
        <v/>
      </c>
      <c r="P99" s="27" t="str">
        <f>RIGHT(TArticle[[#This Row],[تاریخ]],2)</f>
        <v>05</v>
      </c>
      <c r="Q99" s="27">
        <f>VLOOKUP(TArticle[[#This Row],[تاریخ]],TDays[],16,FALSE)</f>
        <v>15</v>
      </c>
      <c r="R99" s="27" t="str">
        <f>RIGHT(LEFT(TArticle[[#This Row],[تاریخ]],7),2)</f>
        <v>04</v>
      </c>
      <c r="S99" s="27" t="str">
        <f>LEFT(TArticle[[#This Row],[تاریخ]],4)</f>
        <v>1401</v>
      </c>
      <c r="U99" s="21">
        <f>VLOOKUP(TArticle[[#This Row],[شناسه]],TAccount[],7,TRUE)</f>
        <v>97700</v>
      </c>
      <c r="W99" s="21">
        <f>IF(AND(TArticle[[#This Row],[مبلغ]]&gt;0, TArticle[[#This Row],[کد وضعیت سند]]=1),TArticle[[#This Row],[مبلغ]],0)</f>
        <v>0</v>
      </c>
      <c r="X99" s="27">
        <f>IF(AND(TArticle[[#This Row],[مبلغ]]&lt;0,TArticle[[#This Row],[کد وضعیت سند]]=1),0-TArticle[[#This Row],[مبلغ]],0)</f>
        <v>9000</v>
      </c>
      <c r="Y99" s="67">
        <v>4</v>
      </c>
      <c r="Z99" t="str">
        <f>IF(TArticle[[#This Row],[کد بانک]]&gt;0,VLOOKUP(TArticle[[#This Row],[کد بانک]],TBank[],2,FALSE),"")</f>
        <v>سپه</v>
      </c>
      <c r="AA99">
        <f>IF(AND(TArticle[[#This Row],[مبلغ]]&lt;0,TArticle[[#This Row],[کد وضعیت سند]]=1),0-TArticle[[#This Row],[مبلغ]],0)</f>
        <v>9000</v>
      </c>
      <c r="AB99">
        <f>IF(AND(TArticle[[#This Row],[مبلغ]]&gt;0, TArticle[[#This Row],[کد وضعیت سند]]=1),TArticle[[#This Row],[مبلغ]],0)</f>
        <v>0</v>
      </c>
      <c r="AC99" s="84">
        <f>IF(TArticle[[#This Row],[کد بانک]]&gt;0,VLOOKUP(TArticle[[#This Row],[کد بانک]],TBank[],9,FALSE)+SUMIF($Y$2:Y99,Y99,$E$2:$E99),"")</f>
        <v>5002</v>
      </c>
      <c r="AD99" s="1">
        <f>IFERROR(IF(INT(LEFT(TArticle[[#This Row],[شناسه]]))=3,IF(TArticle[[#This Row],[کد وضعیت سند]]=1,TArticle[مبلغ],0),0),0)</f>
        <v>-9000</v>
      </c>
      <c r="AE99" s="1">
        <f>IFERROR(IF(((TArticle[[#This Row],[شناسه]]))="4.1.1",IF(TArticle[[#This Row],[کد وضعیت سند]]=1,TArticle[مبلغ],0),0),0)</f>
        <v>0</v>
      </c>
      <c r="AF99" s="1">
        <f>IFERROR(IF(((TArticle[[#This Row],[شناسه]]))="4.1.2",IF(TArticle[[#This Row],[کد وضعیت سند]]=1,TArticle[مبلغ],0),0),0)</f>
        <v>0</v>
      </c>
      <c r="AG99" s="1">
        <f>IFERROR(IF(INT(LEFT(TArticle[[#This Row],[شناسه]]))=1,IF(TArticle[[#This Row],[کد وضعیت سند]]=1,TArticle[مبلغ],0),0),0)</f>
        <v>0</v>
      </c>
      <c r="AH99" s="1">
        <f>IFERROR(IF(INT(LEFT(TArticle[[#This Row],[شناسه]]))=2,IF(TArticle[[#This Row],[کد وضعیت سند]]=1,TArticle[مبلغ],0),0),0)</f>
        <v>0</v>
      </c>
      <c r="AI99" s="1">
        <f>IFERROR(IF((LEFT(TArticle[[#This Row],[شناسه]],3))="5.2",IF(TArticle[[#This Row],[کد وضعیت سند]]=1,TArticle[مبلغ],0),0),0)</f>
        <v>0</v>
      </c>
      <c r="AJ99" s="1">
        <f>IF(TArticle[[#This Row],[کد وضعیت سند]]=1,1,0)</f>
        <v>1</v>
      </c>
      <c r="AK99" s="1">
        <f>IF(AND(TArticle[[#This Row],[کد وضعیت سند]]&lt;&gt;1,TArticle[[#This Row],[مبلغ]]&lt;&gt;0),1,0)</f>
        <v>0</v>
      </c>
      <c r="AL99" s="51">
        <f>IF(TArticle[[#This Row],[کد بانک]]&gt;0,TArticle[[#This Row],[مانده بانک]]-VLOOKUP(TArticle[[#This Row],[کد بانک]],TBank[],7,FALSE),"")</f>
        <v>5000</v>
      </c>
      <c r="AM99" s="49" t="str">
        <f>LEFT(TArticle[[#This Row],[تاریخ]],7)</f>
        <v>1401-04</v>
      </c>
    </row>
    <row r="100" spans="1:39" hidden="1" x14ac:dyDescent="0.25">
      <c r="A100" s="24" t="s">
        <v>78</v>
      </c>
      <c r="B100" s="49" t="str">
        <f>VLOOKUP(TArticle[[#This Row],[شناسه]],TAccount[],2,TRUE)</f>
        <v>چک</v>
      </c>
      <c r="C100" s="49" t="str">
        <f>VLOOKUP(TArticle[[#This Row],[تاریخ]],TDays[],7,FALSE)</f>
        <v>یکشنبه</v>
      </c>
      <c r="D100" s="21" t="s">
        <v>299</v>
      </c>
      <c r="E100" s="1">
        <v>-5000</v>
      </c>
      <c r="F100" s="1">
        <f>TArticle[[#This Row],[مبلغ]]+IFERROR(INT(F99),30181+3667+958)</f>
        <v>17121</v>
      </c>
      <c r="K100" s="21">
        <v>1</v>
      </c>
      <c r="L100" t="str">
        <f>IF(TArticle[[#This Row],[کد وضعیت سند]]&gt;0,VLOOKUP(TArticle[[#This Row],[کد وضعیت سند]],TDocState[],2,FALSE),"")</f>
        <v>انجام شد</v>
      </c>
      <c r="M100" s="27">
        <v>2</v>
      </c>
      <c r="N100" t="str">
        <f>IF(TArticle[[#This Row],[کد طرف حساب]]&gt;0,VLOOKUP(TArticle[[#This Row],[کد طرف حساب]],TContact[],2,FALSE),"")</f>
        <v>حامد</v>
      </c>
      <c r="O100" s="61">
        <f>IF(TArticle[[#This Row],[کد طرف حساب]]&gt;0,VLOOKUP(TArticle[[#This Row],[کد طرف حساب]],TContact[],7,FALSE)-SUMIF($M$2:M100,M100,$E$2:$E100),"")</f>
        <v>-35000</v>
      </c>
      <c r="P100" s="27" t="str">
        <f>RIGHT(TArticle[[#This Row],[تاریخ]],2)</f>
        <v>05</v>
      </c>
      <c r="Q100" s="27">
        <f>VLOOKUP(TArticle[[#This Row],[تاریخ]],TDays[],16,FALSE)</f>
        <v>15</v>
      </c>
      <c r="R100" s="27" t="str">
        <f>RIGHT(LEFT(TArticle[[#This Row],[تاریخ]],7),2)</f>
        <v>04</v>
      </c>
      <c r="S100" s="27" t="str">
        <f>LEFT(TArticle[[#This Row],[تاریخ]],4)</f>
        <v>1401</v>
      </c>
      <c r="U100" s="21">
        <f>VLOOKUP(TArticle[[#This Row],[شناسه]],TAccount[],7,TRUE)</f>
        <v>57000</v>
      </c>
      <c r="W100" s="21">
        <f>IF(AND(TArticle[[#This Row],[مبلغ]]&gt;0, TArticle[[#This Row],[کد وضعیت سند]]=1),TArticle[[#This Row],[مبلغ]],0)</f>
        <v>0</v>
      </c>
      <c r="X100" s="27">
        <f>IF(AND(TArticle[[#This Row],[مبلغ]]&lt;0,TArticle[[#This Row],[کد وضعیت سند]]=1),0-TArticle[[#This Row],[مبلغ]],0)</f>
        <v>5000</v>
      </c>
      <c r="Y100" s="27">
        <v>4</v>
      </c>
      <c r="Z100" t="str">
        <f>IF(TArticle[[#This Row],[کد بانک]]&gt;0,VLOOKUP(TArticle[[#This Row],[کد بانک]],TBank[],2,FALSE),"")</f>
        <v>سپه</v>
      </c>
      <c r="AA100">
        <f>IF(AND(TArticle[[#This Row],[مبلغ]]&lt;0,TArticle[[#This Row],[کد وضعیت سند]]=1),0-TArticle[[#This Row],[مبلغ]],0)</f>
        <v>5000</v>
      </c>
      <c r="AB100">
        <f>IF(AND(TArticle[[#This Row],[مبلغ]]&gt;0, TArticle[[#This Row],[کد وضعیت سند]]=1),TArticle[[#This Row],[مبلغ]],0)</f>
        <v>0</v>
      </c>
      <c r="AC100" s="84">
        <f>IF(TArticle[[#This Row],[کد بانک]]&gt;0,VLOOKUP(TArticle[[#This Row],[کد بانک]],TBank[],9,FALSE)+SUMIF($Y$2:Y100,Y100,$E$2:$E100),"")</f>
        <v>2</v>
      </c>
      <c r="AD100" s="1">
        <f>IFERROR(IF(INT(LEFT(TArticle[[#This Row],[شناسه]]))=3,IF(TArticle[[#This Row],[کد وضعیت سند]]=1,TArticle[مبلغ],0),0),0)</f>
        <v>0</v>
      </c>
      <c r="AE100" s="1">
        <f>IFERROR(IF(((TArticle[[#This Row],[شناسه]]))="4.1.1",IF(TArticle[[#This Row],[کد وضعیت سند]]=1,TArticle[مبلغ],0),0),0)</f>
        <v>0</v>
      </c>
      <c r="AF100" s="1">
        <f>IFERROR(IF(((TArticle[[#This Row],[شناسه]]))="4.1.2",IF(TArticle[[#This Row],[کد وضعیت سند]]=1,TArticle[مبلغ],0),0),0)</f>
        <v>0</v>
      </c>
      <c r="AG100" s="1">
        <f>IFERROR(IF(INT(LEFT(TArticle[[#This Row],[شناسه]]))=1,IF(TArticle[[#This Row],[کد وضعیت سند]]=1,TArticle[مبلغ],0),0),0)</f>
        <v>-5000</v>
      </c>
      <c r="AH100" s="1">
        <f>IFERROR(IF(INT(LEFT(TArticle[[#This Row],[شناسه]]))=2,IF(TArticle[[#This Row],[کد وضعیت سند]]=1,TArticle[مبلغ],0),0),0)</f>
        <v>0</v>
      </c>
      <c r="AI100" s="1">
        <f>IFERROR(IF((LEFT(TArticle[[#This Row],[شناسه]],3))="5.2",IF(TArticle[[#This Row],[کد وضعیت سند]]=1,TArticle[مبلغ],0),0),0)</f>
        <v>0</v>
      </c>
      <c r="AJ100" s="1">
        <f>IF(TArticle[[#This Row],[کد وضعیت سند]]=1,1,0)</f>
        <v>1</v>
      </c>
      <c r="AK100" s="1">
        <f>IF(AND(TArticle[[#This Row],[کد وضعیت سند]]&lt;&gt;1,TArticle[[#This Row],[مبلغ]]&lt;&gt;0),1,0)</f>
        <v>0</v>
      </c>
      <c r="AL100" s="51">
        <f>IF(TArticle[[#This Row],[کد بانک]]&gt;0,TArticle[[#This Row],[مانده بانک]]-VLOOKUP(TArticle[[#This Row],[کد بانک]],TBank[],7,FALSE),"")</f>
        <v>0</v>
      </c>
      <c r="AM100" s="49" t="str">
        <f>LEFT(TArticle[[#This Row],[تاریخ]],7)</f>
        <v>1401-04</v>
      </c>
    </row>
    <row r="101" spans="1:39" hidden="1" x14ac:dyDescent="0.25">
      <c r="A101" s="24" t="s">
        <v>41</v>
      </c>
      <c r="B101" s="49" t="str">
        <f>VLOOKUP(TArticle[[#This Row],[شناسه]],TAccount[],2,TRUE)</f>
        <v>قرعه هجده (43)</v>
      </c>
      <c r="C101" s="49" t="str">
        <f>VLOOKUP(TArticle[[#This Row],[تاریخ]],TDays[],7,FALSE)</f>
        <v>سه شنبه</v>
      </c>
      <c r="D101" s="21" t="s">
        <v>61</v>
      </c>
      <c r="E101" s="1">
        <v>-350</v>
      </c>
      <c r="F101" s="1">
        <f>TArticle[[#This Row],[مبلغ]]+IFERROR(INT(F100),30181+3667+958)</f>
        <v>16771</v>
      </c>
      <c r="H101" s="21">
        <v>39</v>
      </c>
      <c r="K101" s="21">
        <v>1</v>
      </c>
      <c r="L101" t="str">
        <f>IF(TArticle[[#This Row],[کد وضعیت سند]]&gt;0,VLOOKUP(TArticle[[#This Row],[کد وضعیت سند]],TDocState[],2,FALSE),"")</f>
        <v>انجام شد</v>
      </c>
      <c r="M101" s="27">
        <v>103</v>
      </c>
      <c r="N101" t="str">
        <f>IF(TArticle[[#This Row],[کد طرف حساب]]&gt;0,VLOOKUP(TArticle[[#This Row],[کد طرف حساب]],TContact[],2,FALSE),"")</f>
        <v>قرعه 18م (43)</v>
      </c>
      <c r="O101" s="51">
        <f>IF(TArticle[[#This Row],[کد طرف حساب]]&gt;0,VLOOKUP(TArticle[[#This Row],[کد طرف حساب]],TContact[],7,FALSE)-SUMIF($M$2:M101,M101,$E$2:$E101),"")</f>
        <v>14000</v>
      </c>
      <c r="P101" s="27" t="str">
        <f>RIGHT(TArticle[[#This Row],[تاریخ]],2)</f>
        <v>14</v>
      </c>
      <c r="Q101" s="27">
        <f>VLOOKUP(TArticle[[#This Row],[تاریخ]],TDays[],16,FALSE)</f>
        <v>16</v>
      </c>
      <c r="R101" s="27" t="str">
        <f>RIGHT(LEFT(TArticle[[#This Row],[تاریخ]],7),2)</f>
        <v>04</v>
      </c>
      <c r="S101" s="27" t="str">
        <f>LEFT(TArticle[[#This Row],[تاریخ]],4)</f>
        <v>1401</v>
      </c>
      <c r="U101" s="21">
        <f>VLOOKUP(TArticle[[#This Row],[شناسه]],TAccount[],7,TRUE)</f>
        <v>4200</v>
      </c>
      <c r="V101" s="21" t="s">
        <v>61</v>
      </c>
      <c r="W101" s="21">
        <f>IF(AND(TArticle[[#This Row],[مبلغ]]&gt;0, TArticle[[#This Row],[کد وضعیت سند]]=1),TArticle[[#This Row],[مبلغ]],0)</f>
        <v>0</v>
      </c>
      <c r="X101" s="21">
        <f>IF(AND(TArticle[[#This Row],[مبلغ]]&lt;0,TArticle[[#This Row],[کد وضعیت سند]]=1),0-TArticle[[#This Row],[مبلغ]],0)</f>
        <v>350</v>
      </c>
      <c r="Y101" s="27">
        <v>2</v>
      </c>
      <c r="Z101" t="str">
        <f>IF(TArticle[[#This Row],[کد بانک]]&gt;0,VLOOKUP(TArticle[[#This Row],[کد بانک]],TBank[],2,FALSE),"")</f>
        <v>ملی جاری</v>
      </c>
      <c r="AA101">
        <f>IF(AND(TArticle[[#This Row],[مبلغ]]&lt;0,TArticle[[#This Row],[کد وضعیت سند]]=1),0-TArticle[[#This Row],[مبلغ]],0)</f>
        <v>350</v>
      </c>
      <c r="AB101">
        <f>IF(AND(TArticle[[#This Row],[مبلغ]]&gt;0, TArticle[[#This Row],[کد وضعیت سند]]=1),TArticle[[#This Row],[مبلغ]],0)</f>
        <v>0</v>
      </c>
      <c r="AC101" s="84">
        <f>IF(TArticle[[#This Row],[کد بانک]]&gt;0,VLOOKUP(TArticle[[#This Row],[کد بانک]],TBank[],9,FALSE)+SUMIF($Y$2:Y101,Y101,$E$2:$E101),"")</f>
        <v>12400</v>
      </c>
      <c r="AD101" s="1">
        <f>IFERROR(IF(INT(LEFT(TArticle[[#This Row],[شناسه]]))=3,IF(TArticle[[#This Row],[کد وضعیت سند]]=1,TArticle[مبلغ],0),0),0)</f>
        <v>0</v>
      </c>
      <c r="AE101" s="1">
        <f>IFERROR(IF(((TArticle[[#This Row],[شناسه]]))="4.1.1",IF(TArticle[[#This Row],[کد وضعیت سند]]=1,TArticle[مبلغ],0),0),0)</f>
        <v>0</v>
      </c>
      <c r="AF101" s="1">
        <f>IFERROR(IF(((TArticle[[#This Row],[شناسه]]))="4.1.2",IF(TArticle[[#This Row],[کد وضعیت سند]]=1,TArticle[مبلغ],0),0),0)</f>
        <v>0</v>
      </c>
      <c r="AG101" s="1">
        <f>IFERROR(IF(INT(LEFT(TArticle[[#This Row],[شناسه]]))=1,IF(TArticle[[#This Row],[کد وضعیت سند]]=1,TArticle[مبلغ],0),0),0)</f>
        <v>0</v>
      </c>
      <c r="AH101" s="1">
        <f>IFERROR(IF(INT(LEFT(TArticle[[#This Row],[شناسه]]))=2,IF(TArticle[[#This Row],[کد وضعیت سند]]=1,TArticle[مبلغ],0),0),0)</f>
        <v>-350</v>
      </c>
      <c r="AI101" s="1">
        <f>IFERROR(IF((LEFT(TArticle[[#This Row],[شناسه]],3))="5.2",IF(TArticle[[#This Row],[کد وضعیت سند]]=1,TArticle[مبلغ],0),0),0)</f>
        <v>0</v>
      </c>
      <c r="AJ101" s="1">
        <f>IF(TArticle[[#This Row],[کد وضعیت سند]]=1,1,0)</f>
        <v>1</v>
      </c>
      <c r="AK101" s="1">
        <f>IF(AND(TArticle[[#This Row],[کد وضعیت سند]]&lt;&gt;1,TArticle[[#This Row],[مبلغ]]&lt;&gt;0),1,0)</f>
        <v>0</v>
      </c>
      <c r="AL101" s="51">
        <f>IF(TArticle[[#This Row],[کد بانک]]&gt;0,TArticle[[#This Row],[مانده بانک]]-VLOOKUP(TArticle[[#This Row],[کد بانک]],TBank[],7,FALSE),"")</f>
        <v>12400</v>
      </c>
      <c r="AM101" s="58" t="str">
        <f>LEFT(TArticle[[#This Row],[تاریخ]],7)</f>
        <v>1401-04</v>
      </c>
    </row>
    <row r="102" spans="1:39" hidden="1" x14ac:dyDescent="0.25">
      <c r="A102" s="24" t="s">
        <v>1210</v>
      </c>
      <c r="B102" s="49" t="str">
        <f>VLOOKUP(TArticle[[#This Row],[شناسه]],TAccount[],2,TRUE)</f>
        <v>حقوق مناسبت</v>
      </c>
      <c r="C102" s="49" t="str">
        <f>VLOOKUP(TArticle[[#This Row],[تاریخ]],TDays[],7,FALSE)</f>
        <v>دوشنبه</v>
      </c>
      <c r="D102" s="28" t="s">
        <v>313</v>
      </c>
      <c r="E102" s="1">
        <v>1100</v>
      </c>
      <c r="F102" s="1">
        <f>TArticle[[#This Row],[مبلغ]]+IFERROR(INT(F101),30181+3667+958)</f>
        <v>17871</v>
      </c>
      <c r="K102" s="21">
        <v>1</v>
      </c>
      <c r="L102" t="str">
        <f>IF(TArticle[[#This Row],[کد وضعیت سند]]&gt;0,VLOOKUP(TArticle[[#This Row],[کد وضعیت سند]],TDocState[],2,FALSE),"")</f>
        <v>انجام شد</v>
      </c>
      <c r="N102" t="str">
        <f>IF(TArticle[[#This Row],[کد طرف حساب]]&gt;0,VLOOKUP(TArticle[[#This Row],[کد طرف حساب]],TContact[],2,FALSE),"")</f>
        <v/>
      </c>
      <c r="O102" s="61" t="str">
        <f>IF(TArticle[[#This Row],[کد طرف حساب]]&gt;0,VLOOKUP(TArticle[[#This Row],[کد طرف حساب]],TContact[],7,FALSE)-SUMIF($M$2:M102,M102,$E$2:$E102),"")</f>
        <v/>
      </c>
      <c r="P102" s="27" t="str">
        <f>RIGHT(TArticle[[#This Row],[تاریخ]],2)</f>
        <v>20</v>
      </c>
      <c r="Q102" s="27">
        <f>VLOOKUP(TArticle[[#This Row],[تاریخ]],TDays[],16,FALSE)</f>
        <v>17</v>
      </c>
      <c r="R102" s="27" t="str">
        <f>RIGHT(LEFT(TArticle[[#This Row],[تاریخ]],7),2)</f>
        <v>04</v>
      </c>
      <c r="S102" s="27" t="str">
        <f>LEFT(TArticle[[#This Row],[تاریخ]],4)</f>
        <v>1401</v>
      </c>
      <c r="U102" s="21">
        <f>VLOOKUP(TArticle[[#This Row],[شناسه]],TAccount[],7,TRUE)</f>
        <v>18339</v>
      </c>
      <c r="W102" s="21">
        <f>IF(AND(TArticle[[#This Row],[مبلغ]]&gt;0, TArticle[[#This Row],[کد وضعیت سند]]=1),TArticle[[#This Row],[مبلغ]],0)</f>
        <v>1100</v>
      </c>
      <c r="X102" s="27">
        <f>IF(AND(TArticle[[#This Row],[مبلغ]]&lt;0,TArticle[[#This Row],[کد وضعیت سند]]=1),0-TArticle[[#This Row],[مبلغ]],0)</f>
        <v>0</v>
      </c>
      <c r="Y102" s="27">
        <v>30</v>
      </c>
      <c r="Z102" t="str">
        <f>IF(TArticle[[#This Row],[کد بانک]]&gt;0,VLOOKUP(TArticle[[#This Row],[کد بانک]],TBank[],2,FALSE),"")</f>
        <v>بن کارت</v>
      </c>
      <c r="AA102">
        <f>IF(AND(TArticle[[#This Row],[مبلغ]]&lt;0,TArticle[[#This Row],[کد وضعیت سند]]=1),0-TArticle[[#This Row],[مبلغ]],0)</f>
        <v>0</v>
      </c>
      <c r="AB102">
        <f>IF(AND(TArticle[[#This Row],[مبلغ]]&gt;0, TArticle[[#This Row],[کد وضعیت سند]]=1),TArticle[[#This Row],[مبلغ]],0)</f>
        <v>1100</v>
      </c>
      <c r="AC102" s="84">
        <f>IF(TArticle[[#This Row],[کد بانک]]&gt;0,VLOOKUP(TArticle[[#This Row],[کد بانک]],TBank[],9,FALSE)+SUMIF($Y$2:Y102,Y102,$E$2:$E102),"")</f>
        <v>2100</v>
      </c>
      <c r="AD102" s="1">
        <f>IFERROR(IF(INT(LEFT(TArticle[[#This Row],[شناسه]]))=3,IF(TArticle[[#This Row],[کد وضعیت سند]]=1,TArticle[مبلغ],0),0),0)</f>
        <v>0</v>
      </c>
      <c r="AE102" s="1">
        <f>IFERROR(IF(((TArticle[[#This Row],[شناسه]]))="4.1.1",IF(TArticle[[#This Row],[کد وضعیت سند]]=1,TArticle[مبلغ],0),0),0)</f>
        <v>0</v>
      </c>
      <c r="AF102" s="1">
        <f>IFERROR(IF(((TArticle[[#This Row],[شناسه]]))="4.1.2",IF(TArticle[[#This Row],[کد وضعیت سند]]=1,TArticle[مبلغ],0),0),0)</f>
        <v>0</v>
      </c>
      <c r="AG102" s="1">
        <f>IFERROR(IF(INT(LEFT(TArticle[[#This Row],[شناسه]]))=1,IF(TArticle[[#This Row],[کد وضعیت سند]]=1,TArticle[مبلغ],0),0),0)</f>
        <v>0</v>
      </c>
      <c r="AH102" s="1">
        <f>IFERROR(IF(INT(LEFT(TArticle[[#This Row],[شناسه]]))=2,IF(TArticle[[#This Row],[کد وضعیت سند]]=1,TArticle[مبلغ],0),0),0)</f>
        <v>0</v>
      </c>
      <c r="AI102" s="1">
        <f>IFERROR(IF((LEFT(TArticle[[#This Row],[شناسه]],3))="5.2",IF(TArticle[[#This Row],[کد وضعیت سند]]=1,TArticle[مبلغ],0),0),0)</f>
        <v>0</v>
      </c>
      <c r="AJ102" s="1">
        <f>IF(TArticle[[#This Row],[کد وضعیت سند]]=1,1,0)</f>
        <v>1</v>
      </c>
      <c r="AK102" s="1">
        <f>IF(AND(TArticle[[#This Row],[کد وضعیت سند]]&lt;&gt;1,TArticle[[#This Row],[مبلغ]]&lt;&gt;0),1,0)</f>
        <v>0</v>
      </c>
      <c r="AL102" s="51">
        <f>IF(TArticle[[#This Row],[کد بانک]]&gt;0,TArticle[[#This Row],[مانده بانک]]-VLOOKUP(TArticle[[#This Row],[کد بانک]],TBank[],7,FALSE),"")</f>
        <v>2100</v>
      </c>
      <c r="AM102" s="49" t="str">
        <f>LEFT(TArticle[[#This Row],[تاریخ]],7)</f>
        <v>1401-04</v>
      </c>
    </row>
    <row r="103" spans="1:39" hidden="1" x14ac:dyDescent="0.25">
      <c r="A103" s="24" t="s">
        <v>1110</v>
      </c>
      <c r="B103" s="49" t="str">
        <f>VLOOKUP(TArticle[[#This Row],[شناسه]],TAccount[],2,TRUE)</f>
        <v>قسط وام بانکی</v>
      </c>
      <c r="C103" s="49" t="str">
        <f>VLOOKUP(TArticle[[#This Row],[تاریخ]],TDays[],7,FALSE)</f>
        <v>پنجشنبه</v>
      </c>
      <c r="D103" s="21" t="s">
        <v>323</v>
      </c>
      <c r="E103" s="1">
        <v>-1808</v>
      </c>
      <c r="F103" s="1">
        <f>TArticle[[#This Row],[مبلغ]]+IFERROR(INT(F102),30181+3667+958)</f>
        <v>16063</v>
      </c>
      <c r="G103" t="s">
        <v>1597</v>
      </c>
      <c r="H103" s="64">
        <v>9</v>
      </c>
      <c r="J103" s="65"/>
      <c r="K103" s="21">
        <v>1</v>
      </c>
      <c r="L103" s="66" t="str">
        <f>IF(TArticle[[#This Row],[کد وضعیت سند]]&gt;0,VLOOKUP(TArticle[[#This Row],[کد وضعیت سند]],TDocState[],2,FALSE),"")</f>
        <v>انجام شد</v>
      </c>
      <c r="M103" s="67">
        <v>112</v>
      </c>
      <c r="N103" t="str">
        <f>IF(TArticle[[#This Row],[کد طرف حساب]]&gt;0,VLOOKUP(TArticle[[#This Row],[کد طرف حساب]],TContact[],2,FALSE),"")</f>
        <v>وام ملی</v>
      </c>
      <c r="O103" s="68">
        <f>IF(TArticle[[#This Row],[کد طرف حساب]]&gt;0,VLOOKUP(TArticle[[#This Row],[کد طرف حساب]],TContact[],7,FALSE)-SUMIF($M$2:M103,M103,$E$2:$E103),"")</f>
        <v>-48192</v>
      </c>
      <c r="P103" s="67" t="str">
        <f>RIGHT(TArticle[[#This Row],[تاریخ]],2)</f>
        <v>30</v>
      </c>
      <c r="Q103" s="67">
        <f>VLOOKUP(TArticle[[#This Row],[تاریخ]],TDays[],16,FALSE)</f>
        <v>18</v>
      </c>
      <c r="R103" s="67" t="str">
        <f>RIGHT(LEFT(TArticle[[#This Row],[تاریخ]],7),2)</f>
        <v>04</v>
      </c>
      <c r="S103" s="67" t="str">
        <f>LEFT(TArticle[[#This Row],[تاریخ]],4)</f>
        <v>1401</v>
      </c>
      <c r="T103" s="64"/>
      <c r="U103" s="64">
        <f>VLOOKUP(TArticle[[#This Row],[شناسه]],TAccount[],7,TRUE)</f>
        <v>81652</v>
      </c>
      <c r="V103" s="21" t="s">
        <v>321</v>
      </c>
      <c r="W103" s="64">
        <f>IF(AND(TArticle[[#This Row],[مبلغ]]&gt;0, TArticle[[#This Row],[کد وضعیت سند]]=1),TArticle[[#This Row],[مبلغ]],0)</f>
        <v>0</v>
      </c>
      <c r="X103" s="67">
        <f>IF(AND(TArticle[[#This Row],[مبلغ]]&lt;0,TArticle[[#This Row],[کد وضعیت سند]]=1),0-TArticle[[#This Row],[مبلغ]],0)</f>
        <v>1808</v>
      </c>
      <c r="Y103" s="67">
        <v>2</v>
      </c>
      <c r="Z103" t="str">
        <f>IF(TArticle[[#This Row],[کد بانک]]&gt;0,VLOOKUP(TArticle[[#This Row],[کد بانک]],TBank[],2,FALSE),"")</f>
        <v>ملی جاری</v>
      </c>
      <c r="AA103">
        <f>IF(AND(TArticle[[#This Row],[مبلغ]]&lt;0,TArticle[[#This Row],[کد وضعیت سند]]=1),0-TArticle[[#This Row],[مبلغ]],0)</f>
        <v>1808</v>
      </c>
      <c r="AB103">
        <f>IF(AND(TArticle[[#This Row],[مبلغ]]&gt;0, TArticle[[#This Row],[کد وضعیت سند]]=1),TArticle[[#This Row],[مبلغ]],0)</f>
        <v>0</v>
      </c>
      <c r="AC103" s="93">
        <f>IF(TArticle[[#This Row],[کد بانک]]&gt;0,VLOOKUP(TArticle[[#This Row],[کد بانک]],TBank[],9,FALSE)+SUMIF($Y$2:Y103,Y103,$E$2:$E103),"")</f>
        <v>10592</v>
      </c>
      <c r="AD103" s="1">
        <f>IFERROR(IF(INT(LEFT(TArticle[[#This Row],[شناسه]]))=3,IF(TArticle[[#This Row],[کد وضعیت سند]]=1,TArticle[مبلغ],0),0),0)</f>
        <v>0</v>
      </c>
      <c r="AE103" s="1">
        <f>IFERROR(IF(((TArticle[[#This Row],[شناسه]]))="4.1.1",IF(TArticle[[#This Row],[کد وضعیت سند]]=1,TArticle[مبلغ],0),0),0)</f>
        <v>0</v>
      </c>
      <c r="AF103" s="1">
        <f>IFERROR(IF(((TArticle[[#This Row],[شناسه]]))="4.1.2",IF(TArticle[[#This Row],[کد وضعیت سند]]=1,TArticle[مبلغ],0),0),0)</f>
        <v>0</v>
      </c>
      <c r="AG103" s="1">
        <f>IFERROR(IF(INT(LEFT(TArticle[[#This Row],[شناسه]]))=1,IF(TArticle[[#This Row],[کد وضعیت سند]]=1,TArticle[مبلغ],0),0),0)</f>
        <v>-1808</v>
      </c>
      <c r="AH103" s="1">
        <f>IFERROR(IF(INT(LEFT(TArticle[[#This Row],[شناسه]]))=2,IF(TArticle[[#This Row],[کد وضعیت سند]]=1,TArticle[مبلغ],0),0),0)</f>
        <v>0</v>
      </c>
      <c r="AI103" s="1">
        <f>IFERROR(IF((LEFT(TArticle[[#This Row],[شناسه]],3))="5.2",IF(TArticle[[#This Row],[کد وضعیت سند]]=1,TArticle[مبلغ],0),0),0)</f>
        <v>0</v>
      </c>
      <c r="AJ103" s="1">
        <f>IF(TArticle[[#This Row],[کد وضعیت سند]]=1,1,0)</f>
        <v>1</v>
      </c>
      <c r="AK103" s="1">
        <f>IF(AND(TArticle[[#This Row],[کد وضعیت سند]]&lt;&gt;1,TArticle[[#This Row],[مبلغ]]&lt;&gt;0),1,0)</f>
        <v>0</v>
      </c>
      <c r="AL103" s="78">
        <f>IF(TArticle[[#This Row],[کد بانک]]&gt;0,TArticle[[#This Row],[مانده بانک]]-VLOOKUP(TArticle[[#This Row],[کد بانک]],TBank[],7,FALSE),"")</f>
        <v>10592</v>
      </c>
      <c r="AM103" s="58" t="str">
        <f>LEFT(TArticle[[#This Row],[تاریخ]],7)</f>
        <v>1401-04</v>
      </c>
    </row>
    <row r="104" spans="1:39" hidden="1" x14ac:dyDescent="0.25">
      <c r="A104" s="24" t="s">
        <v>1110</v>
      </c>
      <c r="B104" s="49" t="str">
        <f>VLOOKUP(TArticle[[#This Row],[شناسه]],TAccount[],2,TRUE)</f>
        <v>قسط وام بانکی</v>
      </c>
      <c r="C104" s="49" t="str">
        <f>VLOOKUP(TArticle[[#This Row],[تاریخ]],TDays[],7,FALSE)</f>
        <v>پنجشنبه</v>
      </c>
      <c r="D104" s="21" t="s">
        <v>323</v>
      </c>
      <c r="E104" s="1">
        <v>-1808</v>
      </c>
      <c r="F104" s="1">
        <f>TArticle[[#This Row],[مبلغ]]+IFERROR(INT(F103),30181+3667+958)</f>
        <v>14255</v>
      </c>
      <c r="G104" t="s">
        <v>1597</v>
      </c>
      <c r="H104" s="64">
        <v>8</v>
      </c>
      <c r="J104" s="65"/>
      <c r="K104" s="21">
        <v>1</v>
      </c>
      <c r="L104" s="66" t="str">
        <f>IF(TArticle[[#This Row],[کد وضعیت سند]]&gt;0,VLOOKUP(TArticle[[#This Row],[کد وضعیت سند]],TDocState[],2,FALSE),"")</f>
        <v>انجام شد</v>
      </c>
      <c r="M104" s="67">
        <v>112</v>
      </c>
      <c r="N104" t="str">
        <f>IF(TArticle[[#This Row],[کد طرف حساب]]&gt;0,VLOOKUP(TArticle[[#This Row],[کد طرف حساب]],TContact[],2,FALSE),"")</f>
        <v>وام ملی</v>
      </c>
      <c r="O104" s="68">
        <f>IF(TArticle[[#This Row],[کد طرف حساب]]&gt;0,VLOOKUP(TArticle[[#This Row],[کد طرف حساب]],TContact[],7,FALSE)-SUMIF($M$2:M104,M104,$E$2:$E104),"")</f>
        <v>-46384</v>
      </c>
      <c r="P104" s="67" t="str">
        <f>RIGHT(TArticle[[#This Row],[تاریخ]],2)</f>
        <v>30</v>
      </c>
      <c r="Q104" s="67">
        <f>VLOOKUP(TArticle[[#This Row],[تاریخ]],TDays[],16,FALSE)</f>
        <v>18</v>
      </c>
      <c r="R104" s="67" t="str">
        <f>RIGHT(LEFT(TArticle[[#This Row],[تاریخ]],7),2)</f>
        <v>04</v>
      </c>
      <c r="S104" s="67" t="str">
        <f>LEFT(TArticle[[#This Row],[تاریخ]],4)</f>
        <v>1401</v>
      </c>
      <c r="T104" s="64"/>
      <c r="U104" s="64">
        <f>VLOOKUP(TArticle[[#This Row],[شناسه]],TAccount[],7,TRUE)</f>
        <v>81652</v>
      </c>
      <c r="V104" s="21" t="s">
        <v>291</v>
      </c>
      <c r="W104" s="64">
        <f>IF(AND(TArticle[[#This Row],[مبلغ]]&gt;0, TArticle[[#This Row],[کد وضعیت سند]]=1),TArticle[[#This Row],[مبلغ]],0)</f>
        <v>0</v>
      </c>
      <c r="X104" s="67">
        <f>IF(AND(TArticle[[#This Row],[مبلغ]]&lt;0,TArticle[[#This Row],[کد وضعیت سند]]=1),0-TArticle[[#This Row],[مبلغ]],0)</f>
        <v>1808</v>
      </c>
      <c r="Y104" s="27">
        <v>2</v>
      </c>
      <c r="Z104" t="str">
        <f>IF(TArticle[[#This Row],[کد بانک]]&gt;0,VLOOKUP(TArticle[[#This Row],[کد بانک]],TBank[],2,FALSE),"")</f>
        <v>ملی جاری</v>
      </c>
      <c r="AA104">
        <f>IF(AND(TArticle[[#This Row],[مبلغ]]&lt;0,TArticle[[#This Row],[کد وضعیت سند]]=1),0-TArticle[[#This Row],[مبلغ]],0)</f>
        <v>1808</v>
      </c>
      <c r="AB104">
        <f>IF(AND(TArticle[[#This Row],[مبلغ]]&gt;0, TArticle[[#This Row],[کد وضعیت سند]]=1),TArticle[[#This Row],[مبلغ]],0)</f>
        <v>0</v>
      </c>
      <c r="AC104" s="93">
        <f>IF(TArticle[[#This Row],[کد بانک]]&gt;0,VLOOKUP(TArticle[[#This Row],[کد بانک]],TBank[],9,FALSE)+SUMIF($Y$2:Y104,Y104,$E$2:$E104),"")</f>
        <v>8784</v>
      </c>
      <c r="AD104" s="1">
        <f>IFERROR(IF(INT(LEFT(TArticle[[#This Row],[شناسه]]))=3,IF(TArticle[[#This Row],[کد وضعیت سند]]=1,TArticle[مبلغ],0),0),0)</f>
        <v>0</v>
      </c>
      <c r="AE104" s="1">
        <f>IFERROR(IF(((TArticle[[#This Row],[شناسه]]))="4.1.1",IF(TArticle[[#This Row],[کد وضعیت سند]]=1,TArticle[مبلغ],0),0),0)</f>
        <v>0</v>
      </c>
      <c r="AF104" s="1">
        <f>IFERROR(IF(((TArticle[[#This Row],[شناسه]]))="4.1.2",IF(TArticle[[#This Row],[کد وضعیت سند]]=1,TArticle[مبلغ],0),0),0)</f>
        <v>0</v>
      </c>
      <c r="AG104" s="1">
        <f>IFERROR(IF(INT(LEFT(TArticle[[#This Row],[شناسه]]))=1,IF(TArticle[[#This Row],[کد وضعیت سند]]=1,TArticle[مبلغ],0),0),0)</f>
        <v>-1808</v>
      </c>
      <c r="AH104" s="1">
        <f>IFERROR(IF(INT(LEFT(TArticle[[#This Row],[شناسه]]))=2,IF(TArticle[[#This Row],[کد وضعیت سند]]=1,TArticle[مبلغ],0),0),0)</f>
        <v>0</v>
      </c>
      <c r="AI104" s="1">
        <f>IFERROR(IF((LEFT(TArticle[[#This Row],[شناسه]],3))="5.2",IF(TArticle[[#This Row],[کد وضعیت سند]]=1,TArticle[مبلغ],0),0),0)</f>
        <v>0</v>
      </c>
      <c r="AJ104" s="1">
        <f>IF(TArticle[[#This Row],[کد وضعیت سند]]=1,1,0)</f>
        <v>1</v>
      </c>
      <c r="AK104" s="1">
        <f>IF(AND(TArticle[[#This Row],[کد وضعیت سند]]&lt;&gt;1,TArticle[[#This Row],[مبلغ]]&lt;&gt;0),1,0)</f>
        <v>0</v>
      </c>
      <c r="AL104" s="78">
        <f>IF(TArticle[[#This Row],[کد بانک]]&gt;0,TArticle[[#This Row],[مانده بانک]]-VLOOKUP(TArticle[[#This Row],[کد بانک]],TBank[],7,FALSE),"")</f>
        <v>8784</v>
      </c>
      <c r="AM104" s="58" t="str">
        <f>LEFT(TArticle[[#This Row],[تاریخ]],7)</f>
        <v>1401-04</v>
      </c>
    </row>
    <row r="105" spans="1:39" hidden="1" x14ac:dyDescent="0.25">
      <c r="A105" s="24" t="s">
        <v>43</v>
      </c>
      <c r="B105" s="49" t="str">
        <f>VLOOKUP(TArticle[[#This Row],[شناسه]],TAccount[],2,TRUE)</f>
        <v>حقوق</v>
      </c>
      <c r="C105" s="49" t="str">
        <f>VLOOKUP(TArticle[[#This Row],[تاریخ]],TDays[],7,FALSE)</f>
        <v>پنجشنبه</v>
      </c>
      <c r="D105" s="21" t="s">
        <v>323</v>
      </c>
      <c r="E105" s="1">
        <v>37881</v>
      </c>
      <c r="F105" s="1">
        <f>TArticle[[#This Row],[مبلغ]]+IFERROR(INT(F104),30181+3667+958)</f>
        <v>52136</v>
      </c>
      <c r="K105" s="21">
        <v>1</v>
      </c>
      <c r="L105" t="str">
        <f>IF(TArticle[[#This Row],[کد وضعیت سند]]&gt;0,VLOOKUP(TArticle[[#This Row],[کد وضعیت سند]],TDocState[],2,FALSE),"")</f>
        <v>انجام شد</v>
      </c>
      <c r="N105" t="str">
        <f>IF(TArticle[[#This Row],[کد طرف حساب]]&gt;0,VLOOKUP(TArticle[[#This Row],[کد طرف حساب]],TContact[],2,FALSE),"")</f>
        <v/>
      </c>
      <c r="O105" s="61" t="str">
        <f>IF(TArticle[[#This Row],[کد طرف حساب]]&gt;0,VLOOKUP(TArticle[[#This Row],[کد طرف حساب]],TContact[],7,FALSE)-SUMIF($M$2:M105,M105,$E$2:$E105),"")</f>
        <v/>
      </c>
      <c r="P105" s="27" t="str">
        <f>RIGHT(TArticle[[#This Row],[تاریخ]],2)</f>
        <v>30</v>
      </c>
      <c r="Q105" s="27">
        <f>VLOOKUP(TArticle[[#This Row],[تاریخ]],TDays[],16,FALSE)</f>
        <v>18</v>
      </c>
      <c r="R105" s="27" t="str">
        <f>RIGHT(LEFT(TArticle[[#This Row],[تاریخ]],7),2)</f>
        <v>04</v>
      </c>
      <c r="S105" s="27" t="str">
        <f>LEFT(TArticle[[#This Row],[تاریخ]],4)</f>
        <v>1401</v>
      </c>
      <c r="U105" s="21">
        <f>VLOOKUP(TArticle[[#This Row],[شناسه]],TAccount[],7,TRUE)</f>
        <v>416023</v>
      </c>
      <c r="W105" s="21">
        <f>IF(AND(TArticle[[#This Row],[مبلغ]]&gt;0, TArticle[[#This Row],[کد وضعیت سند]]=1),TArticle[[#This Row],[مبلغ]],0)</f>
        <v>37881</v>
      </c>
      <c r="X105" s="27">
        <f>IF(AND(TArticle[[#This Row],[مبلغ]]&lt;0,TArticle[[#This Row],[کد وضعیت سند]]=1),0-TArticle[[#This Row],[مبلغ]],0)</f>
        <v>0</v>
      </c>
      <c r="Y105" s="27">
        <v>2</v>
      </c>
      <c r="Z105" t="str">
        <f>IF(TArticle[[#This Row],[کد بانک]]&gt;0,VLOOKUP(TArticle[[#This Row],[کد بانک]],TBank[],2,FALSE),"")</f>
        <v>ملی جاری</v>
      </c>
      <c r="AA105">
        <f>IF(AND(TArticle[[#This Row],[مبلغ]]&lt;0,TArticle[[#This Row],[کد وضعیت سند]]=1),0-TArticle[[#This Row],[مبلغ]],0)</f>
        <v>0</v>
      </c>
      <c r="AB105">
        <f>IF(AND(TArticle[[#This Row],[مبلغ]]&gt;0, TArticle[[#This Row],[کد وضعیت سند]]=1),TArticle[[#This Row],[مبلغ]],0)</f>
        <v>37881</v>
      </c>
      <c r="AC105" s="84">
        <f>IF(TArticle[[#This Row],[کد بانک]]&gt;0,VLOOKUP(TArticle[[#This Row],[کد بانک]],TBank[],9,FALSE)+SUMIF($Y$2:Y105,Y105,$E$2:$E105),"")</f>
        <v>46665</v>
      </c>
      <c r="AD105" s="1">
        <f>IFERROR(IF(INT(LEFT(TArticle[[#This Row],[شناسه]]))=3,IF(TArticle[[#This Row],[کد وضعیت سند]]=1,TArticle[مبلغ],0),0),0)</f>
        <v>0</v>
      </c>
      <c r="AE105" s="1">
        <f>IFERROR(IF(((TArticle[[#This Row],[شناسه]]))="4.1.1",IF(TArticle[[#This Row],[کد وضعیت سند]]=1,TArticle[مبلغ],0),0),0)</f>
        <v>37881</v>
      </c>
      <c r="AF105" s="1">
        <f>IFERROR(IF(((TArticle[[#This Row],[شناسه]]))="4.1.2",IF(TArticle[[#This Row],[کد وضعیت سند]]=1,TArticle[مبلغ],0),0),0)</f>
        <v>0</v>
      </c>
      <c r="AG105" s="1">
        <f>IFERROR(IF(INT(LEFT(TArticle[[#This Row],[شناسه]]))=1,IF(TArticle[[#This Row],[کد وضعیت سند]]=1,TArticle[مبلغ],0),0),0)</f>
        <v>0</v>
      </c>
      <c r="AH105" s="1">
        <f>IFERROR(IF(INT(LEFT(TArticle[[#This Row],[شناسه]]))=2,IF(TArticle[[#This Row],[کد وضعیت سند]]=1,TArticle[مبلغ],0),0),0)</f>
        <v>0</v>
      </c>
      <c r="AI105" s="1">
        <f>IFERROR(IF((LEFT(TArticle[[#This Row],[شناسه]],3))="5.2",IF(TArticle[[#This Row],[کد وضعیت سند]]=1,TArticle[مبلغ],0),0),0)</f>
        <v>0</v>
      </c>
      <c r="AJ105" s="1">
        <f>IF(TArticle[[#This Row],[کد وضعیت سند]]=1,1,0)</f>
        <v>1</v>
      </c>
      <c r="AK105" s="1">
        <f>IF(AND(TArticle[[#This Row],[کد وضعیت سند]]&lt;&gt;1,TArticle[[#This Row],[مبلغ]]&lt;&gt;0),1,0)</f>
        <v>0</v>
      </c>
      <c r="AL105" s="51">
        <f>IF(TArticle[[#This Row],[کد بانک]]&gt;0,TArticle[[#This Row],[مانده بانک]]-VLOOKUP(TArticle[[#This Row],[کد بانک]],TBank[],7,FALSE),"")</f>
        <v>46665</v>
      </c>
      <c r="AM105" s="49" t="str">
        <f>LEFT(TArticle[[#This Row],[تاریخ]],7)</f>
        <v>1401-04</v>
      </c>
    </row>
    <row r="106" spans="1:39" hidden="1" x14ac:dyDescent="0.25">
      <c r="A106" s="24" t="s">
        <v>55</v>
      </c>
      <c r="B106" s="49" t="str">
        <f>VLOOKUP(TArticle[[#This Row],[شناسه]],TAccount[],2,TRUE)</f>
        <v>هزینه کلی</v>
      </c>
      <c r="C106" s="49" t="str">
        <f>VLOOKUP(TArticle[[#This Row],[تاریخ]],TDays[],7,FALSE)</f>
        <v>پنجشنبه</v>
      </c>
      <c r="D106" s="21" t="s">
        <v>323</v>
      </c>
      <c r="E106" s="1">
        <f>31201-46665+41</f>
        <v>-15423</v>
      </c>
      <c r="F106" s="1">
        <f>TArticle[[#This Row],[مبلغ]]+IFERROR(INT(F105),30181+3667+958)</f>
        <v>36713</v>
      </c>
      <c r="K106" s="21">
        <v>1</v>
      </c>
      <c r="L106" t="str">
        <f>IF(TArticle[[#This Row],[کد وضعیت سند]]&gt;0,VLOOKUP(TArticle[[#This Row],[کد وضعیت سند]],TDocState[],2,FALSE),"")</f>
        <v>انجام شد</v>
      </c>
      <c r="N106" t="str">
        <f>IF(TArticle[[#This Row],[کد طرف حساب]]&gt;0,VLOOKUP(TArticle[[#This Row],[کد طرف حساب]],TContact[],2,FALSE),"")</f>
        <v/>
      </c>
      <c r="O106" s="61" t="str">
        <f>IF(TArticle[[#This Row],[کد طرف حساب]]&gt;0,VLOOKUP(TArticle[[#This Row],[کد طرف حساب]],TContact[],7,FALSE)-SUMIF($M$2:M106,M106,$E$2:$E106),"")</f>
        <v/>
      </c>
      <c r="P106" s="27" t="str">
        <f>RIGHT(TArticle[[#This Row],[تاریخ]],2)</f>
        <v>30</v>
      </c>
      <c r="Q106" s="27">
        <f>VLOOKUP(TArticle[[#This Row],[تاریخ]],TDays[],16,FALSE)</f>
        <v>18</v>
      </c>
      <c r="R106" s="27" t="str">
        <f>RIGHT(LEFT(TArticle[[#This Row],[تاریخ]],7),2)</f>
        <v>04</v>
      </c>
      <c r="S106" s="27" t="str">
        <f>LEFT(TArticle[[#This Row],[تاریخ]],4)</f>
        <v>1401</v>
      </c>
      <c r="U106" s="21">
        <f>VLOOKUP(TArticle[[#This Row],[شناسه]],TAccount[],7,TRUE)</f>
        <v>364074</v>
      </c>
      <c r="W106" s="21">
        <f>IF(AND(TArticle[[#This Row],[مبلغ]]&gt;0, TArticle[[#This Row],[کد وضعیت سند]]=1),TArticle[[#This Row],[مبلغ]],0)</f>
        <v>0</v>
      </c>
      <c r="X106" s="27">
        <f>IF(AND(TArticle[[#This Row],[مبلغ]]&lt;0,TArticle[[#This Row],[کد وضعیت سند]]=1),0-TArticle[[#This Row],[مبلغ]],0)</f>
        <v>15423</v>
      </c>
      <c r="Y106" s="27">
        <v>2</v>
      </c>
      <c r="Z106" t="str">
        <f>IF(TArticle[[#This Row],[کد بانک]]&gt;0,VLOOKUP(TArticle[[#This Row],[کد بانک]],TBank[],2,FALSE),"")</f>
        <v>ملی جاری</v>
      </c>
      <c r="AA106">
        <f>IF(AND(TArticle[[#This Row],[مبلغ]]&lt;0,TArticle[[#This Row],[کد وضعیت سند]]=1),0-TArticle[[#This Row],[مبلغ]],0)</f>
        <v>15423</v>
      </c>
      <c r="AB106">
        <f>IF(AND(TArticle[[#This Row],[مبلغ]]&gt;0, TArticle[[#This Row],[کد وضعیت سند]]=1),TArticle[[#This Row],[مبلغ]],0)</f>
        <v>0</v>
      </c>
      <c r="AC106" s="84">
        <f>IF(TArticle[[#This Row],[کد بانک]]&gt;0,VLOOKUP(TArticle[[#This Row],[کد بانک]],TBank[],9,FALSE)+SUMIF($Y$2:Y106,Y106,$E$2:$E106),"")</f>
        <v>31242</v>
      </c>
      <c r="AD106" s="1">
        <f>IFERROR(IF(INT(LEFT(TArticle[[#This Row],[شناسه]]))=3,IF(TArticle[[#This Row],[کد وضعیت سند]]=1,TArticle[مبلغ],0),0),0)</f>
        <v>-15423</v>
      </c>
      <c r="AE106" s="1">
        <f>IFERROR(IF(((TArticle[[#This Row],[شناسه]]))="4.1.1",IF(TArticle[[#This Row],[کد وضعیت سند]]=1,TArticle[مبلغ],0),0),0)</f>
        <v>0</v>
      </c>
      <c r="AF106" s="1">
        <f>IFERROR(IF(((TArticle[[#This Row],[شناسه]]))="4.1.2",IF(TArticle[[#This Row],[کد وضعیت سند]]=1,TArticle[مبلغ],0),0),0)</f>
        <v>0</v>
      </c>
      <c r="AG106" s="1">
        <f>IFERROR(IF(INT(LEFT(TArticle[[#This Row],[شناسه]]))=1,IF(TArticle[[#This Row],[کد وضعیت سند]]=1,TArticle[مبلغ],0),0),0)</f>
        <v>0</v>
      </c>
      <c r="AH106" s="1">
        <f>IFERROR(IF(INT(LEFT(TArticle[[#This Row],[شناسه]]))=2,IF(TArticle[[#This Row],[کد وضعیت سند]]=1,TArticle[مبلغ],0),0),0)</f>
        <v>0</v>
      </c>
      <c r="AI106" s="1">
        <f>IFERROR(IF((LEFT(TArticle[[#This Row],[شناسه]],3))="5.2",IF(TArticle[[#This Row],[کد وضعیت سند]]=1,TArticle[مبلغ],0),0),0)</f>
        <v>0</v>
      </c>
      <c r="AJ106" s="1">
        <f>IF(TArticle[[#This Row],[کد وضعیت سند]]=1,1,0)</f>
        <v>1</v>
      </c>
      <c r="AK106" s="1">
        <f>IF(AND(TArticle[[#This Row],[کد وضعیت سند]]&lt;&gt;1,TArticle[[#This Row],[مبلغ]]&lt;&gt;0),1,0)</f>
        <v>0</v>
      </c>
      <c r="AL106" s="51">
        <f>IF(TArticle[[#This Row],[کد بانک]]&gt;0,TArticle[[#This Row],[مانده بانک]]-VLOOKUP(TArticle[[#This Row],[کد بانک]],TBank[],7,FALSE),"")</f>
        <v>31242</v>
      </c>
      <c r="AM106" s="49" t="str">
        <f>LEFT(TArticle[[#This Row],[تاریخ]],7)</f>
        <v>1401-04</v>
      </c>
    </row>
    <row r="107" spans="1:39" hidden="1" x14ac:dyDescent="0.25">
      <c r="A107" s="24" t="s">
        <v>55</v>
      </c>
      <c r="B107" s="49" t="str">
        <f>VLOOKUP(TArticle[[#This Row],[شناسه]],TAccount[],2,TRUE)</f>
        <v>هزینه کلی</v>
      </c>
      <c r="C107" s="49" t="str">
        <f>VLOOKUP(TArticle[[#This Row],[تاریخ]],TDays[],7,FALSE)</f>
        <v>پنجشنبه</v>
      </c>
      <c r="D107" s="21" t="s">
        <v>323</v>
      </c>
      <c r="E107" s="1">
        <f>1094-3171</f>
        <v>-2077</v>
      </c>
      <c r="F107" s="1">
        <f>TArticle[[#This Row],[مبلغ]]+IFERROR(INT(F106),30181+3667+958)</f>
        <v>34636</v>
      </c>
      <c r="K107" s="21">
        <v>1</v>
      </c>
      <c r="L107" t="str">
        <f>IF(TArticle[[#This Row],[کد وضعیت سند]]&gt;0,VLOOKUP(TArticle[[#This Row],[کد وضعیت سند]],TDocState[],2,FALSE),"")</f>
        <v>انجام شد</v>
      </c>
      <c r="N107" t="str">
        <f>IF(TArticle[[#This Row],[کد طرف حساب]]&gt;0,VLOOKUP(TArticle[[#This Row],[کد طرف حساب]],TContact[],2,FALSE),"")</f>
        <v/>
      </c>
      <c r="O107" s="61" t="str">
        <f>IF(TArticle[[#This Row],[کد طرف حساب]]&gt;0,VLOOKUP(TArticle[[#This Row],[کد طرف حساب]],TContact[],7,FALSE)-SUMIF($M$2:M107,M107,$E$2:$E107),"")</f>
        <v/>
      </c>
      <c r="P107" s="27" t="str">
        <f>RIGHT(TArticle[[#This Row],[تاریخ]],2)</f>
        <v>30</v>
      </c>
      <c r="Q107" s="27">
        <f>VLOOKUP(TArticle[[#This Row],[تاریخ]],TDays[],16,FALSE)</f>
        <v>18</v>
      </c>
      <c r="R107" s="27" t="str">
        <f>RIGHT(LEFT(TArticle[[#This Row],[تاریخ]],7),2)</f>
        <v>04</v>
      </c>
      <c r="S107" s="27" t="str">
        <f>LEFT(TArticle[[#This Row],[تاریخ]],4)</f>
        <v>1401</v>
      </c>
      <c r="U107" s="21">
        <f>VLOOKUP(TArticle[[#This Row],[شناسه]],TAccount[],7,TRUE)</f>
        <v>364074</v>
      </c>
      <c r="W107" s="21">
        <f>IF(AND(TArticle[[#This Row],[مبلغ]]&gt;0, TArticle[[#This Row],[کد وضعیت سند]]=1),TArticle[[#This Row],[مبلغ]],0)</f>
        <v>0</v>
      </c>
      <c r="X107" s="27">
        <f>IF(AND(TArticle[[#This Row],[مبلغ]]&lt;0,TArticle[[#This Row],[کد وضعیت سند]]=1),0-TArticle[[#This Row],[مبلغ]],0)</f>
        <v>2077</v>
      </c>
      <c r="Y107" s="27">
        <v>16</v>
      </c>
      <c r="Z107" t="str">
        <f>IF(TArticle[[#This Row],[کد بانک]]&gt;0,VLOOKUP(TArticle[[#This Row],[کد بانک]],TBank[],2,FALSE),"")</f>
        <v>مهرایران</v>
      </c>
      <c r="AA107">
        <f>IF(AND(TArticle[[#This Row],[مبلغ]]&lt;0,TArticle[[#This Row],[کد وضعیت سند]]=1),0-TArticle[[#This Row],[مبلغ]],0)</f>
        <v>2077</v>
      </c>
      <c r="AB107">
        <f>IF(AND(TArticle[[#This Row],[مبلغ]]&gt;0, TArticle[[#This Row],[کد وضعیت سند]]=1),TArticle[[#This Row],[مبلغ]],0)</f>
        <v>0</v>
      </c>
      <c r="AC107" s="84">
        <f>IF(TArticle[[#This Row],[کد بانک]]&gt;0,VLOOKUP(TArticle[[#This Row],[کد بانک]],TBank[],9,FALSE)+SUMIF($Y$2:Y107,Y107,$E$2:$E107),"")</f>
        <v>1094</v>
      </c>
      <c r="AD107" s="1">
        <f>IFERROR(IF(INT(LEFT(TArticle[[#This Row],[شناسه]]))=3,IF(TArticle[[#This Row],[کد وضعیت سند]]=1,TArticle[مبلغ],0),0),0)</f>
        <v>-2077</v>
      </c>
      <c r="AE107" s="1">
        <f>IFERROR(IF(((TArticle[[#This Row],[شناسه]]))="4.1.1",IF(TArticle[[#This Row],[کد وضعیت سند]]=1,TArticle[مبلغ],0),0),0)</f>
        <v>0</v>
      </c>
      <c r="AF107" s="1">
        <f>IFERROR(IF(((TArticle[[#This Row],[شناسه]]))="4.1.2",IF(TArticle[[#This Row],[کد وضعیت سند]]=1,TArticle[مبلغ],0),0),0)</f>
        <v>0</v>
      </c>
      <c r="AG107" s="1">
        <f>IFERROR(IF(INT(LEFT(TArticle[[#This Row],[شناسه]]))=1,IF(TArticle[[#This Row],[کد وضعیت سند]]=1,TArticle[مبلغ],0),0),0)</f>
        <v>0</v>
      </c>
      <c r="AH107" s="1">
        <f>IFERROR(IF(INT(LEFT(TArticle[[#This Row],[شناسه]]))=2,IF(TArticle[[#This Row],[کد وضعیت سند]]=1,TArticle[مبلغ],0),0),0)</f>
        <v>0</v>
      </c>
      <c r="AI107" s="1">
        <f>IFERROR(IF((LEFT(TArticle[[#This Row],[شناسه]],3))="5.2",IF(TArticle[[#This Row],[کد وضعیت سند]]=1,TArticle[مبلغ],0),0),0)</f>
        <v>0</v>
      </c>
      <c r="AJ107" s="1">
        <f>IF(TArticle[[#This Row],[کد وضعیت سند]]=1,1,0)</f>
        <v>1</v>
      </c>
      <c r="AK107" s="1">
        <f>IF(AND(TArticle[[#This Row],[کد وضعیت سند]]&lt;&gt;1,TArticle[[#This Row],[مبلغ]]&lt;&gt;0),1,0)</f>
        <v>0</v>
      </c>
      <c r="AL107" s="51">
        <f>IF(TArticle[[#This Row],[کد بانک]]&gt;0,TArticle[[#This Row],[مانده بانک]]-VLOOKUP(TArticle[[#This Row],[کد بانک]],TBank[],7,FALSE),"")</f>
        <v>1064</v>
      </c>
      <c r="AM107" s="49" t="str">
        <f>LEFT(TArticle[[#This Row],[تاریخ]],7)</f>
        <v>1401-04</v>
      </c>
    </row>
    <row r="108" spans="1:39" hidden="1" x14ac:dyDescent="0.25">
      <c r="A108" s="24" t="s">
        <v>1008</v>
      </c>
      <c r="B108" s="49" t="str">
        <f>VLOOKUP(TArticle[[#This Row],[شناسه]],TAccount[],2,TRUE)</f>
        <v>حواله پرداخت/برداشت</v>
      </c>
      <c r="C108" s="49" t="str">
        <f>VLOOKUP(TArticle[[#This Row],[تاریخ]],TDays[],7,FALSE)</f>
        <v>پنجشنبه</v>
      </c>
      <c r="D108" s="21" t="s">
        <v>323</v>
      </c>
      <c r="E108" s="1">
        <v>-14000</v>
      </c>
      <c r="F108" s="1">
        <f>TArticle[[#This Row],[مبلغ]]+IFERROR(INT(F107),30181+3667+958)</f>
        <v>20636</v>
      </c>
      <c r="K108" s="21">
        <v>1</v>
      </c>
      <c r="L108" t="str">
        <f>IF(TArticle[[#This Row],[کد وضعیت سند]]&gt;0,VLOOKUP(TArticle[[#This Row],[کد وضعیت سند]],TDocState[],2,FALSE),"")</f>
        <v>انجام شد</v>
      </c>
      <c r="N108" t="str">
        <f>IF(TArticle[[#This Row],[کد طرف حساب]]&gt;0,VLOOKUP(TArticle[[#This Row],[کد طرف حساب]],TContact[],2,FALSE),"")</f>
        <v/>
      </c>
      <c r="O108" s="61" t="str">
        <f>IF(TArticle[[#This Row],[کد طرف حساب]]&gt;0,VLOOKUP(TArticle[[#This Row],[کد طرف حساب]],TContact[],7,FALSE)-SUMIF($M$2:M108,M108,$E$2:$E108),"")</f>
        <v/>
      </c>
      <c r="P108" s="27" t="str">
        <f>RIGHT(TArticle[[#This Row],[تاریخ]],2)</f>
        <v>30</v>
      </c>
      <c r="Q108" s="27">
        <f>VLOOKUP(TArticle[[#This Row],[تاریخ]],TDays[],16,FALSE)</f>
        <v>18</v>
      </c>
      <c r="R108" s="27" t="str">
        <f>RIGHT(LEFT(TArticle[[#This Row],[تاریخ]],7),2)</f>
        <v>04</v>
      </c>
      <c r="S108" s="27" t="str">
        <f>LEFT(TArticle[[#This Row],[تاریخ]],4)</f>
        <v>1401</v>
      </c>
      <c r="U108" s="21">
        <f>VLOOKUP(TArticle[[#This Row],[شناسه]],TAccount[],7,TRUE)</f>
        <v>179525</v>
      </c>
      <c r="W108" s="21">
        <f>IF(AND(TArticle[[#This Row],[مبلغ]]&gt;0, TArticle[[#This Row],[کد وضعیت سند]]=1),TArticle[[#This Row],[مبلغ]],0)</f>
        <v>0</v>
      </c>
      <c r="X108" s="27">
        <f>IF(AND(TArticle[[#This Row],[مبلغ]]&lt;0,TArticle[[#This Row],[کد وضعیت سند]]=1),0-TArticle[[#This Row],[مبلغ]],0)</f>
        <v>14000</v>
      </c>
      <c r="Y108" s="27">
        <v>2</v>
      </c>
      <c r="Z108" t="str">
        <f>IF(TArticle[[#This Row],[کد بانک]]&gt;0,VLOOKUP(TArticle[[#This Row],[کد بانک]],TBank[],2,FALSE),"")</f>
        <v>ملی جاری</v>
      </c>
      <c r="AA108">
        <f>IF(AND(TArticle[[#This Row],[مبلغ]]&lt;0,TArticle[[#This Row],[کد وضعیت سند]]=1),0-TArticle[[#This Row],[مبلغ]],0)</f>
        <v>14000</v>
      </c>
      <c r="AB108">
        <f>IF(AND(TArticle[[#This Row],[مبلغ]]&gt;0, TArticle[[#This Row],[کد وضعیت سند]]=1),TArticle[[#This Row],[مبلغ]],0)</f>
        <v>0</v>
      </c>
      <c r="AC108" s="84">
        <f>IF(TArticle[[#This Row],[کد بانک]]&gt;0,VLOOKUP(TArticle[[#This Row],[کد بانک]],TBank[],9,FALSE)+SUMIF($Y$2:Y108,Y108,$E$2:$E108),"")</f>
        <v>17242</v>
      </c>
      <c r="AD108" s="1">
        <f>IFERROR(IF(INT(LEFT(TArticle[[#This Row],[شناسه]]))=3,IF(TArticle[[#This Row],[کد وضعیت سند]]=1,TArticle[مبلغ],0),0),0)</f>
        <v>0</v>
      </c>
      <c r="AE108" s="1">
        <f>IFERROR(IF(((TArticle[[#This Row],[شناسه]]))="4.1.1",IF(TArticle[[#This Row],[کد وضعیت سند]]=1,TArticle[مبلغ],0),0),0)</f>
        <v>0</v>
      </c>
      <c r="AF108" s="1">
        <f>IFERROR(IF(((TArticle[[#This Row],[شناسه]]))="4.1.2",IF(TArticle[[#This Row],[کد وضعیت سند]]=1,TArticle[مبلغ],0),0),0)</f>
        <v>0</v>
      </c>
      <c r="AG108" s="1">
        <f>IFERROR(IF(INT(LEFT(TArticle[[#This Row],[شناسه]]))=1,IF(TArticle[[#This Row],[کد وضعیت سند]]=1,TArticle[مبلغ],0),0),0)</f>
        <v>0</v>
      </c>
      <c r="AH108" s="1">
        <f>IFERROR(IF(INT(LEFT(TArticle[[#This Row],[شناسه]]))=2,IF(TArticle[[#This Row],[کد وضعیت سند]]=1,TArticle[مبلغ],0),0),0)</f>
        <v>0</v>
      </c>
      <c r="AI108" s="1">
        <f>IFERROR(IF((LEFT(TArticle[[#This Row],[شناسه]],3))="5.2",IF(TArticle[[#This Row],[کد وضعیت سند]]=1,TArticle[مبلغ],0),0),0)</f>
        <v>0</v>
      </c>
      <c r="AJ108" s="1">
        <f>IF(TArticle[[#This Row],[کد وضعیت سند]]=1,1,0)</f>
        <v>1</v>
      </c>
      <c r="AK108" s="1">
        <f>IF(AND(TArticle[[#This Row],[کد وضعیت سند]]&lt;&gt;1,TArticle[[#This Row],[مبلغ]]&lt;&gt;0),1,0)</f>
        <v>0</v>
      </c>
      <c r="AL108" s="51">
        <f>IF(TArticle[[#This Row],[کد بانک]]&gt;0,TArticle[[#This Row],[مانده بانک]]-VLOOKUP(TArticle[[#This Row],[کد بانک]],TBank[],7,FALSE),"")</f>
        <v>17242</v>
      </c>
      <c r="AM108" s="49" t="str">
        <f>LEFT(TArticle[[#This Row],[تاریخ]],7)</f>
        <v>1401-04</v>
      </c>
    </row>
    <row r="109" spans="1:39" hidden="1" x14ac:dyDescent="0.25">
      <c r="A109" s="24" t="s">
        <v>112</v>
      </c>
      <c r="B109" s="49" t="str">
        <f>VLOOKUP(TArticle[[#This Row],[شناسه]],TAccount[],2,TRUE)</f>
        <v>رسید دریافت/واریز</v>
      </c>
      <c r="C109" s="49" t="str">
        <f>VLOOKUP(TArticle[[#This Row],[تاریخ]],TDays[],7,FALSE)</f>
        <v>پنجشنبه</v>
      </c>
      <c r="D109" s="21" t="s">
        <v>323</v>
      </c>
      <c r="E109" s="1">
        <v>14000</v>
      </c>
      <c r="F109" s="1">
        <f>TArticle[[#This Row],[مبلغ]]+IFERROR(INT(F108),30181+3667+958)</f>
        <v>34636</v>
      </c>
      <c r="K109" s="21">
        <v>1</v>
      </c>
      <c r="L109" t="str">
        <f>IF(TArticle[[#This Row],[کد وضعیت سند]]&gt;0,VLOOKUP(TArticle[[#This Row],[کد وضعیت سند]],TDocState[],2,FALSE),"")</f>
        <v>انجام شد</v>
      </c>
      <c r="N109" t="str">
        <f>IF(TArticle[[#This Row],[کد طرف حساب]]&gt;0,VLOOKUP(TArticle[[#This Row],[کد طرف حساب]],TContact[],2,FALSE),"")</f>
        <v/>
      </c>
      <c r="O109" s="61" t="str">
        <f>IF(TArticle[[#This Row],[کد طرف حساب]]&gt;0,VLOOKUP(TArticle[[#This Row],[کد طرف حساب]],TContact[],7,FALSE)-SUMIF($M$2:M109,M109,$E$2:$E109),"")</f>
        <v/>
      </c>
      <c r="P109" s="27" t="str">
        <f>RIGHT(TArticle[[#This Row],[تاریخ]],2)</f>
        <v>30</v>
      </c>
      <c r="Q109" s="27">
        <f>VLOOKUP(TArticle[[#This Row],[تاریخ]],TDays[],16,FALSE)</f>
        <v>18</v>
      </c>
      <c r="R109" s="27" t="str">
        <f>RIGHT(LEFT(TArticle[[#This Row],[تاریخ]],7),2)</f>
        <v>04</v>
      </c>
      <c r="S109" s="27" t="str">
        <f>LEFT(TArticle[[#This Row],[تاریخ]],4)</f>
        <v>1401</v>
      </c>
      <c r="U109" s="21">
        <f>VLOOKUP(TArticle[[#This Row],[شناسه]],TAccount[],7,TRUE)</f>
        <v>257767</v>
      </c>
      <c r="W109" s="21">
        <f>IF(AND(TArticle[[#This Row],[مبلغ]]&gt;0, TArticle[[#This Row],[کد وضعیت سند]]=1),TArticle[[#This Row],[مبلغ]],0)</f>
        <v>14000</v>
      </c>
      <c r="X109" s="27">
        <f>IF(AND(TArticle[[#This Row],[مبلغ]]&lt;0,TArticle[[#This Row],[کد وضعیت سند]]=1),0-TArticle[[#This Row],[مبلغ]],0)</f>
        <v>0</v>
      </c>
      <c r="Y109" s="27">
        <v>4</v>
      </c>
      <c r="Z109" t="str">
        <f>IF(TArticle[[#This Row],[کد بانک]]&gt;0,VLOOKUP(TArticle[[#This Row],[کد بانک]],TBank[],2,FALSE),"")</f>
        <v>سپه</v>
      </c>
      <c r="AA109">
        <f>IF(AND(TArticle[[#This Row],[مبلغ]]&lt;0,TArticle[[#This Row],[کد وضعیت سند]]=1),0-TArticle[[#This Row],[مبلغ]],0)</f>
        <v>0</v>
      </c>
      <c r="AB109">
        <f>IF(AND(TArticle[[#This Row],[مبلغ]]&gt;0, TArticle[[#This Row],[کد وضعیت سند]]=1),TArticle[[#This Row],[مبلغ]],0)</f>
        <v>14000</v>
      </c>
      <c r="AC109" s="84">
        <f>IF(TArticle[[#This Row],[کد بانک]]&gt;0,VLOOKUP(TArticle[[#This Row],[کد بانک]],TBank[],9,FALSE)+SUMIF($Y$2:Y109,Y109,$E$2:$E109),"")</f>
        <v>14002</v>
      </c>
      <c r="AD109" s="1">
        <f>IFERROR(IF(INT(LEFT(TArticle[[#This Row],[شناسه]]))=3,IF(TArticle[[#This Row],[کد وضعیت سند]]=1,TArticle[مبلغ],0),0),0)</f>
        <v>0</v>
      </c>
      <c r="AE109" s="1">
        <f>IFERROR(IF(((TArticle[[#This Row],[شناسه]]))="4.1.1",IF(TArticle[[#This Row],[کد وضعیت سند]]=1,TArticle[مبلغ],0),0),0)</f>
        <v>0</v>
      </c>
      <c r="AF109" s="1">
        <f>IFERROR(IF(((TArticle[[#This Row],[شناسه]]))="4.1.2",IF(TArticle[[#This Row],[کد وضعیت سند]]=1,TArticle[مبلغ],0),0),0)</f>
        <v>0</v>
      </c>
      <c r="AG109" s="1">
        <f>IFERROR(IF(INT(LEFT(TArticle[[#This Row],[شناسه]]))=1,IF(TArticle[[#This Row],[کد وضعیت سند]]=1,TArticle[مبلغ],0),0),0)</f>
        <v>0</v>
      </c>
      <c r="AH109" s="1">
        <f>IFERROR(IF(INT(LEFT(TArticle[[#This Row],[شناسه]]))=2,IF(TArticle[[#This Row],[کد وضعیت سند]]=1,TArticle[مبلغ],0),0),0)</f>
        <v>0</v>
      </c>
      <c r="AI109" s="1">
        <f>IFERROR(IF((LEFT(TArticle[[#This Row],[شناسه]],3))="5.2",IF(TArticle[[#This Row],[کد وضعیت سند]]=1,TArticle[مبلغ],0),0),0)</f>
        <v>0</v>
      </c>
      <c r="AJ109" s="1">
        <f>IF(TArticle[[#This Row],[کد وضعیت سند]]=1,1,0)</f>
        <v>1</v>
      </c>
      <c r="AK109" s="1">
        <f>IF(AND(TArticle[[#This Row],[کد وضعیت سند]]&lt;&gt;1,TArticle[[#This Row],[مبلغ]]&lt;&gt;0),1,0)</f>
        <v>0</v>
      </c>
      <c r="AL109" s="51">
        <f>IF(TArticle[[#This Row],[کد بانک]]&gt;0,TArticle[[#This Row],[مانده بانک]]-VLOOKUP(TArticle[[#This Row],[کد بانک]],TBank[],7,FALSE),"")</f>
        <v>14000</v>
      </c>
      <c r="AM109" s="49" t="str">
        <f>LEFT(TArticle[[#This Row],[تاریخ]],7)</f>
        <v>1401-04</v>
      </c>
    </row>
    <row r="110" spans="1:39" hidden="1" x14ac:dyDescent="0.25">
      <c r="A110" s="24" t="s">
        <v>1110</v>
      </c>
      <c r="B110" s="49" t="str">
        <f>VLOOKUP(TArticle[[#This Row],[شناسه]],TAccount[],2,TRUE)</f>
        <v>قسط وام بانکی</v>
      </c>
      <c r="C110" s="49" t="str">
        <f>VLOOKUP(TArticle[[#This Row],[تاریخ]],TDays[],7,FALSE)</f>
        <v>پنجشنبه</v>
      </c>
      <c r="D110" s="21" t="s">
        <v>323</v>
      </c>
      <c r="E110" s="1">
        <v>-1830</v>
      </c>
      <c r="F110" s="1">
        <f>TArticle[[#This Row],[مبلغ]]+IFERROR(INT(F109),30181+3667+958)</f>
        <v>32806</v>
      </c>
      <c r="G110" t="s">
        <v>1591</v>
      </c>
      <c r="H110" s="21">
        <v>14</v>
      </c>
      <c r="K110" s="21">
        <v>1</v>
      </c>
      <c r="L110" t="str">
        <f>IF(TArticle[[#This Row],[کد وضعیت سند]]&gt;0,VLOOKUP(TArticle[[#This Row],[کد وضعیت سند]],TDocState[],2,FALSE),"")</f>
        <v>انجام شد</v>
      </c>
      <c r="M110" s="27">
        <v>110</v>
      </c>
      <c r="N110" t="str">
        <f>IF(TArticle[[#This Row],[کد طرف حساب]]&gt;0,VLOOKUP(TArticle[[#This Row],[کد طرف حساب]],TContact[],2,FALSE),"")</f>
        <v>وام ملت</v>
      </c>
      <c r="O110" s="61">
        <f>IF(TArticle[[#This Row],[کد طرف حساب]]&gt;0,VLOOKUP(TArticle[[#This Row],[کد طرف حساب]],TContact[],7,FALSE)-SUMIF($M$2:M110,M110,$E$2:$E110),"")</f>
        <v>-39020</v>
      </c>
      <c r="P110" s="27" t="str">
        <f>RIGHT(TArticle[[#This Row],[تاریخ]],2)</f>
        <v>30</v>
      </c>
      <c r="Q110" s="27">
        <f>VLOOKUP(TArticle[[#This Row],[تاریخ]],TDays[],16,FALSE)</f>
        <v>18</v>
      </c>
      <c r="R110" s="27" t="str">
        <f>RIGHT(LEFT(TArticle[[#This Row],[تاریخ]],7),2)</f>
        <v>04</v>
      </c>
      <c r="S110" s="27" t="str">
        <f>LEFT(TArticle[[#This Row],[تاریخ]],4)</f>
        <v>1401</v>
      </c>
      <c r="U110" s="21">
        <f>VLOOKUP(TArticle[[#This Row],[شناسه]],TAccount[],7,TRUE)</f>
        <v>81652</v>
      </c>
      <c r="V110" s="21" t="s">
        <v>327</v>
      </c>
      <c r="W110" s="21">
        <f>IF(AND(TArticle[[#This Row],[مبلغ]]&gt;0, TArticle[[#This Row],[کد وضعیت سند]]=1),TArticle[[#This Row],[مبلغ]],0)</f>
        <v>0</v>
      </c>
      <c r="X110" s="27">
        <f>IF(AND(TArticle[[#This Row],[مبلغ]]&lt;0,TArticle[[#This Row],[کد وضعیت سند]]=1),0-TArticle[[#This Row],[مبلغ]],0)</f>
        <v>1830</v>
      </c>
      <c r="Y110" s="27">
        <v>2</v>
      </c>
      <c r="Z110" t="str">
        <f>IF(TArticle[[#This Row],[کد بانک]]&gt;0,VLOOKUP(TArticle[[#This Row],[کد بانک]],TBank[],2,FALSE),"")</f>
        <v>ملی جاری</v>
      </c>
      <c r="AA110">
        <f>IF(AND(TArticle[[#This Row],[مبلغ]]&lt;0,TArticle[[#This Row],[کد وضعیت سند]]=1),0-TArticle[[#This Row],[مبلغ]],0)</f>
        <v>1830</v>
      </c>
      <c r="AB110">
        <f>IF(AND(TArticle[[#This Row],[مبلغ]]&gt;0, TArticle[[#This Row],[کد وضعیت سند]]=1),TArticle[[#This Row],[مبلغ]],0)</f>
        <v>0</v>
      </c>
      <c r="AC110" s="84">
        <f>IF(TArticle[[#This Row],[کد بانک]]&gt;0,VLOOKUP(TArticle[[#This Row],[کد بانک]],TBank[],9,FALSE)+SUMIF($Y$2:Y110,Y110,$E$2:$E110),"")</f>
        <v>15412</v>
      </c>
      <c r="AD110" s="1">
        <f>IFERROR(IF(INT(LEFT(TArticle[[#This Row],[شناسه]]))=3,IF(TArticle[[#This Row],[کد وضعیت سند]]=1,TArticle[مبلغ],0),0),0)</f>
        <v>0</v>
      </c>
      <c r="AE110" s="1">
        <f>IFERROR(IF(((TArticle[[#This Row],[شناسه]]))="4.1.1",IF(TArticle[[#This Row],[کد وضعیت سند]]=1,TArticle[مبلغ],0),0),0)</f>
        <v>0</v>
      </c>
      <c r="AF110" s="1">
        <f>IFERROR(IF(((TArticle[[#This Row],[شناسه]]))="4.1.2",IF(TArticle[[#This Row],[کد وضعیت سند]]=1,TArticle[مبلغ],0),0),0)</f>
        <v>0</v>
      </c>
      <c r="AG110" s="1">
        <f>IFERROR(IF(INT(LEFT(TArticle[[#This Row],[شناسه]]))=1,IF(TArticle[[#This Row],[کد وضعیت سند]]=1,TArticle[مبلغ],0),0),0)</f>
        <v>-1830</v>
      </c>
      <c r="AH110" s="1">
        <f>IFERROR(IF(INT(LEFT(TArticle[[#This Row],[شناسه]]))=2,IF(TArticle[[#This Row],[کد وضعیت سند]]=1,TArticle[مبلغ],0),0),0)</f>
        <v>0</v>
      </c>
      <c r="AI110" s="1">
        <f>IFERROR(IF((LEFT(TArticle[[#This Row],[شناسه]],3))="5.2",IF(TArticle[[#This Row],[کد وضعیت سند]]=1,TArticle[مبلغ],0),0),0)</f>
        <v>0</v>
      </c>
      <c r="AJ110" s="1">
        <f>IF(TArticle[[#This Row],[کد وضعیت سند]]=1,1,0)</f>
        <v>1</v>
      </c>
      <c r="AK110" s="1">
        <f>IF(AND(TArticle[[#This Row],[کد وضعیت سند]]&lt;&gt;1,TArticle[[#This Row],[مبلغ]]&lt;&gt;0),1,0)</f>
        <v>0</v>
      </c>
      <c r="AL110" s="51">
        <f>IF(TArticle[[#This Row],[کد بانک]]&gt;0,TArticle[[#This Row],[مانده بانک]]-VLOOKUP(TArticle[[#This Row],[کد بانک]],TBank[],7,FALSE),"")</f>
        <v>15412</v>
      </c>
      <c r="AM110" s="49" t="str">
        <f>LEFT(TArticle[[#This Row],[تاریخ]],7)</f>
        <v>1401-04</v>
      </c>
    </row>
    <row r="111" spans="1:39" hidden="1" x14ac:dyDescent="0.25">
      <c r="A111" s="24" t="s">
        <v>1110</v>
      </c>
      <c r="B111" s="49" t="str">
        <f>VLOOKUP(TArticle[[#This Row],[شناسه]],TAccount[],2,TRUE)</f>
        <v>قسط وام بانکی</v>
      </c>
      <c r="C111" s="49" t="str">
        <f>VLOOKUP(TArticle[[#This Row],[تاریخ]],TDays[],7,FALSE)</f>
        <v>پنجشنبه</v>
      </c>
      <c r="D111" s="21" t="s">
        <v>323</v>
      </c>
      <c r="E111" s="1">
        <v>-1830</v>
      </c>
      <c r="F111" s="1">
        <f>TArticle[[#This Row],[مبلغ]]+IFERROR(INT(F110),30181+3667+958)</f>
        <v>30976</v>
      </c>
      <c r="G111" t="s">
        <v>1591</v>
      </c>
      <c r="H111" s="21">
        <v>14</v>
      </c>
      <c r="K111" s="21">
        <v>1</v>
      </c>
      <c r="L111" t="str">
        <f>IF(TArticle[[#This Row],[کد وضعیت سند]]&gt;0,VLOOKUP(TArticle[[#This Row],[کد وضعیت سند]],TDocState[],2,FALSE),"")</f>
        <v>انجام شد</v>
      </c>
      <c r="M111" s="27">
        <v>111</v>
      </c>
      <c r="N111" t="str">
        <f>IF(TArticle[[#This Row],[کد طرف حساب]]&gt;0,VLOOKUP(TArticle[[#This Row],[کد طرف حساب]],TContact[],2,FALSE),"")</f>
        <v>وام ملت ف</v>
      </c>
      <c r="O111" s="61">
        <f>IF(TArticle[[#This Row],[کد طرف حساب]]&gt;0,VLOOKUP(TArticle[[#This Row],[کد طرف حساب]],TContact[],7,FALSE)-SUMIF($M$2:M111,M111,$E$2:$E111),"")</f>
        <v>-39020</v>
      </c>
      <c r="P111" s="27" t="str">
        <f>RIGHT(TArticle[[#This Row],[تاریخ]],2)</f>
        <v>30</v>
      </c>
      <c r="Q111" s="27">
        <f>VLOOKUP(TArticle[[#This Row],[تاریخ]],TDays[],16,FALSE)</f>
        <v>18</v>
      </c>
      <c r="R111" s="27" t="str">
        <f>RIGHT(LEFT(TArticle[[#This Row],[تاریخ]],7),2)</f>
        <v>04</v>
      </c>
      <c r="S111" s="27" t="str">
        <f>LEFT(TArticle[[#This Row],[تاریخ]],4)</f>
        <v>1401</v>
      </c>
      <c r="U111" s="21">
        <f>VLOOKUP(TArticle[[#This Row],[شناسه]],TAccount[],7,TRUE)</f>
        <v>81652</v>
      </c>
      <c r="V111" s="21" t="s">
        <v>327</v>
      </c>
      <c r="W111" s="21">
        <f>IF(AND(TArticle[[#This Row],[مبلغ]]&gt;0, TArticle[[#This Row],[کد وضعیت سند]]=1),TArticle[[#This Row],[مبلغ]],0)</f>
        <v>0</v>
      </c>
      <c r="X111" s="27">
        <f>IF(AND(TArticle[[#This Row],[مبلغ]]&lt;0,TArticle[[#This Row],[کد وضعیت سند]]=1),0-TArticle[[#This Row],[مبلغ]],0)</f>
        <v>1830</v>
      </c>
      <c r="Y111" s="27">
        <v>2</v>
      </c>
      <c r="Z111" t="str">
        <f>IF(TArticle[[#This Row],[کد بانک]]&gt;0,VLOOKUP(TArticle[[#This Row],[کد بانک]],TBank[],2,FALSE),"")</f>
        <v>ملی جاری</v>
      </c>
      <c r="AA111">
        <f>IF(AND(TArticle[[#This Row],[مبلغ]]&lt;0,TArticle[[#This Row],[کد وضعیت سند]]=1),0-TArticle[[#This Row],[مبلغ]],0)</f>
        <v>1830</v>
      </c>
      <c r="AB111">
        <f>IF(AND(TArticle[[#This Row],[مبلغ]]&gt;0, TArticle[[#This Row],[کد وضعیت سند]]=1),TArticle[[#This Row],[مبلغ]],0)</f>
        <v>0</v>
      </c>
      <c r="AC111" s="84">
        <f>IF(TArticle[[#This Row],[کد بانک]]&gt;0,VLOOKUP(TArticle[[#This Row],[کد بانک]],TBank[],9,FALSE)+SUMIF($Y$2:Y111,Y111,$E$2:$E111),"")</f>
        <v>13582</v>
      </c>
      <c r="AD111" s="1">
        <f>IFERROR(IF(INT(LEFT(TArticle[[#This Row],[شناسه]]))=3,IF(TArticle[[#This Row],[کد وضعیت سند]]=1,TArticle[مبلغ],0),0),0)</f>
        <v>0</v>
      </c>
      <c r="AE111" s="1">
        <f>IFERROR(IF(((TArticle[[#This Row],[شناسه]]))="4.1.1",IF(TArticle[[#This Row],[کد وضعیت سند]]=1,TArticle[مبلغ],0),0),0)</f>
        <v>0</v>
      </c>
      <c r="AF111" s="1">
        <f>IFERROR(IF(((TArticle[[#This Row],[شناسه]]))="4.1.2",IF(TArticle[[#This Row],[کد وضعیت سند]]=1,TArticle[مبلغ],0),0),0)</f>
        <v>0</v>
      </c>
      <c r="AG111" s="1">
        <f>IFERROR(IF(INT(LEFT(TArticle[[#This Row],[شناسه]]))=1,IF(TArticle[[#This Row],[کد وضعیت سند]]=1,TArticle[مبلغ],0),0),0)</f>
        <v>-1830</v>
      </c>
      <c r="AH111" s="1">
        <f>IFERROR(IF(INT(LEFT(TArticle[[#This Row],[شناسه]]))=2,IF(TArticle[[#This Row],[کد وضعیت سند]]=1,TArticle[مبلغ],0),0),0)</f>
        <v>0</v>
      </c>
      <c r="AI111" s="1">
        <f>IFERROR(IF((LEFT(TArticle[[#This Row],[شناسه]],3))="5.2",IF(TArticle[[#This Row],[کد وضعیت سند]]=1,TArticle[مبلغ],0),0),0)</f>
        <v>0</v>
      </c>
      <c r="AJ111" s="1">
        <f>IF(TArticle[[#This Row],[کد وضعیت سند]]=1,1,0)</f>
        <v>1</v>
      </c>
      <c r="AK111" s="1">
        <f>IF(AND(TArticle[[#This Row],[کد وضعیت سند]]&lt;&gt;1,TArticle[[#This Row],[مبلغ]]&lt;&gt;0),1,0)</f>
        <v>0</v>
      </c>
      <c r="AL111" s="51">
        <f>IF(TArticle[[#This Row],[کد بانک]]&gt;0,TArticle[[#This Row],[مانده بانک]]-VLOOKUP(TArticle[[#This Row],[کد بانک]],TBank[],7,FALSE),"")</f>
        <v>13582</v>
      </c>
      <c r="AM111" s="49" t="str">
        <f>LEFT(TArticle[[#This Row],[تاریخ]],7)</f>
        <v>1401-04</v>
      </c>
    </row>
    <row r="112" spans="1:39" hidden="1" x14ac:dyDescent="0.25">
      <c r="A112" s="24" t="s">
        <v>1110</v>
      </c>
      <c r="B112" s="49" t="str">
        <f>VLOOKUP(TArticle[[#This Row],[شناسه]],TAccount[],2,TRUE)</f>
        <v>قسط وام بانکی</v>
      </c>
      <c r="C112" s="49" t="str">
        <f>VLOOKUP(TArticle[[#This Row],[تاریخ]],TDays[],7,FALSE)</f>
        <v>پنجشنبه</v>
      </c>
      <c r="D112" s="28" t="s">
        <v>323</v>
      </c>
      <c r="E112" s="1">
        <v>-1000</v>
      </c>
      <c r="F112" s="1">
        <f>TArticle[[#This Row],[مبلغ]]+IFERROR(INT(F111),30181+3667+958)</f>
        <v>29976</v>
      </c>
      <c r="G112" t="s">
        <v>1184</v>
      </c>
      <c r="H112" s="64">
        <v>15</v>
      </c>
      <c r="J112" s="65"/>
      <c r="K112" s="64">
        <v>1</v>
      </c>
      <c r="L112" s="66" t="str">
        <f>IF(TArticle[[#This Row],[کد وضعیت سند]]&gt;0,VLOOKUP(TArticle[[#This Row],[کد وضعیت سند]],TDocState[],2,FALSE),"")</f>
        <v>انجام شد</v>
      </c>
      <c r="M112" s="27">
        <v>109</v>
      </c>
      <c r="N112" t="str">
        <f>IF(TArticle[[#This Row],[کد طرف حساب]]&gt;0,VLOOKUP(TArticle[[#This Row],[کد طرف حساب]],TContact[],2,FALSE),"")</f>
        <v>وام درودگران ف</v>
      </c>
      <c r="O112" s="68">
        <f>IF(TArticle[[#This Row],[کد طرف حساب]]&gt;0,VLOOKUP(TArticle[[#This Row],[کد طرف حساب]],TContact[],7,FALSE)-SUMIF($M$2:M112,M112,$E$2:$E112),"")</f>
        <v>0</v>
      </c>
      <c r="P112" s="67" t="str">
        <f>RIGHT(TArticle[[#This Row],[تاریخ]],2)</f>
        <v>30</v>
      </c>
      <c r="Q112" s="67">
        <f>VLOOKUP(TArticle[[#This Row],[تاریخ]],TDays[],16,FALSE)</f>
        <v>18</v>
      </c>
      <c r="R112" s="67" t="str">
        <f>RIGHT(LEFT(TArticle[[#This Row],[تاریخ]],7),2)</f>
        <v>04</v>
      </c>
      <c r="S112" s="67" t="str">
        <f>LEFT(TArticle[[#This Row],[تاریخ]],4)</f>
        <v>1401</v>
      </c>
      <c r="T112" s="64"/>
      <c r="U112" s="64">
        <f>VLOOKUP(TArticle[[#This Row],[شناسه]],TAccount[],7,TRUE)</f>
        <v>81652</v>
      </c>
      <c r="V112" s="21" t="s">
        <v>344</v>
      </c>
      <c r="W112" s="64">
        <f>IF(AND(TArticle[[#This Row],[مبلغ]]&gt;0, TArticle[[#This Row],[کد وضعیت سند]]=1),TArticle[[#This Row],[مبلغ]],0)</f>
        <v>0</v>
      </c>
      <c r="X112" s="67">
        <f>IF(AND(TArticle[[#This Row],[مبلغ]]&lt;0,TArticle[[#This Row],[کد وضعیت سند]]=1),0-TArticle[[#This Row],[مبلغ]],0)</f>
        <v>1000</v>
      </c>
      <c r="Y112" s="67">
        <v>2</v>
      </c>
      <c r="Z112" t="str">
        <f>IF(TArticle[[#This Row],[کد بانک]]&gt;0,VLOOKUP(TArticle[[#This Row],[کد بانک]],TBank[],2,FALSE),"")</f>
        <v>ملی جاری</v>
      </c>
      <c r="AA112">
        <f>IF(AND(TArticle[[#This Row],[مبلغ]]&lt;0,TArticle[[#This Row],[کد وضعیت سند]]=1),0-TArticle[[#This Row],[مبلغ]],0)</f>
        <v>1000</v>
      </c>
      <c r="AB112">
        <f>IF(AND(TArticle[[#This Row],[مبلغ]]&gt;0, TArticle[[#This Row],[کد وضعیت سند]]=1),TArticle[[#This Row],[مبلغ]],0)</f>
        <v>0</v>
      </c>
      <c r="AC112" s="93">
        <f>IF(TArticle[[#This Row],[کد بانک]]&gt;0,VLOOKUP(TArticle[[#This Row],[کد بانک]],TBank[],9,FALSE)+SUMIF($Y$2:Y112,Y112,$E$2:$E112),"")</f>
        <v>12582</v>
      </c>
      <c r="AD112" s="1">
        <f>IFERROR(IF(INT(LEFT(TArticle[[#This Row],[شناسه]]))=3,IF(TArticle[[#This Row],[کد وضعیت سند]]=1,TArticle[مبلغ],0),0),0)</f>
        <v>0</v>
      </c>
      <c r="AE112" s="1">
        <f>IFERROR(IF(((TArticle[[#This Row],[شناسه]]))="4.1.1",IF(TArticle[[#This Row],[کد وضعیت سند]]=1,TArticle[مبلغ],0),0),0)</f>
        <v>0</v>
      </c>
      <c r="AF112" s="1">
        <f>IFERROR(IF(((TArticle[[#This Row],[شناسه]]))="4.1.2",IF(TArticle[[#This Row],[کد وضعیت سند]]=1,TArticle[مبلغ],0),0),0)</f>
        <v>0</v>
      </c>
      <c r="AG112" s="1">
        <f>IFERROR(IF(INT(LEFT(TArticle[[#This Row],[شناسه]]))=1,IF(TArticle[[#This Row],[کد وضعیت سند]]=1,TArticle[مبلغ],0),0),0)</f>
        <v>-1000</v>
      </c>
      <c r="AH112" s="1">
        <f>IFERROR(IF(INT(LEFT(TArticle[[#This Row],[شناسه]]))=2,IF(TArticle[[#This Row],[کد وضعیت سند]]=1,TArticle[مبلغ],0),0),0)</f>
        <v>0</v>
      </c>
      <c r="AI112" s="1">
        <f>IFERROR(IF((LEFT(TArticle[[#This Row],[شناسه]],3))="5.2",IF(TArticle[[#This Row],[کد وضعیت سند]]=1,TArticle[مبلغ],0),0),0)</f>
        <v>0</v>
      </c>
      <c r="AJ112" s="1">
        <f>IF(TArticle[[#This Row],[کد وضعیت سند]]=1,1,0)</f>
        <v>1</v>
      </c>
      <c r="AK112" s="1">
        <f>IF(AND(TArticle[[#This Row],[کد وضعیت سند]]&lt;&gt;1,TArticle[[#This Row],[مبلغ]]&lt;&gt;0),1,0)</f>
        <v>0</v>
      </c>
      <c r="AL112" s="78">
        <f>IF(TArticle[[#This Row],[کد بانک]]&gt;0,TArticle[[#This Row],[مانده بانک]]-VLOOKUP(TArticle[[#This Row],[کد بانک]],TBank[],7,FALSE),"")</f>
        <v>12582</v>
      </c>
      <c r="AM112" s="58" t="str">
        <f>LEFT(TArticle[[#This Row],[تاریخ]],7)</f>
        <v>1401-04</v>
      </c>
    </row>
    <row r="113" spans="1:39" hidden="1" x14ac:dyDescent="0.25">
      <c r="A113" s="24" t="s">
        <v>55</v>
      </c>
      <c r="B113" s="49" t="str">
        <f>VLOOKUP(TArticle[[#This Row],[شناسه]],TAccount[],2,TRUE)</f>
        <v>هزینه کلی</v>
      </c>
      <c r="C113" s="49" t="str">
        <f>VLOOKUP(TArticle[[#This Row],[تاریخ]],TDays[],7,FALSE)</f>
        <v>پنجشنبه</v>
      </c>
      <c r="D113" s="28" t="s">
        <v>323</v>
      </c>
      <c r="E113" s="1">
        <v>-2100</v>
      </c>
      <c r="F113" s="1">
        <f>TArticle[[#This Row],[مبلغ]]+IFERROR(INT(F112),30181+3667+958)</f>
        <v>27876</v>
      </c>
      <c r="H113" s="64"/>
      <c r="J113" s="65"/>
      <c r="K113" s="49">
        <v>1</v>
      </c>
      <c r="L113" s="66" t="str">
        <f>IF(TArticle[[#This Row],[کد وضعیت سند]]&gt;0,VLOOKUP(TArticle[[#This Row],[کد وضعیت سند]],TDocState[],2,FALSE),"")</f>
        <v>انجام شد</v>
      </c>
      <c r="M113" s="67"/>
      <c r="N113" t="str">
        <f>IF(TArticle[[#This Row],[کد طرف حساب]]&gt;0,VLOOKUP(TArticle[[#This Row],[کد طرف حساب]],TContact[],2,FALSE),"")</f>
        <v/>
      </c>
      <c r="O113" s="68" t="str">
        <f>IF(TArticle[[#This Row],[کد طرف حساب]]&gt;0,VLOOKUP(TArticle[[#This Row],[کد طرف حساب]],TContact[],7,FALSE)-SUMIF($M$2:M113,M113,$E$2:$E113),"")</f>
        <v/>
      </c>
      <c r="P113" s="67" t="str">
        <f>RIGHT(TArticle[[#This Row],[تاریخ]],2)</f>
        <v>30</v>
      </c>
      <c r="Q113" s="67">
        <f>VLOOKUP(TArticle[[#This Row],[تاریخ]],TDays[],16,FALSE)</f>
        <v>18</v>
      </c>
      <c r="R113" s="67" t="str">
        <f>RIGHT(LEFT(TArticle[[#This Row],[تاریخ]],7),2)</f>
        <v>04</v>
      </c>
      <c r="S113" s="67" t="str">
        <f>LEFT(TArticle[[#This Row],[تاریخ]],4)</f>
        <v>1401</v>
      </c>
      <c r="T113" s="64"/>
      <c r="U113" s="64">
        <f>VLOOKUP(TArticle[[#This Row],[شناسه]],TAccount[],7,TRUE)</f>
        <v>364074</v>
      </c>
      <c r="V113" s="64" t="s">
        <v>313</v>
      </c>
      <c r="W113" s="64">
        <f>IF(AND(TArticle[[#This Row],[مبلغ]]&gt;0, TArticle[[#This Row],[کد وضعیت سند]]=1),TArticle[[#This Row],[مبلغ]],0)</f>
        <v>0</v>
      </c>
      <c r="X113" s="67">
        <f>IF(AND(TArticle[[#This Row],[مبلغ]]&lt;0,TArticle[[#This Row],[کد وضعیت سند]]=1),0-TArticle[[#This Row],[مبلغ]],0)</f>
        <v>2100</v>
      </c>
      <c r="Y113" s="27">
        <v>30</v>
      </c>
      <c r="Z113" t="str">
        <f>IF(TArticle[[#This Row],[کد بانک]]&gt;0,VLOOKUP(TArticle[[#This Row],[کد بانک]],TBank[],2,FALSE),"")</f>
        <v>بن کارت</v>
      </c>
      <c r="AA113">
        <f>IF(AND(TArticle[[#This Row],[مبلغ]]&lt;0,TArticle[[#This Row],[کد وضعیت سند]]=1),0-TArticle[[#This Row],[مبلغ]],0)</f>
        <v>2100</v>
      </c>
      <c r="AB113">
        <f>IF(AND(TArticle[[#This Row],[مبلغ]]&gt;0, TArticle[[#This Row],[کد وضعیت سند]]=1),TArticle[[#This Row],[مبلغ]],0)</f>
        <v>0</v>
      </c>
      <c r="AC113" s="93">
        <f>IF(TArticle[[#This Row],[کد بانک]]&gt;0,VLOOKUP(TArticle[[#This Row],[کد بانک]],TBank[],9,FALSE)+SUMIF($Y$2:Y113,Y113,$E$2:$E113),"")</f>
        <v>0</v>
      </c>
      <c r="AD113" s="1">
        <f>IFERROR(IF(INT(LEFT(TArticle[[#This Row],[شناسه]]))=3,IF(TArticle[[#This Row],[کد وضعیت سند]]=1,TArticle[مبلغ],0),0),0)</f>
        <v>-2100</v>
      </c>
      <c r="AE113" s="1">
        <f>IFERROR(IF(((TArticle[[#This Row],[شناسه]]))="4.1.1",IF(TArticle[[#This Row],[کد وضعیت سند]]=1,TArticle[مبلغ],0),0),0)</f>
        <v>0</v>
      </c>
      <c r="AF113" s="1">
        <f>IFERROR(IF(((TArticle[[#This Row],[شناسه]]))="4.1.2",IF(TArticle[[#This Row],[کد وضعیت سند]]=1,TArticle[مبلغ],0),0),0)</f>
        <v>0</v>
      </c>
      <c r="AG113" s="1">
        <f>IFERROR(IF(INT(LEFT(TArticle[[#This Row],[شناسه]]))=1,IF(TArticle[[#This Row],[کد وضعیت سند]]=1,TArticle[مبلغ],0),0),0)</f>
        <v>0</v>
      </c>
      <c r="AH113" s="1">
        <f>IFERROR(IF(INT(LEFT(TArticle[[#This Row],[شناسه]]))=2,IF(TArticle[[#This Row],[کد وضعیت سند]]=1,TArticle[مبلغ],0),0),0)</f>
        <v>0</v>
      </c>
      <c r="AI113" s="1">
        <f>IFERROR(IF((LEFT(TArticle[[#This Row],[شناسه]],3))="5.2",IF(TArticle[[#This Row],[کد وضعیت سند]]=1,TArticle[مبلغ],0),0),0)</f>
        <v>0</v>
      </c>
      <c r="AJ113" s="1">
        <f>IF(TArticle[[#This Row],[کد وضعیت سند]]=1,1,0)</f>
        <v>1</v>
      </c>
      <c r="AK113" s="1">
        <f>IF(AND(TArticle[[#This Row],[کد وضعیت سند]]&lt;&gt;1,TArticle[[#This Row],[مبلغ]]&lt;&gt;0),1,0)</f>
        <v>0</v>
      </c>
      <c r="AL113" s="78">
        <f>IF(TArticle[[#This Row],[کد بانک]]&gt;0,TArticle[[#This Row],[مانده بانک]]-VLOOKUP(TArticle[[#This Row],[کد بانک]],TBank[],7,FALSE),"")</f>
        <v>0</v>
      </c>
      <c r="AM113" s="58" t="str">
        <f>LEFT(TArticle[[#This Row],[تاریخ]],7)</f>
        <v>1401-04</v>
      </c>
    </row>
    <row r="114" spans="1:39" hidden="1" x14ac:dyDescent="0.25">
      <c r="A114" s="24" t="s">
        <v>1110</v>
      </c>
      <c r="B114" s="49" t="str">
        <f>VLOOKUP(TArticle[[#This Row],[شناسه]],TAccount[],2,TRUE)</f>
        <v>قسط وام بانکی</v>
      </c>
      <c r="C114" s="49" t="str">
        <f>VLOOKUP(TArticle[[#This Row],[تاریخ]],TDays[],7,FALSE)</f>
        <v>پنجشنبه</v>
      </c>
      <c r="D114" s="21" t="s">
        <v>323</v>
      </c>
      <c r="E114" s="1">
        <v>-104</v>
      </c>
      <c r="F114" s="1">
        <f>TArticle[[#This Row],[مبلغ]]+IFERROR(INT(F113),30181+3667+958)</f>
        <v>27772</v>
      </c>
      <c r="H114" s="21">
        <v>15</v>
      </c>
      <c r="J114" s="65"/>
      <c r="K114" s="49">
        <v>1</v>
      </c>
      <c r="L114" s="66" t="str">
        <f>IF(TArticle[[#This Row],[کد وضعیت سند]]&gt;0,VLOOKUP(TArticle[[#This Row],[کد وضعیت سند]],TDocState[],2,FALSE),"")</f>
        <v>انجام شد</v>
      </c>
      <c r="M114" s="67">
        <v>107</v>
      </c>
      <c r="N114" t="str">
        <f>IF(TArticle[[#This Row],[کد طرف حساب]]&gt;0,VLOOKUP(TArticle[[#This Row],[کد طرف حساب]],TContact[],2,FALSE),"")</f>
        <v>وام مهرایران ف</v>
      </c>
      <c r="O114" s="60">
        <f>IF(TArticle[[#This Row],[کد طرف حساب]]&gt;0,VLOOKUP(TArticle[[#This Row],[کد طرف حساب]],TContact[],7,FALSE)-SUMIF($M$2:M114,M114,$E$2:$E114),"")</f>
        <v>-312</v>
      </c>
      <c r="P114" s="67" t="str">
        <f>RIGHT(TArticle[[#This Row],[تاریخ]],2)</f>
        <v>30</v>
      </c>
      <c r="Q114" s="67">
        <f>VLOOKUP(TArticle[[#This Row],[تاریخ]],TDays[],16,FALSE)</f>
        <v>18</v>
      </c>
      <c r="R114" s="67" t="str">
        <f>RIGHT(LEFT(TArticle[[#This Row],[تاریخ]],7),2)</f>
        <v>04</v>
      </c>
      <c r="S114" s="67" t="str">
        <f>LEFT(TArticle[[#This Row],[تاریخ]],4)</f>
        <v>1401</v>
      </c>
      <c r="T114" s="64"/>
      <c r="U114" s="64">
        <f>VLOOKUP(TArticle[[#This Row],[شناسه]],TAccount[],7,TRUE)</f>
        <v>81652</v>
      </c>
      <c r="V114" s="64" t="s">
        <v>310</v>
      </c>
      <c r="W114" s="64">
        <f>IF(AND(TArticle[[#This Row],[مبلغ]]&gt;0, TArticle[[#This Row],[کد وضعیت سند]]=1),TArticle[[#This Row],[مبلغ]],0)</f>
        <v>0</v>
      </c>
      <c r="X114" s="67">
        <f>IF(AND(TArticle[[#This Row],[مبلغ]]&lt;0,TArticle[[#This Row],[کد وضعیت سند]]=1),0-TArticle[[#This Row],[مبلغ]],0)</f>
        <v>104</v>
      </c>
      <c r="Y114" s="27">
        <v>16</v>
      </c>
      <c r="Z114" t="str">
        <f>IF(TArticle[[#This Row],[کد بانک]]&gt;0,VLOOKUP(TArticle[[#This Row],[کد بانک]],TBank[],2,FALSE),"")</f>
        <v>مهرایران</v>
      </c>
      <c r="AA114">
        <f>IF(AND(TArticle[[#This Row],[مبلغ]]&lt;0,TArticle[[#This Row],[کد وضعیت سند]]=1),0-TArticle[[#This Row],[مبلغ]],0)</f>
        <v>104</v>
      </c>
      <c r="AB114">
        <f>IF(AND(TArticle[[#This Row],[مبلغ]]&gt;0, TArticle[[#This Row],[کد وضعیت سند]]=1),TArticle[[#This Row],[مبلغ]],0)</f>
        <v>0</v>
      </c>
      <c r="AC114" s="92">
        <f>IF(TArticle[[#This Row],[کد بانک]]&gt;0,VLOOKUP(TArticle[[#This Row],[کد بانک]],TBank[],9,FALSE)+SUMIF($Y$2:Y114,Y114,$E$2:$E114),"")</f>
        <v>990</v>
      </c>
      <c r="AD114" s="1">
        <f>IFERROR(IF(INT(LEFT(TArticle[[#This Row],[شناسه]]))=3,IF(TArticle[[#This Row],[کد وضعیت سند]]=1,TArticle[مبلغ],0),0),0)</f>
        <v>0</v>
      </c>
      <c r="AE114" s="1">
        <f>IFERROR(IF(((TArticle[[#This Row],[شناسه]]))="4.1.1",IF(TArticle[[#This Row],[کد وضعیت سند]]=1,TArticle[مبلغ],0),0),0)</f>
        <v>0</v>
      </c>
      <c r="AF114" s="1">
        <f>IFERROR(IF(((TArticle[[#This Row],[شناسه]]))="4.1.2",IF(TArticle[[#This Row],[کد وضعیت سند]]=1,TArticle[مبلغ],0),0),0)</f>
        <v>0</v>
      </c>
      <c r="AG114" s="1">
        <f>IFERROR(IF(INT(LEFT(TArticle[[#This Row],[شناسه]]))=1,IF(TArticle[[#This Row],[کد وضعیت سند]]=1,TArticle[مبلغ],0),0),0)</f>
        <v>-104</v>
      </c>
      <c r="AH114" s="1">
        <f>IFERROR(IF(INT(LEFT(TArticle[[#This Row],[شناسه]]))=2,IF(TArticle[[#This Row],[کد وضعیت سند]]=1,TArticle[مبلغ],0),0),0)</f>
        <v>0</v>
      </c>
      <c r="AI114" s="1">
        <f>IFERROR(IF((LEFT(TArticle[[#This Row],[شناسه]],3))="5.2",IF(TArticle[[#This Row],[کد وضعیت سند]]=1,TArticle[مبلغ],0),0),0)</f>
        <v>0</v>
      </c>
      <c r="AJ114" s="1">
        <f>IF(TArticle[[#This Row],[کد وضعیت سند]]=1,1,0)</f>
        <v>1</v>
      </c>
      <c r="AK114" s="1">
        <f>IF(AND(TArticle[[#This Row],[کد وضعیت سند]]&lt;&gt;1,TArticle[[#This Row],[مبلغ]]&lt;&gt;0),1,0)</f>
        <v>0</v>
      </c>
      <c r="AL114" s="78">
        <f>IF(TArticle[[#This Row],[کد بانک]]&gt;0,TArticle[[#This Row],[مانده بانک]]-VLOOKUP(TArticle[[#This Row],[کد بانک]],TBank[],7,FALSE),"")</f>
        <v>960</v>
      </c>
      <c r="AM114" s="58" t="str">
        <f>LEFT(TArticle[[#This Row],[تاریخ]],7)</f>
        <v>1401-04</v>
      </c>
    </row>
    <row r="115" spans="1:39" hidden="1" x14ac:dyDescent="0.25">
      <c r="A115" s="24" t="s">
        <v>55</v>
      </c>
      <c r="B115" s="49" t="str">
        <f>VLOOKUP(TArticle[[#This Row],[شناسه]],TAccount[],2,TRUE)</f>
        <v>هزینه کلی</v>
      </c>
      <c r="C115" s="49" t="str">
        <f>VLOOKUP(TArticle[[#This Row],[تاریخ]],TDays[],7,FALSE)</f>
        <v>پنجشنبه</v>
      </c>
      <c r="D115" s="21" t="s">
        <v>323</v>
      </c>
      <c r="E115" s="1">
        <v>-96</v>
      </c>
      <c r="F115" s="1">
        <f>TArticle[[#This Row],[مبلغ]]+IFERROR(INT(F114),30181+3667+958)</f>
        <v>27676</v>
      </c>
      <c r="G115" t="s">
        <v>1662</v>
      </c>
      <c r="K115" s="21">
        <v>1</v>
      </c>
      <c r="L115" t="str">
        <f>IF(TArticle[[#This Row],[کد وضعیت سند]]&gt;0,VLOOKUP(TArticle[[#This Row],[کد وضعیت سند]],TDocState[],2,FALSE),"")</f>
        <v>انجام شد</v>
      </c>
      <c r="N115" t="str">
        <f>IF(TArticle[[#This Row],[کد طرف حساب]]&gt;0,VLOOKUP(TArticle[[#This Row],[کد طرف حساب]],TContact[],2,FALSE),"")</f>
        <v/>
      </c>
      <c r="O115" s="61" t="str">
        <f>IF(TArticle[[#This Row],[کد طرف حساب]]&gt;0,VLOOKUP(TArticle[[#This Row],[کد طرف حساب]],TContact[],7,FALSE)-SUMIF($M$2:M115,M115,$E$2:$E115),"")</f>
        <v/>
      </c>
      <c r="P115" s="27" t="str">
        <f>RIGHT(TArticle[[#This Row],[تاریخ]],2)</f>
        <v>30</v>
      </c>
      <c r="Q115" s="27">
        <f>VLOOKUP(TArticle[[#This Row],[تاریخ]],TDays[],16,FALSE)</f>
        <v>18</v>
      </c>
      <c r="R115" s="27" t="str">
        <f>RIGHT(LEFT(TArticle[[#This Row],[تاریخ]],7),2)</f>
        <v>04</v>
      </c>
      <c r="S115" s="27" t="str">
        <f>LEFT(TArticle[[#This Row],[تاریخ]],4)</f>
        <v>1401</v>
      </c>
      <c r="U115" s="21">
        <f>VLOOKUP(TArticle[[#This Row],[شناسه]],TAccount[],7,TRUE)</f>
        <v>364074</v>
      </c>
      <c r="W115" s="21">
        <f>IF(AND(TArticle[[#This Row],[مبلغ]]&gt;0, TArticle[[#This Row],[کد وضعیت سند]]=1),TArticle[[#This Row],[مبلغ]],0)</f>
        <v>0</v>
      </c>
      <c r="X115" s="27">
        <f>IF(AND(TArticle[[#This Row],[مبلغ]]&lt;0,TArticle[[#This Row],[کد وضعیت سند]]=1),0-TArticle[[#This Row],[مبلغ]],0)</f>
        <v>96</v>
      </c>
      <c r="Y115" s="27">
        <v>16</v>
      </c>
      <c r="Z115" t="str">
        <f>IF(TArticle[[#This Row],[کد بانک]]&gt;0,VLOOKUP(TArticle[[#This Row],[کد بانک]],TBank[],2,FALSE),"")</f>
        <v>مهرایران</v>
      </c>
      <c r="AA115">
        <f>IF(AND(TArticle[[#This Row],[مبلغ]]&lt;0,TArticle[[#This Row],[کد وضعیت سند]]=1),0-TArticle[[#This Row],[مبلغ]],0)</f>
        <v>96</v>
      </c>
      <c r="AB115">
        <f>IF(AND(TArticle[[#This Row],[مبلغ]]&gt;0, TArticle[[#This Row],[کد وضعیت سند]]=1),TArticle[[#This Row],[مبلغ]],0)</f>
        <v>0</v>
      </c>
      <c r="AC115" s="84">
        <f>IF(TArticle[[#This Row],[کد بانک]]&gt;0,VLOOKUP(TArticle[[#This Row],[کد بانک]],TBank[],9,FALSE)+SUMIF($Y$2:Y115,Y115,$E$2:$E115),"")</f>
        <v>894</v>
      </c>
      <c r="AD115" s="1">
        <f>IFERROR(IF(INT(LEFT(TArticle[[#This Row],[شناسه]]))=3,IF(TArticle[[#This Row],[کد وضعیت سند]]=1,TArticle[مبلغ],0),0),0)</f>
        <v>-96</v>
      </c>
      <c r="AE115" s="1">
        <f>IFERROR(IF(((TArticle[[#This Row],[شناسه]]))="4.1.1",IF(TArticle[[#This Row],[کد وضعیت سند]]=1,TArticle[مبلغ],0),0),0)</f>
        <v>0</v>
      </c>
      <c r="AF115" s="1">
        <f>IFERROR(IF(((TArticle[[#This Row],[شناسه]]))="4.1.2",IF(TArticle[[#This Row],[کد وضعیت سند]]=1,TArticle[مبلغ],0),0),0)</f>
        <v>0</v>
      </c>
      <c r="AG115" s="1">
        <f>IFERROR(IF(INT(LEFT(TArticle[[#This Row],[شناسه]]))=1,IF(TArticle[[#This Row],[کد وضعیت سند]]=1,TArticle[مبلغ],0),0),0)</f>
        <v>0</v>
      </c>
      <c r="AH115" s="1">
        <f>IFERROR(IF(INT(LEFT(TArticle[[#This Row],[شناسه]]))=2,IF(TArticle[[#This Row],[کد وضعیت سند]]=1,TArticle[مبلغ],0),0),0)</f>
        <v>0</v>
      </c>
      <c r="AI115" s="1">
        <f>IFERROR(IF((LEFT(TArticle[[#This Row],[شناسه]],3))="5.2",IF(TArticle[[#This Row],[کد وضعیت سند]]=1,TArticle[مبلغ],0),0),0)</f>
        <v>0</v>
      </c>
      <c r="AJ115" s="1">
        <f>IF(TArticle[[#This Row],[کد وضعیت سند]]=1,1,0)</f>
        <v>1</v>
      </c>
      <c r="AK115" s="1">
        <f>IF(AND(TArticle[[#This Row],[کد وضعیت سند]]&lt;&gt;1,TArticle[[#This Row],[مبلغ]]&lt;&gt;0),1,0)</f>
        <v>0</v>
      </c>
      <c r="AL115" s="51">
        <f>IF(TArticle[[#This Row],[کد بانک]]&gt;0,TArticle[[#This Row],[مانده بانک]]-VLOOKUP(TArticle[[#This Row],[کد بانک]],TBank[],7,FALSE),"")</f>
        <v>864</v>
      </c>
      <c r="AM115" s="49" t="str">
        <f>LEFT(TArticle[[#This Row],[تاریخ]],7)</f>
        <v>1401-04</v>
      </c>
    </row>
    <row r="116" spans="1:39" hidden="1" x14ac:dyDescent="0.25">
      <c r="A116" s="24" t="s">
        <v>1110</v>
      </c>
      <c r="B116" s="49" t="str">
        <f>VLOOKUP(TArticle[[#This Row],[شناسه]],TAccount[],2,TRUE)</f>
        <v>قسط وام بانکی</v>
      </c>
      <c r="C116" s="49" t="str">
        <f>VLOOKUP(TArticle[[#This Row],[تاریخ]],TDays[],7,FALSE)</f>
        <v>پنجشنبه</v>
      </c>
      <c r="D116" s="21" t="s">
        <v>323</v>
      </c>
      <c r="E116" s="1">
        <v>-278</v>
      </c>
      <c r="F116" s="1">
        <f>TArticle[[#This Row],[مبلغ]]+IFERROR(INT(F115),30181+3667+958)</f>
        <v>27398</v>
      </c>
      <c r="G116" t="s">
        <v>1109</v>
      </c>
      <c r="H116" s="21">
        <v>32</v>
      </c>
      <c r="K116" s="21">
        <v>1</v>
      </c>
      <c r="L116" t="str">
        <f>IF(TArticle[[#This Row],[کد وضعیت سند]]&gt;0,VLOOKUP(TArticle[[#This Row],[کد وضعیت سند]],TDocState[],2,FALSE),"")</f>
        <v>انجام شد</v>
      </c>
      <c r="M116" s="27">
        <v>104</v>
      </c>
      <c r="N116" t="str">
        <f>IF(TArticle[[#This Row],[کد طرف حساب]]&gt;0,VLOOKUP(TArticle[[#This Row],[کد طرف حساب]],TContact[],2,FALSE),"")</f>
        <v>وام ملی ف</v>
      </c>
      <c r="O116" s="61">
        <f>IF(TArticle[[#This Row],[کد طرف حساب]]&gt;0,VLOOKUP(TArticle[[#This Row],[کد طرف حساب]],TContact[],7,FALSE)-SUMIF($M$2:M116,M116,$E$2:$E116),"")</f>
        <v>-1104</v>
      </c>
      <c r="P116" s="27" t="str">
        <f>RIGHT(TArticle[[#This Row],[تاریخ]],2)</f>
        <v>30</v>
      </c>
      <c r="Q116" s="27">
        <f>VLOOKUP(TArticle[[#This Row],[تاریخ]],TDays[],16,FALSE)</f>
        <v>18</v>
      </c>
      <c r="R116" s="27" t="str">
        <f>RIGHT(LEFT(TArticle[[#This Row],[تاریخ]],7),2)</f>
        <v>04</v>
      </c>
      <c r="S116" s="27" t="str">
        <f>LEFT(TArticle[[#This Row],[تاریخ]],4)</f>
        <v>1401</v>
      </c>
      <c r="U116" s="21">
        <f>VLOOKUP(TArticle[[#This Row],[شناسه]],TAccount[],7,TRUE)</f>
        <v>81652</v>
      </c>
      <c r="V116" s="21" t="s">
        <v>335</v>
      </c>
      <c r="W116" s="21">
        <f>IF(AND(TArticle[[#This Row],[مبلغ]]&gt;0, TArticle[[#This Row],[کد وضعیت سند]]=1),TArticle[[#This Row],[مبلغ]],0)</f>
        <v>0</v>
      </c>
      <c r="X116" s="27">
        <f>IF(AND(TArticle[[#This Row],[مبلغ]]&lt;0,TArticle[[#This Row],[کد وضعیت سند]]=1),0-TArticle[[#This Row],[مبلغ]],0)</f>
        <v>278</v>
      </c>
      <c r="Y116" s="27">
        <v>2</v>
      </c>
      <c r="Z116" t="str">
        <f>IF(TArticle[[#This Row],[کد بانک]]&gt;0,VLOOKUP(TArticle[[#This Row],[کد بانک]],TBank[],2,FALSE),"")</f>
        <v>ملی جاری</v>
      </c>
      <c r="AA116">
        <f>IF(AND(TArticle[[#This Row],[مبلغ]]&lt;0,TArticle[[#This Row],[کد وضعیت سند]]=1),0-TArticle[[#This Row],[مبلغ]],0)</f>
        <v>278</v>
      </c>
      <c r="AB116">
        <f>IF(AND(TArticle[[#This Row],[مبلغ]]&gt;0, TArticle[[#This Row],[کد وضعیت سند]]=1),TArticle[[#This Row],[مبلغ]],0)</f>
        <v>0</v>
      </c>
      <c r="AC116" s="84">
        <f>IF(TArticle[[#This Row],[کد بانک]]&gt;0,VLOOKUP(TArticle[[#This Row],[کد بانک]],TBank[],9,FALSE)+SUMIF($Y$2:Y116,Y116,$E$2:$E116),"")</f>
        <v>12304</v>
      </c>
      <c r="AD116" s="1">
        <f>IFERROR(IF(INT(LEFT(TArticle[[#This Row],[شناسه]]))=3,IF(TArticle[[#This Row],[کد وضعیت سند]]=1,TArticle[مبلغ],0),0),0)</f>
        <v>0</v>
      </c>
      <c r="AE116" s="1">
        <f>IFERROR(IF(((TArticle[[#This Row],[شناسه]]))="4.1.1",IF(TArticle[[#This Row],[کد وضعیت سند]]=1,TArticle[مبلغ],0),0),0)</f>
        <v>0</v>
      </c>
      <c r="AF116" s="1">
        <f>IFERROR(IF(((TArticle[[#This Row],[شناسه]]))="4.1.2",IF(TArticle[[#This Row],[کد وضعیت سند]]=1,TArticle[مبلغ],0),0),0)</f>
        <v>0</v>
      </c>
      <c r="AG116" s="1">
        <f>IFERROR(IF(INT(LEFT(TArticle[[#This Row],[شناسه]]))=1,IF(TArticle[[#This Row],[کد وضعیت سند]]=1,TArticle[مبلغ],0),0),0)</f>
        <v>-278</v>
      </c>
      <c r="AH116" s="1">
        <f>IFERROR(IF(INT(LEFT(TArticle[[#This Row],[شناسه]]))=2,IF(TArticle[[#This Row],[کد وضعیت سند]]=1,TArticle[مبلغ],0),0),0)</f>
        <v>0</v>
      </c>
      <c r="AI116" s="1">
        <f>IFERROR(IF((LEFT(TArticle[[#This Row],[شناسه]],3))="5.2",IF(TArticle[[#This Row],[کد وضعیت سند]]=1,TArticle[مبلغ],0),0),0)</f>
        <v>0</v>
      </c>
      <c r="AJ116" s="1">
        <f>IF(TArticle[[#This Row],[کد وضعیت سند]]=1,1,0)</f>
        <v>1</v>
      </c>
      <c r="AK116" s="1">
        <f>IF(AND(TArticle[[#This Row],[کد وضعیت سند]]&lt;&gt;1,TArticle[[#This Row],[مبلغ]]&lt;&gt;0),1,0)</f>
        <v>0</v>
      </c>
      <c r="AL116" s="51">
        <f>IF(TArticle[[#This Row],[کد بانک]]&gt;0,TArticle[[#This Row],[مانده بانک]]-VLOOKUP(TArticle[[#This Row],[کد بانک]],TBank[],7,FALSE),"")</f>
        <v>12304</v>
      </c>
      <c r="AM116" s="58" t="str">
        <f>LEFT(TArticle[[#This Row],[تاریخ]],7)</f>
        <v>1401-04</v>
      </c>
    </row>
    <row r="117" spans="1:39" hidden="1" x14ac:dyDescent="0.25">
      <c r="A117" s="24" t="s">
        <v>1107</v>
      </c>
      <c r="B117" s="49" t="str">
        <f>VLOOKUP(TArticle[[#This Row],[شناسه]],TAccount[],2,TRUE)</f>
        <v>سود وام</v>
      </c>
      <c r="C117" s="49" t="str">
        <f>VLOOKUP(TArticle[[#This Row],[تاریخ]],TDays[],7,FALSE)</f>
        <v>پنجشنبه</v>
      </c>
      <c r="D117" s="21" t="s">
        <v>323</v>
      </c>
      <c r="E117" s="1">
        <v>-83</v>
      </c>
      <c r="F117" s="1">
        <f>TArticle[[#This Row],[مبلغ]]+IFERROR(INT(F116),30181+3667+958)</f>
        <v>27315</v>
      </c>
      <c r="G117" t="s">
        <v>1109</v>
      </c>
      <c r="H117" s="21">
        <v>32</v>
      </c>
      <c r="K117" s="21">
        <v>1</v>
      </c>
      <c r="L117" t="str">
        <f>IF(TArticle[[#This Row],[کد وضعیت سند]]&gt;0,VLOOKUP(TArticle[[#This Row],[کد وضعیت سند]],TDocState[],2,FALSE),"")</f>
        <v>انجام شد</v>
      </c>
      <c r="M117" s="27">
        <v>104.1</v>
      </c>
      <c r="N117" t="str">
        <f>IF(TArticle[[#This Row],[کد طرف حساب]]&gt;0,VLOOKUP(TArticle[[#This Row],[کد طرف حساب]],TContact[],2,FALSE),"")</f>
        <v>وام ملی ف - سود</v>
      </c>
      <c r="O117" s="61">
        <f>IF(TArticle[[#This Row],[کد طرف حساب]]&gt;0,VLOOKUP(TArticle[[#This Row],[کد طرف حساب]],TContact[],7,FALSE)-SUMIF($M$2:M117,M117,$E$2:$E117),"")</f>
        <v>-244</v>
      </c>
      <c r="P117" s="27" t="str">
        <f>RIGHT(TArticle[[#This Row],[تاریخ]],2)</f>
        <v>30</v>
      </c>
      <c r="Q117" s="27">
        <f>VLOOKUP(TArticle[[#This Row],[تاریخ]],TDays[],16,FALSE)</f>
        <v>18</v>
      </c>
      <c r="R117" s="27" t="str">
        <f>RIGHT(LEFT(TArticle[[#This Row],[تاریخ]],7),2)</f>
        <v>04</v>
      </c>
      <c r="S117" s="27" t="str">
        <f>LEFT(TArticle[[#This Row],[تاریخ]],4)</f>
        <v>1401</v>
      </c>
      <c r="U117" s="21">
        <f>VLOOKUP(TArticle[[#This Row],[شناسه]],TAccount[],7,TRUE)</f>
        <v>9163</v>
      </c>
      <c r="V117" s="21" t="s">
        <v>335</v>
      </c>
      <c r="W117" s="21">
        <f>IF(AND(TArticle[[#This Row],[مبلغ]]&gt;0, TArticle[[#This Row],[کد وضعیت سند]]=1),TArticle[[#This Row],[مبلغ]],0)</f>
        <v>0</v>
      </c>
      <c r="X117" s="27">
        <f>IF(AND(TArticle[[#This Row],[مبلغ]]&lt;0,TArticle[[#This Row],[کد وضعیت سند]]=1),0-TArticle[[#This Row],[مبلغ]],0)</f>
        <v>83</v>
      </c>
      <c r="Y117" s="27">
        <v>2</v>
      </c>
      <c r="Z117" t="str">
        <f>IF(TArticle[[#This Row],[کد بانک]]&gt;0,VLOOKUP(TArticle[[#This Row],[کد بانک]],TBank[],2,FALSE),"")</f>
        <v>ملی جاری</v>
      </c>
      <c r="AA117">
        <f>IF(AND(TArticle[[#This Row],[مبلغ]]&lt;0,TArticle[[#This Row],[کد وضعیت سند]]=1),0-TArticle[[#This Row],[مبلغ]],0)</f>
        <v>83</v>
      </c>
      <c r="AB117">
        <f>IF(AND(TArticle[[#This Row],[مبلغ]]&gt;0, TArticle[[#This Row],[کد وضعیت سند]]=1),TArticle[[#This Row],[مبلغ]],0)</f>
        <v>0</v>
      </c>
      <c r="AC117" s="84">
        <f>IF(TArticle[[#This Row],[کد بانک]]&gt;0,VLOOKUP(TArticle[[#This Row],[کد بانک]],TBank[],9,FALSE)+SUMIF($Y$2:Y117,Y117,$E$2:$E117),"")</f>
        <v>12221</v>
      </c>
      <c r="AD117" s="1">
        <f>IFERROR(IF(INT(LEFT(TArticle[[#This Row],[شناسه]]))=3,IF(TArticle[[#This Row],[کد وضعیت سند]]=1,TArticle[مبلغ],0),0),0)</f>
        <v>-83</v>
      </c>
      <c r="AE117" s="1">
        <f>IFERROR(IF(((TArticle[[#This Row],[شناسه]]))="4.1.1",IF(TArticle[[#This Row],[کد وضعیت سند]]=1,TArticle[مبلغ],0),0),0)</f>
        <v>0</v>
      </c>
      <c r="AF117" s="1">
        <f>IFERROR(IF(((TArticle[[#This Row],[شناسه]]))="4.1.2",IF(TArticle[[#This Row],[کد وضعیت سند]]=1,TArticle[مبلغ],0),0),0)</f>
        <v>0</v>
      </c>
      <c r="AG117" s="1">
        <f>IFERROR(IF(INT(LEFT(TArticle[[#This Row],[شناسه]]))=1,IF(TArticle[[#This Row],[کد وضعیت سند]]=1,TArticle[مبلغ],0),0),0)</f>
        <v>0</v>
      </c>
      <c r="AH117" s="1">
        <f>IFERROR(IF(INT(LEFT(TArticle[[#This Row],[شناسه]]))=2,IF(TArticle[[#This Row],[کد وضعیت سند]]=1,TArticle[مبلغ],0),0),0)</f>
        <v>0</v>
      </c>
      <c r="AI117" s="1">
        <f>IFERROR(IF((LEFT(TArticle[[#This Row],[شناسه]],3))="5.2",IF(TArticle[[#This Row],[کد وضعیت سند]]=1,TArticle[مبلغ],0),0),0)</f>
        <v>0</v>
      </c>
      <c r="AJ117" s="1">
        <f>IF(TArticle[[#This Row],[کد وضعیت سند]]=1,1,0)</f>
        <v>1</v>
      </c>
      <c r="AK117" s="1">
        <f>IF(AND(TArticle[[#This Row],[کد وضعیت سند]]&lt;&gt;1,TArticle[[#This Row],[مبلغ]]&lt;&gt;0),1,0)</f>
        <v>0</v>
      </c>
      <c r="AL117" s="51">
        <f>IF(TArticle[[#This Row],[کد بانک]]&gt;0,TArticle[[#This Row],[مانده بانک]]-VLOOKUP(TArticle[[#This Row],[کد بانک]],TBank[],7,FALSE),"")</f>
        <v>12221</v>
      </c>
      <c r="AM117" s="58" t="str">
        <f>LEFT(TArticle[[#This Row],[تاریخ]],7)</f>
        <v>1401-04</v>
      </c>
    </row>
    <row r="118" spans="1:39" hidden="1" x14ac:dyDescent="0.25">
      <c r="A118" s="77" t="s">
        <v>76</v>
      </c>
      <c r="B118" s="49" t="str">
        <f>VLOOKUP(TArticle[[#This Row],[شناسه]],TAccount[],2,TRUE)</f>
        <v>قسط</v>
      </c>
      <c r="C118" s="49" t="str">
        <f>VLOOKUP(TArticle[[#This Row],[تاریخ]],TDays[],7,FALSE)</f>
        <v>پنجشنبه</v>
      </c>
      <c r="D118" s="28" t="s">
        <v>323</v>
      </c>
      <c r="E118" s="1">
        <v>-2777</v>
      </c>
      <c r="F118" s="1">
        <f>TArticle[[#This Row],[مبلغ]]+IFERROR(INT(F117),30181+3667+958)</f>
        <v>24538</v>
      </c>
      <c r="H118" s="64">
        <v>24</v>
      </c>
      <c r="J118" s="65"/>
      <c r="K118" s="64">
        <v>1</v>
      </c>
      <c r="L118" s="66" t="str">
        <f>IF(TArticle[[#This Row],[کد وضعیت سند]]&gt;0,VLOOKUP(TArticle[[#This Row],[کد وضعیت سند]],TDocState[],2,FALSE),"")</f>
        <v>انجام شد</v>
      </c>
      <c r="M118" s="67">
        <v>105</v>
      </c>
      <c r="N118" t="str">
        <f>IF(TArticle[[#This Row],[کد طرف حساب]]&gt;0,VLOOKUP(TArticle[[#This Row],[کد طرف حساب]],TContact[],2,FALSE),"")</f>
        <v>وام محبوبه</v>
      </c>
      <c r="O118" s="68">
        <f>IF(TArticle[[#This Row],[کد طرف حساب]]&gt;0,VLOOKUP(TArticle[[#This Row],[کد طرف حساب]],TContact[],7,FALSE)-SUMIF($M$2:M118,M118,$E$2:$E118),"")</f>
        <v>-22452</v>
      </c>
      <c r="P118" s="67" t="str">
        <f>RIGHT(TArticle[[#This Row],[تاریخ]],2)</f>
        <v>30</v>
      </c>
      <c r="Q118" s="67">
        <f>VLOOKUP(TArticle[[#This Row],[تاریخ]],TDays[],16,FALSE)</f>
        <v>18</v>
      </c>
      <c r="R118" s="67" t="str">
        <f>RIGHT(LEFT(TArticle[[#This Row],[تاریخ]],7),2)</f>
        <v>04</v>
      </c>
      <c r="S118" s="67" t="str">
        <f>LEFT(TArticle[[#This Row],[تاریخ]],4)</f>
        <v>1401</v>
      </c>
      <c r="T118" s="64"/>
      <c r="U118" s="64">
        <f>VLOOKUP(TArticle[[#This Row],[شناسه]],TAccount[],7,TRUE)</f>
        <v>36266</v>
      </c>
      <c r="V118" s="28" t="s">
        <v>323</v>
      </c>
      <c r="W118" s="64">
        <f>IF(AND(TArticle[[#This Row],[مبلغ]]&gt;0, TArticle[[#This Row],[کد وضعیت سند]]=1),TArticle[[#This Row],[مبلغ]],0)</f>
        <v>0</v>
      </c>
      <c r="X118" s="67">
        <f>IF(AND(TArticle[[#This Row],[مبلغ]]&lt;0,TArticle[[#This Row],[کد وضعیت سند]]=1),0-TArticle[[#This Row],[مبلغ]],0)</f>
        <v>2777</v>
      </c>
      <c r="Y118" s="27">
        <v>2</v>
      </c>
      <c r="Z118" t="str">
        <f>IF(TArticle[[#This Row],[کد بانک]]&gt;0,VLOOKUP(TArticle[[#This Row],[کد بانک]],TBank[],2,FALSE),"")</f>
        <v>ملی جاری</v>
      </c>
      <c r="AA118">
        <f>IF(AND(TArticle[[#This Row],[مبلغ]]&lt;0,TArticle[[#This Row],[کد وضعیت سند]]=1),0-TArticle[[#This Row],[مبلغ]],0)</f>
        <v>2777</v>
      </c>
      <c r="AB118">
        <f>IF(AND(TArticle[[#This Row],[مبلغ]]&gt;0, TArticle[[#This Row],[کد وضعیت سند]]=1),TArticle[[#This Row],[مبلغ]],0)</f>
        <v>0</v>
      </c>
      <c r="AC118" s="93">
        <f>IF(TArticle[[#This Row],[کد بانک]]&gt;0,VLOOKUP(TArticle[[#This Row],[کد بانک]],TBank[],9,FALSE)+SUMIF($Y$2:Y118,Y118,$E$2:$E118),"")</f>
        <v>9444</v>
      </c>
      <c r="AD118" s="1">
        <f>IFERROR(IF(INT(LEFT(TArticle[[#This Row],[شناسه]]))=3,IF(TArticle[[#This Row],[کد وضعیت سند]]=1,TArticle[مبلغ],0),0),0)</f>
        <v>0</v>
      </c>
      <c r="AE118" s="1">
        <f>IFERROR(IF(((TArticle[[#This Row],[شناسه]]))="4.1.1",IF(TArticle[[#This Row],[کد وضعیت سند]]=1,TArticle[مبلغ],0),0),0)</f>
        <v>0</v>
      </c>
      <c r="AF118" s="1">
        <f>IFERROR(IF(((TArticle[[#This Row],[شناسه]]))="4.1.2",IF(TArticle[[#This Row],[کد وضعیت سند]]=1,TArticle[مبلغ],0),0),0)</f>
        <v>0</v>
      </c>
      <c r="AG118" s="1">
        <f>IFERROR(IF(INT(LEFT(TArticle[[#This Row],[شناسه]]))=1,IF(TArticle[[#This Row],[کد وضعیت سند]]=1,TArticle[مبلغ],0),0),0)</f>
        <v>-2777</v>
      </c>
      <c r="AH118" s="1">
        <f>IFERROR(IF(INT(LEFT(TArticle[[#This Row],[شناسه]]))=2,IF(TArticle[[#This Row],[کد وضعیت سند]]=1,TArticle[مبلغ],0),0),0)</f>
        <v>0</v>
      </c>
      <c r="AI118" s="1">
        <f>IFERROR(IF((LEFT(TArticle[[#This Row],[شناسه]],3))="5.2",IF(TArticle[[#This Row],[کد وضعیت سند]]=1,TArticle[مبلغ],0),0),0)</f>
        <v>0</v>
      </c>
      <c r="AJ118" s="1">
        <f>IF(TArticle[[#This Row],[کد وضعیت سند]]=1,1,0)</f>
        <v>1</v>
      </c>
      <c r="AK118" s="1">
        <f>IF(AND(TArticle[[#This Row],[کد وضعیت سند]]&lt;&gt;1,TArticle[[#This Row],[مبلغ]]&lt;&gt;0),1,0)</f>
        <v>0</v>
      </c>
      <c r="AL118" s="78">
        <f>IF(TArticle[[#This Row],[کد بانک]]&gt;0,TArticle[[#This Row],[مانده بانک]]-VLOOKUP(TArticle[[#This Row],[کد بانک]],TBank[],7,FALSE),"")</f>
        <v>9444</v>
      </c>
      <c r="AM118" s="58" t="str">
        <f>LEFT(TArticle[[#This Row],[تاریخ]],7)</f>
        <v>1401-04</v>
      </c>
    </row>
    <row r="119" spans="1:39" hidden="1" x14ac:dyDescent="0.25">
      <c r="A119" s="24" t="s">
        <v>55</v>
      </c>
      <c r="B119" s="49" t="str">
        <f>VLOOKUP(TArticle[[#This Row],[شناسه]],TAccount[],2,TRUE)</f>
        <v>هزینه کلی</v>
      </c>
      <c r="C119" s="49" t="str">
        <f>VLOOKUP(TArticle[[#This Row],[تاریخ]],TDays[],7,FALSE)</f>
        <v>پنجشنبه</v>
      </c>
      <c r="D119" s="21" t="s">
        <v>323</v>
      </c>
      <c r="E119" s="1">
        <v>-1700</v>
      </c>
      <c r="F119" s="1">
        <f>TArticle[[#This Row],[مبلغ]]+IFERROR(INT(F118),30181+3667+958)</f>
        <v>22838</v>
      </c>
      <c r="G119" t="s">
        <v>1055</v>
      </c>
      <c r="K119" s="21">
        <v>1</v>
      </c>
      <c r="L119" t="str">
        <f>IF(TArticle[[#This Row],[کد وضعیت سند]]&gt;0,VLOOKUP(TArticle[[#This Row],[کد وضعیت سند]],TDocState[],2,FALSE),"")</f>
        <v>انجام شد</v>
      </c>
      <c r="N119" t="str">
        <f>IF(TArticle[[#This Row],[کد طرف حساب]]&gt;0,VLOOKUP(TArticle[[#This Row],[کد طرف حساب]],TContact[],2,FALSE),"")</f>
        <v/>
      </c>
      <c r="O119" s="61" t="str">
        <f>IF(TArticle[[#This Row],[کد طرف حساب]]&gt;0,VLOOKUP(TArticle[[#This Row],[کد طرف حساب]],TContact[],7,FALSE)-SUMIF($M$2:M119,M119,$E$2:$E119),"")</f>
        <v/>
      </c>
      <c r="P119" s="27" t="str">
        <f>RIGHT(TArticle[[#This Row],[تاریخ]],2)</f>
        <v>30</v>
      </c>
      <c r="Q119" s="27">
        <f>VLOOKUP(TArticle[[#This Row],[تاریخ]],TDays[],16,FALSE)</f>
        <v>18</v>
      </c>
      <c r="R119" s="27" t="str">
        <f>RIGHT(LEFT(TArticle[[#This Row],[تاریخ]],7),2)</f>
        <v>04</v>
      </c>
      <c r="S119" s="27" t="str">
        <f>LEFT(TArticle[[#This Row],[تاریخ]],4)</f>
        <v>1401</v>
      </c>
      <c r="U119" s="21">
        <f>VLOOKUP(TArticle[[#This Row],[شناسه]],TAccount[],7,TRUE)</f>
        <v>364074</v>
      </c>
      <c r="W119" s="21">
        <f>IF(AND(TArticle[[#This Row],[مبلغ]]&gt;0, TArticle[[#This Row],[کد وضعیت سند]]=1),TArticle[[#This Row],[مبلغ]],0)</f>
        <v>0</v>
      </c>
      <c r="X119" s="27">
        <f>IF(AND(TArticle[[#This Row],[مبلغ]]&lt;0,TArticle[[#This Row],[کد وضعیت سند]]=1),0-TArticle[[#This Row],[مبلغ]],0)</f>
        <v>1700</v>
      </c>
      <c r="Y119" s="27">
        <v>2</v>
      </c>
      <c r="Z119" t="str">
        <f>IF(TArticle[[#This Row],[کد بانک]]&gt;0,VLOOKUP(TArticle[[#This Row],[کد بانک]],TBank[],2,FALSE),"")</f>
        <v>ملی جاری</v>
      </c>
      <c r="AA119">
        <f>IF(AND(TArticle[[#This Row],[مبلغ]]&lt;0,TArticle[[#This Row],[کد وضعیت سند]]=1),0-TArticle[[#This Row],[مبلغ]],0)</f>
        <v>1700</v>
      </c>
      <c r="AB119">
        <f>IF(AND(TArticle[[#This Row],[مبلغ]]&gt;0, TArticle[[#This Row],[کد وضعیت سند]]=1),TArticle[[#This Row],[مبلغ]],0)</f>
        <v>0</v>
      </c>
      <c r="AC119" s="84">
        <f>IF(TArticle[[#This Row],[کد بانک]]&gt;0,VLOOKUP(TArticle[[#This Row],[کد بانک]],TBank[],9,FALSE)+SUMIF($Y$2:Y119,Y119,$E$2:$E119),"")</f>
        <v>7744</v>
      </c>
      <c r="AD119" s="1">
        <f>IFERROR(IF(INT(LEFT(TArticle[[#This Row],[شناسه]]))=3,IF(TArticle[[#This Row],[کد وضعیت سند]]=1,TArticle[مبلغ],0),0),0)</f>
        <v>-1700</v>
      </c>
      <c r="AE119" s="1">
        <f>IFERROR(IF(((TArticle[[#This Row],[شناسه]]))="4.1.1",IF(TArticle[[#This Row],[کد وضعیت سند]]=1,TArticle[مبلغ],0),0),0)</f>
        <v>0</v>
      </c>
      <c r="AF119" s="1">
        <f>IFERROR(IF(((TArticle[[#This Row],[شناسه]]))="4.1.2",IF(TArticle[[#This Row],[کد وضعیت سند]]=1,TArticle[مبلغ],0),0),0)</f>
        <v>0</v>
      </c>
      <c r="AG119" s="1">
        <f>IFERROR(IF(INT(LEFT(TArticle[[#This Row],[شناسه]]))=1,IF(TArticle[[#This Row],[کد وضعیت سند]]=1,TArticle[مبلغ],0),0),0)</f>
        <v>0</v>
      </c>
      <c r="AH119" s="1">
        <f>IFERROR(IF(INT(LEFT(TArticle[[#This Row],[شناسه]]))=2,IF(TArticle[[#This Row],[کد وضعیت سند]]=1,TArticle[مبلغ],0),0),0)</f>
        <v>0</v>
      </c>
      <c r="AI119" s="1">
        <f>IFERROR(IF((LEFT(TArticle[[#This Row],[شناسه]],3))="5.2",IF(TArticle[[#This Row],[کد وضعیت سند]]=1,TArticle[مبلغ],0),0),0)</f>
        <v>0</v>
      </c>
      <c r="AJ119" s="1">
        <f>IF(TArticle[[#This Row],[کد وضعیت سند]]=1,1,0)</f>
        <v>1</v>
      </c>
      <c r="AK119" s="1">
        <f>IF(AND(TArticle[[#This Row],[کد وضعیت سند]]&lt;&gt;1,TArticle[[#This Row],[مبلغ]]&lt;&gt;0),1,0)</f>
        <v>0</v>
      </c>
      <c r="AL119" s="51">
        <f>IF(TArticle[[#This Row],[کد بانک]]&gt;0,TArticle[[#This Row],[مانده بانک]]-VLOOKUP(TArticle[[#This Row],[کد بانک]],TBank[],7,FALSE),"")</f>
        <v>7744</v>
      </c>
      <c r="AM119" s="49" t="str">
        <f>LEFT(TArticle[[#This Row],[تاریخ]],7)</f>
        <v>1401-04</v>
      </c>
    </row>
    <row r="120" spans="1:39" hidden="1" x14ac:dyDescent="0.25">
      <c r="A120" s="24" t="s">
        <v>1608</v>
      </c>
      <c r="B120" s="49" t="str">
        <f>VLOOKUP(TArticle[[#This Row],[شناسه]],TAccount[],2,TRUE)</f>
        <v>بن کارت</v>
      </c>
      <c r="C120" s="49" t="str">
        <f>VLOOKUP(TArticle[[#This Row],[تاریخ]],TDays[],7,FALSE)</f>
        <v>شنبه</v>
      </c>
      <c r="D120" s="21" t="s">
        <v>325</v>
      </c>
      <c r="E120" s="1">
        <v>1000</v>
      </c>
      <c r="F120" s="1">
        <f>TArticle[[#This Row],[مبلغ]]+IFERROR(INT(F119),30181+3667+958)</f>
        <v>23838</v>
      </c>
      <c r="K120" s="21">
        <v>1</v>
      </c>
      <c r="L120" t="str">
        <f>IF(TArticle[[#This Row],[کد وضعیت سند]]&gt;0,VLOOKUP(TArticle[[#This Row],[کد وضعیت سند]],TDocState[],2,FALSE),"")</f>
        <v>انجام شد</v>
      </c>
      <c r="N120" t="str">
        <f>IF(TArticle[[#This Row],[کد طرف حساب]]&gt;0,VLOOKUP(TArticle[[#This Row],[کد طرف حساب]],TContact[],2,FALSE),"")</f>
        <v/>
      </c>
      <c r="O120" s="61" t="str">
        <f>IF(TArticle[[#This Row],[کد طرف حساب]]&gt;0,VLOOKUP(TArticle[[#This Row],[کد طرف حساب]],TContact[],7,FALSE)-SUMIF($M$2:M120,M120,$E$2:$E120),"")</f>
        <v/>
      </c>
      <c r="P120" s="27" t="str">
        <f>RIGHT(TArticle[[#This Row],[تاریخ]],2)</f>
        <v>01</v>
      </c>
      <c r="Q120" s="27">
        <f>VLOOKUP(TArticle[[#This Row],[تاریخ]],TDays[],16,FALSE)</f>
        <v>19</v>
      </c>
      <c r="R120" s="27" t="str">
        <f>RIGHT(LEFT(TArticle[[#This Row],[تاریخ]],7),2)</f>
        <v>05</v>
      </c>
      <c r="S120" s="27" t="str">
        <f>LEFT(TArticle[[#This Row],[تاریخ]],4)</f>
        <v>1401</v>
      </c>
      <c r="U120" s="21">
        <f>VLOOKUP(TArticle[[#This Row],[شناسه]],TAccount[],7,TRUE)</f>
        <v>3000</v>
      </c>
      <c r="W120" s="21">
        <f>IF(AND(TArticle[[#This Row],[مبلغ]]&gt;0, TArticle[[#This Row],[کد وضعیت سند]]=1),TArticle[[#This Row],[مبلغ]],0)</f>
        <v>1000</v>
      </c>
      <c r="X120" s="27">
        <f>IF(AND(TArticle[[#This Row],[مبلغ]]&lt;0,TArticle[[#This Row],[کد وضعیت سند]]=1),0-TArticle[[#This Row],[مبلغ]],0)</f>
        <v>0</v>
      </c>
      <c r="Y120" s="27">
        <v>30</v>
      </c>
      <c r="Z120" t="str">
        <f>IF(TArticle[[#This Row],[کد بانک]]&gt;0,VLOOKUP(TArticle[[#This Row],[کد بانک]],TBank[],2,FALSE),"")</f>
        <v>بن کارت</v>
      </c>
      <c r="AA120">
        <f>IF(AND(TArticle[[#This Row],[مبلغ]]&lt;0,TArticle[[#This Row],[کد وضعیت سند]]=1),0-TArticle[[#This Row],[مبلغ]],0)</f>
        <v>0</v>
      </c>
      <c r="AB120">
        <f>IF(AND(TArticle[[#This Row],[مبلغ]]&gt;0, TArticle[[#This Row],[کد وضعیت سند]]=1),TArticle[[#This Row],[مبلغ]],0)</f>
        <v>1000</v>
      </c>
      <c r="AC120" s="84">
        <f>IF(TArticle[[#This Row],[کد بانک]]&gt;0,VLOOKUP(TArticle[[#This Row],[کد بانک]],TBank[],9,FALSE)+SUMIF($Y$2:Y120,Y120,$E$2:$E120),"")</f>
        <v>1000</v>
      </c>
      <c r="AD120" s="1">
        <f>IFERROR(IF(INT(LEFT(TArticle[[#This Row],[شناسه]]))=3,IF(TArticle[[#This Row],[کد وضعیت سند]]=1,TArticle[مبلغ],0),0),0)</f>
        <v>0</v>
      </c>
      <c r="AE120" s="1">
        <f>IFERROR(IF(((TArticle[[#This Row],[شناسه]]))="4.1.1",IF(TArticle[[#This Row],[کد وضعیت سند]]=1,TArticle[مبلغ],0),0),0)</f>
        <v>0</v>
      </c>
      <c r="AF120" s="1">
        <f>IFERROR(IF(((TArticle[[#This Row],[شناسه]]))="4.1.2",IF(TArticle[[#This Row],[کد وضعیت سند]]=1,TArticle[مبلغ],0),0),0)</f>
        <v>0</v>
      </c>
      <c r="AG120" s="1">
        <f>IFERROR(IF(INT(LEFT(TArticle[[#This Row],[شناسه]]))=1,IF(TArticle[[#This Row],[کد وضعیت سند]]=1,TArticle[مبلغ],0),0),0)</f>
        <v>0</v>
      </c>
      <c r="AH120" s="1">
        <f>IFERROR(IF(INT(LEFT(TArticle[[#This Row],[شناسه]]))=2,IF(TArticle[[#This Row],[کد وضعیت سند]]=1,TArticle[مبلغ],0),0),0)</f>
        <v>0</v>
      </c>
      <c r="AI120" s="1">
        <f>IFERROR(IF((LEFT(TArticle[[#This Row],[شناسه]],3))="5.2",IF(TArticle[[#This Row],[کد وضعیت سند]]=1,TArticle[مبلغ],0),0),0)</f>
        <v>0</v>
      </c>
      <c r="AJ120" s="1">
        <f>IF(TArticle[[#This Row],[کد وضعیت سند]]=1,1,0)</f>
        <v>1</v>
      </c>
      <c r="AK120" s="1">
        <f>IF(AND(TArticle[[#This Row],[کد وضعیت سند]]&lt;&gt;1,TArticle[[#This Row],[مبلغ]]&lt;&gt;0),1,0)</f>
        <v>0</v>
      </c>
      <c r="AL120" s="51">
        <f>IF(TArticle[[#This Row],[کد بانک]]&gt;0,TArticle[[#This Row],[مانده بانک]]-VLOOKUP(TArticle[[#This Row],[کد بانک]],TBank[],7,FALSE),"")</f>
        <v>1000</v>
      </c>
      <c r="AM120" s="49" t="str">
        <f>LEFT(TArticle[[#This Row],[تاریخ]],7)</f>
        <v>1401-05</v>
      </c>
    </row>
    <row r="121" spans="1:39" hidden="1" x14ac:dyDescent="0.25">
      <c r="A121" s="24" t="s">
        <v>1008</v>
      </c>
      <c r="B121" s="49" t="str">
        <f>VLOOKUP(TArticle[[#This Row],[شناسه]],TAccount[],2,TRUE)</f>
        <v>حواله پرداخت/برداشت</v>
      </c>
      <c r="C121" s="49" t="str">
        <f>VLOOKUP(TArticle[[#This Row],[تاریخ]],TDays[],7,FALSE)</f>
        <v>شنبه</v>
      </c>
      <c r="D121" s="21" t="s">
        <v>325</v>
      </c>
      <c r="E121" s="1">
        <v>-3000</v>
      </c>
      <c r="F121" s="1">
        <f>TArticle[[#This Row],[مبلغ]]+IFERROR(INT(F120),30181+3667+958)</f>
        <v>20838</v>
      </c>
      <c r="G121" t="s">
        <v>1665</v>
      </c>
      <c r="K121" s="21">
        <v>1</v>
      </c>
      <c r="L121" t="str">
        <f>IF(TArticle[[#This Row],[کد وضعیت سند]]&gt;0,VLOOKUP(TArticle[[#This Row],[کد وضعیت سند]],TDocState[],2,FALSE),"")</f>
        <v>انجام شد</v>
      </c>
      <c r="N121" t="str">
        <f>IF(TArticle[[#This Row],[کد طرف حساب]]&gt;0,VLOOKUP(TArticle[[#This Row],[کد طرف حساب]],TContact[],2,FALSE),"")</f>
        <v/>
      </c>
      <c r="O121" s="61" t="str">
        <f>IF(TArticle[[#This Row],[کد طرف حساب]]&gt;0,VLOOKUP(TArticle[[#This Row],[کد طرف حساب]],TContact[],7,FALSE)-SUMIF($M$2:M121,M121,$E$2:$E121),"")</f>
        <v/>
      </c>
      <c r="P121" s="27" t="str">
        <f>RIGHT(TArticle[[#This Row],[تاریخ]],2)</f>
        <v>01</v>
      </c>
      <c r="Q121" s="27">
        <f>VLOOKUP(TArticle[[#This Row],[تاریخ]],TDays[],16,FALSE)</f>
        <v>19</v>
      </c>
      <c r="R121" s="27" t="str">
        <f>RIGHT(LEFT(TArticle[[#This Row],[تاریخ]],7),2)</f>
        <v>05</v>
      </c>
      <c r="S121" s="27" t="str">
        <f>LEFT(TArticle[[#This Row],[تاریخ]],4)</f>
        <v>1401</v>
      </c>
      <c r="U121" s="21">
        <f>VLOOKUP(TArticle[[#This Row],[شناسه]],TAccount[],7,TRUE)</f>
        <v>179525</v>
      </c>
      <c r="W121" s="21">
        <f>IF(AND(TArticle[[#This Row],[مبلغ]]&gt;0, TArticle[[#This Row],[کد وضعیت سند]]=1),TArticle[[#This Row],[مبلغ]],0)</f>
        <v>0</v>
      </c>
      <c r="X121" s="27">
        <f>IF(AND(TArticle[[#This Row],[مبلغ]]&lt;0,TArticle[[#This Row],[کد وضعیت سند]]=1),0-TArticle[[#This Row],[مبلغ]],0)</f>
        <v>3000</v>
      </c>
      <c r="Y121" s="27">
        <v>2</v>
      </c>
      <c r="Z121" t="str">
        <f>IF(TArticle[[#This Row],[کد بانک]]&gt;0,VLOOKUP(TArticle[[#This Row],[کد بانک]],TBank[],2,FALSE),"")</f>
        <v>ملی جاری</v>
      </c>
      <c r="AA121">
        <f>IF(AND(TArticle[[#This Row],[مبلغ]]&lt;0,TArticle[[#This Row],[کد وضعیت سند]]=1),0-TArticle[[#This Row],[مبلغ]],0)</f>
        <v>3000</v>
      </c>
      <c r="AB121">
        <f>IF(AND(TArticle[[#This Row],[مبلغ]]&gt;0, TArticle[[#This Row],[کد وضعیت سند]]=1),TArticle[[#This Row],[مبلغ]],0)</f>
        <v>0</v>
      </c>
      <c r="AC121" s="84">
        <f>IF(TArticle[[#This Row],[کد بانک]]&gt;0,VLOOKUP(TArticle[[#This Row],[کد بانک]],TBank[],9,FALSE)+SUMIF($Y$2:Y121,Y121,$E$2:$E121),"")</f>
        <v>4744</v>
      </c>
      <c r="AD121" s="1">
        <f>IFERROR(IF(INT(LEFT(TArticle[[#This Row],[شناسه]]))=3,IF(TArticle[[#This Row],[کد وضعیت سند]]=1,TArticle[مبلغ],0),0),0)</f>
        <v>0</v>
      </c>
      <c r="AE121" s="1">
        <f>IFERROR(IF(((TArticle[[#This Row],[شناسه]]))="4.1.1",IF(TArticle[[#This Row],[کد وضعیت سند]]=1,TArticle[مبلغ],0),0),0)</f>
        <v>0</v>
      </c>
      <c r="AF121" s="1">
        <f>IFERROR(IF(((TArticle[[#This Row],[شناسه]]))="4.1.2",IF(TArticle[[#This Row],[کد وضعیت سند]]=1,TArticle[مبلغ],0),0),0)</f>
        <v>0</v>
      </c>
      <c r="AG121" s="1">
        <f>IFERROR(IF(INT(LEFT(TArticle[[#This Row],[شناسه]]))=1,IF(TArticle[[#This Row],[کد وضعیت سند]]=1,TArticle[مبلغ],0),0),0)</f>
        <v>0</v>
      </c>
      <c r="AH121" s="1">
        <f>IFERROR(IF(INT(LEFT(TArticle[[#This Row],[شناسه]]))=2,IF(TArticle[[#This Row],[کد وضعیت سند]]=1,TArticle[مبلغ],0),0),0)</f>
        <v>0</v>
      </c>
      <c r="AI121" s="1">
        <f>IFERROR(IF((LEFT(TArticle[[#This Row],[شناسه]],3))="5.2",IF(TArticle[[#This Row],[کد وضعیت سند]]=1,TArticle[مبلغ],0),0),0)</f>
        <v>0</v>
      </c>
      <c r="AJ121" s="1">
        <f>IF(TArticle[[#This Row],[کد وضعیت سند]]=1,1,0)</f>
        <v>1</v>
      </c>
      <c r="AK121" s="1">
        <f>IF(AND(TArticle[[#This Row],[کد وضعیت سند]]&lt;&gt;1,TArticle[[#This Row],[مبلغ]]&lt;&gt;0),1,0)</f>
        <v>0</v>
      </c>
      <c r="AL121" s="51">
        <f>IF(TArticle[[#This Row],[کد بانک]]&gt;0,TArticle[[#This Row],[مانده بانک]]-VLOOKUP(TArticle[[#This Row],[کد بانک]],TBank[],7,FALSE),"")</f>
        <v>4744</v>
      </c>
      <c r="AM121" s="49" t="str">
        <f>LEFT(TArticle[[#This Row],[تاریخ]],7)</f>
        <v>1401-05</v>
      </c>
    </row>
    <row r="122" spans="1:39" hidden="1" x14ac:dyDescent="0.25">
      <c r="A122" s="24" t="s">
        <v>112</v>
      </c>
      <c r="B122" s="49" t="str">
        <f>VLOOKUP(TArticle[[#This Row],[شناسه]],TAccount[],2,TRUE)</f>
        <v>رسید دریافت/واریز</v>
      </c>
      <c r="C122" s="49" t="str">
        <f>VLOOKUP(TArticle[[#This Row],[تاریخ]],TDays[],7,FALSE)</f>
        <v>شنبه</v>
      </c>
      <c r="D122" s="21" t="s">
        <v>325</v>
      </c>
      <c r="E122" s="1">
        <v>3000</v>
      </c>
      <c r="F122" s="1">
        <f>TArticle[[#This Row],[مبلغ]]+IFERROR(INT(F121),30181+3667+958)</f>
        <v>23838</v>
      </c>
      <c r="G122" t="s">
        <v>1665</v>
      </c>
      <c r="K122" s="21">
        <v>1</v>
      </c>
      <c r="L122" t="str">
        <f>IF(TArticle[[#This Row],[کد وضعیت سند]]&gt;0,VLOOKUP(TArticle[[#This Row],[کد وضعیت سند]],TDocState[],2,FALSE),"")</f>
        <v>انجام شد</v>
      </c>
      <c r="N122" t="str">
        <f>IF(TArticle[[#This Row],[کد طرف حساب]]&gt;0,VLOOKUP(TArticle[[#This Row],[کد طرف حساب]],TContact[],2,FALSE),"")</f>
        <v/>
      </c>
      <c r="O122" s="61" t="str">
        <f>IF(TArticle[[#This Row],[کد طرف حساب]]&gt;0,VLOOKUP(TArticle[[#This Row],[کد طرف حساب]],TContact[],7,FALSE)-SUMIF($M$2:M122,M122,$E$2:$E122),"")</f>
        <v/>
      </c>
      <c r="P122" s="27" t="str">
        <f>RIGHT(TArticle[[#This Row],[تاریخ]],2)</f>
        <v>01</v>
      </c>
      <c r="Q122" s="27">
        <f>VLOOKUP(TArticle[[#This Row],[تاریخ]],TDays[],16,FALSE)</f>
        <v>19</v>
      </c>
      <c r="R122" s="27" t="str">
        <f>RIGHT(LEFT(TArticle[[#This Row],[تاریخ]],7),2)</f>
        <v>05</v>
      </c>
      <c r="S122" s="27" t="str">
        <f>LEFT(TArticle[[#This Row],[تاریخ]],4)</f>
        <v>1401</v>
      </c>
      <c r="U122" s="21">
        <f>VLOOKUP(TArticle[[#This Row],[شناسه]],TAccount[],7,TRUE)</f>
        <v>257767</v>
      </c>
      <c r="W122" s="21">
        <f>IF(AND(TArticle[[#This Row],[مبلغ]]&gt;0, TArticle[[#This Row],[کد وضعیت سند]]=1),TArticle[[#This Row],[مبلغ]],0)</f>
        <v>3000</v>
      </c>
      <c r="X122" s="27">
        <f>IF(AND(TArticle[[#This Row],[مبلغ]]&lt;0,TArticle[[#This Row],[کد وضعیت سند]]=1),0-TArticle[[#This Row],[مبلغ]],0)</f>
        <v>0</v>
      </c>
      <c r="Y122" s="27">
        <v>22</v>
      </c>
      <c r="Z122" t="str">
        <f>IF(TArticle[[#This Row],[کد بانک]]&gt;0,VLOOKUP(TArticle[[#This Row],[کد بانک]],TBank[],2,FALSE),"")</f>
        <v>بورس</v>
      </c>
      <c r="AA122">
        <f>IF(AND(TArticle[[#This Row],[مبلغ]]&lt;0,TArticle[[#This Row],[کد وضعیت سند]]=1),0-TArticle[[#This Row],[مبلغ]],0)</f>
        <v>0</v>
      </c>
      <c r="AB122">
        <f>IF(AND(TArticle[[#This Row],[مبلغ]]&gt;0, TArticle[[#This Row],[کد وضعیت سند]]=1),TArticle[[#This Row],[مبلغ]],0)</f>
        <v>3000</v>
      </c>
      <c r="AC122" s="84">
        <f>IF(TArticle[[#This Row],[کد بانک]]&gt;0,VLOOKUP(TArticle[[#This Row],[کد بانک]],TBank[],9,FALSE)+SUMIF($Y$2:Y122,Y122,$E$2:$E122),"")</f>
        <v>3000</v>
      </c>
      <c r="AD122" s="1">
        <f>IFERROR(IF(INT(LEFT(TArticle[[#This Row],[شناسه]]))=3,IF(TArticle[[#This Row],[کد وضعیت سند]]=1,TArticle[مبلغ],0),0),0)</f>
        <v>0</v>
      </c>
      <c r="AE122" s="1">
        <f>IFERROR(IF(((TArticle[[#This Row],[شناسه]]))="4.1.1",IF(TArticle[[#This Row],[کد وضعیت سند]]=1,TArticle[مبلغ],0),0),0)</f>
        <v>0</v>
      </c>
      <c r="AF122" s="1">
        <f>IFERROR(IF(((TArticle[[#This Row],[شناسه]]))="4.1.2",IF(TArticle[[#This Row],[کد وضعیت سند]]=1,TArticle[مبلغ],0),0),0)</f>
        <v>0</v>
      </c>
      <c r="AG122" s="1">
        <f>IFERROR(IF(INT(LEFT(TArticle[[#This Row],[شناسه]]))=1,IF(TArticle[[#This Row],[کد وضعیت سند]]=1,TArticle[مبلغ],0),0),0)</f>
        <v>0</v>
      </c>
      <c r="AH122" s="1">
        <f>IFERROR(IF(INT(LEFT(TArticle[[#This Row],[شناسه]]))=2,IF(TArticle[[#This Row],[کد وضعیت سند]]=1,TArticle[مبلغ],0),0),0)</f>
        <v>0</v>
      </c>
      <c r="AI122" s="1">
        <f>IFERROR(IF((LEFT(TArticle[[#This Row],[شناسه]],3))="5.2",IF(TArticle[[#This Row],[کد وضعیت سند]]=1,TArticle[مبلغ],0),0),0)</f>
        <v>0</v>
      </c>
      <c r="AJ122" s="1">
        <f>IF(TArticle[[#This Row],[کد وضعیت سند]]=1,1,0)</f>
        <v>1</v>
      </c>
      <c r="AK122" s="1">
        <f>IF(AND(TArticle[[#This Row],[کد وضعیت سند]]&lt;&gt;1,TArticle[[#This Row],[مبلغ]]&lt;&gt;0),1,0)</f>
        <v>0</v>
      </c>
      <c r="AL122" s="51">
        <f>IF(TArticle[[#This Row],[کد بانک]]&gt;0,TArticle[[#This Row],[مانده بانک]]-VLOOKUP(TArticle[[#This Row],[کد بانک]],TBank[],7,FALSE),"")</f>
        <v>3000</v>
      </c>
      <c r="AM122" s="49" t="str">
        <f>LEFT(TArticle[[#This Row],[تاریخ]],7)</f>
        <v>1401-05</v>
      </c>
    </row>
    <row r="123" spans="1:39" hidden="1" x14ac:dyDescent="0.25">
      <c r="A123" s="24" t="s">
        <v>78</v>
      </c>
      <c r="B123" s="49" t="str">
        <f>VLOOKUP(TArticle[[#This Row],[شناسه]],TAccount[],2,TRUE)</f>
        <v>چک</v>
      </c>
      <c r="C123" s="49" t="str">
        <f>VLOOKUP(TArticle[[#This Row],[تاریخ]],TDays[],7,FALSE)</f>
        <v>چهارشنبه</v>
      </c>
      <c r="D123" s="21" t="s">
        <v>329</v>
      </c>
      <c r="E123" s="1">
        <v>-5000</v>
      </c>
      <c r="F123" s="1">
        <f>TArticle[[#This Row],[مبلغ]]+IFERROR(INT(F122),30181+3667+958)</f>
        <v>18838</v>
      </c>
      <c r="G123" t="s">
        <v>1661</v>
      </c>
      <c r="K123" s="21">
        <v>1</v>
      </c>
      <c r="L123" t="str">
        <f>IF(TArticle[[#This Row],[کد وضعیت سند]]&gt;0,VLOOKUP(TArticle[[#This Row],[کد وضعیت سند]],TDocState[],2,FALSE),"")</f>
        <v>انجام شد</v>
      </c>
      <c r="M123" s="27">
        <v>2</v>
      </c>
      <c r="N123" t="str">
        <f>IF(TArticle[[#This Row],[کد طرف حساب]]&gt;0,VLOOKUP(TArticle[[#This Row],[کد طرف حساب]],TContact[],2,FALSE),"")</f>
        <v>حامد</v>
      </c>
      <c r="O123" s="61">
        <f>IF(TArticle[[#This Row],[کد طرف حساب]]&gt;0,VLOOKUP(TArticle[[#This Row],[کد طرف حساب]],TContact[],7,FALSE)-SUMIF($M$2:M123,M123,$E$2:$E123),"")</f>
        <v>-30000</v>
      </c>
      <c r="P123" s="27" t="str">
        <f>RIGHT(TArticle[[#This Row],[تاریخ]],2)</f>
        <v>05</v>
      </c>
      <c r="Q123" s="27">
        <f>VLOOKUP(TArticle[[#This Row],[تاریخ]],TDays[],16,FALSE)</f>
        <v>19</v>
      </c>
      <c r="R123" s="27" t="str">
        <f>RIGHT(LEFT(TArticle[[#This Row],[تاریخ]],7),2)</f>
        <v>05</v>
      </c>
      <c r="S123" s="27" t="str">
        <f>LEFT(TArticle[[#This Row],[تاریخ]],4)</f>
        <v>1401</v>
      </c>
      <c r="U123" s="21">
        <f>VLOOKUP(TArticle[[#This Row],[شناسه]],TAccount[],7,TRUE)</f>
        <v>57000</v>
      </c>
      <c r="W123" s="21">
        <f>IF(AND(TArticle[[#This Row],[مبلغ]]&gt;0, TArticle[[#This Row],[کد وضعیت سند]]=1),TArticle[[#This Row],[مبلغ]],0)</f>
        <v>0</v>
      </c>
      <c r="X123" s="27">
        <f>IF(AND(TArticle[[#This Row],[مبلغ]]&lt;0,TArticle[[#This Row],[کد وضعیت سند]]=1),0-TArticle[[#This Row],[مبلغ]],0)</f>
        <v>5000</v>
      </c>
      <c r="Y123" s="27">
        <v>4</v>
      </c>
      <c r="Z123" t="str">
        <f>IF(TArticle[[#This Row],[کد بانک]]&gt;0,VLOOKUP(TArticle[[#This Row],[کد بانک]],TBank[],2,FALSE),"")</f>
        <v>سپه</v>
      </c>
      <c r="AA123">
        <f>IF(AND(TArticle[[#This Row],[مبلغ]]&lt;0,TArticle[[#This Row],[کد وضعیت سند]]=1),0-TArticle[[#This Row],[مبلغ]],0)</f>
        <v>5000</v>
      </c>
      <c r="AB123">
        <f>IF(AND(TArticle[[#This Row],[مبلغ]]&gt;0, TArticle[[#This Row],[کد وضعیت سند]]=1),TArticle[[#This Row],[مبلغ]],0)</f>
        <v>0</v>
      </c>
      <c r="AC123" s="84">
        <f>IF(TArticle[[#This Row],[کد بانک]]&gt;0,VLOOKUP(TArticle[[#This Row],[کد بانک]],TBank[],9,FALSE)+SUMIF($Y$2:Y123,Y123,$E$2:$E123),"")</f>
        <v>9002</v>
      </c>
      <c r="AD123" s="1">
        <f>IFERROR(IF(INT(LEFT(TArticle[[#This Row],[شناسه]]))=3,IF(TArticle[[#This Row],[کد وضعیت سند]]=1,TArticle[مبلغ],0),0),0)</f>
        <v>0</v>
      </c>
      <c r="AE123" s="1">
        <f>IFERROR(IF(((TArticle[[#This Row],[شناسه]]))="4.1.1",IF(TArticle[[#This Row],[کد وضعیت سند]]=1,TArticle[مبلغ],0),0),0)</f>
        <v>0</v>
      </c>
      <c r="AF123" s="1">
        <f>IFERROR(IF(((TArticle[[#This Row],[شناسه]]))="4.1.2",IF(TArticle[[#This Row],[کد وضعیت سند]]=1,TArticle[مبلغ],0),0),0)</f>
        <v>0</v>
      </c>
      <c r="AG123" s="1">
        <f>IFERROR(IF(INT(LEFT(TArticle[[#This Row],[شناسه]]))=1,IF(TArticle[[#This Row],[کد وضعیت سند]]=1,TArticle[مبلغ],0),0),0)</f>
        <v>-5000</v>
      </c>
      <c r="AH123" s="1">
        <f>IFERROR(IF(INT(LEFT(TArticle[[#This Row],[شناسه]]))=2,IF(TArticle[[#This Row],[کد وضعیت سند]]=1,TArticle[مبلغ],0),0),0)</f>
        <v>0</v>
      </c>
      <c r="AI123" s="1">
        <f>IFERROR(IF((LEFT(TArticle[[#This Row],[شناسه]],3))="5.2",IF(TArticle[[#This Row],[کد وضعیت سند]]=1,TArticle[مبلغ],0),0),0)</f>
        <v>0</v>
      </c>
      <c r="AJ123" s="1">
        <f>IF(TArticle[[#This Row],[کد وضعیت سند]]=1,1,0)</f>
        <v>1</v>
      </c>
      <c r="AK123" s="1">
        <f>IF(AND(TArticle[[#This Row],[کد وضعیت سند]]&lt;&gt;1,TArticle[[#This Row],[مبلغ]]&lt;&gt;0),1,0)</f>
        <v>0</v>
      </c>
      <c r="AL123" s="51">
        <f>IF(TArticle[[#This Row],[کد بانک]]&gt;0,TArticle[[#This Row],[مانده بانک]]-VLOOKUP(TArticle[[#This Row],[کد بانک]],TBank[],7,FALSE),"")</f>
        <v>9000</v>
      </c>
      <c r="AM123" s="49" t="str">
        <f>LEFT(TArticle[[#This Row],[تاریخ]],7)</f>
        <v>1401-05</v>
      </c>
    </row>
    <row r="124" spans="1:39" hidden="1" x14ac:dyDescent="0.25">
      <c r="A124" s="24" t="s">
        <v>1008</v>
      </c>
      <c r="B124" s="49" t="str">
        <f>VLOOKUP(TArticle[[#This Row],[شناسه]],TAccount[],2,TRUE)</f>
        <v>حواله پرداخت/برداشت</v>
      </c>
      <c r="C124" s="49" t="str">
        <f>VLOOKUP(TArticle[[#This Row],[تاریخ]],TDays[],7,FALSE)</f>
        <v>جمعه</v>
      </c>
      <c r="D124" s="21" t="s">
        <v>331</v>
      </c>
      <c r="E124" s="1">
        <v>-4000</v>
      </c>
      <c r="F124" s="1">
        <f>TArticle[[#This Row],[مبلغ]]+IFERROR(INT(F123),30181+3667+958)</f>
        <v>14838</v>
      </c>
      <c r="K124" s="21">
        <v>1</v>
      </c>
      <c r="L124" t="str">
        <f>IF(TArticle[[#This Row],[کد وضعیت سند]]&gt;0,VLOOKUP(TArticle[[#This Row],[کد وضعیت سند]],TDocState[],2,FALSE),"")</f>
        <v>انجام شد</v>
      </c>
      <c r="M124" s="27">
        <v>100</v>
      </c>
      <c r="N124" t="str">
        <f>IF(TArticle[[#This Row],[کد طرف حساب]]&gt;0,VLOOKUP(TArticle[[#This Row],[کد طرف حساب]],TContact[],2,FALSE),"")</f>
        <v>مسدودی</v>
      </c>
      <c r="O124" s="61">
        <f>IF(TArticle[[#This Row],[کد طرف حساب]]&gt;0,VLOOKUP(TArticle[[#This Row],[کد طرف حساب]],TContact[],7,FALSE)-SUMIF($M$2:M124,M124,$E$2:$E124),"")</f>
        <v>4000</v>
      </c>
      <c r="P124" s="27" t="str">
        <f>RIGHT(TArticle[[#This Row],[تاریخ]],2)</f>
        <v>07</v>
      </c>
      <c r="Q124" s="27">
        <f>VLOOKUP(TArticle[[#This Row],[تاریخ]],TDays[],16,FALSE)</f>
        <v>19</v>
      </c>
      <c r="R124" s="27" t="str">
        <f>RIGHT(LEFT(TArticle[[#This Row],[تاریخ]],7),2)</f>
        <v>05</v>
      </c>
      <c r="S124" s="27" t="str">
        <f>LEFT(TArticle[[#This Row],[تاریخ]],4)</f>
        <v>1401</v>
      </c>
      <c r="U124" s="21">
        <f>VLOOKUP(TArticle[[#This Row],[شناسه]],TAccount[],7,TRUE)</f>
        <v>179525</v>
      </c>
      <c r="W124" s="21">
        <f>IF(AND(TArticle[[#This Row],[مبلغ]]&gt;0, TArticle[[#This Row],[کد وضعیت سند]]=1),TArticle[[#This Row],[مبلغ]],0)</f>
        <v>0</v>
      </c>
      <c r="X124" s="27">
        <f>IF(AND(TArticle[[#This Row],[مبلغ]]&lt;0,TArticle[[#This Row],[کد وضعیت سند]]=1),0-TArticle[[#This Row],[مبلغ]],0)</f>
        <v>4000</v>
      </c>
      <c r="Y124" s="27">
        <v>4</v>
      </c>
      <c r="Z124" t="str">
        <f>IF(TArticle[[#This Row],[کد بانک]]&gt;0,VLOOKUP(TArticle[[#This Row],[کد بانک]],TBank[],2,FALSE),"")</f>
        <v>سپه</v>
      </c>
      <c r="AA124">
        <f>IF(AND(TArticle[[#This Row],[مبلغ]]&lt;0,TArticle[[#This Row],[کد وضعیت سند]]=1),0-TArticle[[#This Row],[مبلغ]],0)</f>
        <v>4000</v>
      </c>
      <c r="AB124">
        <f>IF(AND(TArticle[[#This Row],[مبلغ]]&gt;0, TArticle[[#This Row],[کد وضعیت سند]]=1),TArticle[[#This Row],[مبلغ]],0)</f>
        <v>0</v>
      </c>
      <c r="AC124" s="84">
        <f>IF(TArticle[[#This Row],[کد بانک]]&gt;0,VLOOKUP(TArticle[[#This Row],[کد بانک]],TBank[],9,FALSE)+SUMIF($Y$2:Y124,Y124,$E$2:$E124),"")</f>
        <v>5002</v>
      </c>
      <c r="AD124" s="1">
        <f>IFERROR(IF(INT(LEFT(TArticle[[#This Row],[شناسه]]))=3,IF(TArticle[[#This Row],[کد وضعیت سند]]=1,TArticle[مبلغ],0),0),0)</f>
        <v>0</v>
      </c>
      <c r="AE124" s="1">
        <f>IFERROR(IF(((TArticle[[#This Row],[شناسه]]))="4.1.1",IF(TArticle[[#This Row],[کد وضعیت سند]]=1,TArticle[مبلغ],0),0),0)</f>
        <v>0</v>
      </c>
      <c r="AF124" s="1">
        <f>IFERROR(IF(((TArticle[[#This Row],[شناسه]]))="4.1.2",IF(TArticle[[#This Row],[کد وضعیت سند]]=1,TArticle[مبلغ],0),0),0)</f>
        <v>0</v>
      </c>
      <c r="AG124" s="1">
        <f>IFERROR(IF(INT(LEFT(TArticle[[#This Row],[شناسه]]))=1,IF(TArticle[[#This Row],[کد وضعیت سند]]=1,TArticle[مبلغ],0),0),0)</f>
        <v>0</v>
      </c>
      <c r="AH124" s="1">
        <f>IFERROR(IF(INT(LEFT(TArticle[[#This Row],[شناسه]]))=2,IF(TArticle[[#This Row],[کد وضعیت سند]]=1,TArticle[مبلغ],0),0),0)</f>
        <v>0</v>
      </c>
      <c r="AI124" s="1">
        <f>IFERROR(IF((LEFT(TArticle[[#This Row],[شناسه]],3))="5.2",IF(TArticle[[#This Row],[کد وضعیت سند]]=1,TArticle[مبلغ],0),0),0)</f>
        <v>0</v>
      </c>
      <c r="AJ124" s="1">
        <f>IF(TArticle[[#This Row],[کد وضعیت سند]]=1,1,0)</f>
        <v>1</v>
      </c>
      <c r="AK124" s="1">
        <f>IF(AND(TArticle[[#This Row],[کد وضعیت سند]]&lt;&gt;1,TArticle[[#This Row],[مبلغ]]&lt;&gt;0),1,0)</f>
        <v>0</v>
      </c>
      <c r="AL124" s="51">
        <f>IF(TArticle[[#This Row],[کد بانک]]&gt;0,TArticle[[#This Row],[مانده بانک]]-VLOOKUP(TArticle[[#This Row],[کد بانک]],TBank[],7,FALSE),"")</f>
        <v>5000</v>
      </c>
      <c r="AM124" s="49" t="str">
        <f>LEFT(TArticle[[#This Row],[تاریخ]],7)</f>
        <v>1401-05</v>
      </c>
    </row>
    <row r="125" spans="1:39" hidden="1" x14ac:dyDescent="0.25">
      <c r="A125" s="24" t="s">
        <v>41</v>
      </c>
      <c r="B125" s="49" t="str">
        <f>VLOOKUP(TArticle[[#This Row],[شناسه]],TAccount[],2,TRUE)</f>
        <v>قرعه هجده (43)</v>
      </c>
      <c r="C125" s="49" t="str">
        <f>VLOOKUP(TArticle[[#This Row],[تاریخ]],TDays[],7,FALSE)</f>
        <v>جمعه</v>
      </c>
      <c r="D125" s="21" t="s">
        <v>62</v>
      </c>
      <c r="E125" s="1">
        <v>-350</v>
      </c>
      <c r="F125" s="1">
        <f>TArticle[[#This Row],[مبلغ]]+IFERROR(INT(F124),30181+3667+958)</f>
        <v>14488</v>
      </c>
      <c r="H125" s="21">
        <v>40</v>
      </c>
      <c r="K125" s="21">
        <v>1</v>
      </c>
      <c r="L125" t="str">
        <f>IF(TArticle[[#This Row],[کد وضعیت سند]]&gt;0,VLOOKUP(TArticle[[#This Row],[کد وضعیت سند]],TDocState[],2,FALSE),"")</f>
        <v>انجام شد</v>
      </c>
      <c r="M125" s="27">
        <v>103</v>
      </c>
      <c r="N125" t="str">
        <f>IF(TArticle[[#This Row],[کد طرف حساب]]&gt;0,VLOOKUP(TArticle[[#This Row],[کد طرف حساب]],TContact[],2,FALSE),"")</f>
        <v>قرعه 18م (43)</v>
      </c>
      <c r="O125" s="51">
        <f>IF(TArticle[[#This Row],[کد طرف حساب]]&gt;0,VLOOKUP(TArticle[[#This Row],[کد طرف حساب]],TContact[],7,FALSE)-SUMIF($M$2:M125,M125,$E$2:$E125),"")</f>
        <v>14350</v>
      </c>
      <c r="P125" s="27" t="str">
        <f>RIGHT(TArticle[[#This Row],[تاریخ]],2)</f>
        <v>14</v>
      </c>
      <c r="Q125" s="27">
        <f>VLOOKUP(TArticle[[#This Row],[تاریخ]],TDays[],16,FALSE)</f>
        <v>20</v>
      </c>
      <c r="R125" s="27" t="str">
        <f>RIGHT(LEFT(TArticle[[#This Row],[تاریخ]],7),2)</f>
        <v>05</v>
      </c>
      <c r="S125" s="27" t="str">
        <f>LEFT(TArticle[[#This Row],[تاریخ]],4)</f>
        <v>1401</v>
      </c>
      <c r="U125" s="21">
        <f>VLOOKUP(TArticle[[#This Row],[شناسه]],TAccount[],7,TRUE)</f>
        <v>4200</v>
      </c>
      <c r="V125" s="21" t="s">
        <v>62</v>
      </c>
      <c r="W125" s="21">
        <f>IF(AND(TArticle[[#This Row],[مبلغ]]&gt;0, TArticle[[#This Row],[کد وضعیت سند]]=1),TArticle[[#This Row],[مبلغ]],0)</f>
        <v>0</v>
      </c>
      <c r="X125" s="21">
        <f>IF(AND(TArticle[[#This Row],[مبلغ]]&lt;0,TArticle[[#This Row],[کد وضعیت سند]]=1),0-TArticle[[#This Row],[مبلغ]],0)</f>
        <v>350</v>
      </c>
      <c r="Y125" s="27">
        <v>2</v>
      </c>
      <c r="Z125" t="str">
        <f>IF(TArticle[[#This Row],[کد بانک]]&gt;0,VLOOKUP(TArticle[[#This Row],[کد بانک]],TBank[],2,FALSE),"")</f>
        <v>ملی جاری</v>
      </c>
      <c r="AA125">
        <f>IF(AND(TArticle[[#This Row],[مبلغ]]&lt;0,TArticle[[#This Row],[کد وضعیت سند]]=1),0-TArticle[[#This Row],[مبلغ]],0)</f>
        <v>350</v>
      </c>
      <c r="AB125">
        <f>IF(AND(TArticle[[#This Row],[مبلغ]]&gt;0, TArticle[[#This Row],[کد وضعیت سند]]=1),TArticle[[#This Row],[مبلغ]],0)</f>
        <v>0</v>
      </c>
      <c r="AC125" s="84">
        <f>IF(TArticle[[#This Row],[کد بانک]]&gt;0,VLOOKUP(TArticle[[#This Row],[کد بانک]],TBank[],9,FALSE)+SUMIF($Y$2:Y125,Y125,$E$2:$E125),"")</f>
        <v>4394</v>
      </c>
      <c r="AD125" s="1">
        <f>IFERROR(IF(INT(LEFT(TArticle[[#This Row],[شناسه]]))=3,IF(TArticle[[#This Row],[کد وضعیت سند]]=1,TArticle[مبلغ],0),0),0)</f>
        <v>0</v>
      </c>
      <c r="AE125" s="1">
        <f>IFERROR(IF(((TArticle[[#This Row],[شناسه]]))="4.1.1",IF(TArticle[[#This Row],[کد وضعیت سند]]=1,TArticle[مبلغ],0),0),0)</f>
        <v>0</v>
      </c>
      <c r="AF125" s="1">
        <f>IFERROR(IF(((TArticle[[#This Row],[شناسه]]))="4.1.2",IF(TArticle[[#This Row],[کد وضعیت سند]]=1,TArticle[مبلغ],0),0),0)</f>
        <v>0</v>
      </c>
      <c r="AG125" s="1">
        <f>IFERROR(IF(INT(LEFT(TArticle[[#This Row],[شناسه]]))=1,IF(TArticle[[#This Row],[کد وضعیت سند]]=1,TArticle[مبلغ],0),0),0)</f>
        <v>0</v>
      </c>
      <c r="AH125" s="1">
        <f>IFERROR(IF(INT(LEFT(TArticle[[#This Row],[شناسه]]))=2,IF(TArticle[[#This Row],[کد وضعیت سند]]=1,TArticle[مبلغ],0),0),0)</f>
        <v>-350</v>
      </c>
      <c r="AI125" s="1">
        <f>IFERROR(IF((LEFT(TArticle[[#This Row],[شناسه]],3))="5.2",IF(TArticle[[#This Row],[کد وضعیت سند]]=1,TArticle[مبلغ],0),0),0)</f>
        <v>0</v>
      </c>
      <c r="AJ125" s="1">
        <f>IF(TArticle[[#This Row],[کد وضعیت سند]]=1,1,0)</f>
        <v>1</v>
      </c>
      <c r="AK125" s="1">
        <f>IF(AND(TArticle[[#This Row],[کد وضعیت سند]]&lt;&gt;1,TArticle[[#This Row],[مبلغ]]&lt;&gt;0),1,0)</f>
        <v>0</v>
      </c>
      <c r="AL125" s="51">
        <f>IF(TArticle[[#This Row],[کد بانک]]&gt;0,TArticle[[#This Row],[مانده بانک]]-VLOOKUP(TArticle[[#This Row],[کد بانک]],TBank[],7,FALSE),"")</f>
        <v>4394</v>
      </c>
      <c r="AM125" s="58" t="str">
        <f>LEFT(TArticle[[#This Row],[تاریخ]],7)</f>
        <v>1401-05</v>
      </c>
    </row>
    <row r="126" spans="1:39" hidden="1" x14ac:dyDescent="0.25">
      <c r="A126" s="24" t="s">
        <v>55</v>
      </c>
      <c r="B126" s="49" t="str">
        <f>VLOOKUP(TArticle[[#This Row],[شناسه]],TAccount[],2,TRUE)</f>
        <v>هزینه کلی</v>
      </c>
      <c r="C126" s="49" t="str">
        <f>VLOOKUP(TArticle[[#This Row],[تاریخ]],TDays[],7,FALSE)</f>
        <v>پنجشنبه</v>
      </c>
      <c r="D126" s="21" t="s">
        <v>343</v>
      </c>
      <c r="E126" s="1">
        <v>-1000</v>
      </c>
      <c r="F126" s="1">
        <f>TArticle[[#This Row],[مبلغ]]+IFERROR(INT(F125),30181+3667+958)</f>
        <v>13488</v>
      </c>
      <c r="K126" s="21">
        <v>1</v>
      </c>
      <c r="L126" t="str">
        <f>IF(TArticle[[#This Row],[کد وضعیت سند]]&gt;0,VLOOKUP(TArticle[[#This Row],[کد وضعیت سند]],TDocState[],2,FALSE),"")</f>
        <v>انجام شد</v>
      </c>
      <c r="N126" t="str">
        <f>IF(TArticle[[#This Row],[کد طرف حساب]]&gt;0,VLOOKUP(TArticle[[#This Row],[کد طرف حساب]],TContact[],2,FALSE),"")</f>
        <v/>
      </c>
      <c r="O126" s="61" t="str">
        <f>IF(TArticle[[#This Row],[کد طرف حساب]]&gt;0,VLOOKUP(TArticle[[#This Row],[کد طرف حساب]],TContact[],7,FALSE)-SUMIF($M$2:M126,M126,$E$2:$E126),"")</f>
        <v/>
      </c>
      <c r="P126" s="27" t="str">
        <f>RIGHT(TArticle[[#This Row],[تاریخ]],2)</f>
        <v>20</v>
      </c>
      <c r="Q126" s="27">
        <f>VLOOKUP(TArticle[[#This Row],[تاریخ]],TDays[],16,FALSE)</f>
        <v>21</v>
      </c>
      <c r="R126" s="27" t="str">
        <f>RIGHT(LEFT(TArticle[[#This Row],[تاریخ]],7),2)</f>
        <v>05</v>
      </c>
      <c r="S126" s="27" t="str">
        <f>LEFT(TArticle[[#This Row],[تاریخ]],4)</f>
        <v>1401</v>
      </c>
      <c r="U126" s="21">
        <f>VLOOKUP(TArticle[[#This Row],[شناسه]],TAccount[],7,TRUE)</f>
        <v>364074</v>
      </c>
      <c r="W126" s="21">
        <f>IF(AND(TArticle[[#This Row],[مبلغ]]&gt;0, TArticle[[#This Row],[کد وضعیت سند]]=1),TArticle[[#This Row],[مبلغ]],0)</f>
        <v>0</v>
      </c>
      <c r="X126" s="27">
        <f>IF(AND(TArticle[[#This Row],[مبلغ]]&lt;0,TArticle[[#This Row],[کد وضعیت سند]]=1),0-TArticle[[#This Row],[مبلغ]],0)</f>
        <v>1000</v>
      </c>
      <c r="Y126" s="27">
        <v>30</v>
      </c>
      <c r="Z126" t="str">
        <f>IF(TArticle[[#This Row],[کد بانک]]&gt;0,VLOOKUP(TArticle[[#This Row],[کد بانک]],TBank[],2,FALSE),"")</f>
        <v>بن کارت</v>
      </c>
      <c r="AA126">
        <f>IF(AND(TArticle[[#This Row],[مبلغ]]&lt;0,TArticle[[#This Row],[کد وضعیت سند]]=1),0-TArticle[[#This Row],[مبلغ]],0)</f>
        <v>1000</v>
      </c>
      <c r="AB126">
        <f>IF(AND(TArticle[[#This Row],[مبلغ]]&gt;0, TArticle[[#This Row],[کد وضعیت سند]]=1),TArticle[[#This Row],[مبلغ]],0)</f>
        <v>0</v>
      </c>
      <c r="AC126" s="84">
        <f>IF(TArticle[[#This Row],[کد بانک]]&gt;0,VLOOKUP(TArticle[[#This Row],[کد بانک]],TBank[],9,FALSE)+SUMIF($Y$2:Y126,Y126,$E$2:$E126),"")</f>
        <v>0</v>
      </c>
      <c r="AD126" s="1">
        <f>IFERROR(IF(INT(LEFT(TArticle[[#This Row],[شناسه]]))=3,IF(TArticle[[#This Row],[کد وضعیت سند]]=1,TArticle[مبلغ],0),0),0)</f>
        <v>-1000</v>
      </c>
      <c r="AE126" s="1">
        <f>IFERROR(IF(((TArticle[[#This Row],[شناسه]]))="4.1.1",IF(TArticle[[#This Row],[کد وضعیت سند]]=1,TArticle[مبلغ],0),0),0)</f>
        <v>0</v>
      </c>
      <c r="AF126" s="1">
        <f>IFERROR(IF(((TArticle[[#This Row],[شناسه]]))="4.1.2",IF(TArticle[[#This Row],[کد وضعیت سند]]=1,TArticle[مبلغ],0),0),0)</f>
        <v>0</v>
      </c>
      <c r="AG126" s="1">
        <f>IFERROR(IF(INT(LEFT(TArticle[[#This Row],[شناسه]]))=1,IF(TArticle[[#This Row],[کد وضعیت سند]]=1,TArticle[مبلغ],0),0),0)</f>
        <v>0</v>
      </c>
      <c r="AH126" s="1">
        <f>IFERROR(IF(INT(LEFT(TArticle[[#This Row],[شناسه]]))=2,IF(TArticle[[#This Row],[کد وضعیت سند]]=1,TArticle[مبلغ],0),0),0)</f>
        <v>0</v>
      </c>
      <c r="AI126" s="1">
        <f>IFERROR(IF((LEFT(TArticle[[#This Row],[شناسه]],3))="5.2",IF(TArticle[[#This Row],[کد وضعیت سند]]=1,TArticle[مبلغ],0),0),0)</f>
        <v>0</v>
      </c>
      <c r="AJ126" s="1">
        <f>IF(TArticle[[#This Row],[کد وضعیت سند]]=1,1,0)</f>
        <v>1</v>
      </c>
      <c r="AK126" s="1">
        <f>IF(AND(TArticle[[#This Row],[کد وضعیت سند]]&lt;&gt;1,TArticle[[#This Row],[مبلغ]]&lt;&gt;0),1,0)</f>
        <v>0</v>
      </c>
      <c r="AL126" s="51">
        <f>IF(TArticle[[#This Row],[کد بانک]]&gt;0,TArticle[[#This Row],[مانده بانک]]-VLOOKUP(TArticle[[#This Row],[کد بانک]],TBank[],7,FALSE),"")</f>
        <v>0</v>
      </c>
      <c r="AM126" s="49" t="str">
        <f>LEFT(TArticle[[#This Row],[تاریخ]],7)</f>
        <v>1401-05</v>
      </c>
    </row>
    <row r="127" spans="1:39" hidden="1" x14ac:dyDescent="0.25">
      <c r="A127" s="24" t="s">
        <v>55</v>
      </c>
      <c r="B127" s="49" t="str">
        <f>VLOOKUP(TArticle[[#This Row],[شناسه]],TAccount[],2,TRUE)</f>
        <v>هزینه کلی</v>
      </c>
      <c r="C127" s="49" t="str">
        <f>VLOOKUP(TArticle[[#This Row],[تاریخ]],TDays[],7,FALSE)</f>
        <v>پنجشنبه</v>
      </c>
      <c r="D127" s="21" t="s">
        <v>343</v>
      </c>
      <c r="E127" s="1">
        <v>-4388</v>
      </c>
      <c r="F127" s="1">
        <f>TArticle[[#This Row],[مبلغ]]+IFERROR(INT(F126),30181+3667+958)</f>
        <v>9100</v>
      </c>
      <c r="K127" s="21">
        <v>1</v>
      </c>
      <c r="L127" t="str">
        <f>IF(TArticle[[#This Row],[کد وضعیت سند]]&gt;0,VLOOKUP(TArticle[[#This Row],[کد وضعیت سند]],TDocState[],2,FALSE),"")</f>
        <v>انجام شد</v>
      </c>
      <c r="N127" t="str">
        <f>IF(TArticle[[#This Row],[کد طرف حساب]]&gt;0,VLOOKUP(TArticle[[#This Row],[کد طرف حساب]],TContact[],2,FALSE),"")</f>
        <v/>
      </c>
      <c r="O127" s="61" t="str">
        <f>IF(TArticle[[#This Row],[کد طرف حساب]]&gt;0,VLOOKUP(TArticle[[#This Row],[کد طرف حساب]],TContact[],7,FALSE)-SUMIF($M$2:M127,M127,$E$2:$E127),"")</f>
        <v/>
      </c>
      <c r="P127" s="27" t="str">
        <f>RIGHT(TArticle[[#This Row],[تاریخ]],2)</f>
        <v>20</v>
      </c>
      <c r="Q127" s="27">
        <f>VLOOKUP(TArticle[[#This Row],[تاریخ]],TDays[],16,FALSE)</f>
        <v>21</v>
      </c>
      <c r="R127" s="27" t="str">
        <f>RIGHT(LEFT(TArticle[[#This Row],[تاریخ]],7),2)</f>
        <v>05</v>
      </c>
      <c r="S127" s="27" t="str">
        <f>LEFT(TArticle[[#This Row],[تاریخ]],4)</f>
        <v>1401</v>
      </c>
      <c r="U127" s="21">
        <f>VLOOKUP(TArticle[[#This Row],[شناسه]],TAccount[],7,TRUE)</f>
        <v>364074</v>
      </c>
      <c r="W127" s="21">
        <f>IF(AND(TArticle[[#This Row],[مبلغ]]&gt;0, TArticle[[#This Row],[کد وضعیت سند]]=1),TArticle[[#This Row],[مبلغ]],0)</f>
        <v>0</v>
      </c>
      <c r="X127" s="27">
        <f>IF(AND(TArticle[[#This Row],[مبلغ]]&lt;0,TArticle[[#This Row],[کد وضعیت سند]]=1),0-TArticle[[#This Row],[مبلغ]],0)</f>
        <v>4388</v>
      </c>
      <c r="Y127" s="27">
        <v>2</v>
      </c>
      <c r="Z127" t="str">
        <f>IF(TArticle[[#This Row],[کد بانک]]&gt;0,VLOOKUP(TArticle[[#This Row],[کد بانک]],TBank[],2,FALSE),"")</f>
        <v>ملی جاری</v>
      </c>
      <c r="AA127">
        <f>IF(AND(TArticle[[#This Row],[مبلغ]]&lt;0,TArticle[[#This Row],[کد وضعیت سند]]=1),0-TArticle[[#This Row],[مبلغ]],0)</f>
        <v>4388</v>
      </c>
      <c r="AB127">
        <f>IF(AND(TArticle[[#This Row],[مبلغ]]&gt;0, TArticle[[#This Row],[کد وضعیت سند]]=1),TArticle[[#This Row],[مبلغ]],0)</f>
        <v>0</v>
      </c>
      <c r="AC127" s="84">
        <f>IF(TArticle[[#This Row],[کد بانک]]&gt;0,VLOOKUP(TArticle[[#This Row],[کد بانک]],TBank[],9,FALSE)+SUMIF($Y$2:Y127,Y127,$E$2:$E127),"")</f>
        <v>6</v>
      </c>
      <c r="AD127" s="1">
        <f>IFERROR(IF(INT(LEFT(TArticle[[#This Row],[شناسه]]))=3,IF(TArticle[[#This Row],[کد وضعیت سند]]=1,TArticle[مبلغ],0),0),0)</f>
        <v>-4388</v>
      </c>
      <c r="AE127" s="1">
        <f>IFERROR(IF(((TArticle[[#This Row],[شناسه]]))="4.1.1",IF(TArticle[[#This Row],[کد وضعیت سند]]=1,TArticle[مبلغ],0),0),0)</f>
        <v>0</v>
      </c>
      <c r="AF127" s="1">
        <f>IFERROR(IF(((TArticle[[#This Row],[شناسه]]))="4.1.2",IF(TArticle[[#This Row],[کد وضعیت سند]]=1,TArticle[مبلغ],0),0),0)</f>
        <v>0</v>
      </c>
      <c r="AG127" s="1">
        <f>IFERROR(IF(INT(LEFT(TArticle[[#This Row],[شناسه]]))=1,IF(TArticle[[#This Row],[کد وضعیت سند]]=1,TArticle[مبلغ],0),0),0)</f>
        <v>0</v>
      </c>
      <c r="AH127" s="1">
        <f>IFERROR(IF(INT(LEFT(TArticle[[#This Row],[شناسه]]))=2,IF(TArticle[[#This Row],[کد وضعیت سند]]=1,TArticle[مبلغ],0),0),0)</f>
        <v>0</v>
      </c>
      <c r="AI127" s="1">
        <f>IFERROR(IF((LEFT(TArticle[[#This Row],[شناسه]],3))="5.2",IF(TArticle[[#This Row],[کد وضعیت سند]]=1,TArticle[مبلغ],0),0),0)</f>
        <v>0</v>
      </c>
      <c r="AJ127" s="1">
        <f>IF(TArticle[[#This Row],[کد وضعیت سند]]=1,1,0)</f>
        <v>1</v>
      </c>
      <c r="AK127" s="1">
        <f>IF(AND(TArticle[[#This Row],[کد وضعیت سند]]&lt;&gt;1,TArticle[[#This Row],[مبلغ]]&lt;&gt;0),1,0)</f>
        <v>0</v>
      </c>
      <c r="AL127" s="51">
        <f>IF(TArticle[[#This Row],[کد بانک]]&gt;0,TArticle[[#This Row],[مانده بانک]]-VLOOKUP(TArticle[[#This Row],[کد بانک]],TBank[],7,FALSE),"")</f>
        <v>6</v>
      </c>
      <c r="AM127" s="49" t="str">
        <f>LEFT(TArticle[[#This Row],[تاریخ]],7)</f>
        <v>1401-05</v>
      </c>
    </row>
    <row r="128" spans="1:39" hidden="1" x14ac:dyDescent="0.25">
      <c r="A128" s="24" t="s">
        <v>55</v>
      </c>
      <c r="B128" s="49" t="str">
        <f>VLOOKUP(TArticle[[#This Row],[شناسه]],TAccount[],2,TRUE)</f>
        <v>هزینه کلی</v>
      </c>
      <c r="C128" s="49" t="str">
        <f>VLOOKUP(TArticle[[#This Row],[تاریخ]],TDays[],7,FALSE)</f>
        <v>پنجشنبه</v>
      </c>
      <c r="D128" s="21" t="s">
        <v>343</v>
      </c>
      <c r="E128" s="1">
        <f>4661-5002</f>
        <v>-341</v>
      </c>
      <c r="F128" s="1">
        <f>TArticle[[#This Row],[مبلغ]]+IFERROR(INT(F127),30181+3667+958)</f>
        <v>8759</v>
      </c>
      <c r="K128" s="21">
        <v>1</v>
      </c>
      <c r="L128" t="str">
        <f>IF(TArticle[[#This Row],[کد وضعیت سند]]&gt;0,VLOOKUP(TArticle[[#This Row],[کد وضعیت سند]],TDocState[],2,FALSE),"")</f>
        <v>انجام شد</v>
      </c>
      <c r="N128" t="str">
        <f>IF(TArticle[[#This Row],[کد طرف حساب]]&gt;0,VLOOKUP(TArticle[[#This Row],[کد طرف حساب]],TContact[],2,FALSE),"")</f>
        <v/>
      </c>
      <c r="O128" s="61" t="str">
        <f>IF(TArticle[[#This Row],[کد طرف حساب]]&gt;0,VLOOKUP(TArticle[[#This Row],[کد طرف حساب]],TContact[],7,FALSE)-SUMIF($M$2:M128,M128,$E$2:$E128),"")</f>
        <v/>
      </c>
      <c r="P128" s="27" t="str">
        <f>RIGHT(TArticle[[#This Row],[تاریخ]],2)</f>
        <v>20</v>
      </c>
      <c r="Q128" s="27">
        <f>VLOOKUP(TArticle[[#This Row],[تاریخ]],TDays[],16,FALSE)</f>
        <v>21</v>
      </c>
      <c r="R128" s="27" t="str">
        <f>RIGHT(LEFT(TArticle[[#This Row],[تاریخ]],7),2)</f>
        <v>05</v>
      </c>
      <c r="S128" s="27" t="str">
        <f>LEFT(TArticle[[#This Row],[تاریخ]],4)</f>
        <v>1401</v>
      </c>
      <c r="U128" s="21">
        <f>VLOOKUP(TArticle[[#This Row],[شناسه]],TAccount[],7,TRUE)</f>
        <v>364074</v>
      </c>
      <c r="W128" s="21">
        <f>IF(AND(TArticle[[#This Row],[مبلغ]]&gt;0, TArticle[[#This Row],[کد وضعیت سند]]=1),TArticle[[#This Row],[مبلغ]],0)</f>
        <v>0</v>
      </c>
      <c r="X128" s="27">
        <f>IF(AND(TArticle[[#This Row],[مبلغ]]&lt;0,TArticle[[#This Row],[کد وضعیت سند]]=1),0-TArticle[[#This Row],[مبلغ]],0)</f>
        <v>341</v>
      </c>
      <c r="Y128" s="27">
        <v>4</v>
      </c>
      <c r="Z128" t="str">
        <f>IF(TArticle[[#This Row],[کد بانک]]&gt;0,VLOOKUP(TArticle[[#This Row],[کد بانک]],TBank[],2,FALSE),"")</f>
        <v>سپه</v>
      </c>
      <c r="AA128">
        <f>IF(AND(TArticle[[#This Row],[مبلغ]]&lt;0,TArticle[[#This Row],[کد وضعیت سند]]=1),0-TArticle[[#This Row],[مبلغ]],0)</f>
        <v>341</v>
      </c>
      <c r="AB128">
        <f>IF(AND(TArticle[[#This Row],[مبلغ]]&gt;0, TArticle[[#This Row],[کد وضعیت سند]]=1),TArticle[[#This Row],[مبلغ]],0)</f>
        <v>0</v>
      </c>
      <c r="AC128" s="84">
        <f>IF(TArticle[[#This Row],[کد بانک]]&gt;0,VLOOKUP(TArticle[[#This Row],[کد بانک]],TBank[],9,FALSE)+SUMIF($Y$2:Y128,Y128,$E$2:$E128),"")</f>
        <v>4661</v>
      </c>
      <c r="AD128" s="1">
        <f>IFERROR(IF(INT(LEFT(TArticle[[#This Row],[شناسه]]))=3,IF(TArticle[[#This Row],[کد وضعیت سند]]=1,TArticle[مبلغ],0),0),0)</f>
        <v>-341</v>
      </c>
      <c r="AE128" s="1">
        <f>IFERROR(IF(((TArticle[[#This Row],[شناسه]]))="4.1.1",IF(TArticle[[#This Row],[کد وضعیت سند]]=1,TArticle[مبلغ],0),0),0)</f>
        <v>0</v>
      </c>
      <c r="AF128" s="1">
        <f>IFERROR(IF(((TArticle[[#This Row],[شناسه]]))="4.1.2",IF(TArticle[[#This Row],[کد وضعیت سند]]=1,TArticle[مبلغ],0),0),0)</f>
        <v>0</v>
      </c>
      <c r="AG128" s="1">
        <f>IFERROR(IF(INT(LEFT(TArticle[[#This Row],[شناسه]]))=1,IF(TArticle[[#This Row],[کد وضعیت سند]]=1,TArticle[مبلغ],0),0),0)</f>
        <v>0</v>
      </c>
      <c r="AH128" s="1">
        <f>IFERROR(IF(INT(LEFT(TArticle[[#This Row],[شناسه]]))=2,IF(TArticle[[#This Row],[کد وضعیت سند]]=1,TArticle[مبلغ],0),0),0)</f>
        <v>0</v>
      </c>
      <c r="AI128" s="1">
        <f>IFERROR(IF((LEFT(TArticle[[#This Row],[شناسه]],3))="5.2",IF(TArticle[[#This Row],[کد وضعیت سند]]=1,TArticle[مبلغ],0),0),0)</f>
        <v>0</v>
      </c>
      <c r="AJ128" s="1">
        <f>IF(TArticle[[#This Row],[کد وضعیت سند]]=1,1,0)</f>
        <v>1</v>
      </c>
      <c r="AK128" s="1">
        <f>IF(AND(TArticle[[#This Row],[کد وضعیت سند]]&lt;&gt;1,TArticle[[#This Row],[مبلغ]]&lt;&gt;0),1,0)</f>
        <v>0</v>
      </c>
      <c r="AL128" s="51">
        <f>IF(TArticle[[#This Row],[کد بانک]]&gt;0,TArticle[[#This Row],[مانده بانک]]-VLOOKUP(TArticle[[#This Row],[کد بانک]],TBank[],7,FALSE),"")</f>
        <v>4659</v>
      </c>
      <c r="AM128" s="49" t="str">
        <f>LEFT(TArticle[[#This Row],[تاریخ]],7)</f>
        <v>1401-05</v>
      </c>
    </row>
    <row r="129" spans="1:39" hidden="1" x14ac:dyDescent="0.25">
      <c r="A129" s="24" t="s">
        <v>55</v>
      </c>
      <c r="B129" s="49" t="str">
        <f>VLOOKUP(TArticle[[#This Row],[شناسه]],TAccount[],2,TRUE)</f>
        <v>هزینه کلی</v>
      </c>
      <c r="C129" s="49" t="str">
        <f>VLOOKUP(TArticle[[#This Row],[تاریخ]],TDays[],7,FALSE)</f>
        <v>پنجشنبه</v>
      </c>
      <c r="D129" s="21" t="s">
        <v>343</v>
      </c>
      <c r="E129" s="1">
        <f>310-894</f>
        <v>-584</v>
      </c>
      <c r="F129" s="1">
        <f>TArticle[[#This Row],[مبلغ]]+IFERROR(INT(F128),30181+3667+958)</f>
        <v>8175</v>
      </c>
      <c r="K129" s="21">
        <v>1</v>
      </c>
      <c r="L129" t="str">
        <f>IF(TArticle[[#This Row],[کد وضعیت سند]]&gt;0,VLOOKUP(TArticle[[#This Row],[کد وضعیت سند]],TDocState[],2,FALSE),"")</f>
        <v>انجام شد</v>
      </c>
      <c r="N129" t="str">
        <f>IF(TArticle[[#This Row],[کد طرف حساب]]&gt;0,VLOOKUP(TArticle[[#This Row],[کد طرف حساب]],TContact[],2,FALSE),"")</f>
        <v/>
      </c>
      <c r="O129" s="61" t="str">
        <f>IF(TArticle[[#This Row],[کد طرف حساب]]&gt;0,VLOOKUP(TArticle[[#This Row],[کد طرف حساب]],TContact[],7,FALSE)-SUMIF($M$2:M129,M129,$E$2:$E129),"")</f>
        <v/>
      </c>
      <c r="P129" s="27" t="str">
        <f>RIGHT(TArticle[[#This Row],[تاریخ]],2)</f>
        <v>20</v>
      </c>
      <c r="Q129" s="27">
        <f>VLOOKUP(TArticle[[#This Row],[تاریخ]],TDays[],16,FALSE)</f>
        <v>21</v>
      </c>
      <c r="R129" s="27" t="str">
        <f>RIGHT(LEFT(TArticle[[#This Row],[تاریخ]],7),2)</f>
        <v>05</v>
      </c>
      <c r="S129" s="27" t="str">
        <f>LEFT(TArticle[[#This Row],[تاریخ]],4)</f>
        <v>1401</v>
      </c>
      <c r="U129" s="21">
        <f>VLOOKUP(TArticle[[#This Row],[شناسه]],TAccount[],7,TRUE)</f>
        <v>364074</v>
      </c>
      <c r="W129" s="21">
        <f>IF(AND(TArticle[[#This Row],[مبلغ]]&gt;0, TArticle[[#This Row],[کد وضعیت سند]]=1),TArticle[[#This Row],[مبلغ]],0)</f>
        <v>0</v>
      </c>
      <c r="X129" s="27">
        <f>IF(AND(TArticle[[#This Row],[مبلغ]]&lt;0,TArticle[[#This Row],[کد وضعیت سند]]=1),0-TArticle[[#This Row],[مبلغ]],0)</f>
        <v>584</v>
      </c>
      <c r="Y129" s="27">
        <v>16</v>
      </c>
      <c r="Z129" t="str">
        <f>IF(TArticle[[#This Row],[کد بانک]]&gt;0,VLOOKUP(TArticle[[#This Row],[کد بانک]],TBank[],2,FALSE),"")</f>
        <v>مهرایران</v>
      </c>
      <c r="AA129">
        <f>IF(AND(TArticle[[#This Row],[مبلغ]]&lt;0,TArticle[[#This Row],[کد وضعیت سند]]=1),0-TArticle[[#This Row],[مبلغ]],0)</f>
        <v>584</v>
      </c>
      <c r="AB129">
        <f>IF(AND(TArticle[[#This Row],[مبلغ]]&gt;0, TArticle[[#This Row],[کد وضعیت سند]]=1),TArticle[[#This Row],[مبلغ]],0)</f>
        <v>0</v>
      </c>
      <c r="AC129" s="84">
        <f>IF(TArticle[[#This Row],[کد بانک]]&gt;0,VLOOKUP(TArticle[[#This Row],[کد بانک]],TBank[],9,FALSE)+SUMIF($Y$2:Y129,Y129,$E$2:$E129),"")</f>
        <v>310</v>
      </c>
      <c r="AD129" s="1">
        <f>IFERROR(IF(INT(LEFT(TArticle[[#This Row],[شناسه]]))=3,IF(TArticle[[#This Row],[کد وضعیت سند]]=1,TArticle[مبلغ],0),0),0)</f>
        <v>-584</v>
      </c>
      <c r="AE129" s="1">
        <f>IFERROR(IF(((TArticle[[#This Row],[شناسه]]))="4.1.1",IF(TArticle[[#This Row],[کد وضعیت سند]]=1,TArticle[مبلغ],0),0),0)</f>
        <v>0</v>
      </c>
      <c r="AF129" s="1">
        <f>IFERROR(IF(((TArticle[[#This Row],[شناسه]]))="4.1.2",IF(TArticle[[#This Row],[کد وضعیت سند]]=1,TArticle[مبلغ],0),0),0)</f>
        <v>0</v>
      </c>
      <c r="AG129" s="1">
        <f>IFERROR(IF(INT(LEFT(TArticle[[#This Row],[شناسه]]))=1,IF(TArticle[[#This Row],[کد وضعیت سند]]=1,TArticle[مبلغ],0),0),0)</f>
        <v>0</v>
      </c>
      <c r="AH129" s="1">
        <f>IFERROR(IF(INT(LEFT(TArticle[[#This Row],[شناسه]]))=2,IF(TArticle[[#This Row],[کد وضعیت سند]]=1,TArticle[مبلغ],0),0),0)</f>
        <v>0</v>
      </c>
      <c r="AI129" s="1">
        <f>IFERROR(IF((LEFT(TArticle[[#This Row],[شناسه]],3))="5.2",IF(TArticle[[#This Row],[کد وضعیت سند]]=1,TArticle[مبلغ],0),0),0)</f>
        <v>0</v>
      </c>
      <c r="AJ129" s="1">
        <f>IF(TArticle[[#This Row],[کد وضعیت سند]]=1,1,0)</f>
        <v>1</v>
      </c>
      <c r="AK129" s="1">
        <f>IF(AND(TArticle[[#This Row],[کد وضعیت سند]]&lt;&gt;1,TArticle[[#This Row],[مبلغ]]&lt;&gt;0),1,0)</f>
        <v>0</v>
      </c>
      <c r="AL129" s="51">
        <f>IF(TArticle[[#This Row],[کد بانک]]&gt;0,TArticle[[#This Row],[مانده بانک]]-VLOOKUP(TArticle[[#This Row],[کد بانک]],TBank[],7,FALSE),"")</f>
        <v>280</v>
      </c>
      <c r="AM129" s="49" t="str">
        <f>LEFT(TArticle[[#This Row],[تاریخ]],7)</f>
        <v>1401-05</v>
      </c>
    </row>
    <row r="130" spans="1:39" hidden="1" x14ac:dyDescent="0.25">
      <c r="A130" s="24" t="s">
        <v>1013</v>
      </c>
      <c r="B130" s="49" t="str">
        <f>VLOOKUP(TArticle[[#This Row],[شناسه]],TAccount[],2,TRUE)</f>
        <v>یارانه</v>
      </c>
      <c r="C130" s="49" t="str">
        <f>VLOOKUP(TArticle[[#This Row],[تاریخ]],TDays[],7,FALSE)</f>
        <v>جمعه</v>
      </c>
      <c r="D130" s="21" t="s">
        <v>351</v>
      </c>
      <c r="E130" s="1">
        <f>1465+600</f>
        <v>2065</v>
      </c>
      <c r="F130" s="1">
        <f>TArticle[[#This Row],[مبلغ]]+IFERROR(INT(F129),30181+3667+958)</f>
        <v>10240</v>
      </c>
      <c r="K130" s="21">
        <v>1</v>
      </c>
      <c r="L130" t="str">
        <f>IF(TArticle[[#This Row],[کد وضعیت سند]]&gt;0,VLOOKUP(TArticle[[#This Row],[کد وضعیت سند]],TDocState[],2,FALSE),"")</f>
        <v>انجام شد</v>
      </c>
      <c r="N130" t="str">
        <f>IF(TArticle[[#This Row],[کد طرف حساب]]&gt;0,VLOOKUP(TArticle[[#This Row],[کد طرف حساب]],TContact[],2,FALSE),"")</f>
        <v/>
      </c>
      <c r="O130" s="61" t="str">
        <f>IF(TArticle[[#This Row],[کد طرف حساب]]&gt;0,VLOOKUP(TArticle[[#This Row],[کد طرف حساب]],TContact[],7,FALSE)-SUMIF($M$2:M130,M130,$E$2:$E130),"")</f>
        <v/>
      </c>
      <c r="P130" s="27" t="str">
        <f>RIGHT(TArticle[[#This Row],[تاریخ]],2)</f>
        <v>28</v>
      </c>
      <c r="Q130" s="27">
        <f>VLOOKUP(TArticle[[#This Row],[تاریخ]],TDays[],16,FALSE)</f>
        <v>22</v>
      </c>
      <c r="R130" s="27" t="str">
        <f>RIGHT(LEFT(TArticle[[#This Row],[تاریخ]],7),2)</f>
        <v>05</v>
      </c>
      <c r="S130" s="27" t="str">
        <f>LEFT(TArticle[[#This Row],[تاریخ]],4)</f>
        <v>1401</v>
      </c>
      <c r="U130" s="21">
        <f>VLOOKUP(TArticle[[#This Row],[شناسه]],TAccount[],7,TRUE)</f>
        <v>12565</v>
      </c>
      <c r="W130" s="21">
        <f>IF(AND(TArticle[[#This Row],[مبلغ]]&gt;0, TArticle[[#This Row],[کد وضعیت سند]]=1),TArticle[[#This Row],[مبلغ]],0)</f>
        <v>2065</v>
      </c>
      <c r="X130" s="27">
        <f>IF(AND(TArticle[[#This Row],[مبلغ]]&lt;0,TArticle[[#This Row],[کد وضعیت سند]]=1),0-TArticle[[#This Row],[مبلغ]],0)</f>
        <v>0</v>
      </c>
      <c r="Y130" s="27">
        <v>2</v>
      </c>
      <c r="Z130" t="str">
        <f>IF(TArticle[[#This Row],[کد بانک]]&gt;0,VLOOKUP(TArticle[[#This Row],[کد بانک]],TBank[],2,FALSE),"")</f>
        <v>ملی جاری</v>
      </c>
      <c r="AA130">
        <f>IF(AND(TArticle[[#This Row],[مبلغ]]&lt;0,TArticle[[#This Row],[کد وضعیت سند]]=1),0-TArticle[[#This Row],[مبلغ]],0)</f>
        <v>0</v>
      </c>
      <c r="AB130">
        <f>IF(AND(TArticle[[#This Row],[مبلغ]]&gt;0, TArticle[[#This Row],[کد وضعیت سند]]=1),TArticle[[#This Row],[مبلغ]],0)</f>
        <v>2065</v>
      </c>
      <c r="AC130" s="84">
        <f>IF(TArticle[[#This Row],[کد بانک]]&gt;0,VLOOKUP(TArticle[[#This Row],[کد بانک]],TBank[],9,FALSE)+SUMIF($Y$2:Y130,Y130,$E$2:$E130),"")</f>
        <v>2071</v>
      </c>
      <c r="AD130" s="1">
        <f>IFERROR(IF(INT(LEFT(TArticle[[#This Row],[شناسه]]))=3,IF(TArticle[[#This Row],[کد وضعیت سند]]=1,TArticle[مبلغ],0),0),0)</f>
        <v>0</v>
      </c>
      <c r="AE130" s="1">
        <f>IFERROR(IF(((TArticle[[#This Row],[شناسه]]))="4.1.1",IF(TArticle[[#This Row],[کد وضعیت سند]]=1,TArticle[مبلغ],0),0),0)</f>
        <v>0</v>
      </c>
      <c r="AF130" s="1">
        <f>IFERROR(IF(((TArticle[[#This Row],[شناسه]]))="4.1.2",IF(TArticle[[#This Row],[کد وضعیت سند]]=1,TArticle[مبلغ],0),0),0)</f>
        <v>0</v>
      </c>
      <c r="AG130" s="1">
        <f>IFERROR(IF(INT(LEFT(TArticle[[#This Row],[شناسه]]))=1,IF(TArticle[[#This Row],[کد وضعیت سند]]=1,TArticle[مبلغ],0),0),0)</f>
        <v>0</v>
      </c>
      <c r="AH130" s="1">
        <f>IFERROR(IF(INT(LEFT(TArticle[[#This Row],[شناسه]]))=2,IF(TArticle[[#This Row],[کد وضعیت سند]]=1,TArticle[مبلغ],0),0),0)</f>
        <v>0</v>
      </c>
      <c r="AI130" s="1">
        <f>IFERROR(IF((LEFT(TArticle[[#This Row],[شناسه]],3))="5.2",IF(TArticle[[#This Row],[کد وضعیت سند]]=1,TArticle[مبلغ],0),0),0)</f>
        <v>0</v>
      </c>
      <c r="AJ130" s="1">
        <f>IF(TArticle[[#This Row],[کد وضعیت سند]]=1,1,0)</f>
        <v>1</v>
      </c>
      <c r="AK130" s="1">
        <f>IF(AND(TArticle[[#This Row],[کد وضعیت سند]]&lt;&gt;1,TArticle[[#This Row],[مبلغ]]&lt;&gt;0),1,0)</f>
        <v>0</v>
      </c>
      <c r="AL130" s="51">
        <f>IF(TArticle[[#This Row],[کد بانک]]&gt;0,TArticle[[#This Row],[مانده بانک]]-VLOOKUP(TArticle[[#This Row],[کد بانک]],TBank[],7,FALSE),"")</f>
        <v>2071</v>
      </c>
      <c r="AM130" s="49" t="str">
        <f>LEFT(TArticle[[#This Row],[تاریخ]],7)</f>
        <v>1401-05</v>
      </c>
    </row>
    <row r="131" spans="1:39" hidden="1" x14ac:dyDescent="0.25">
      <c r="A131" s="24" t="s">
        <v>1620</v>
      </c>
      <c r="B131" s="49" t="str">
        <f>VLOOKUP(TArticle[[#This Row],[شناسه]],TAccount[],2,TRUE)</f>
        <v>دریافت خسارت</v>
      </c>
      <c r="C131" s="49" t="str">
        <f>VLOOKUP(TArticle[[#This Row],[تاریخ]],TDays[],7,FALSE)</f>
        <v>جمعه</v>
      </c>
      <c r="D131" s="21" t="s">
        <v>351</v>
      </c>
      <c r="E131" s="1">
        <v>2727</v>
      </c>
      <c r="F131" s="1">
        <f>TArticle[[#This Row],[مبلغ]]+IFERROR(INT(F130),30181+3667+958)</f>
        <v>12967</v>
      </c>
      <c r="G131" t="s">
        <v>1666</v>
      </c>
      <c r="K131" s="21">
        <v>1</v>
      </c>
      <c r="L131" t="str">
        <f>IF(TArticle[[#This Row],[کد وضعیت سند]]&gt;0,VLOOKUP(TArticle[[#This Row],[کد وضعیت سند]],TDocState[],2,FALSE),"")</f>
        <v>انجام شد</v>
      </c>
      <c r="N131" t="str">
        <f>IF(TArticle[[#This Row],[کد طرف حساب]]&gt;0,VLOOKUP(TArticle[[#This Row],[کد طرف حساب]],TContact[],2,FALSE),"")</f>
        <v/>
      </c>
      <c r="O131" s="61" t="str">
        <f>IF(TArticle[[#This Row],[کد طرف حساب]]&gt;0,VLOOKUP(TArticle[[#This Row],[کد طرف حساب]],TContact[],7,FALSE)-SUMIF($M$2:M131,M131,$E$2:$E131),"")</f>
        <v/>
      </c>
      <c r="P131" s="27" t="str">
        <f>RIGHT(TArticle[[#This Row],[تاریخ]],2)</f>
        <v>28</v>
      </c>
      <c r="Q131" s="27">
        <f>VLOOKUP(TArticle[[#This Row],[تاریخ]],TDays[],16,FALSE)</f>
        <v>22</v>
      </c>
      <c r="R131" s="27" t="str">
        <f>RIGHT(LEFT(TArticle[[#This Row],[تاریخ]],7),2)</f>
        <v>05</v>
      </c>
      <c r="S131" s="27" t="str">
        <f>LEFT(TArticle[[#This Row],[تاریخ]],4)</f>
        <v>1401</v>
      </c>
      <c r="U131" s="21">
        <f>VLOOKUP(TArticle[[#This Row],[شناسه]],TAccount[],7,TRUE)</f>
        <v>4513</v>
      </c>
      <c r="W131" s="21">
        <f>IF(AND(TArticle[[#This Row],[مبلغ]]&gt;0, TArticle[[#This Row],[کد وضعیت سند]]=1),TArticle[[#This Row],[مبلغ]],0)</f>
        <v>2727</v>
      </c>
      <c r="X131" s="27">
        <f>IF(AND(TArticle[[#This Row],[مبلغ]]&lt;0,TArticle[[#This Row],[کد وضعیت سند]]=1),0-TArticle[[#This Row],[مبلغ]],0)</f>
        <v>0</v>
      </c>
      <c r="Y131" s="27">
        <v>2</v>
      </c>
      <c r="Z131" t="str">
        <f>IF(TArticle[[#This Row],[کد بانک]]&gt;0,VLOOKUP(TArticle[[#This Row],[کد بانک]],TBank[],2,FALSE),"")</f>
        <v>ملی جاری</v>
      </c>
      <c r="AA131">
        <f>IF(AND(TArticle[[#This Row],[مبلغ]]&lt;0,TArticle[[#This Row],[کد وضعیت سند]]=1),0-TArticle[[#This Row],[مبلغ]],0)</f>
        <v>0</v>
      </c>
      <c r="AB131">
        <f>IF(AND(TArticle[[#This Row],[مبلغ]]&gt;0, TArticle[[#This Row],[کد وضعیت سند]]=1),TArticle[[#This Row],[مبلغ]],0)</f>
        <v>2727</v>
      </c>
      <c r="AC131" s="84">
        <f>IF(TArticle[[#This Row],[کد بانک]]&gt;0,VLOOKUP(TArticle[[#This Row],[کد بانک]],TBank[],9,FALSE)+SUMIF($Y$2:Y131,Y131,$E$2:$E131),"")</f>
        <v>4798</v>
      </c>
      <c r="AD131" s="1">
        <f>IFERROR(IF(INT(LEFT(TArticle[[#This Row],[شناسه]]))=3,IF(TArticle[[#This Row],[کد وضعیت سند]]=1,TArticle[مبلغ],0),0),0)</f>
        <v>0</v>
      </c>
      <c r="AE131" s="1">
        <f>IFERROR(IF(((TArticle[[#This Row],[شناسه]]))="4.1.1",IF(TArticle[[#This Row],[کد وضعیت سند]]=1,TArticle[مبلغ],0),0),0)</f>
        <v>0</v>
      </c>
      <c r="AF131" s="1">
        <f>IFERROR(IF(((TArticle[[#This Row],[شناسه]]))="4.1.2",IF(TArticle[[#This Row],[کد وضعیت سند]]=1,TArticle[مبلغ],0),0),0)</f>
        <v>0</v>
      </c>
      <c r="AG131" s="1">
        <f>IFERROR(IF(INT(LEFT(TArticle[[#This Row],[شناسه]]))=1,IF(TArticle[[#This Row],[کد وضعیت سند]]=1,TArticle[مبلغ],0),0),0)</f>
        <v>0</v>
      </c>
      <c r="AH131" s="1">
        <f>IFERROR(IF(INT(LEFT(TArticle[[#This Row],[شناسه]]))=2,IF(TArticle[[#This Row],[کد وضعیت سند]]=1,TArticle[مبلغ],0),0),0)</f>
        <v>0</v>
      </c>
      <c r="AI131" s="1">
        <f>IFERROR(IF((LEFT(TArticle[[#This Row],[شناسه]],3))="5.2",IF(TArticle[[#This Row],[کد وضعیت سند]]=1,TArticle[مبلغ],0),0),0)</f>
        <v>0</v>
      </c>
      <c r="AJ131" s="1">
        <f>IF(TArticle[[#This Row],[کد وضعیت سند]]=1,1,0)</f>
        <v>1</v>
      </c>
      <c r="AK131" s="1">
        <f>IF(AND(TArticle[[#This Row],[کد وضعیت سند]]&lt;&gt;1,TArticle[[#This Row],[مبلغ]]&lt;&gt;0),1,0)</f>
        <v>0</v>
      </c>
      <c r="AL131" s="51">
        <f>IF(TArticle[[#This Row],[کد بانک]]&gt;0,TArticle[[#This Row],[مانده بانک]]-VLOOKUP(TArticle[[#This Row],[کد بانک]],TBank[],7,FALSE),"")</f>
        <v>4798</v>
      </c>
      <c r="AM131" s="49" t="str">
        <f>LEFT(TArticle[[#This Row],[تاریخ]],7)</f>
        <v>1401-05</v>
      </c>
    </row>
    <row r="132" spans="1:39" hidden="1" x14ac:dyDescent="0.25">
      <c r="A132" s="24" t="s">
        <v>55</v>
      </c>
      <c r="B132" s="49" t="str">
        <f>VLOOKUP(TArticle[[#This Row],[شناسه]],TAccount[],2,TRUE)</f>
        <v>هزینه کلی</v>
      </c>
      <c r="C132" s="49" t="str">
        <f>VLOOKUP(TArticle[[#This Row],[تاریخ]],TDays[],7,FALSE)</f>
        <v>جمعه</v>
      </c>
      <c r="D132" s="21" t="s">
        <v>351</v>
      </c>
      <c r="E132" s="1">
        <f>2237-4798</f>
        <v>-2561</v>
      </c>
      <c r="F132" s="1">
        <f>TArticle[[#This Row],[مبلغ]]+IFERROR(INT(F131),30181+3667+958)</f>
        <v>10406</v>
      </c>
      <c r="K132" s="21">
        <v>1</v>
      </c>
      <c r="L132" t="str">
        <f>IF(TArticle[[#This Row],[کد وضعیت سند]]&gt;0,VLOOKUP(TArticle[[#This Row],[کد وضعیت سند]],TDocState[],2,FALSE),"")</f>
        <v>انجام شد</v>
      </c>
      <c r="N132" t="str">
        <f>IF(TArticle[[#This Row],[کد طرف حساب]]&gt;0,VLOOKUP(TArticle[[#This Row],[کد طرف حساب]],TContact[],2,FALSE),"")</f>
        <v/>
      </c>
      <c r="O132" s="61" t="str">
        <f>IF(TArticle[[#This Row],[کد طرف حساب]]&gt;0,VLOOKUP(TArticle[[#This Row],[کد طرف حساب]],TContact[],7,FALSE)-SUMIF($M$2:M132,M132,$E$2:$E132),"")</f>
        <v/>
      </c>
      <c r="P132" s="27" t="str">
        <f>RIGHT(TArticle[[#This Row],[تاریخ]],2)</f>
        <v>28</v>
      </c>
      <c r="Q132" s="27">
        <f>VLOOKUP(TArticle[[#This Row],[تاریخ]],TDays[],16,FALSE)</f>
        <v>22</v>
      </c>
      <c r="R132" s="27" t="str">
        <f>RIGHT(LEFT(TArticle[[#This Row],[تاریخ]],7),2)</f>
        <v>05</v>
      </c>
      <c r="S132" s="27" t="str">
        <f>LEFT(TArticle[[#This Row],[تاریخ]],4)</f>
        <v>1401</v>
      </c>
      <c r="U132" s="21">
        <f>VLOOKUP(TArticle[[#This Row],[شناسه]],TAccount[],7,TRUE)</f>
        <v>364074</v>
      </c>
      <c r="W132" s="21">
        <f>IF(AND(TArticle[[#This Row],[مبلغ]]&gt;0, TArticle[[#This Row],[کد وضعیت سند]]=1),TArticle[[#This Row],[مبلغ]],0)</f>
        <v>0</v>
      </c>
      <c r="X132" s="27">
        <f>IF(AND(TArticle[[#This Row],[مبلغ]]&lt;0,TArticle[[#This Row],[کد وضعیت سند]]=1),0-TArticle[[#This Row],[مبلغ]],0)</f>
        <v>2561</v>
      </c>
      <c r="Y132" s="27">
        <v>2</v>
      </c>
      <c r="Z132" t="str">
        <f>IF(TArticle[[#This Row],[کد بانک]]&gt;0,VLOOKUP(TArticle[[#This Row],[کد بانک]],TBank[],2,FALSE),"")</f>
        <v>ملی جاری</v>
      </c>
      <c r="AA132">
        <f>IF(AND(TArticle[[#This Row],[مبلغ]]&lt;0,TArticle[[#This Row],[کد وضعیت سند]]=1),0-TArticle[[#This Row],[مبلغ]],0)</f>
        <v>2561</v>
      </c>
      <c r="AB132">
        <f>IF(AND(TArticle[[#This Row],[مبلغ]]&gt;0, TArticle[[#This Row],[کد وضعیت سند]]=1),TArticle[[#This Row],[مبلغ]],0)</f>
        <v>0</v>
      </c>
      <c r="AC132" s="84">
        <f>IF(TArticle[[#This Row],[کد بانک]]&gt;0,VLOOKUP(TArticle[[#This Row],[کد بانک]],TBank[],9,FALSE)+SUMIF($Y$2:Y132,Y132,$E$2:$E132),"")</f>
        <v>2237</v>
      </c>
      <c r="AD132" s="1">
        <f>IFERROR(IF(INT(LEFT(TArticle[[#This Row],[شناسه]]))=3,IF(TArticle[[#This Row],[کد وضعیت سند]]=1,TArticle[مبلغ],0),0),0)</f>
        <v>-2561</v>
      </c>
      <c r="AE132" s="1">
        <f>IFERROR(IF(((TArticle[[#This Row],[شناسه]]))="4.1.1",IF(TArticle[[#This Row],[کد وضعیت سند]]=1,TArticle[مبلغ],0),0),0)</f>
        <v>0</v>
      </c>
      <c r="AF132" s="1">
        <f>IFERROR(IF(((TArticle[[#This Row],[شناسه]]))="4.1.2",IF(TArticle[[#This Row],[کد وضعیت سند]]=1,TArticle[مبلغ],0),0),0)</f>
        <v>0</v>
      </c>
      <c r="AG132" s="1">
        <f>IFERROR(IF(INT(LEFT(TArticle[[#This Row],[شناسه]]))=1,IF(TArticle[[#This Row],[کد وضعیت سند]]=1,TArticle[مبلغ],0),0),0)</f>
        <v>0</v>
      </c>
      <c r="AH132" s="1">
        <f>IFERROR(IF(INT(LEFT(TArticle[[#This Row],[شناسه]]))=2,IF(TArticle[[#This Row],[کد وضعیت سند]]=1,TArticle[مبلغ],0),0),0)</f>
        <v>0</v>
      </c>
      <c r="AI132" s="1">
        <f>IFERROR(IF((LEFT(TArticle[[#This Row],[شناسه]],3))="5.2",IF(TArticle[[#This Row],[کد وضعیت سند]]=1,TArticle[مبلغ],0),0),0)</f>
        <v>0</v>
      </c>
      <c r="AJ132" s="1">
        <f>IF(TArticle[[#This Row],[کد وضعیت سند]]=1,1,0)</f>
        <v>1</v>
      </c>
      <c r="AK132" s="1">
        <f>IF(AND(TArticle[[#This Row],[کد وضعیت سند]]&lt;&gt;1,TArticle[[#This Row],[مبلغ]]&lt;&gt;0),1,0)</f>
        <v>0</v>
      </c>
      <c r="AL132" s="51">
        <f>IF(TArticle[[#This Row],[کد بانک]]&gt;0,TArticle[[#This Row],[مانده بانک]]-VLOOKUP(TArticle[[#This Row],[کد بانک]],TBank[],7,FALSE),"")</f>
        <v>2237</v>
      </c>
      <c r="AM132" s="49" t="str">
        <f>LEFT(TArticle[[#This Row],[تاریخ]],7)</f>
        <v>1401-05</v>
      </c>
    </row>
    <row r="133" spans="1:39" hidden="1" x14ac:dyDescent="0.25">
      <c r="A133" s="24" t="s">
        <v>55</v>
      </c>
      <c r="B133" s="49" t="str">
        <f>VLOOKUP(TArticle[[#This Row],[شناسه]],TAccount[],2,TRUE)</f>
        <v>هزینه کلی</v>
      </c>
      <c r="C133" s="49" t="str">
        <f>VLOOKUP(TArticle[[#This Row],[تاریخ]],TDays[],7,FALSE)</f>
        <v>جمعه</v>
      </c>
      <c r="D133" s="21" t="s">
        <v>351</v>
      </c>
      <c r="E133" s="1">
        <f>4077-4661</f>
        <v>-584</v>
      </c>
      <c r="F133" s="1">
        <f>TArticle[[#This Row],[مبلغ]]+IFERROR(INT(F132),30181+3667+958)</f>
        <v>9822</v>
      </c>
      <c r="K133" s="21">
        <v>1</v>
      </c>
      <c r="L133" t="str">
        <f>IF(TArticle[[#This Row],[کد وضعیت سند]]&gt;0,VLOOKUP(TArticle[[#This Row],[کد وضعیت سند]],TDocState[],2,FALSE),"")</f>
        <v>انجام شد</v>
      </c>
      <c r="N133" t="str">
        <f>IF(TArticle[[#This Row],[کد طرف حساب]]&gt;0,VLOOKUP(TArticle[[#This Row],[کد طرف حساب]],TContact[],2,FALSE),"")</f>
        <v/>
      </c>
      <c r="O133" s="61" t="str">
        <f>IF(TArticle[[#This Row],[کد طرف حساب]]&gt;0,VLOOKUP(TArticle[[#This Row],[کد طرف حساب]],TContact[],7,FALSE)-SUMIF($M$2:M133,M133,$E$2:$E133),"")</f>
        <v/>
      </c>
      <c r="P133" s="27" t="str">
        <f>RIGHT(TArticle[[#This Row],[تاریخ]],2)</f>
        <v>28</v>
      </c>
      <c r="Q133" s="27">
        <f>VLOOKUP(TArticle[[#This Row],[تاریخ]],TDays[],16,FALSE)</f>
        <v>22</v>
      </c>
      <c r="R133" s="27" t="str">
        <f>RIGHT(LEFT(TArticle[[#This Row],[تاریخ]],7),2)</f>
        <v>05</v>
      </c>
      <c r="S133" s="27" t="str">
        <f>LEFT(TArticle[[#This Row],[تاریخ]],4)</f>
        <v>1401</v>
      </c>
      <c r="U133" s="21">
        <f>VLOOKUP(TArticle[[#This Row],[شناسه]],TAccount[],7,TRUE)</f>
        <v>364074</v>
      </c>
      <c r="W133" s="21">
        <f>IF(AND(TArticle[[#This Row],[مبلغ]]&gt;0, TArticle[[#This Row],[کد وضعیت سند]]=1),TArticle[[#This Row],[مبلغ]],0)</f>
        <v>0</v>
      </c>
      <c r="X133" s="27">
        <f>IF(AND(TArticle[[#This Row],[مبلغ]]&lt;0,TArticle[[#This Row],[کد وضعیت سند]]=1),0-TArticle[[#This Row],[مبلغ]],0)</f>
        <v>584</v>
      </c>
      <c r="Y133" s="27">
        <v>4</v>
      </c>
      <c r="Z133" t="str">
        <f>IF(TArticle[[#This Row],[کد بانک]]&gt;0,VLOOKUP(TArticle[[#This Row],[کد بانک]],TBank[],2,FALSE),"")</f>
        <v>سپه</v>
      </c>
      <c r="AA133">
        <f>IF(AND(TArticle[[#This Row],[مبلغ]]&lt;0,TArticle[[#This Row],[کد وضعیت سند]]=1),0-TArticle[[#This Row],[مبلغ]],0)</f>
        <v>584</v>
      </c>
      <c r="AB133">
        <f>IF(AND(TArticle[[#This Row],[مبلغ]]&gt;0, TArticle[[#This Row],[کد وضعیت سند]]=1),TArticle[[#This Row],[مبلغ]],0)</f>
        <v>0</v>
      </c>
      <c r="AC133" s="84">
        <f>IF(TArticle[[#This Row],[کد بانک]]&gt;0,VLOOKUP(TArticle[[#This Row],[کد بانک]],TBank[],9,FALSE)+SUMIF($Y$2:Y133,Y133,$E$2:$E133),"")</f>
        <v>4077</v>
      </c>
      <c r="AD133" s="1">
        <f>IFERROR(IF(INT(LEFT(TArticle[[#This Row],[شناسه]]))=3,IF(TArticle[[#This Row],[کد وضعیت سند]]=1,TArticle[مبلغ],0),0),0)</f>
        <v>-584</v>
      </c>
      <c r="AE133" s="1">
        <f>IFERROR(IF(((TArticle[[#This Row],[شناسه]]))="4.1.1",IF(TArticle[[#This Row],[کد وضعیت سند]]=1,TArticle[مبلغ],0),0),0)</f>
        <v>0</v>
      </c>
      <c r="AF133" s="1">
        <f>IFERROR(IF(((TArticle[[#This Row],[شناسه]]))="4.1.2",IF(TArticle[[#This Row],[کد وضعیت سند]]=1,TArticle[مبلغ],0),0),0)</f>
        <v>0</v>
      </c>
      <c r="AG133" s="1">
        <f>IFERROR(IF(INT(LEFT(TArticle[[#This Row],[شناسه]]))=1,IF(TArticle[[#This Row],[کد وضعیت سند]]=1,TArticle[مبلغ],0),0),0)</f>
        <v>0</v>
      </c>
      <c r="AH133" s="1">
        <f>IFERROR(IF(INT(LEFT(TArticle[[#This Row],[شناسه]]))=2,IF(TArticle[[#This Row],[کد وضعیت سند]]=1,TArticle[مبلغ],0),0),0)</f>
        <v>0</v>
      </c>
      <c r="AI133" s="1">
        <f>IFERROR(IF((LEFT(TArticle[[#This Row],[شناسه]],3))="5.2",IF(TArticle[[#This Row],[کد وضعیت سند]]=1,TArticle[مبلغ],0),0),0)</f>
        <v>0</v>
      </c>
      <c r="AJ133" s="1">
        <f>IF(TArticle[[#This Row],[کد وضعیت سند]]=1,1,0)</f>
        <v>1</v>
      </c>
      <c r="AK133" s="1">
        <f>IF(AND(TArticle[[#This Row],[کد وضعیت سند]]&lt;&gt;1,TArticle[[#This Row],[مبلغ]]&lt;&gt;0),1,0)</f>
        <v>0</v>
      </c>
      <c r="AL133" s="51">
        <f>IF(TArticle[[#This Row],[کد بانک]]&gt;0,TArticle[[#This Row],[مانده بانک]]-VLOOKUP(TArticle[[#This Row],[کد بانک]],TBank[],7,FALSE),"")</f>
        <v>4075</v>
      </c>
      <c r="AM133" s="49" t="str">
        <f>LEFT(TArticle[[#This Row],[تاریخ]],7)</f>
        <v>1401-05</v>
      </c>
    </row>
    <row r="134" spans="1:39" hidden="1" x14ac:dyDescent="0.25">
      <c r="A134" s="24" t="s">
        <v>43</v>
      </c>
      <c r="B134" s="49" t="str">
        <f>VLOOKUP(TArticle[[#This Row],[شناسه]],TAccount[],2,TRUE)</f>
        <v>حقوق</v>
      </c>
      <c r="C134" s="49" t="str">
        <f>VLOOKUP(TArticle[[#This Row],[تاریخ]],TDays[],7,FALSE)</f>
        <v>سه شنبه</v>
      </c>
      <c r="D134" s="21" t="s">
        <v>355</v>
      </c>
      <c r="E134" s="1">
        <v>42105</v>
      </c>
      <c r="F134" s="1">
        <f>TArticle[[#This Row],[مبلغ]]+IFERROR(INT(F133),30181+3667+958)</f>
        <v>51927</v>
      </c>
      <c r="H134" s="64"/>
      <c r="J134" s="65"/>
      <c r="K134" s="64">
        <v>1</v>
      </c>
      <c r="L134" s="66" t="str">
        <f>IF(TArticle[[#This Row],[کد وضعیت سند]]&gt;0,VLOOKUP(TArticle[[#This Row],[کد وضعیت سند]],TDocState[],2,FALSE),"")</f>
        <v>انجام شد</v>
      </c>
      <c r="M134" s="67"/>
      <c r="N134" t="str">
        <f>IF(TArticle[[#This Row],[کد طرف حساب]]&gt;0,VLOOKUP(TArticle[[#This Row],[کد طرف حساب]],TContact[],2,FALSE),"")</f>
        <v/>
      </c>
      <c r="O134" s="68" t="str">
        <f>IF(TArticle[[#This Row],[کد طرف حساب]]&gt;0,VLOOKUP(TArticle[[#This Row],[کد طرف حساب]],TContact[],7,FALSE)-SUMIF($M$2:M134,M134,$E$2:$E134),"")</f>
        <v/>
      </c>
      <c r="P134" s="67" t="str">
        <f>RIGHT(TArticle[[#This Row],[تاریخ]],2)</f>
        <v>01</v>
      </c>
      <c r="Q134" s="67">
        <f>VLOOKUP(TArticle[[#This Row],[تاریخ]],TDays[],16,FALSE)</f>
        <v>23</v>
      </c>
      <c r="R134" s="67" t="str">
        <f>RIGHT(LEFT(TArticle[[#This Row],[تاریخ]],7),2)</f>
        <v>06</v>
      </c>
      <c r="S134" s="67" t="str">
        <f>LEFT(TArticle[[#This Row],[تاریخ]],4)</f>
        <v>1401</v>
      </c>
      <c r="T134" s="64"/>
      <c r="U134" s="64">
        <f>VLOOKUP(TArticle[[#This Row],[شناسه]],TAccount[],7,TRUE)</f>
        <v>416023</v>
      </c>
      <c r="V134" s="64"/>
      <c r="W134" s="64">
        <f>IF(AND(TArticle[[#This Row],[مبلغ]]&gt;0, TArticle[[#This Row],[کد وضعیت سند]]=1),TArticle[[#This Row],[مبلغ]],0)</f>
        <v>42105</v>
      </c>
      <c r="X134" s="67">
        <f>IF(AND(TArticle[[#This Row],[مبلغ]]&lt;0,TArticle[[#This Row],[کد وضعیت سند]]=1),0-TArticle[[#This Row],[مبلغ]],0)</f>
        <v>0</v>
      </c>
      <c r="Y134" s="67">
        <v>2</v>
      </c>
      <c r="Z134" t="str">
        <f>IF(TArticle[[#This Row],[کد بانک]]&gt;0,VLOOKUP(TArticle[[#This Row],[کد بانک]],TBank[],2,FALSE),"")</f>
        <v>ملی جاری</v>
      </c>
      <c r="AA134">
        <f>IF(AND(TArticle[[#This Row],[مبلغ]]&lt;0,TArticle[[#This Row],[کد وضعیت سند]]=1),0-TArticle[[#This Row],[مبلغ]],0)</f>
        <v>0</v>
      </c>
      <c r="AB134">
        <f>IF(AND(TArticle[[#This Row],[مبلغ]]&gt;0, TArticle[[#This Row],[کد وضعیت سند]]=1),TArticle[[#This Row],[مبلغ]],0)</f>
        <v>42105</v>
      </c>
      <c r="AC134" s="93">
        <f>IF(TArticle[[#This Row],[کد بانک]]&gt;0,VLOOKUP(TArticle[[#This Row],[کد بانک]],TBank[],9,FALSE)+SUMIF($Y$2:Y134,Y134,$E$2:$E134),"")</f>
        <v>44342</v>
      </c>
      <c r="AD134" s="1">
        <f>IFERROR(IF(INT(LEFT(TArticle[[#This Row],[شناسه]]))=3,IF(TArticle[[#This Row],[کد وضعیت سند]]=1,TArticle[مبلغ],0),0),0)</f>
        <v>0</v>
      </c>
      <c r="AE134" s="1">
        <f>IFERROR(IF(((TArticle[[#This Row],[شناسه]]))="4.1.1",IF(TArticle[[#This Row],[کد وضعیت سند]]=1,TArticle[مبلغ],0),0),0)</f>
        <v>42105</v>
      </c>
      <c r="AF134" s="1">
        <f>IFERROR(IF(((TArticle[[#This Row],[شناسه]]))="4.1.2",IF(TArticle[[#This Row],[کد وضعیت سند]]=1,TArticle[مبلغ],0),0),0)</f>
        <v>0</v>
      </c>
      <c r="AG134" s="1">
        <f>IFERROR(IF(INT(LEFT(TArticle[[#This Row],[شناسه]]))=1,IF(TArticle[[#This Row],[کد وضعیت سند]]=1,TArticle[مبلغ],0),0),0)</f>
        <v>0</v>
      </c>
      <c r="AH134" s="1">
        <f>IFERROR(IF(INT(LEFT(TArticle[[#This Row],[شناسه]]))=2,IF(TArticle[[#This Row],[کد وضعیت سند]]=1,TArticle[مبلغ],0),0),0)</f>
        <v>0</v>
      </c>
      <c r="AI134" s="1">
        <f>IFERROR(IF((LEFT(TArticle[[#This Row],[شناسه]],3))="5.2",IF(TArticle[[#This Row],[کد وضعیت سند]]=1,TArticle[مبلغ],0),0),0)</f>
        <v>0</v>
      </c>
      <c r="AJ134" s="1">
        <f>IF(TArticle[[#This Row],[کد وضعیت سند]]=1,1,0)</f>
        <v>1</v>
      </c>
      <c r="AK134" s="1">
        <f>IF(AND(TArticle[[#This Row],[کد وضعیت سند]]&lt;&gt;1,TArticle[[#This Row],[مبلغ]]&lt;&gt;0),1,0)</f>
        <v>0</v>
      </c>
      <c r="AL134" s="78">
        <f>IF(TArticle[[#This Row],[کد بانک]]&gt;0,TArticle[[#This Row],[مانده بانک]]-VLOOKUP(TArticle[[#This Row],[کد بانک]],TBank[],7,FALSE),"")</f>
        <v>44342</v>
      </c>
      <c r="AM134" s="58" t="str">
        <f>LEFT(TArticle[[#This Row],[تاریخ]],7)</f>
        <v>1401-06</v>
      </c>
    </row>
    <row r="135" spans="1:39" hidden="1" x14ac:dyDescent="0.25">
      <c r="A135" s="24" t="s">
        <v>1008</v>
      </c>
      <c r="B135" s="49" t="str">
        <f>VLOOKUP(TArticle[[#This Row],[شناسه]],TAccount[],2,TRUE)</f>
        <v>حواله پرداخت/برداشت</v>
      </c>
      <c r="C135" s="49" t="str">
        <f>VLOOKUP(TArticle[[#This Row],[تاریخ]],TDays[],7,FALSE)</f>
        <v>سه شنبه</v>
      </c>
      <c r="D135" s="21" t="s">
        <v>355</v>
      </c>
      <c r="E135" s="1">
        <v>-3200</v>
      </c>
      <c r="F135" s="1">
        <f>TArticle[[#This Row],[مبلغ]]+IFERROR(INT(F134),30181+3667+958)</f>
        <v>48727</v>
      </c>
      <c r="G135" t="s">
        <v>1667</v>
      </c>
      <c r="K135" s="21">
        <v>1</v>
      </c>
      <c r="L135" t="str">
        <f>IF(TArticle[[#This Row],[کد وضعیت سند]]&gt;0,VLOOKUP(TArticle[[#This Row],[کد وضعیت سند]],TDocState[],2,FALSE),"")</f>
        <v>انجام شد</v>
      </c>
      <c r="N135" t="str">
        <f>IF(TArticle[[#This Row],[کد طرف حساب]]&gt;0,VLOOKUP(TArticle[[#This Row],[کد طرف حساب]],TContact[],2,FALSE),"")</f>
        <v/>
      </c>
      <c r="O135" s="61" t="str">
        <f>IF(TArticle[[#This Row],[کد طرف حساب]]&gt;0,VLOOKUP(TArticle[[#This Row],[کد طرف حساب]],TContact[],7,FALSE)-SUMIF($M$2:M135,M135,$E$2:$E135),"")</f>
        <v/>
      </c>
      <c r="P135" s="27" t="str">
        <f>RIGHT(TArticle[[#This Row],[تاریخ]],2)</f>
        <v>01</v>
      </c>
      <c r="Q135" s="27">
        <f>VLOOKUP(TArticle[[#This Row],[تاریخ]],TDays[],16,FALSE)</f>
        <v>23</v>
      </c>
      <c r="R135" s="27" t="str">
        <f>RIGHT(LEFT(TArticle[[#This Row],[تاریخ]],7),2)</f>
        <v>06</v>
      </c>
      <c r="S135" s="27" t="str">
        <f>LEFT(TArticle[[#This Row],[تاریخ]],4)</f>
        <v>1401</v>
      </c>
      <c r="U135" s="21">
        <f>VLOOKUP(TArticle[[#This Row],[شناسه]],TAccount[],7,TRUE)</f>
        <v>179525</v>
      </c>
      <c r="W135" s="21">
        <f>IF(AND(TArticle[[#This Row],[مبلغ]]&gt;0, TArticle[[#This Row],[کد وضعیت سند]]=1),TArticle[[#This Row],[مبلغ]],0)</f>
        <v>0</v>
      </c>
      <c r="X135" s="27">
        <f>IF(AND(TArticle[[#This Row],[مبلغ]]&lt;0,TArticle[[#This Row],[کد وضعیت سند]]=1),0-TArticle[[#This Row],[مبلغ]],0)</f>
        <v>3200</v>
      </c>
      <c r="Y135" s="27">
        <v>2</v>
      </c>
      <c r="Z135" t="str">
        <f>IF(TArticle[[#This Row],[کد بانک]]&gt;0,VLOOKUP(TArticle[[#This Row],[کد بانک]],TBank[],2,FALSE),"")</f>
        <v>ملی جاری</v>
      </c>
      <c r="AA135">
        <f>IF(AND(TArticle[[#This Row],[مبلغ]]&lt;0,TArticle[[#This Row],[کد وضعیت سند]]=1),0-TArticle[[#This Row],[مبلغ]],0)</f>
        <v>3200</v>
      </c>
      <c r="AB135">
        <f>IF(AND(TArticle[[#This Row],[مبلغ]]&gt;0, TArticle[[#This Row],[کد وضعیت سند]]=1),TArticle[[#This Row],[مبلغ]],0)</f>
        <v>0</v>
      </c>
      <c r="AC135" s="84">
        <f>IF(TArticle[[#This Row],[کد بانک]]&gt;0,VLOOKUP(TArticle[[#This Row],[کد بانک]],TBank[],9,FALSE)+SUMIF($Y$2:Y135,Y135,$E$2:$E135),"")</f>
        <v>41142</v>
      </c>
      <c r="AD135" s="1">
        <f>IFERROR(IF(INT(LEFT(TArticle[[#This Row],[شناسه]]))=3,IF(TArticle[[#This Row],[کد وضعیت سند]]=1,TArticle[مبلغ],0),0),0)</f>
        <v>0</v>
      </c>
      <c r="AE135" s="1">
        <f>IFERROR(IF(((TArticle[[#This Row],[شناسه]]))="4.1.1",IF(TArticle[[#This Row],[کد وضعیت سند]]=1,TArticle[مبلغ],0),0),0)</f>
        <v>0</v>
      </c>
      <c r="AF135" s="1">
        <f>IFERROR(IF(((TArticle[[#This Row],[شناسه]]))="4.1.2",IF(TArticle[[#This Row],[کد وضعیت سند]]=1,TArticle[مبلغ],0),0),0)</f>
        <v>0</v>
      </c>
      <c r="AG135" s="1">
        <f>IFERROR(IF(INT(LEFT(TArticle[[#This Row],[شناسه]]))=1,IF(TArticle[[#This Row],[کد وضعیت سند]]=1,TArticle[مبلغ],0),0),0)</f>
        <v>0</v>
      </c>
      <c r="AH135" s="1">
        <f>IFERROR(IF(INT(LEFT(TArticle[[#This Row],[شناسه]]))=2,IF(TArticle[[#This Row],[کد وضعیت سند]]=1,TArticle[مبلغ],0),0),0)</f>
        <v>0</v>
      </c>
      <c r="AI135" s="1">
        <f>IFERROR(IF((LEFT(TArticle[[#This Row],[شناسه]],3))="5.2",IF(TArticle[[#This Row],[کد وضعیت سند]]=1,TArticle[مبلغ],0),0),0)</f>
        <v>0</v>
      </c>
      <c r="AJ135" s="1">
        <f>IF(TArticle[[#This Row],[کد وضعیت سند]]=1,1,0)</f>
        <v>1</v>
      </c>
      <c r="AK135" s="1">
        <f>IF(AND(TArticle[[#This Row],[کد وضعیت سند]]&lt;&gt;1,TArticle[[#This Row],[مبلغ]]&lt;&gt;0),1,0)</f>
        <v>0</v>
      </c>
      <c r="AL135" s="51">
        <f>IF(TArticle[[#This Row],[کد بانک]]&gt;0,TArticle[[#This Row],[مانده بانک]]-VLOOKUP(TArticle[[#This Row],[کد بانک]],TBank[],7,FALSE),"")</f>
        <v>41142</v>
      </c>
      <c r="AM135" s="49" t="str">
        <f>LEFT(TArticle[[#This Row],[تاریخ]],7)</f>
        <v>1401-06</v>
      </c>
    </row>
    <row r="136" spans="1:39" hidden="1" x14ac:dyDescent="0.25">
      <c r="A136" s="24" t="s">
        <v>112</v>
      </c>
      <c r="B136" s="49" t="str">
        <f>VLOOKUP(TArticle[[#This Row],[شناسه]],TAccount[],2,TRUE)</f>
        <v>رسید دریافت/واریز</v>
      </c>
      <c r="C136" s="49" t="str">
        <f>VLOOKUP(TArticle[[#This Row],[تاریخ]],TDays[],7,FALSE)</f>
        <v>سه شنبه</v>
      </c>
      <c r="D136" s="21" t="s">
        <v>355</v>
      </c>
      <c r="E136" s="1">
        <v>3200</v>
      </c>
      <c r="F136" s="1">
        <f>TArticle[[#This Row],[مبلغ]]+IFERROR(INT(F135),30181+3667+958)</f>
        <v>51927</v>
      </c>
      <c r="G136" t="s">
        <v>1667</v>
      </c>
      <c r="K136" s="21">
        <v>1</v>
      </c>
      <c r="L136" t="str">
        <f>IF(TArticle[[#This Row],[کد وضعیت سند]]&gt;0,VLOOKUP(TArticle[[#This Row],[کد وضعیت سند]],TDocState[],2,FALSE),"")</f>
        <v>انجام شد</v>
      </c>
      <c r="N136" t="str">
        <f>IF(TArticle[[#This Row],[کد طرف حساب]]&gt;0,VLOOKUP(TArticle[[#This Row],[کد طرف حساب]],TContact[],2,FALSE),"")</f>
        <v/>
      </c>
      <c r="O136" s="61" t="str">
        <f>IF(TArticle[[#This Row],[کد طرف حساب]]&gt;0,VLOOKUP(TArticle[[#This Row],[کد طرف حساب]],TContact[],7,FALSE)-SUMIF($M$2:M136,M136,$E$2:$E136),"")</f>
        <v/>
      </c>
      <c r="P136" s="27" t="str">
        <f>RIGHT(TArticle[[#This Row],[تاریخ]],2)</f>
        <v>01</v>
      </c>
      <c r="Q136" s="27">
        <f>VLOOKUP(TArticle[[#This Row],[تاریخ]],TDays[],16,FALSE)</f>
        <v>23</v>
      </c>
      <c r="R136" s="27" t="str">
        <f>RIGHT(LEFT(TArticle[[#This Row],[تاریخ]],7),2)</f>
        <v>06</v>
      </c>
      <c r="S136" s="27" t="str">
        <f>LEFT(TArticle[[#This Row],[تاریخ]],4)</f>
        <v>1401</v>
      </c>
      <c r="U136" s="21">
        <f>VLOOKUP(TArticle[[#This Row],[شناسه]],TAccount[],7,TRUE)</f>
        <v>257767</v>
      </c>
      <c r="W136" s="21">
        <f>IF(AND(TArticle[[#This Row],[مبلغ]]&gt;0, TArticle[[#This Row],[کد وضعیت سند]]=1),TArticle[[#This Row],[مبلغ]],0)</f>
        <v>3200</v>
      </c>
      <c r="X136" s="27">
        <f>IF(AND(TArticle[[#This Row],[مبلغ]]&lt;0,TArticle[[#This Row],[کد وضعیت سند]]=1),0-TArticle[[#This Row],[مبلغ]],0)</f>
        <v>0</v>
      </c>
      <c r="Y136" s="27">
        <v>22</v>
      </c>
      <c r="Z136" t="str">
        <f>IF(TArticle[[#This Row],[کد بانک]]&gt;0,VLOOKUP(TArticle[[#This Row],[کد بانک]],TBank[],2,FALSE),"")</f>
        <v>بورس</v>
      </c>
      <c r="AA136">
        <f>IF(AND(TArticle[[#This Row],[مبلغ]]&lt;0,TArticle[[#This Row],[کد وضعیت سند]]=1),0-TArticle[[#This Row],[مبلغ]],0)</f>
        <v>0</v>
      </c>
      <c r="AB136">
        <f>IF(AND(TArticle[[#This Row],[مبلغ]]&gt;0, TArticle[[#This Row],[کد وضعیت سند]]=1),TArticle[[#This Row],[مبلغ]],0)</f>
        <v>3200</v>
      </c>
      <c r="AC136" s="84">
        <f>IF(TArticle[[#This Row],[کد بانک]]&gt;0,VLOOKUP(TArticle[[#This Row],[کد بانک]],TBank[],9,FALSE)+SUMIF($Y$2:Y136,Y136,$E$2:$E136),"")</f>
        <v>6200</v>
      </c>
      <c r="AD136" s="1">
        <f>IFERROR(IF(INT(LEFT(TArticle[[#This Row],[شناسه]]))=3,IF(TArticle[[#This Row],[کد وضعیت سند]]=1,TArticle[مبلغ],0),0),0)</f>
        <v>0</v>
      </c>
      <c r="AE136" s="1">
        <f>IFERROR(IF(((TArticle[[#This Row],[شناسه]]))="4.1.1",IF(TArticle[[#This Row],[کد وضعیت سند]]=1,TArticle[مبلغ],0),0),0)</f>
        <v>0</v>
      </c>
      <c r="AF136" s="1">
        <f>IFERROR(IF(((TArticle[[#This Row],[شناسه]]))="4.1.2",IF(TArticle[[#This Row],[کد وضعیت سند]]=1,TArticle[مبلغ],0),0),0)</f>
        <v>0</v>
      </c>
      <c r="AG136" s="1">
        <f>IFERROR(IF(INT(LEFT(TArticle[[#This Row],[شناسه]]))=1,IF(TArticle[[#This Row],[کد وضعیت سند]]=1,TArticle[مبلغ],0),0),0)</f>
        <v>0</v>
      </c>
      <c r="AH136" s="1">
        <f>IFERROR(IF(INT(LEFT(TArticle[[#This Row],[شناسه]]))=2,IF(TArticle[[#This Row],[کد وضعیت سند]]=1,TArticle[مبلغ],0),0),0)</f>
        <v>0</v>
      </c>
      <c r="AI136" s="1">
        <f>IFERROR(IF((LEFT(TArticle[[#This Row],[شناسه]],3))="5.2",IF(TArticle[[#This Row],[کد وضعیت سند]]=1,TArticle[مبلغ],0),0),0)</f>
        <v>0</v>
      </c>
      <c r="AJ136" s="1">
        <f>IF(TArticle[[#This Row],[کد وضعیت سند]]=1,1,0)</f>
        <v>1</v>
      </c>
      <c r="AK136" s="1">
        <f>IF(AND(TArticle[[#This Row],[کد وضعیت سند]]&lt;&gt;1,TArticle[[#This Row],[مبلغ]]&lt;&gt;0),1,0)</f>
        <v>0</v>
      </c>
      <c r="AL136" s="51">
        <f>IF(TArticle[[#This Row],[کد بانک]]&gt;0,TArticle[[#This Row],[مانده بانک]]-VLOOKUP(TArticle[[#This Row],[کد بانک]],TBank[],7,FALSE),"")</f>
        <v>6200</v>
      </c>
      <c r="AM136" s="49" t="str">
        <f>LEFT(TArticle[[#This Row],[تاریخ]],7)</f>
        <v>1401-06</v>
      </c>
    </row>
    <row r="137" spans="1:39" hidden="1" x14ac:dyDescent="0.25">
      <c r="A137" s="24" t="s">
        <v>1110</v>
      </c>
      <c r="B137" s="49" t="str">
        <f>VLOOKUP(TArticle[[#This Row],[شناسه]],TAccount[],2,TRUE)</f>
        <v>قسط وام بانکی</v>
      </c>
      <c r="C137" s="49" t="str">
        <f>VLOOKUP(TArticle[[#This Row],[تاریخ]],TDays[],7,FALSE)</f>
        <v>سه شنبه</v>
      </c>
      <c r="D137" s="21" t="s">
        <v>355</v>
      </c>
      <c r="E137" s="1">
        <v>-104</v>
      </c>
      <c r="F137" s="1">
        <f>TArticle[[#This Row],[مبلغ]]+IFERROR(INT(F136),30181+3667+958)</f>
        <v>51823</v>
      </c>
      <c r="H137" s="21">
        <v>16</v>
      </c>
      <c r="J137" s="65"/>
      <c r="K137" s="49">
        <v>1</v>
      </c>
      <c r="L137" s="66" t="str">
        <f>IF(TArticle[[#This Row],[کد وضعیت سند]]&gt;0,VLOOKUP(TArticle[[#This Row],[کد وضعیت سند]],TDocState[],2,FALSE),"")</f>
        <v>انجام شد</v>
      </c>
      <c r="M137" s="67">
        <v>107</v>
      </c>
      <c r="N137" t="str">
        <f>IF(TArticle[[#This Row],[کد طرف حساب]]&gt;0,VLOOKUP(TArticle[[#This Row],[کد طرف حساب]],TContact[],2,FALSE),"")</f>
        <v>وام مهرایران ف</v>
      </c>
      <c r="O137" s="60">
        <f>IF(TArticle[[#This Row],[کد طرف حساب]]&gt;0,VLOOKUP(TArticle[[#This Row],[کد طرف حساب]],TContact[],7,FALSE)-SUMIF($M$2:M137,M137,$E$2:$E137),"")</f>
        <v>-208</v>
      </c>
      <c r="P137" s="67" t="str">
        <f>RIGHT(TArticle[[#This Row],[تاریخ]],2)</f>
        <v>01</v>
      </c>
      <c r="Q137" s="67">
        <f>VLOOKUP(TArticle[[#This Row],[تاریخ]],TDays[],16,FALSE)</f>
        <v>23</v>
      </c>
      <c r="R137" s="67" t="str">
        <f>RIGHT(LEFT(TArticle[[#This Row],[تاریخ]],7),2)</f>
        <v>06</v>
      </c>
      <c r="S137" s="67" t="str">
        <f>LEFT(TArticle[[#This Row],[تاریخ]],4)</f>
        <v>1401</v>
      </c>
      <c r="T137" s="64"/>
      <c r="U137" s="64">
        <f>VLOOKUP(TArticle[[#This Row],[شناسه]],TAccount[],7,TRUE)</f>
        <v>81652</v>
      </c>
      <c r="V137" s="64" t="s">
        <v>340</v>
      </c>
      <c r="W137" s="64">
        <f>IF(AND(TArticle[[#This Row],[مبلغ]]&gt;0, TArticle[[#This Row],[کد وضعیت سند]]=1),TArticle[[#This Row],[مبلغ]],0)</f>
        <v>0</v>
      </c>
      <c r="X137" s="67">
        <f>IF(AND(TArticle[[#This Row],[مبلغ]]&lt;0,TArticle[[#This Row],[کد وضعیت سند]]=1),0-TArticle[[#This Row],[مبلغ]],0)</f>
        <v>104</v>
      </c>
      <c r="Y137" s="27">
        <v>16</v>
      </c>
      <c r="Z137" t="str">
        <f>IF(TArticle[[#This Row],[کد بانک]]&gt;0,VLOOKUP(TArticle[[#This Row],[کد بانک]],TBank[],2,FALSE),"")</f>
        <v>مهرایران</v>
      </c>
      <c r="AA137">
        <f>IF(AND(TArticle[[#This Row],[مبلغ]]&lt;0,TArticle[[#This Row],[کد وضعیت سند]]=1),0-TArticle[[#This Row],[مبلغ]],0)</f>
        <v>104</v>
      </c>
      <c r="AB137">
        <f>IF(AND(TArticle[[#This Row],[مبلغ]]&gt;0, TArticle[[#This Row],[کد وضعیت سند]]=1),TArticle[[#This Row],[مبلغ]],0)</f>
        <v>0</v>
      </c>
      <c r="AC137" s="92">
        <f>IF(TArticle[[#This Row],[کد بانک]]&gt;0,VLOOKUP(TArticle[[#This Row],[کد بانک]],TBank[],9,FALSE)+SUMIF($Y$2:Y137,Y137,$E$2:$E137),"")</f>
        <v>206</v>
      </c>
      <c r="AD137" s="1">
        <f>IFERROR(IF(INT(LEFT(TArticle[[#This Row],[شناسه]]))=3,IF(TArticle[[#This Row],[کد وضعیت سند]]=1,TArticle[مبلغ],0),0),0)</f>
        <v>0</v>
      </c>
      <c r="AE137" s="1">
        <f>IFERROR(IF(((TArticle[[#This Row],[شناسه]]))="4.1.1",IF(TArticle[[#This Row],[کد وضعیت سند]]=1,TArticle[مبلغ],0),0),0)</f>
        <v>0</v>
      </c>
      <c r="AF137" s="1">
        <f>IFERROR(IF(((TArticle[[#This Row],[شناسه]]))="4.1.2",IF(TArticle[[#This Row],[کد وضعیت سند]]=1,TArticle[مبلغ],0),0),0)</f>
        <v>0</v>
      </c>
      <c r="AG137" s="1">
        <f>IFERROR(IF(INT(LEFT(TArticle[[#This Row],[شناسه]]))=1,IF(TArticle[[#This Row],[کد وضعیت سند]]=1,TArticle[مبلغ],0),0),0)</f>
        <v>-104</v>
      </c>
      <c r="AH137" s="1">
        <f>IFERROR(IF(INT(LEFT(TArticle[[#This Row],[شناسه]]))=2,IF(TArticle[[#This Row],[کد وضعیت سند]]=1,TArticle[مبلغ],0),0),0)</f>
        <v>0</v>
      </c>
      <c r="AI137" s="1">
        <f>IFERROR(IF((LEFT(TArticle[[#This Row],[شناسه]],3))="5.2",IF(TArticle[[#This Row],[کد وضعیت سند]]=1,TArticle[مبلغ],0),0),0)</f>
        <v>0</v>
      </c>
      <c r="AJ137" s="1">
        <f>IF(TArticle[[#This Row],[کد وضعیت سند]]=1,1,0)</f>
        <v>1</v>
      </c>
      <c r="AK137" s="1">
        <f>IF(AND(TArticle[[#This Row],[کد وضعیت سند]]&lt;&gt;1,TArticle[[#This Row],[مبلغ]]&lt;&gt;0),1,0)</f>
        <v>0</v>
      </c>
      <c r="AL137" s="78">
        <f>IF(TArticle[[#This Row],[کد بانک]]&gt;0,TArticle[[#This Row],[مانده بانک]]-VLOOKUP(TArticle[[#This Row],[کد بانک]],TBank[],7,FALSE),"")</f>
        <v>176</v>
      </c>
      <c r="AM137" s="58" t="str">
        <f>LEFT(TArticle[[#This Row],[تاریخ]],7)</f>
        <v>1401-06</v>
      </c>
    </row>
    <row r="138" spans="1:39" hidden="1" x14ac:dyDescent="0.25">
      <c r="A138" s="24" t="s">
        <v>1110</v>
      </c>
      <c r="B138" s="49" t="str">
        <f>VLOOKUP(TArticle[[#This Row],[شناسه]],TAccount[],2,TRUE)</f>
        <v>قسط وام بانکی</v>
      </c>
      <c r="C138" s="49" t="str">
        <f>VLOOKUP(TArticle[[#This Row],[تاریخ]],TDays[],7,FALSE)</f>
        <v>سه شنبه</v>
      </c>
      <c r="D138" s="21" t="s">
        <v>355</v>
      </c>
      <c r="E138" s="1">
        <v>-1808</v>
      </c>
      <c r="F138" s="1">
        <f>TArticle[[#This Row],[مبلغ]]+IFERROR(INT(F137),30181+3667+958)</f>
        <v>50015</v>
      </c>
      <c r="G138" t="s">
        <v>1597</v>
      </c>
      <c r="H138" s="64">
        <v>10</v>
      </c>
      <c r="J138" s="65"/>
      <c r="K138" s="21">
        <v>1</v>
      </c>
      <c r="L138" s="66" t="str">
        <f>IF(TArticle[[#This Row],[کد وضعیت سند]]&gt;0,VLOOKUP(TArticle[[#This Row],[کد وضعیت سند]],TDocState[],2,FALSE),"")</f>
        <v>انجام شد</v>
      </c>
      <c r="M138" s="67">
        <v>112</v>
      </c>
      <c r="N138" t="str">
        <f>IF(TArticle[[#This Row],[کد طرف حساب]]&gt;0,VLOOKUP(TArticle[[#This Row],[کد طرف حساب]],TContact[],2,FALSE),"")</f>
        <v>وام ملی</v>
      </c>
      <c r="O138" s="68">
        <f>IF(TArticle[[#This Row],[کد طرف حساب]]&gt;0,VLOOKUP(TArticle[[#This Row],[کد طرف حساب]],TContact[],7,FALSE)-SUMIF($M$2:M138,M138,$E$2:$E138),"")</f>
        <v>-44576</v>
      </c>
      <c r="P138" s="67" t="str">
        <f>RIGHT(TArticle[[#This Row],[تاریخ]],2)</f>
        <v>01</v>
      </c>
      <c r="Q138" s="67">
        <f>VLOOKUP(TArticle[[#This Row],[تاریخ]],TDays[],16,FALSE)</f>
        <v>23</v>
      </c>
      <c r="R138" s="67" t="str">
        <f>RIGHT(LEFT(TArticle[[#This Row],[تاریخ]],7),2)</f>
        <v>06</v>
      </c>
      <c r="S138" s="67" t="str">
        <f>LEFT(TArticle[[#This Row],[تاریخ]],4)</f>
        <v>1401</v>
      </c>
      <c r="T138" s="64"/>
      <c r="U138" s="64">
        <f>VLOOKUP(TArticle[[#This Row],[شناسه]],TAccount[],7,TRUE)</f>
        <v>81652</v>
      </c>
      <c r="V138" s="21" t="s">
        <v>351</v>
      </c>
      <c r="W138" s="64">
        <f>IF(AND(TArticle[[#This Row],[مبلغ]]&gt;0, TArticle[[#This Row],[کد وضعیت سند]]=1),TArticle[[#This Row],[مبلغ]],0)</f>
        <v>0</v>
      </c>
      <c r="X138" s="67">
        <f>IF(AND(TArticle[[#This Row],[مبلغ]]&lt;0,TArticle[[#This Row],[کد وضعیت سند]]=1),0-TArticle[[#This Row],[مبلغ]],0)</f>
        <v>1808</v>
      </c>
      <c r="Y138" s="67">
        <v>2</v>
      </c>
      <c r="Z138" t="str">
        <f>IF(TArticle[[#This Row],[کد بانک]]&gt;0,VLOOKUP(TArticle[[#This Row],[کد بانک]],TBank[],2,FALSE),"")</f>
        <v>ملی جاری</v>
      </c>
      <c r="AA138">
        <f>IF(AND(TArticle[[#This Row],[مبلغ]]&lt;0,TArticle[[#This Row],[کد وضعیت سند]]=1),0-TArticle[[#This Row],[مبلغ]],0)</f>
        <v>1808</v>
      </c>
      <c r="AB138">
        <f>IF(AND(TArticle[[#This Row],[مبلغ]]&gt;0, TArticle[[#This Row],[کد وضعیت سند]]=1),TArticle[[#This Row],[مبلغ]],0)</f>
        <v>0</v>
      </c>
      <c r="AC138" s="93">
        <f>IF(TArticle[[#This Row],[کد بانک]]&gt;0,VLOOKUP(TArticle[[#This Row],[کد بانک]],TBank[],9,FALSE)+SUMIF($Y$2:Y138,Y138,$E$2:$E138),"")</f>
        <v>39334</v>
      </c>
      <c r="AD138" s="1">
        <f>IFERROR(IF(INT(LEFT(TArticle[[#This Row],[شناسه]]))=3,IF(TArticle[[#This Row],[کد وضعیت سند]]=1,TArticle[مبلغ],0),0),0)</f>
        <v>0</v>
      </c>
      <c r="AE138" s="1">
        <f>IFERROR(IF(((TArticle[[#This Row],[شناسه]]))="4.1.1",IF(TArticle[[#This Row],[کد وضعیت سند]]=1,TArticle[مبلغ],0),0),0)</f>
        <v>0</v>
      </c>
      <c r="AF138" s="1">
        <f>IFERROR(IF(((TArticle[[#This Row],[شناسه]]))="4.1.2",IF(TArticle[[#This Row],[کد وضعیت سند]]=1,TArticle[مبلغ],0),0),0)</f>
        <v>0</v>
      </c>
      <c r="AG138" s="1">
        <f>IFERROR(IF(INT(LEFT(TArticle[[#This Row],[شناسه]]))=1,IF(TArticle[[#This Row],[کد وضعیت سند]]=1,TArticle[مبلغ],0),0),0)</f>
        <v>-1808</v>
      </c>
      <c r="AH138" s="1">
        <f>IFERROR(IF(INT(LEFT(TArticle[[#This Row],[شناسه]]))=2,IF(TArticle[[#This Row],[کد وضعیت سند]]=1,TArticle[مبلغ],0),0),0)</f>
        <v>0</v>
      </c>
      <c r="AI138" s="1">
        <f>IFERROR(IF((LEFT(TArticle[[#This Row],[شناسه]],3))="5.2",IF(TArticle[[#This Row],[کد وضعیت سند]]=1,TArticle[مبلغ],0),0),0)</f>
        <v>0</v>
      </c>
      <c r="AJ138" s="1">
        <f>IF(TArticle[[#This Row],[کد وضعیت سند]]=1,1,0)</f>
        <v>1</v>
      </c>
      <c r="AK138" s="1">
        <f>IF(AND(TArticle[[#This Row],[کد وضعیت سند]]&lt;&gt;1,TArticle[[#This Row],[مبلغ]]&lt;&gt;0),1,0)</f>
        <v>0</v>
      </c>
      <c r="AL138" s="78">
        <f>IF(TArticle[[#This Row],[کد بانک]]&gt;0,TArticle[[#This Row],[مانده بانک]]-VLOOKUP(TArticle[[#This Row],[کد بانک]],TBank[],7,FALSE),"")</f>
        <v>39334</v>
      </c>
      <c r="AM138" s="58" t="str">
        <f>LEFT(TArticle[[#This Row],[تاریخ]],7)</f>
        <v>1401-06</v>
      </c>
    </row>
    <row r="139" spans="1:39" hidden="1" x14ac:dyDescent="0.25">
      <c r="A139" s="24" t="s">
        <v>1110</v>
      </c>
      <c r="B139" s="49" t="str">
        <f>VLOOKUP(TArticle[[#This Row],[شناسه]],TAccount[],2,TRUE)</f>
        <v>قسط وام بانکی</v>
      </c>
      <c r="C139" s="49" t="str">
        <f>VLOOKUP(TArticle[[#This Row],[تاریخ]],TDays[],7,FALSE)</f>
        <v>چهارشنبه</v>
      </c>
      <c r="D139" s="21" t="s">
        <v>356</v>
      </c>
      <c r="E139" s="1">
        <v>-1830</v>
      </c>
      <c r="F139" s="1">
        <f>TArticle[[#This Row],[مبلغ]]+IFERROR(INT(F138),30181+3667+958)</f>
        <v>48185</v>
      </c>
      <c r="G139" t="s">
        <v>1591</v>
      </c>
      <c r="H139" s="21">
        <v>15</v>
      </c>
      <c r="K139" s="21">
        <v>1</v>
      </c>
      <c r="L139" t="str">
        <f>IF(TArticle[[#This Row],[کد وضعیت سند]]&gt;0,VLOOKUP(TArticle[[#This Row],[کد وضعیت سند]],TDocState[],2,FALSE),"")</f>
        <v>انجام شد</v>
      </c>
      <c r="M139" s="27">
        <v>110</v>
      </c>
      <c r="N139" t="str">
        <f>IF(TArticle[[#This Row],[کد طرف حساب]]&gt;0,VLOOKUP(TArticle[[#This Row],[کد طرف حساب]],TContact[],2,FALSE),"")</f>
        <v>وام ملت</v>
      </c>
      <c r="O139" s="61">
        <f>IF(TArticle[[#This Row],[کد طرف حساب]]&gt;0,VLOOKUP(TArticle[[#This Row],[کد طرف حساب]],TContact[],7,FALSE)-SUMIF($M$2:M139,M139,$E$2:$E139),"")</f>
        <v>-37190</v>
      </c>
      <c r="P139" s="27" t="str">
        <f>RIGHT(TArticle[[#This Row],[تاریخ]],2)</f>
        <v>02</v>
      </c>
      <c r="Q139" s="27">
        <f>VLOOKUP(TArticle[[#This Row],[تاریخ]],TDays[],16,FALSE)</f>
        <v>23</v>
      </c>
      <c r="R139" s="27" t="str">
        <f>RIGHT(LEFT(TArticle[[#This Row],[تاریخ]],7),2)</f>
        <v>06</v>
      </c>
      <c r="S139" s="27" t="str">
        <f>LEFT(TArticle[[#This Row],[تاریخ]],4)</f>
        <v>1401</v>
      </c>
      <c r="U139" s="21">
        <f>VLOOKUP(TArticle[[#This Row],[شناسه]],TAccount[],7,TRUE)</f>
        <v>81652</v>
      </c>
      <c r="V139" s="21" t="s">
        <v>357</v>
      </c>
      <c r="W139" s="21">
        <f>IF(AND(TArticle[[#This Row],[مبلغ]]&gt;0, TArticle[[#This Row],[کد وضعیت سند]]=1),TArticle[[#This Row],[مبلغ]],0)</f>
        <v>0</v>
      </c>
      <c r="X139" s="27">
        <f>IF(AND(TArticle[[#This Row],[مبلغ]]&lt;0,TArticle[[#This Row],[کد وضعیت سند]]=1),0-TArticle[[#This Row],[مبلغ]],0)</f>
        <v>1830</v>
      </c>
      <c r="Y139" s="27">
        <v>2</v>
      </c>
      <c r="Z139" t="str">
        <f>IF(TArticle[[#This Row],[کد بانک]]&gt;0,VLOOKUP(TArticle[[#This Row],[کد بانک]],TBank[],2,FALSE),"")</f>
        <v>ملی جاری</v>
      </c>
      <c r="AA139">
        <f>IF(AND(TArticle[[#This Row],[مبلغ]]&lt;0,TArticle[[#This Row],[کد وضعیت سند]]=1),0-TArticle[[#This Row],[مبلغ]],0)</f>
        <v>1830</v>
      </c>
      <c r="AB139">
        <f>IF(AND(TArticle[[#This Row],[مبلغ]]&gt;0, TArticle[[#This Row],[کد وضعیت سند]]=1),TArticle[[#This Row],[مبلغ]],0)</f>
        <v>0</v>
      </c>
      <c r="AC139" s="84">
        <f>IF(TArticle[[#This Row],[کد بانک]]&gt;0,VLOOKUP(TArticle[[#This Row],[کد بانک]],TBank[],9,FALSE)+SUMIF($Y$2:Y139,Y139,$E$2:$E139),"")</f>
        <v>37504</v>
      </c>
      <c r="AD139" s="1">
        <f>IFERROR(IF(INT(LEFT(TArticle[[#This Row],[شناسه]]))=3,IF(TArticle[[#This Row],[کد وضعیت سند]]=1,TArticle[مبلغ],0),0),0)</f>
        <v>0</v>
      </c>
      <c r="AE139" s="1">
        <f>IFERROR(IF(((TArticle[[#This Row],[شناسه]]))="4.1.1",IF(TArticle[[#This Row],[کد وضعیت سند]]=1,TArticle[مبلغ],0),0),0)</f>
        <v>0</v>
      </c>
      <c r="AF139" s="1">
        <f>IFERROR(IF(((TArticle[[#This Row],[شناسه]]))="4.1.2",IF(TArticle[[#This Row],[کد وضعیت سند]]=1,TArticle[مبلغ],0),0),0)</f>
        <v>0</v>
      </c>
      <c r="AG139" s="1">
        <f>IFERROR(IF(INT(LEFT(TArticle[[#This Row],[شناسه]]))=1,IF(TArticle[[#This Row],[کد وضعیت سند]]=1,TArticle[مبلغ],0),0),0)</f>
        <v>-1830</v>
      </c>
      <c r="AH139" s="1">
        <f>IFERROR(IF(INT(LEFT(TArticle[[#This Row],[شناسه]]))=2,IF(TArticle[[#This Row],[کد وضعیت سند]]=1,TArticle[مبلغ],0),0),0)</f>
        <v>0</v>
      </c>
      <c r="AI139" s="1">
        <f>IFERROR(IF((LEFT(TArticle[[#This Row],[شناسه]],3))="5.2",IF(TArticle[[#This Row],[کد وضعیت سند]]=1,TArticle[مبلغ],0),0),0)</f>
        <v>0</v>
      </c>
      <c r="AJ139" s="1">
        <f>IF(TArticle[[#This Row],[کد وضعیت سند]]=1,1,0)</f>
        <v>1</v>
      </c>
      <c r="AK139" s="1">
        <f>IF(AND(TArticle[[#This Row],[کد وضعیت سند]]&lt;&gt;1,TArticle[[#This Row],[مبلغ]]&lt;&gt;0),1,0)</f>
        <v>0</v>
      </c>
      <c r="AL139" s="51">
        <f>IF(TArticle[[#This Row],[کد بانک]]&gt;0,TArticle[[#This Row],[مانده بانک]]-VLOOKUP(TArticle[[#This Row],[کد بانک]],TBank[],7,FALSE),"")</f>
        <v>37504</v>
      </c>
      <c r="AM139" s="49" t="str">
        <f>LEFT(TArticle[[#This Row],[تاریخ]],7)</f>
        <v>1401-06</v>
      </c>
    </row>
    <row r="140" spans="1:39" hidden="1" x14ac:dyDescent="0.25">
      <c r="A140" s="24" t="s">
        <v>1110</v>
      </c>
      <c r="B140" s="49" t="str">
        <f>VLOOKUP(TArticle[[#This Row],[شناسه]],TAccount[],2,TRUE)</f>
        <v>قسط وام بانکی</v>
      </c>
      <c r="C140" s="49" t="str">
        <f>VLOOKUP(TArticle[[#This Row],[تاریخ]],TDays[],7,FALSE)</f>
        <v>چهارشنبه</v>
      </c>
      <c r="D140" s="21" t="s">
        <v>356</v>
      </c>
      <c r="E140" s="1">
        <v>-1830</v>
      </c>
      <c r="F140" s="1">
        <f>TArticle[[#This Row],[مبلغ]]+IFERROR(INT(F139),30181+3667+958)</f>
        <v>46355</v>
      </c>
      <c r="G140" t="s">
        <v>1591</v>
      </c>
      <c r="H140" s="21">
        <v>15</v>
      </c>
      <c r="K140" s="21">
        <v>1</v>
      </c>
      <c r="L140" t="str">
        <f>IF(TArticle[[#This Row],[کد وضعیت سند]]&gt;0,VLOOKUP(TArticle[[#This Row],[کد وضعیت سند]],TDocState[],2,FALSE),"")</f>
        <v>انجام شد</v>
      </c>
      <c r="M140" s="27">
        <v>111</v>
      </c>
      <c r="N140" t="str">
        <f>IF(TArticle[[#This Row],[کد طرف حساب]]&gt;0,VLOOKUP(TArticle[[#This Row],[کد طرف حساب]],TContact[],2,FALSE),"")</f>
        <v>وام ملت ف</v>
      </c>
      <c r="O140" s="61">
        <f>IF(TArticle[[#This Row],[کد طرف حساب]]&gt;0,VLOOKUP(TArticle[[#This Row],[کد طرف حساب]],TContact[],7,FALSE)-SUMIF($M$2:M140,M140,$E$2:$E140),"")</f>
        <v>-37190</v>
      </c>
      <c r="P140" s="27" t="str">
        <f>RIGHT(TArticle[[#This Row],[تاریخ]],2)</f>
        <v>02</v>
      </c>
      <c r="Q140" s="27">
        <f>VLOOKUP(TArticle[[#This Row],[تاریخ]],TDays[],16,FALSE)</f>
        <v>23</v>
      </c>
      <c r="R140" s="27" t="str">
        <f>RIGHT(LEFT(TArticle[[#This Row],[تاریخ]],7),2)</f>
        <v>06</v>
      </c>
      <c r="S140" s="27" t="str">
        <f>LEFT(TArticle[[#This Row],[تاریخ]],4)</f>
        <v>1401</v>
      </c>
      <c r="U140" s="21">
        <f>VLOOKUP(TArticle[[#This Row],[شناسه]],TAccount[],7,TRUE)</f>
        <v>81652</v>
      </c>
      <c r="V140" s="21" t="s">
        <v>357</v>
      </c>
      <c r="W140" s="21">
        <f>IF(AND(TArticle[[#This Row],[مبلغ]]&gt;0, TArticle[[#This Row],[کد وضعیت سند]]=1),TArticle[[#This Row],[مبلغ]],0)</f>
        <v>0</v>
      </c>
      <c r="X140" s="27">
        <f>IF(AND(TArticle[[#This Row],[مبلغ]]&lt;0,TArticle[[#This Row],[کد وضعیت سند]]=1),0-TArticle[[#This Row],[مبلغ]],0)</f>
        <v>1830</v>
      </c>
      <c r="Y140" s="27">
        <v>2</v>
      </c>
      <c r="Z140" t="str">
        <f>IF(TArticle[[#This Row],[کد بانک]]&gt;0,VLOOKUP(TArticle[[#This Row],[کد بانک]],TBank[],2,FALSE),"")</f>
        <v>ملی جاری</v>
      </c>
      <c r="AA140">
        <f>IF(AND(TArticle[[#This Row],[مبلغ]]&lt;0,TArticle[[#This Row],[کد وضعیت سند]]=1),0-TArticle[[#This Row],[مبلغ]],0)</f>
        <v>1830</v>
      </c>
      <c r="AB140">
        <f>IF(AND(TArticle[[#This Row],[مبلغ]]&gt;0, TArticle[[#This Row],[کد وضعیت سند]]=1),TArticle[[#This Row],[مبلغ]],0)</f>
        <v>0</v>
      </c>
      <c r="AC140" s="84">
        <f>IF(TArticle[[#This Row],[کد بانک]]&gt;0,VLOOKUP(TArticle[[#This Row],[کد بانک]],TBank[],9,FALSE)+SUMIF($Y$2:Y140,Y140,$E$2:$E140),"")</f>
        <v>35674</v>
      </c>
      <c r="AD140" s="1">
        <f>IFERROR(IF(INT(LEFT(TArticle[[#This Row],[شناسه]]))=3,IF(TArticle[[#This Row],[کد وضعیت سند]]=1,TArticle[مبلغ],0),0),0)</f>
        <v>0</v>
      </c>
      <c r="AE140" s="1">
        <f>IFERROR(IF(((TArticle[[#This Row],[شناسه]]))="4.1.1",IF(TArticle[[#This Row],[کد وضعیت سند]]=1,TArticle[مبلغ],0),0),0)</f>
        <v>0</v>
      </c>
      <c r="AF140" s="1">
        <f>IFERROR(IF(((TArticle[[#This Row],[شناسه]]))="4.1.2",IF(TArticle[[#This Row],[کد وضعیت سند]]=1,TArticle[مبلغ],0),0),0)</f>
        <v>0</v>
      </c>
      <c r="AG140" s="1">
        <f>IFERROR(IF(INT(LEFT(TArticle[[#This Row],[شناسه]]))=1,IF(TArticle[[#This Row],[کد وضعیت سند]]=1,TArticle[مبلغ],0),0),0)</f>
        <v>-1830</v>
      </c>
      <c r="AH140" s="1">
        <f>IFERROR(IF(INT(LEFT(TArticle[[#This Row],[شناسه]]))=2,IF(TArticle[[#This Row],[کد وضعیت سند]]=1,TArticle[مبلغ],0),0),0)</f>
        <v>0</v>
      </c>
      <c r="AI140" s="1">
        <f>IFERROR(IF((LEFT(TArticle[[#This Row],[شناسه]],3))="5.2",IF(TArticle[[#This Row],[کد وضعیت سند]]=1,TArticle[مبلغ],0),0),0)</f>
        <v>0</v>
      </c>
      <c r="AJ140" s="1">
        <f>IF(TArticle[[#This Row],[کد وضعیت سند]]=1,1,0)</f>
        <v>1</v>
      </c>
      <c r="AK140" s="1">
        <f>IF(AND(TArticle[[#This Row],[کد وضعیت سند]]&lt;&gt;1,TArticle[[#This Row],[مبلغ]]&lt;&gt;0),1,0)</f>
        <v>0</v>
      </c>
      <c r="AL140" s="51">
        <f>IF(TArticle[[#This Row],[کد بانک]]&gt;0,TArticle[[#This Row],[مانده بانک]]-VLOOKUP(TArticle[[#This Row],[کد بانک]],TBank[],7,FALSE),"")</f>
        <v>35674</v>
      </c>
      <c r="AM140" s="49" t="str">
        <f>LEFT(TArticle[[#This Row],[تاریخ]],7)</f>
        <v>1401-06</v>
      </c>
    </row>
    <row r="141" spans="1:39" hidden="1" x14ac:dyDescent="0.25">
      <c r="A141" s="24" t="s">
        <v>1008</v>
      </c>
      <c r="B141" s="49" t="str">
        <f>VLOOKUP(TArticle[[#This Row],[شناسه]],TAccount[],2,TRUE)</f>
        <v>حواله پرداخت/برداشت</v>
      </c>
      <c r="C141" s="49" t="str">
        <f>VLOOKUP(TArticle[[#This Row],[تاریخ]],TDays[],7,FALSE)</f>
        <v>چهارشنبه</v>
      </c>
      <c r="D141" s="21" t="s">
        <v>356</v>
      </c>
      <c r="E141" s="1">
        <v>-18950</v>
      </c>
      <c r="F141" s="1">
        <f>TArticle[[#This Row],[مبلغ]]+IFERROR(INT(F140),30181+3667+958)</f>
        <v>27405</v>
      </c>
      <c r="K141" s="21">
        <v>1</v>
      </c>
      <c r="L141" t="str">
        <f>IF(TArticle[[#This Row],[کد وضعیت سند]]&gt;0,VLOOKUP(TArticle[[#This Row],[کد وضعیت سند]],TDocState[],2,FALSE),"")</f>
        <v>انجام شد</v>
      </c>
      <c r="N141" t="str">
        <f>IF(TArticle[[#This Row],[کد طرف حساب]]&gt;0,VLOOKUP(TArticle[[#This Row],[کد طرف حساب]],TContact[],2,FALSE),"")</f>
        <v/>
      </c>
      <c r="O141" s="61" t="str">
        <f>IF(TArticle[[#This Row],[کد طرف حساب]]&gt;0,VLOOKUP(TArticle[[#This Row],[کد طرف حساب]],TContact[],7,FALSE)-SUMIF($M$2:M141,M141,$E$2:$E141),"")</f>
        <v/>
      </c>
      <c r="P141" s="27" t="str">
        <f>RIGHT(TArticle[[#This Row],[تاریخ]],2)</f>
        <v>02</v>
      </c>
      <c r="Q141" s="27">
        <f>VLOOKUP(TArticle[[#This Row],[تاریخ]],TDays[],16,FALSE)</f>
        <v>23</v>
      </c>
      <c r="R141" s="27" t="str">
        <f>RIGHT(LEFT(TArticle[[#This Row],[تاریخ]],7),2)</f>
        <v>06</v>
      </c>
      <c r="S141" s="27" t="str">
        <f>LEFT(TArticle[[#This Row],[تاریخ]],4)</f>
        <v>1401</v>
      </c>
      <c r="U141" s="21">
        <f>VLOOKUP(TArticle[[#This Row],[شناسه]],TAccount[],7,TRUE)</f>
        <v>179525</v>
      </c>
      <c r="W141" s="21">
        <f>IF(AND(TArticle[[#This Row],[مبلغ]]&gt;0, TArticle[[#This Row],[کد وضعیت سند]]=1),TArticle[[#This Row],[مبلغ]],0)</f>
        <v>0</v>
      </c>
      <c r="X141" s="27">
        <f>IF(AND(TArticle[[#This Row],[مبلغ]]&lt;0,TArticle[[#This Row],[کد وضعیت سند]]=1),0-TArticle[[#This Row],[مبلغ]],0)</f>
        <v>18950</v>
      </c>
      <c r="Y141" s="27">
        <v>2</v>
      </c>
      <c r="Z141" t="str">
        <f>IF(TArticle[[#This Row],[کد بانک]]&gt;0,VLOOKUP(TArticle[[#This Row],[کد بانک]],TBank[],2,FALSE),"")</f>
        <v>ملی جاری</v>
      </c>
      <c r="AA141">
        <f>IF(AND(TArticle[[#This Row],[مبلغ]]&lt;0,TArticle[[#This Row],[کد وضعیت سند]]=1),0-TArticle[[#This Row],[مبلغ]],0)</f>
        <v>18950</v>
      </c>
      <c r="AB141">
        <f>IF(AND(TArticle[[#This Row],[مبلغ]]&gt;0, TArticle[[#This Row],[کد وضعیت سند]]=1),TArticle[[#This Row],[مبلغ]],0)</f>
        <v>0</v>
      </c>
      <c r="AC141" s="84">
        <f>IF(TArticle[[#This Row],[کد بانک]]&gt;0,VLOOKUP(TArticle[[#This Row],[کد بانک]],TBank[],9,FALSE)+SUMIF($Y$2:Y141,Y141,$E$2:$E141),"")</f>
        <v>16724</v>
      </c>
      <c r="AD141" s="1">
        <f>IFERROR(IF(INT(LEFT(TArticle[[#This Row],[شناسه]]))=3,IF(TArticle[[#This Row],[کد وضعیت سند]]=1,TArticle[مبلغ],0),0),0)</f>
        <v>0</v>
      </c>
      <c r="AE141" s="1">
        <f>IFERROR(IF(((TArticle[[#This Row],[شناسه]]))="4.1.1",IF(TArticle[[#This Row],[کد وضعیت سند]]=1,TArticle[مبلغ],0),0),0)</f>
        <v>0</v>
      </c>
      <c r="AF141" s="1">
        <f>IFERROR(IF(((TArticle[[#This Row],[شناسه]]))="4.1.2",IF(TArticle[[#This Row],[کد وضعیت سند]]=1,TArticle[مبلغ],0),0),0)</f>
        <v>0</v>
      </c>
      <c r="AG141" s="1">
        <f>IFERROR(IF(INT(LEFT(TArticle[[#This Row],[شناسه]]))=1,IF(TArticle[[#This Row],[کد وضعیت سند]]=1,TArticle[مبلغ],0),0),0)</f>
        <v>0</v>
      </c>
      <c r="AH141" s="1">
        <f>IFERROR(IF(INT(LEFT(TArticle[[#This Row],[شناسه]]))=2,IF(TArticle[[#This Row],[کد وضعیت سند]]=1,TArticle[مبلغ],0),0),0)</f>
        <v>0</v>
      </c>
      <c r="AI141" s="1">
        <f>IFERROR(IF((LEFT(TArticle[[#This Row],[شناسه]],3))="5.2",IF(TArticle[[#This Row],[کد وضعیت سند]]=1,TArticle[مبلغ],0),0),0)</f>
        <v>0</v>
      </c>
      <c r="AJ141" s="1">
        <f>IF(TArticle[[#This Row],[کد وضعیت سند]]=1,1,0)</f>
        <v>1</v>
      </c>
      <c r="AK141" s="1">
        <f>IF(AND(TArticle[[#This Row],[کد وضعیت سند]]&lt;&gt;1,TArticle[[#This Row],[مبلغ]]&lt;&gt;0),1,0)</f>
        <v>0</v>
      </c>
      <c r="AL141" s="51">
        <f>IF(TArticle[[#This Row],[کد بانک]]&gt;0,TArticle[[#This Row],[مانده بانک]]-VLOOKUP(TArticle[[#This Row],[کد بانک]],TBank[],7,FALSE),"")</f>
        <v>16724</v>
      </c>
      <c r="AM141" s="49" t="str">
        <f>LEFT(TArticle[[#This Row],[تاریخ]],7)</f>
        <v>1401-06</v>
      </c>
    </row>
    <row r="142" spans="1:39" hidden="1" x14ac:dyDescent="0.25">
      <c r="A142" s="24" t="s">
        <v>112</v>
      </c>
      <c r="B142" s="49" t="str">
        <f>VLOOKUP(TArticle[[#This Row],[شناسه]],TAccount[],2,TRUE)</f>
        <v>رسید دریافت/واریز</v>
      </c>
      <c r="C142" s="49" t="str">
        <f>VLOOKUP(TArticle[[#This Row],[تاریخ]],TDays[],7,FALSE)</f>
        <v>چهارشنبه</v>
      </c>
      <c r="D142" s="21" t="s">
        <v>356</v>
      </c>
      <c r="E142" s="1">
        <v>18950</v>
      </c>
      <c r="F142" s="1">
        <f>TArticle[[#This Row],[مبلغ]]+IFERROR(INT(F141),30181+3667+958)</f>
        <v>46355</v>
      </c>
      <c r="K142" s="21">
        <v>1</v>
      </c>
      <c r="L142" t="str">
        <f>IF(TArticle[[#This Row],[کد وضعیت سند]]&gt;0,VLOOKUP(TArticle[[#This Row],[کد وضعیت سند]],TDocState[],2,FALSE),"")</f>
        <v>انجام شد</v>
      </c>
      <c r="N142" t="str">
        <f>IF(TArticle[[#This Row],[کد طرف حساب]]&gt;0,VLOOKUP(TArticle[[#This Row],[کد طرف حساب]],TContact[],2,FALSE),"")</f>
        <v/>
      </c>
      <c r="O142" s="61" t="str">
        <f>IF(TArticle[[#This Row],[کد طرف حساب]]&gt;0,VLOOKUP(TArticle[[#This Row],[کد طرف حساب]],TContact[],7,FALSE)-SUMIF($M$2:M142,M142,$E$2:$E142),"")</f>
        <v/>
      </c>
      <c r="P142" s="27" t="str">
        <f>RIGHT(TArticle[[#This Row],[تاریخ]],2)</f>
        <v>02</v>
      </c>
      <c r="Q142" s="27">
        <f>VLOOKUP(TArticle[[#This Row],[تاریخ]],TDays[],16,FALSE)</f>
        <v>23</v>
      </c>
      <c r="R142" s="27" t="str">
        <f>RIGHT(LEFT(TArticle[[#This Row],[تاریخ]],7),2)</f>
        <v>06</v>
      </c>
      <c r="S142" s="27" t="str">
        <f>LEFT(TArticle[[#This Row],[تاریخ]],4)</f>
        <v>1401</v>
      </c>
      <c r="U142" s="21">
        <f>VLOOKUP(TArticle[[#This Row],[شناسه]],TAccount[],7,TRUE)</f>
        <v>257767</v>
      </c>
      <c r="W142" s="21">
        <f>IF(AND(TArticle[[#This Row],[مبلغ]]&gt;0, TArticle[[#This Row],[کد وضعیت سند]]=1),TArticle[[#This Row],[مبلغ]],0)</f>
        <v>18950</v>
      </c>
      <c r="X142" s="27">
        <f>IF(AND(TArticle[[#This Row],[مبلغ]]&lt;0,TArticle[[#This Row],[کد وضعیت سند]]=1),0-TArticle[[#This Row],[مبلغ]],0)</f>
        <v>0</v>
      </c>
      <c r="Y142" s="27">
        <v>4</v>
      </c>
      <c r="Z142" t="str">
        <f>IF(TArticle[[#This Row],[کد بانک]]&gt;0,VLOOKUP(TArticle[[#This Row],[کد بانک]],TBank[],2,FALSE),"")</f>
        <v>سپه</v>
      </c>
      <c r="AA142">
        <f>IF(AND(TArticle[[#This Row],[مبلغ]]&lt;0,TArticle[[#This Row],[کد وضعیت سند]]=1),0-TArticle[[#This Row],[مبلغ]],0)</f>
        <v>0</v>
      </c>
      <c r="AB142">
        <f>IF(AND(TArticle[[#This Row],[مبلغ]]&gt;0, TArticle[[#This Row],[کد وضعیت سند]]=1),TArticle[[#This Row],[مبلغ]],0)</f>
        <v>18950</v>
      </c>
      <c r="AC142" s="84">
        <f>IF(TArticle[[#This Row],[کد بانک]]&gt;0,VLOOKUP(TArticle[[#This Row],[کد بانک]],TBank[],9,FALSE)+SUMIF($Y$2:Y142,Y142,$E$2:$E142),"")</f>
        <v>23027</v>
      </c>
      <c r="AD142" s="1">
        <f>IFERROR(IF(INT(LEFT(TArticle[[#This Row],[شناسه]]))=3,IF(TArticle[[#This Row],[کد وضعیت سند]]=1,TArticle[مبلغ],0),0),0)</f>
        <v>0</v>
      </c>
      <c r="AE142" s="1">
        <f>IFERROR(IF(((TArticle[[#This Row],[شناسه]]))="4.1.1",IF(TArticle[[#This Row],[کد وضعیت سند]]=1,TArticle[مبلغ],0),0),0)</f>
        <v>0</v>
      </c>
      <c r="AF142" s="1">
        <f>IFERROR(IF(((TArticle[[#This Row],[شناسه]]))="4.1.2",IF(TArticle[[#This Row],[کد وضعیت سند]]=1,TArticle[مبلغ],0),0),0)</f>
        <v>0</v>
      </c>
      <c r="AG142" s="1">
        <f>IFERROR(IF(INT(LEFT(TArticle[[#This Row],[شناسه]]))=1,IF(TArticle[[#This Row],[کد وضعیت سند]]=1,TArticle[مبلغ],0),0),0)</f>
        <v>0</v>
      </c>
      <c r="AH142" s="1">
        <f>IFERROR(IF(INT(LEFT(TArticle[[#This Row],[شناسه]]))=2,IF(TArticle[[#This Row],[کد وضعیت سند]]=1,TArticle[مبلغ],0),0),0)</f>
        <v>0</v>
      </c>
      <c r="AI142" s="1">
        <f>IFERROR(IF((LEFT(TArticle[[#This Row],[شناسه]],3))="5.2",IF(TArticle[[#This Row],[کد وضعیت سند]]=1,TArticle[مبلغ],0),0),0)</f>
        <v>0</v>
      </c>
      <c r="AJ142" s="1">
        <f>IF(TArticle[[#This Row],[کد وضعیت سند]]=1,1,0)</f>
        <v>1</v>
      </c>
      <c r="AK142" s="1">
        <f>IF(AND(TArticle[[#This Row],[کد وضعیت سند]]&lt;&gt;1,TArticle[[#This Row],[مبلغ]]&lt;&gt;0),1,0)</f>
        <v>0</v>
      </c>
      <c r="AL142" s="51">
        <f>IF(TArticle[[#This Row],[کد بانک]]&gt;0,TArticle[[#This Row],[مانده بانک]]-VLOOKUP(TArticle[[#This Row],[کد بانک]],TBank[],7,FALSE),"")</f>
        <v>23025</v>
      </c>
      <c r="AM142" s="49" t="str">
        <f>LEFT(TArticle[[#This Row],[تاریخ]],7)</f>
        <v>1401-06</v>
      </c>
    </row>
    <row r="143" spans="1:39" hidden="1" x14ac:dyDescent="0.25">
      <c r="A143" s="24" t="s">
        <v>55</v>
      </c>
      <c r="B143" s="49" t="str">
        <f>VLOOKUP(TArticle[[#This Row],[شناسه]],TAccount[],2,TRUE)</f>
        <v>هزینه کلی</v>
      </c>
      <c r="C143" s="49" t="str">
        <f>VLOOKUP(TArticle[[#This Row],[تاریخ]],TDays[],7,FALSE)</f>
        <v>چهارشنبه</v>
      </c>
      <c r="D143" s="21" t="s">
        <v>356</v>
      </c>
      <c r="E143" s="1">
        <f>15952-16724-5</f>
        <v>-777</v>
      </c>
      <c r="F143" s="1">
        <f>TArticle[[#This Row],[مبلغ]]+IFERROR(INT(F142),30181+3667+958)</f>
        <v>45578</v>
      </c>
      <c r="K143" s="21">
        <v>1</v>
      </c>
      <c r="L143" t="str">
        <f>IF(TArticle[[#This Row],[کد وضعیت سند]]&gt;0,VLOOKUP(TArticle[[#This Row],[کد وضعیت سند]],TDocState[],2,FALSE),"")</f>
        <v>انجام شد</v>
      </c>
      <c r="N143" t="str">
        <f>IF(TArticle[[#This Row],[کد طرف حساب]]&gt;0,VLOOKUP(TArticle[[#This Row],[کد طرف حساب]],TContact[],2,FALSE),"")</f>
        <v/>
      </c>
      <c r="O143" s="61" t="str">
        <f>IF(TArticle[[#This Row],[کد طرف حساب]]&gt;0,VLOOKUP(TArticle[[#This Row],[کد طرف حساب]],TContact[],7,FALSE)-SUMIF($M$2:M143,M143,$E$2:$E143),"")</f>
        <v/>
      </c>
      <c r="P143" s="27" t="str">
        <f>RIGHT(TArticle[[#This Row],[تاریخ]],2)</f>
        <v>02</v>
      </c>
      <c r="Q143" s="27">
        <f>VLOOKUP(TArticle[[#This Row],[تاریخ]],TDays[],16,FALSE)</f>
        <v>23</v>
      </c>
      <c r="R143" s="27" t="str">
        <f>RIGHT(LEFT(TArticle[[#This Row],[تاریخ]],7),2)</f>
        <v>06</v>
      </c>
      <c r="S143" s="27" t="str">
        <f>LEFT(TArticle[[#This Row],[تاریخ]],4)</f>
        <v>1401</v>
      </c>
      <c r="U143" s="21">
        <f>VLOOKUP(TArticle[[#This Row],[شناسه]],TAccount[],7,TRUE)</f>
        <v>364074</v>
      </c>
      <c r="W143" s="21">
        <f>IF(AND(TArticle[[#This Row],[مبلغ]]&gt;0, TArticle[[#This Row],[کد وضعیت سند]]=1),TArticle[[#This Row],[مبلغ]],0)</f>
        <v>0</v>
      </c>
      <c r="X143" s="27">
        <f>IF(AND(TArticle[[#This Row],[مبلغ]]&lt;0,TArticle[[#This Row],[کد وضعیت سند]]=1),0-TArticle[[#This Row],[مبلغ]],0)</f>
        <v>777</v>
      </c>
      <c r="Y143" s="27">
        <v>2</v>
      </c>
      <c r="Z143" t="str">
        <f>IF(TArticle[[#This Row],[کد بانک]]&gt;0,VLOOKUP(TArticle[[#This Row],[کد بانک]],TBank[],2,FALSE),"")</f>
        <v>ملی جاری</v>
      </c>
      <c r="AA143">
        <f>IF(AND(TArticle[[#This Row],[مبلغ]]&lt;0,TArticle[[#This Row],[کد وضعیت سند]]=1),0-TArticle[[#This Row],[مبلغ]],0)</f>
        <v>777</v>
      </c>
      <c r="AB143">
        <f>IF(AND(TArticle[[#This Row],[مبلغ]]&gt;0, TArticle[[#This Row],[کد وضعیت سند]]=1),TArticle[[#This Row],[مبلغ]],0)</f>
        <v>0</v>
      </c>
      <c r="AC143" s="84">
        <f>IF(TArticle[[#This Row],[کد بانک]]&gt;0,VLOOKUP(TArticle[[#This Row],[کد بانک]],TBank[],9,FALSE)+SUMIF($Y$2:Y143,Y143,$E$2:$E143),"")</f>
        <v>15947</v>
      </c>
      <c r="AD143" s="1">
        <f>IFERROR(IF(INT(LEFT(TArticle[[#This Row],[شناسه]]))=3,IF(TArticle[[#This Row],[کد وضعیت سند]]=1,TArticle[مبلغ],0),0),0)</f>
        <v>-777</v>
      </c>
      <c r="AE143" s="1">
        <f>IFERROR(IF(((TArticle[[#This Row],[شناسه]]))="4.1.1",IF(TArticle[[#This Row],[کد وضعیت سند]]=1,TArticle[مبلغ],0),0),0)</f>
        <v>0</v>
      </c>
      <c r="AF143" s="1">
        <f>IFERROR(IF(((TArticle[[#This Row],[شناسه]]))="4.1.2",IF(TArticle[[#This Row],[کد وضعیت سند]]=1,TArticle[مبلغ],0),0),0)</f>
        <v>0</v>
      </c>
      <c r="AG143" s="1">
        <f>IFERROR(IF(INT(LEFT(TArticle[[#This Row],[شناسه]]))=1,IF(TArticle[[#This Row],[کد وضعیت سند]]=1,TArticle[مبلغ],0),0),0)</f>
        <v>0</v>
      </c>
      <c r="AH143" s="1">
        <f>IFERROR(IF(INT(LEFT(TArticle[[#This Row],[شناسه]]))=2,IF(TArticle[[#This Row],[کد وضعیت سند]]=1,TArticle[مبلغ],0),0),0)</f>
        <v>0</v>
      </c>
      <c r="AI143" s="1">
        <f>IFERROR(IF((LEFT(TArticle[[#This Row],[شناسه]],3))="5.2",IF(TArticle[[#This Row],[کد وضعیت سند]]=1,TArticle[مبلغ],0),0),0)</f>
        <v>0</v>
      </c>
      <c r="AJ143" s="1">
        <f>IF(TArticle[[#This Row],[کد وضعیت سند]]=1,1,0)</f>
        <v>1</v>
      </c>
      <c r="AK143" s="1">
        <f>IF(AND(TArticle[[#This Row],[کد وضعیت سند]]&lt;&gt;1,TArticle[[#This Row],[مبلغ]]&lt;&gt;0),1,0)</f>
        <v>0</v>
      </c>
      <c r="AL143" s="51">
        <f>IF(TArticle[[#This Row],[کد بانک]]&gt;0,TArticle[[#This Row],[مانده بانک]]-VLOOKUP(TArticle[[#This Row],[کد بانک]],TBank[],7,FALSE),"")</f>
        <v>15947</v>
      </c>
      <c r="AM143" s="49" t="str">
        <f>LEFT(TArticle[[#This Row],[تاریخ]],7)</f>
        <v>1401-06</v>
      </c>
    </row>
    <row r="144" spans="1:39" hidden="1" x14ac:dyDescent="0.25">
      <c r="A144" s="77" t="s">
        <v>76</v>
      </c>
      <c r="B144" s="49" t="str">
        <f>VLOOKUP(TArticle[[#This Row],[شناسه]],TAccount[],2,TRUE)</f>
        <v>قسط</v>
      </c>
      <c r="C144" s="49" t="str">
        <f>VLOOKUP(TArticle[[#This Row],[تاریخ]],TDays[],7,FALSE)</f>
        <v>چهارشنبه</v>
      </c>
      <c r="D144" s="21" t="s">
        <v>356</v>
      </c>
      <c r="E144" s="1">
        <v>-2777</v>
      </c>
      <c r="F144" s="1">
        <f>TArticle[[#This Row],[مبلغ]]+IFERROR(INT(F143),30181+3667+958)</f>
        <v>42801</v>
      </c>
      <c r="H144" s="64">
        <v>25</v>
      </c>
      <c r="J144" s="65"/>
      <c r="K144" s="64">
        <v>1</v>
      </c>
      <c r="L144" s="66" t="str">
        <f>IF(TArticle[[#This Row],[کد وضعیت سند]]&gt;0,VLOOKUP(TArticle[[#This Row],[کد وضعیت سند]],TDocState[],2,FALSE),"")</f>
        <v>انجام شد</v>
      </c>
      <c r="M144" s="67">
        <v>105</v>
      </c>
      <c r="N144" t="str">
        <f>IF(TArticle[[#This Row],[کد طرف حساب]]&gt;0,VLOOKUP(TArticle[[#This Row],[کد طرف حساب]],TContact[],2,FALSE),"")</f>
        <v>وام محبوبه</v>
      </c>
      <c r="O144" s="68">
        <f>IF(TArticle[[#This Row],[کد طرف حساب]]&gt;0,VLOOKUP(TArticle[[#This Row],[کد طرف حساب]],TContact[],7,FALSE)-SUMIF($M$2:M144,M144,$E$2:$E144),"")</f>
        <v>-19675</v>
      </c>
      <c r="P144" s="67" t="str">
        <f>RIGHT(TArticle[[#This Row],[تاریخ]],2)</f>
        <v>02</v>
      </c>
      <c r="Q144" s="67">
        <f>VLOOKUP(TArticle[[#This Row],[تاریخ]],TDays[],16,FALSE)</f>
        <v>23</v>
      </c>
      <c r="R144" s="67" t="str">
        <f>RIGHT(LEFT(TArticle[[#This Row],[تاریخ]],7),2)</f>
        <v>06</v>
      </c>
      <c r="S144" s="67" t="str">
        <f>LEFT(TArticle[[#This Row],[تاریخ]],4)</f>
        <v>1401</v>
      </c>
      <c r="T144" s="64"/>
      <c r="U144" s="64">
        <f>VLOOKUP(TArticle[[#This Row],[شناسه]],TAccount[],7,TRUE)</f>
        <v>36266</v>
      </c>
      <c r="V144" s="28" t="s">
        <v>353</v>
      </c>
      <c r="W144" s="64">
        <f>IF(AND(TArticle[[#This Row],[مبلغ]]&gt;0, TArticle[[#This Row],[کد وضعیت سند]]=1),TArticle[[#This Row],[مبلغ]],0)</f>
        <v>0</v>
      </c>
      <c r="X144" s="67">
        <f>IF(AND(TArticle[[#This Row],[مبلغ]]&lt;0,TArticle[[#This Row],[کد وضعیت سند]]=1),0-TArticle[[#This Row],[مبلغ]],0)</f>
        <v>2777</v>
      </c>
      <c r="Y144" s="27">
        <v>2</v>
      </c>
      <c r="Z144" t="str">
        <f>IF(TArticle[[#This Row],[کد بانک]]&gt;0,VLOOKUP(TArticle[[#This Row],[کد بانک]],TBank[],2,FALSE),"")</f>
        <v>ملی جاری</v>
      </c>
      <c r="AA144">
        <f>IF(AND(TArticle[[#This Row],[مبلغ]]&lt;0,TArticle[[#This Row],[کد وضعیت سند]]=1),0-TArticle[[#This Row],[مبلغ]],0)</f>
        <v>2777</v>
      </c>
      <c r="AB144">
        <f>IF(AND(TArticle[[#This Row],[مبلغ]]&gt;0, TArticle[[#This Row],[کد وضعیت سند]]=1),TArticle[[#This Row],[مبلغ]],0)</f>
        <v>0</v>
      </c>
      <c r="AC144" s="93">
        <f>IF(TArticle[[#This Row],[کد بانک]]&gt;0,VLOOKUP(TArticle[[#This Row],[کد بانک]],TBank[],9,FALSE)+SUMIF($Y$2:Y144,Y144,$E$2:$E144),"")</f>
        <v>13170</v>
      </c>
      <c r="AD144" s="1">
        <f>IFERROR(IF(INT(LEFT(TArticle[[#This Row],[شناسه]]))=3,IF(TArticle[[#This Row],[کد وضعیت سند]]=1,TArticle[مبلغ],0),0),0)</f>
        <v>0</v>
      </c>
      <c r="AE144" s="1">
        <f>IFERROR(IF(((TArticle[[#This Row],[شناسه]]))="4.1.1",IF(TArticle[[#This Row],[کد وضعیت سند]]=1,TArticle[مبلغ],0),0),0)</f>
        <v>0</v>
      </c>
      <c r="AF144" s="1">
        <f>IFERROR(IF(((TArticle[[#This Row],[شناسه]]))="4.1.2",IF(TArticle[[#This Row],[کد وضعیت سند]]=1,TArticle[مبلغ],0),0),0)</f>
        <v>0</v>
      </c>
      <c r="AG144" s="1">
        <f>IFERROR(IF(INT(LEFT(TArticle[[#This Row],[شناسه]]))=1,IF(TArticle[[#This Row],[کد وضعیت سند]]=1,TArticle[مبلغ],0),0),0)</f>
        <v>-2777</v>
      </c>
      <c r="AH144" s="1">
        <f>IFERROR(IF(INT(LEFT(TArticle[[#This Row],[شناسه]]))=2,IF(TArticle[[#This Row],[کد وضعیت سند]]=1,TArticle[مبلغ],0),0),0)</f>
        <v>0</v>
      </c>
      <c r="AI144" s="1">
        <f>IFERROR(IF((LEFT(TArticle[[#This Row],[شناسه]],3))="5.2",IF(TArticle[[#This Row],[کد وضعیت سند]]=1,TArticle[مبلغ],0),0),0)</f>
        <v>0</v>
      </c>
      <c r="AJ144" s="1">
        <f>IF(TArticle[[#This Row],[کد وضعیت سند]]=1,1,0)</f>
        <v>1</v>
      </c>
      <c r="AK144" s="1">
        <f>IF(AND(TArticle[[#This Row],[کد وضعیت سند]]&lt;&gt;1,TArticle[[#This Row],[مبلغ]]&lt;&gt;0),1,0)</f>
        <v>0</v>
      </c>
      <c r="AL144" s="78">
        <f>IF(TArticle[[#This Row],[کد بانک]]&gt;0,TArticle[[#This Row],[مانده بانک]]-VLOOKUP(TArticle[[#This Row],[کد بانک]],TBank[],7,FALSE),"")</f>
        <v>13170</v>
      </c>
      <c r="AM144" s="58" t="str">
        <f>LEFT(TArticle[[#This Row],[تاریخ]],7)</f>
        <v>1401-06</v>
      </c>
    </row>
    <row r="145" spans="1:39" hidden="1" x14ac:dyDescent="0.25">
      <c r="A145" s="77" t="s">
        <v>76</v>
      </c>
      <c r="B145" s="49" t="str">
        <f>VLOOKUP(TArticle[[#This Row],[شناسه]],TAccount[],2,TRUE)</f>
        <v>قسط</v>
      </c>
      <c r="C145" s="49" t="str">
        <f>VLOOKUP(TArticle[[#This Row],[تاریخ]],TDays[],7,FALSE)</f>
        <v>چهارشنبه</v>
      </c>
      <c r="D145" s="21" t="s">
        <v>356</v>
      </c>
      <c r="E145" s="1">
        <v>-2777</v>
      </c>
      <c r="F145" s="1">
        <f>TArticle[[#This Row],[مبلغ]]+IFERROR(INT(F144),30181+3667+958)</f>
        <v>40024</v>
      </c>
      <c r="H145" s="64">
        <v>26</v>
      </c>
      <c r="J145" s="65"/>
      <c r="K145" s="64">
        <v>1</v>
      </c>
      <c r="L145" s="66" t="str">
        <f>IF(TArticle[[#This Row],[کد وضعیت سند]]&gt;0,VLOOKUP(TArticle[[#This Row],[کد وضعیت سند]],TDocState[],2,FALSE),"")</f>
        <v>انجام شد</v>
      </c>
      <c r="M145" s="67">
        <v>105</v>
      </c>
      <c r="N145" t="str">
        <f>IF(TArticle[[#This Row],[کد طرف حساب]]&gt;0,VLOOKUP(TArticle[[#This Row],[کد طرف حساب]],TContact[],2,FALSE),"")</f>
        <v>وام محبوبه</v>
      </c>
      <c r="O145" s="68">
        <f>IF(TArticle[[#This Row],[کد طرف حساب]]&gt;0,VLOOKUP(TArticle[[#This Row],[کد طرف حساب]],TContact[],7,FALSE)-SUMIF($M$2:M145,M145,$E$2:$E145),"")</f>
        <v>-16898</v>
      </c>
      <c r="P145" s="67" t="str">
        <f>RIGHT(TArticle[[#This Row],[تاریخ]],2)</f>
        <v>02</v>
      </c>
      <c r="Q145" s="67">
        <f>VLOOKUP(TArticle[[#This Row],[تاریخ]],TDays[],16,FALSE)</f>
        <v>23</v>
      </c>
      <c r="R145" s="67" t="str">
        <f>RIGHT(LEFT(TArticle[[#This Row],[تاریخ]],7),2)</f>
        <v>06</v>
      </c>
      <c r="S145" s="67" t="str">
        <f>LEFT(TArticle[[#This Row],[تاریخ]],4)</f>
        <v>1401</v>
      </c>
      <c r="T145" s="64"/>
      <c r="U145" s="64">
        <f>VLOOKUP(TArticle[[#This Row],[شناسه]],TAccount[],7,TRUE)</f>
        <v>36266</v>
      </c>
      <c r="V145" s="28" t="s">
        <v>383</v>
      </c>
      <c r="W145" s="64">
        <f>IF(AND(TArticle[[#This Row],[مبلغ]]&gt;0, TArticle[[#This Row],[کد وضعیت سند]]=1),TArticle[[#This Row],[مبلغ]],0)</f>
        <v>0</v>
      </c>
      <c r="X145" s="67">
        <f>IF(AND(TArticle[[#This Row],[مبلغ]]&lt;0,TArticle[[#This Row],[کد وضعیت سند]]=1),0-TArticle[[#This Row],[مبلغ]],0)</f>
        <v>2777</v>
      </c>
      <c r="Y145" s="27">
        <v>2</v>
      </c>
      <c r="Z145" t="str">
        <f>IF(TArticle[[#This Row],[کد بانک]]&gt;0,VLOOKUP(TArticle[[#This Row],[کد بانک]],TBank[],2,FALSE),"")</f>
        <v>ملی جاری</v>
      </c>
      <c r="AA145">
        <f>IF(AND(TArticle[[#This Row],[مبلغ]]&lt;0,TArticle[[#This Row],[کد وضعیت سند]]=1),0-TArticle[[#This Row],[مبلغ]],0)</f>
        <v>2777</v>
      </c>
      <c r="AB145">
        <f>IF(AND(TArticle[[#This Row],[مبلغ]]&gt;0, TArticle[[#This Row],[کد وضعیت سند]]=1),TArticle[[#This Row],[مبلغ]],0)</f>
        <v>0</v>
      </c>
      <c r="AC145" s="93">
        <f>IF(TArticle[[#This Row],[کد بانک]]&gt;0,VLOOKUP(TArticle[[#This Row],[کد بانک]],TBank[],9,FALSE)+SUMIF($Y$2:Y145,Y145,$E$2:$E145),"")</f>
        <v>10393</v>
      </c>
      <c r="AD145" s="1">
        <f>IFERROR(IF(INT(LEFT(TArticle[[#This Row],[شناسه]]))=3,IF(TArticle[[#This Row],[کد وضعیت سند]]=1,TArticle[مبلغ],0),0),0)</f>
        <v>0</v>
      </c>
      <c r="AE145" s="1">
        <f>IFERROR(IF(((TArticle[[#This Row],[شناسه]]))="4.1.1",IF(TArticle[[#This Row],[کد وضعیت سند]]=1,TArticle[مبلغ],0),0),0)</f>
        <v>0</v>
      </c>
      <c r="AF145" s="1">
        <f>IFERROR(IF(((TArticle[[#This Row],[شناسه]]))="4.1.2",IF(TArticle[[#This Row],[کد وضعیت سند]]=1,TArticle[مبلغ],0),0),0)</f>
        <v>0</v>
      </c>
      <c r="AG145" s="1">
        <f>IFERROR(IF(INT(LEFT(TArticle[[#This Row],[شناسه]]))=1,IF(TArticle[[#This Row],[کد وضعیت سند]]=1,TArticle[مبلغ],0),0),0)</f>
        <v>-2777</v>
      </c>
      <c r="AH145" s="1">
        <f>IFERROR(IF(INT(LEFT(TArticle[[#This Row],[شناسه]]))=2,IF(TArticle[[#This Row],[کد وضعیت سند]]=1,TArticle[مبلغ],0),0),0)</f>
        <v>0</v>
      </c>
      <c r="AI145" s="1">
        <f>IFERROR(IF((LEFT(TArticle[[#This Row],[شناسه]],3))="5.2",IF(TArticle[[#This Row],[کد وضعیت سند]]=1,TArticle[مبلغ],0),0),0)</f>
        <v>0</v>
      </c>
      <c r="AJ145" s="1">
        <f>IF(TArticle[[#This Row],[کد وضعیت سند]]=1,1,0)</f>
        <v>1</v>
      </c>
      <c r="AK145" s="1">
        <f>IF(AND(TArticle[[#This Row],[کد وضعیت سند]]&lt;&gt;1,TArticle[[#This Row],[مبلغ]]&lt;&gt;0),1,0)</f>
        <v>0</v>
      </c>
      <c r="AL145" s="78">
        <f>IF(TArticle[[#This Row],[کد بانک]]&gt;0,TArticle[[#This Row],[مانده بانک]]-VLOOKUP(TArticle[[#This Row],[کد بانک]],TBank[],7,FALSE),"")</f>
        <v>10393</v>
      </c>
      <c r="AM145" s="58" t="str">
        <f>LEFT(TArticle[[#This Row],[تاریخ]],7)</f>
        <v>1401-06</v>
      </c>
    </row>
    <row r="146" spans="1:39" hidden="1" x14ac:dyDescent="0.25">
      <c r="A146" s="24" t="s">
        <v>78</v>
      </c>
      <c r="B146" s="49" t="str">
        <f>VLOOKUP(TArticle[[#This Row],[شناسه]],TAccount[],2,TRUE)</f>
        <v>چک</v>
      </c>
      <c r="C146" s="49" t="str">
        <f>VLOOKUP(TArticle[[#This Row],[تاریخ]],TDays[],7,FALSE)</f>
        <v>شنبه</v>
      </c>
      <c r="D146" s="21" t="s">
        <v>359</v>
      </c>
      <c r="E146" s="1">
        <v>-5000</v>
      </c>
      <c r="F146" s="1">
        <f>TArticle[[#This Row],[مبلغ]]+IFERROR(INT(F145),30181+3667+958)</f>
        <v>35024</v>
      </c>
      <c r="G146" t="s">
        <v>1661</v>
      </c>
      <c r="K146" s="21">
        <v>1</v>
      </c>
      <c r="L146" t="str">
        <f>IF(TArticle[[#This Row],[کد وضعیت سند]]&gt;0,VLOOKUP(TArticle[[#This Row],[کد وضعیت سند]],TDocState[],2,FALSE),"")</f>
        <v>انجام شد</v>
      </c>
      <c r="M146" s="27">
        <v>2</v>
      </c>
      <c r="N146" t="str">
        <f>IF(TArticle[[#This Row],[کد طرف حساب]]&gt;0,VLOOKUP(TArticle[[#This Row],[کد طرف حساب]],TContact[],2,FALSE),"")</f>
        <v>حامد</v>
      </c>
      <c r="O146" s="61">
        <f>IF(TArticle[[#This Row],[کد طرف حساب]]&gt;0,VLOOKUP(TArticle[[#This Row],[کد طرف حساب]],TContact[],7,FALSE)-SUMIF($M$2:M146,M146,$E$2:$E146),"")</f>
        <v>-25000</v>
      </c>
      <c r="P146" s="27" t="str">
        <f>RIGHT(TArticle[[#This Row],[تاریخ]],2)</f>
        <v>05</v>
      </c>
      <c r="Q146" s="27">
        <f>VLOOKUP(TArticle[[#This Row],[تاریخ]],TDays[],16,FALSE)</f>
        <v>24</v>
      </c>
      <c r="R146" s="27" t="str">
        <f>RIGHT(LEFT(TArticle[[#This Row],[تاریخ]],7),2)</f>
        <v>06</v>
      </c>
      <c r="S146" s="27" t="str">
        <f>LEFT(TArticle[[#This Row],[تاریخ]],4)</f>
        <v>1401</v>
      </c>
      <c r="U146" s="21">
        <f>VLOOKUP(TArticle[[#This Row],[شناسه]],TAccount[],7,TRUE)</f>
        <v>57000</v>
      </c>
      <c r="W146" s="21">
        <f>IF(AND(TArticle[[#This Row],[مبلغ]]&gt;0, TArticle[[#This Row],[کد وضعیت سند]]=1),TArticle[[#This Row],[مبلغ]],0)</f>
        <v>0</v>
      </c>
      <c r="X146" s="27">
        <f>IF(AND(TArticle[[#This Row],[مبلغ]]&lt;0,TArticle[[#This Row],[کد وضعیت سند]]=1),0-TArticle[[#This Row],[مبلغ]],0)</f>
        <v>5000</v>
      </c>
      <c r="Y146" s="27">
        <v>4</v>
      </c>
      <c r="Z146" t="str">
        <f>IF(TArticle[[#This Row],[کد بانک]]&gt;0,VLOOKUP(TArticle[[#This Row],[کد بانک]],TBank[],2,FALSE),"")</f>
        <v>سپه</v>
      </c>
      <c r="AA146">
        <f>IF(AND(TArticle[[#This Row],[مبلغ]]&lt;0,TArticle[[#This Row],[کد وضعیت سند]]=1),0-TArticle[[#This Row],[مبلغ]],0)</f>
        <v>5000</v>
      </c>
      <c r="AB146">
        <f>IF(AND(TArticle[[#This Row],[مبلغ]]&gt;0, TArticle[[#This Row],[کد وضعیت سند]]=1),TArticle[[#This Row],[مبلغ]],0)</f>
        <v>0</v>
      </c>
      <c r="AC146" s="84">
        <f>IF(TArticle[[#This Row],[کد بانک]]&gt;0,VLOOKUP(TArticle[[#This Row],[کد بانک]],TBank[],9,FALSE)+SUMIF($Y$2:Y146,Y146,$E$2:$E146),"")</f>
        <v>18027</v>
      </c>
      <c r="AD146" s="1">
        <f>IFERROR(IF(INT(LEFT(TArticle[[#This Row],[شناسه]]))=3,IF(TArticle[[#This Row],[کد وضعیت سند]]=1,TArticle[مبلغ],0),0),0)</f>
        <v>0</v>
      </c>
      <c r="AE146" s="1">
        <f>IFERROR(IF(((TArticle[[#This Row],[شناسه]]))="4.1.1",IF(TArticle[[#This Row],[کد وضعیت سند]]=1,TArticle[مبلغ],0),0),0)</f>
        <v>0</v>
      </c>
      <c r="AF146" s="1">
        <f>IFERROR(IF(((TArticle[[#This Row],[شناسه]]))="4.1.2",IF(TArticle[[#This Row],[کد وضعیت سند]]=1,TArticle[مبلغ],0),0),0)</f>
        <v>0</v>
      </c>
      <c r="AG146" s="1">
        <f>IFERROR(IF(INT(LEFT(TArticle[[#This Row],[شناسه]]))=1,IF(TArticle[[#This Row],[کد وضعیت سند]]=1,TArticle[مبلغ],0),0),0)</f>
        <v>-5000</v>
      </c>
      <c r="AH146" s="1">
        <f>IFERROR(IF(INT(LEFT(TArticle[[#This Row],[شناسه]]))=2,IF(TArticle[[#This Row],[کد وضعیت سند]]=1,TArticle[مبلغ],0),0),0)</f>
        <v>0</v>
      </c>
      <c r="AI146" s="1">
        <f>IFERROR(IF((LEFT(TArticle[[#This Row],[شناسه]],3))="5.2",IF(TArticle[[#This Row],[کد وضعیت سند]]=1,TArticle[مبلغ],0),0),0)</f>
        <v>0</v>
      </c>
      <c r="AJ146" s="1">
        <f>IF(TArticle[[#This Row],[کد وضعیت سند]]=1,1,0)</f>
        <v>1</v>
      </c>
      <c r="AK146" s="1">
        <f>IF(AND(TArticle[[#This Row],[کد وضعیت سند]]&lt;&gt;1,TArticle[[#This Row],[مبلغ]]&lt;&gt;0),1,0)</f>
        <v>0</v>
      </c>
      <c r="AL146" s="51">
        <f>IF(TArticle[[#This Row],[کد بانک]]&gt;0,TArticle[[#This Row],[مانده بانک]]-VLOOKUP(TArticle[[#This Row],[کد بانک]],TBank[],7,FALSE),"")</f>
        <v>18025</v>
      </c>
      <c r="AM146" s="49" t="str">
        <f>LEFT(TArticle[[#This Row],[تاریخ]],7)</f>
        <v>1401-06</v>
      </c>
    </row>
    <row r="147" spans="1:39" hidden="1" x14ac:dyDescent="0.25">
      <c r="A147" s="24" t="s">
        <v>1612</v>
      </c>
      <c r="B147" s="49" t="str">
        <f>VLOOKUP(TArticle[[#This Row],[شناسه]],TAccount[],2,TRUE)</f>
        <v>تجهیز آپارتمان</v>
      </c>
      <c r="C147" s="49" t="str">
        <f>VLOOKUP(TArticle[[#This Row],[تاریخ]],TDays[],7,FALSE)</f>
        <v>شنبه</v>
      </c>
      <c r="D147" s="21" t="s">
        <v>359</v>
      </c>
      <c r="E147" s="1">
        <v>-9000</v>
      </c>
      <c r="F147" s="1">
        <f>TArticle[[#This Row],[مبلغ]]+IFERROR(INT(F146),30181+3667+958)</f>
        <v>26024</v>
      </c>
      <c r="G147" t="s">
        <v>1658</v>
      </c>
      <c r="K147" s="21">
        <v>1</v>
      </c>
      <c r="L147" t="str">
        <f>IF(TArticle[[#This Row],[کد وضعیت سند]]&gt;0,VLOOKUP(TArticle[[#This Row],[کد وضعیت سند]],TDocState[],2,FALSE),"")</f>
        <v>انجام شد</v>
      </c>
      <c r="N147" t="str">
        <f>IF(TArticle[[#This Row],[کد طرف حساب]]&gt;0,VLOOKUP(TArticle[[#This Row],[کد طرف حساب]],TContact[],2,FALSE),"")</f>
        <v/>
      </c>
      <c r="O147" s="61" t="str">
        <f>IF(TArticle[[#This Row],[کد طرف حساب]]&gt;0,VLOOKUP(TArticle[[#This Row],[کد طرف حساب]],TContact[],7,FALSE)-SUMIF($M$2:M147,M147,$E$2:$E147),"")</f>
        <v/>
      </c>
      <c r="P147" s="27" t="str">
        <f>RIGHT(TArticle[[#This Row],[تاریخ]],2)</f>
        <v>05</v>
      </c>
      <c r="Q147" s="27">
        <f>VLOOKUP(TArticle[[#This Row],[تاریخ]],TDays[],16,FALSE)</f>
        <v>24</v>
      </c>
      <c r="R147" s="27" t="str">
        <f>RIGHT(LEFT(TArticle[[#This Row],[تاریخ]],7),2)</f>
        <v>06</v>
      </c>
      <c r="S147" s="27" t="str">
        <f>LEFT(TArticle[[#This Row],[تاریخ]],4)</f>
        <v>1401</v>
      </c>
      <c r="U147" s="21">
        <f>VLOOKUP(TArticle[[#This Row],[شناسه]],TAccount[],7,TRUE)</f>
        <v>97700</v>
      </c>
      <c r="W147" s="21">
        <f>IF(AND(TArticle[[#This Row],[مبلغ]]&gt;0, TArticle[[#This Row],[کد وضعیت سند]]=1),TArticle[[#This Row],[مبلغ]],0)</f>
        <v>0</v>
      </c>
      <c r="X147" s="27">
        <f>IF(AND(TArticle[[#This Row],[مبلغ]]&lt;0,TArticle[[#This Row],[کد وضعیت سند]]=1),0-TArticle[[#This Row],[مبلغ]],0)</f>
        <v>9000</v>
      </c>
      <c r="Y147" s="67">
        <v>4</v>
      </c>
      <c r="Z147" t="str">
        <f>IF(TArticle[[#This Row],[کد بانک]]&gt;0,VLOOKUP(TArticle[[#This Row],[کد بانک]],TBank[],2,FALSE),"")</f>
        <v>سپه</v>
      </c>
      <c r="AA147">
        <f>IF(AND(TArticle[[#This Row],[مبلغ]]&lt;0,TArticle[[#This Row],[کد وضعیت سند]]=1),0-TArticle[[#This Row],[مبلغ]],0)</f>
        <v>9000</v>
      </c>
      <c r="AB147">
        <f>IF(AND(TArticle[[#This Row],[مبلغ]]&gt;0, TArticle[[#This Row],[کد وضعیت سند]]=1),TArticle[[#This Row],[مبلغ]],0)</f>
        <v>0</v>
      </c>
      <c r="AC147" s="84">
        <f>IF(TArticle[[#This Row],[کد بانک]]&gt;0,VLOOKUP(TArticle[[#This Row],[کد بانک]],TBank[],9,FALSE)+SUMIF($Y$2:Y147,Y147,$E$2:$E147),"")</f>
        <v>9027</v>
      </c>
      <c r="AD147" s="1">
        <f>IFERROR(IF(INT(LEFT(TArticle[[#This Row],[شناسه]]))=3,IF(TArticle[[#This Row],[کد وضعیت سند]]=1,TArticle[مبلغ],0),0),0)</f>
        <v>-9000</v>
      </c>
      <c r="AE147" s="1">
        <f>IFERROR(IF(((TArticle[[#This Row],[شناسه]]))="4.1.1",IF(TArticle[[#This Row],[کد وضعیت سند]]=1,TArticle[مبلغ],0),0),0)</f>
        <v>0</v>
      </c>
      <c r="AF147" s="1">
        <f>IFERROR(IF(((TArticle[[#This Row],[شناسه]]))="4.1.2",IF(TArticle[[#This Row],[کد وضعیت سند]]=1,TArticle[مبلغ],0),0),0)</f>
        <v>0</v>
      </c>
      <c r="AG147" s="1">
        <f>IFERROR(IF(INT(LEFT(TArticle[[#This Row],[شناسه]]))=1,IF(TArticle[[#This Row],[کد وضعیت سند]]=1,TArticle[مبلغ],0),0),0)</f>
        <v>0</v>
      </c>
      <c r="AH147" s="1">
        <f>IFERROR(IF(INT(LEFT(TArticle[[#This Row],[شناسه]]))=2,IF(TArticle[[#This Row],[کد وضعیت سند]]=1,TArticle[مبلغ],0),0),0)</f>
        <v>0</v>
      </c>
      <c r="AI147" s="1">
        <f>IFERROR(IF((LEFT(TArticle[[#This Row],[شناسه]],3))="5.2",IF(TArticle[[#This Row],[کد وضعیت سند]]=1,TArticle[مبلغ],0),0),0)</f>
        <v>0</v>
      </c>
      <c r="AJ147" s="1">
        <f>IF(TArticle[[#This Row],[کد وضعیت سند]]=1,1,0)</f>
        <v>1</v>
      </c>
      <c r="AK147" s="1">
        <f>IF(AND(TArticle[[#This Row],[کد وضعیت سند]]&lt;&gt;1,TArticle[[#This Row],[مبلغ]]&lt;&gt;0),1,0)</f>
        <v>0</v>
      </c>
      <c r="AL147" s="51">
        <f>IF(TArticle[[#This Row],[کد بانک]]&gt;0,TArticle[[#This Row],[مانده بانک]]-VLOOKUP(TArticle[[#This Row],[کد بانک]],TBank[],7,FALSE),"")</f>
        <v>9025</v>
      </c>
      <c r="AM147" s="49" t="str">
        <f>LEFT(TArticle[[#This Row],[تاریخ]],7)</f>
        <v>1401-06</v>
      </c>
    </row>
    <row r="148" spans="1:39" hidden="1" x14ac:dyDescent="0.25">
      <c r="A148" s="24" t="s">
        <v>1612</v>
      </c>
      <c r="B148" s="49" t="str">
        <f>VLOOKUP(TArticle[[#This Row],[شناسه]],TAccount[],2,TRUE)</f>
        <v>تجهیز آپارتمان</v>
      </c>
      <c r="C148" s="49" t="str">
        <f>VLOOKUP(TArticle[[#This Row],[تاریخ]],TDays[],7,FALSE)</f>
        <v>پنجشنبه</v>
      </c>
      <c r="D148" s="21" t="s">
        <v>364</v>
      </c>
      <c r="E148" s="1">
        <v>-5000</v>
      </c>
      <c r="F148" s="1">
        <f>TArticle[[#This Row],[مبلغ]]+IFERROR(INT(F147),30181+3667+958)</f>
        <v>21024</v>
      </c>
      <c r="G148" t="s">
        <v>1658</v>
      </c>
      <c r="K148" s="21">
        <v>1</v>
      </c>
      <c r="L148" t="str">
        <f>IF(TArticle[[#This Row],[کد وضعیت سند]]&gt;0,VLOOKUP(TArticle[[#This Row],[کد وضعیت سند]],TDocState[],2,FALSE),"")</f>
        <v>انجام شد</v>
      </c>
      <c r="N148" t="str">
        <f>IF(TArticle[[#This Row],[کد طرف حساب]]&gt;0,VLOOKUP(TArticle[[#This Row],[کد طرف حساب]],TContact[],2,FALSE),"")</f>
        <v/>
      </c>
      <c r="O148" s="61" t="str">
        <f>IF(TArticle[[#This Row],[کد طرف حساب]]&gt;0,VLOOKUP(TArticle[[#This Row],[کد طرف حساب]],TContact[],7,FALSE)-SUMIF($M$2:M148,M148,$E$2:$E148),"")</f>
        <v/>
      </c>
      <c r="P148" s="27" t="str">
        <f>RIGHT(TArticle[[#This Row],[تاریخ]],2)</f>
        <v>10</v>
      </c>
      <c r="Q148" s="27">
        <f>VLOOKUP(TArticle[[#This Row],[تاریخ]],TDays[],16,FALSE)</f>
        <v>24</v>
      </c>
      <c r="R148" s="27" t="str">
        <f>RIGHT(LEFT(TArticle[[#This Row],[تاریخ]],7),2)</f>
        <v>06</v>
      </c>
      <c r="S148" s="27" t="str">
        <f>LEFT(TArticle[[#This Row],[تاریخ]],4)</f>
        <v>1401</v>
      </c>
      <c r="U148" s="21">
        <f>VLOOKUP(TArticle[[#This Row],[شناسه]],TAccount[],7,TRUE)</f>
        <v>97700</v>
      </c>
      <c r="W148" s="21">
        <f>IF(AND(TArticle[[#This Row],[مبلغ]]&gt;0, TArticle[[#This Row],[کد وضعیت سند]]=1),TArticle[[#This Row],[مبلغ]],0)</f>
        <v>0</v>
      </c>
      <c r="X148" s="27">
        <f>IF(AND(TArticle[[#This Row],[مبلغ]]&lt;0,TArticle[[#This Row],[کد وضعیت سند]]=1),0-TArticle[[#This Row],[مبلغ]],0)</f>
        <v>5000</v>
      </c>
      <c r="Y148" s="67">
        <v>4</v>
      </c>
      <c r="Z148" t="str">
        <f>IF(TArticle[[#This Row],[کد بانک]]&gt;0,VLOOKUP(TArticle[[#This Row],[کد بانک]],TBank[],2,FALSE),"")</f>
        <v>سپه</v>
      </c>
      <c r="AA148">
        <f>IF(AND(TArticle[[#This Row],[مبلغ]]&lt;0,TArticle[[#This Row],[کد وضعیت سند]]=1),0-TArticle[[#This Row],[مبلغ]],0)</f>
        <v>5000</v>
      </c>
      <c r="AB148">
        <f>IF(AND(TArticle[[#This Row],[مبلغ]]&gt;0, TArticle[[#This Row],[کد وضعیت سند]]=1),TArticle[[#This Row],[مبلغ]],0)</f>
        <v>0</v>
      </c>
      <c r="AC148" s="84">
        <f>IF(TArticle[[#This Row],[کد بانک]]&gt;0,VLOOKUP(TArticle[[#This Row],[کد بانک]],TBank[],9,FALSE)+SUMIF($Y$2:Y148,Y148,$E$2:$E148),"")</f>
        <v>4027</v>
      </c>
      <c r="AD148" s="1">
        <f>IFERROR(IF(INT(LEFT(TArticle[[#This Row],[شناسه]]))=3,IF(TArticle[[#This Row],[کد وضعیت سند]]=1,TArticle[مبلغ],0),0),0)</f>
        <v>-5000</v>
      </c>
      <c r="AE148" s="1">
        <f>IFERROR(IF(((TArticle[[#This Row],[شناسه]]))="4.1.1",IF(TArticle[[#This Row],[کد وضعیت سند]]=1,TArticle[مبلغ],0),0),0)</f>
        <v>0</v>
      </c>
      <c r="AF148" s="1">
        <f>IFERROR(IF(((TArticle[[#This Row],[شناسه]]))="4.1.2",IF(TArticle[[#This Row],[کد وضعیت سند]]=1,TArticle[مبلغ],0),0),0)</f>
        <v>0</v>
      </c>
      <c r="AG148" s="1">
        <f>IFERROR(IF(INT(LEFT(TArticle[[#This Row],[شناسه]]))=1,IF(TArticle[[#This Row],[کد وضعیت سند]]=1,TArticle[مبلغ],0),0),0)</f>
        <v>0</v>
      </c>
      <c r="AH148" s="1">
        <f>IFERROR(IF(INT(LEFT(TArticle[[#This Row],[شناسه]]))=2,IF(TArticle[[#This Row],[کد وضعیت سند]]=1,TArticle[مبلغ],0),0),0)</f>
        <v>0</v>
      </c>
      <c r="AI148" s="1">
        <f>IFERROR(IF((LEFT(TArticle[[#This Row],[شناسه]],3))="5.2",IF(TArticle[[#This Row],[کد وضعیت سند]]=1,TArticle[مبلغ],0),0),0)</f>
        <v>0</v>
      </c>
      <c r="AJ148" s="1">
        <f>IF(TArticle[[#This Row],[کد وضعیت سند]]=1,1,0)</f>
        <v>1</v>
      </c>
      <c r="AK148" s="1">
        <f>IF(AND(TArticle[[#This Row],[کد وضعیت سند]]&lt;&gt;1,TArticle[[#This Row],[مبلغ]]&lt;&gt;0),1,0)</f>
        <v>0</v>
      </c>
      <c r="AL148" s="51">
        <f>IF(TArticle[[#This Row],[کد بانک]]&gt;0,TArticle[[#This Row],[مانده بانک]]-VLOOKUP(TArticle[[#This Row],[کد بانک]],TBank[],7,FALSE),"")</f>
        <v>4025</v>
      </c>
      <c r="AM148" s="49" t="str">
        <f>LEFT(TArticle[[#This Row],[تاریخ]],7)</f>
        <v>1401-06</v>
      </c>
    </row>
    <row r="149" spans="1:39" hidden="1" x14ac:dyDescent="0.25">
      <c r="A149" s="24" t="s">
        <v>1110</v>
      </c>
      <c r="B149" s="49" t="str">
        <f>VLOOKUP(TArticle[[#This Row],[شناسه]],TAccount[],2,TRUE)</f>
        <v>قسط وام بانکی</v>
      </c>
      <c r="C149" s="49" t="str">
        <f>VLOOKUP(TArticle[[#This Row],[تاریخ]],TDays[],7,FALSE)</f>
        <v>جمعه</v>
      </c>
      <c r="D149" s="21" t="s">
        <v>365</v>
      </c>
      <c r="E149" s="1">
        <v>-278</v>
      </c>
      <c r="F149" s="1">
        <f>TArticle[[#This Row],[مبلغ]]+IFERROR(INT(F148),30181+3667+958)</f>
        <v>20746</v>
      </c>
      <c r="G149" t="s">
        <v>1109</v>
      </c>
      <c r="H149" s="21">
        <v>33</v>
      </c>
      <c r="K149" s="21">
        <v>1</v>
      </c>
      <c r="L149" t="str">
        <f>IF(TArticle[[#This Row],[کد وضعیت سند]]&gt;0,VLOOKUP(TArticle[[#This Row],[کد وضعیت سند]],TDocState[],2,FALSE),"")</f>
        <v>انجام شد</v>
      </c>
      <c r="M149" s="27">
        <v>104</v>
      </c>
      <c r="N149" t="str">
        <f>IF(TArticle[[#This Row],[کد طرف حساب]]&gt;0,VLOOKUP(TArticle[[#This Row],[کد طرف حساب]],TContact[],2,FALSE),"")</f>
        <v>وام ملی ف</v>
      </c>
      <c r="O149" s="61">
        <f>IF(TArticle[[#This Row],[کد طرف حساب]]&gt;0,VLOOKUP(TArticle[[#This Row],[کد طرف حساب]],TContact[],7,FALSE)-SUMIF($M$2:M149,M149,$E$2:$E149),"")</f>
        <v>-826</v>
      </c>
      <c r="P149" s="27" t="str">
        <f>RIGHT(TArticle[[#This Row],[تاریخ]],2)</f>
        <v>11</v>
      </c>
      <c r="Q149" s="27">
        <f>VLOOKUP(TArticle[[#This Row],[تاریخ]],TDays[],16,FALSE)</f>
        <v>24</v>
      </c>
      <c r="R149" s="27" t="str">
        <f>RIGHT(LEFT(TArticle[[#This Row],[تاریخ]],7),2)</f>
        <v>06</v>
      </c>
      <c r="S149" s="27" t="str">
        <f>LEFT(TArticle[[#This Row],[تاریخ]],4)</f>
        <v>1401</v>
      </c>
      <c r="U149" s="21">
        <f>VLOOKUP(TArticle[[#This Row],[شناسه]],TAccount[],7,TRUE)</f>
        <v>81652</v>
      </c>
      <c r="V149" s="21" t="s">
        <v>365</v>
      </c>
      <c r="W149" s="21">
        <f>IF(AND(TArticle[[#This Row],[مبلغ]]&gt;0, TArticle[[#This Row],[کد وضعیت سند]]=1),TArticle[[#This Row],[مبلغ]],0)</f>
        <v>0</v>
      </c>
      <c r="X149" s="27">
        <f>IF(AND(TArticle[[#This Row],[مبلغ]]&lt;0,TArticle[[#This Row],[کد وضعیت سند]]=1),0-TArticle[[#This Row],[مبلغ]],0)</f>
        <v>278</v>
      </c>
      <c r="Y149" s="27">
        <v>2</v>
      </c>
      <c r="Z149" t="str">
        <f>IF(TArticle[[#This Row],[کد بانک]]&gt;0,VLOOKUP(TArticle[[#This Row],[کد بانک]],TBank[],2,FALSE),"")</f>
        <v>ملی جاری</v>
      </c>
      <c r="AA149">
        <f>IF(AND(TArticle[[#This Row],[مبلغ]]&lt;0,TArticle[[#This Row],[کد وضعیت سند]]=1),0-TArticle[[#This Row],[مبلغ]],0)</f>
        <v>278</v>
      </c>
      <c r="AB149">
        <f>IF(AND(TArticle[[#This Row],[مبلغ]]&gt;0, TArticle[[#This Row],[کد وضعیت سند]]=1),TArticle[[#This Row],[مبلغ]],0)</f>
        <v>0</v>
      </c>
      <c r="AC149" s="84">
        <f>IF(TArticle[[#This Row],[کد بانک]]&gt;0,VLOOKUP(TArticle[[#This Row],[کد بانک]],TBank[],9,FALSE)+SUMIF($Y$2:Y149,Y149,$E$2:$E149),"")</f>
        <v>10115</v>
      </c>
      <c r="AD149" s="1">
        <f>IFERROR(IF(INT(LEFT(TArticle[[#This Row],[شناسه]]))=3,IF(TArticle[[#This Row],[کد وضعیت سند]]=1,TArticle[مبلغ],0),0),0)</f>
        <v>0</v>
      </c>
      <c r="AE149" s="1">
        <f>IFERROR(IF(((TArticle[[#This Row],[شناسه]]))="4.1.1",IF(TArticle[[#This Row],[کد وضعیت سند]]=1,TArticle[مبلغ],0),0),0)</f>
        <v>0</v>
      </c>
      <c r="AF149" s="1">
        <f>IFERROR(IF(((TArticle[[#This Row],[شناسه]]))="4.1.2",IF(TArticle[[#This Row],[کد وضعیت سند]]=1,TArticle[مبلغ],0),0),0)</f>
        <v>0</v>
      </c>
      <c r="AG149" s="1">
        <f>IFERROR(IF(INT(LEFT(TArticle[[#This Row],[شناسه]]))=1,IF(TArticle[[#This Row],[کد وضعیت سند]]=1,TArticle[مبلغ],0),0),0)</f>
        <v>-278</v>
      </c>
      <c r="AH149" s="1">
        <f>IFERROR(IF(INT(LEFT(TArticle[[#This Row],[شناسه]]))=2,IF(TArticle[[#This Row],[کد وضعیت سند]]=1,TArticle[مبلغ],0),0),0)</f>
        <v>0</v>
      </c>
      <c r="AI149" s="1">
        <f>IFERROR(IF((LEFT(TArticle[[#This Row],[شناسه]],3))="5.2",IF(TArticle[[#This Row],[کد وضعیت سند]]=1,TArticle[مبلغ],0),0),0)</f>
        <v>0</v>
      </c>
      <c r="AJ149" s="1">
        <f>IF(TArticle[[#This Row],[کد وضعیت سند]]=1,1,0)</f>
        <v>1</v>
      </c>
      <c r="AK149" s="1">
        <f>IF(AND(TArticle[[#This Row],[کد وضعیت سند]]&lt;&gt;1,TArticle[[#This Row],[مبلغ]]&lt;&gt;0),1,0)</f>
        <v>0</v>
      </c>
      <c r="AL149" s="51">
        <f>IF(TArticle[[#This Row],[کد بانک]]&gt;0,TArticle[[#This Row],[مانده بانک]]-VLOOKUP(TArticle[[#This Row],[کد بانک]],TBank[],7,FALSE),"")</f>
        <v>10115</v>
      </c>
      <c r="AM149" s="58" t="str">
        <f>LEFT(TArticle[[#This Row],[تاریخ]],7)</f>
        <v>1401-06</v>
      </c>
    </row>
    <row r="150" spans="1:39" hidden="1" x14ac:dyDescent="0.25">
      <c r="A150" s="24" t="s">
        <v>1107</v>
      </c>
      <c r="B150" s="49" t="str">
        <f>VLOOKUP(TArticle[[#This Row],[شناسه]],TAccount[],2,TRUE)</f>
        <v>سود وام</v>
      </c>
      <c r="C150" s="49" t="str">
        <f>VLOOKUP(TArticle[[#This Row],[تاریخ]],TDays[],7,FALSE)</f>
        <v>جمعه</v>
      </c>
      <c r="D150" s="21" t="s">
        <v>365</v>
      </c>
      <c r="E150" s="1">
        <v>-84</v>
      </c>
      <c r="F150" s="1">
        <f>TArticle[[#This Row],[مبلغ]]+IFERROR(INT(F149),30181+3667+958)</f>
        <v>20662</v>
      </c>
      <c r="G150" t="s">
        <v>1109</v>
      </c>
      <c r="H150" s="21">
        <v>33</v>
      </c>
      <c r="K150" s="21">
        <v>1</v>
      </c>
      <c r="L150" t="str">
        <f>IF(TArticle[[#This Row],[کد وضعیت سند]]&gt;0,VLOOKUP(TArticle[[#This Row],[کد وضعیت سند]],TDocState[],2,FALSE),"")</f>
        <v>انجام شد</v>
      </c>
      <c r="M150" s="27">
        <v>104.1</v>
      </c>
      <c r="N150" t="str">
        <f>IF(TArticle[[#This Row],[کد طرف حساب]]&gt;0,VLOOKUP(TArticle[[#This Row],[کد طرف حساب]],TContact[],2,FALSE),"")</f>
        <v>وام ملی ف - سود</v>
      </c>
      <c r="O150" s="61">
        <f>IF(TArticle[[#This Row],[کد طرف حساب]]&gt;0,VLOOKUP(TArticle[[#This Row],[کد طرف حساب]],TContact[],7,FALSE)-SUMIF($M$2:M150,M150,$E$2:$E150),"")</f>
        <v>-160</v>
      </c>
      <c r="P150" s="27" t="str">
        <f>RIGHT(TArticle[[#This Row],[تاریخ]],2)</f>
        <v>11</v>
      </c>
      <c r="Q150" s="27">
        <f>VLOOKUP(TArticle[[#This Row],[تاریخ]],TDays[],16,FALSE)</f>
        <v>24</v>
      </c>
      <c r="R150" s="27" t="str">
        <f>RIGHT(LEFT(TArticle[[#This Row],[تاریخ]],7),2)</f>
        <v>06</v>
      </c>
      <c r="S150" s="27" t="str">
        <f>LEFT(TArticle[[#This Row],[تاریخ]],4)</f>
        <v>1401</v>
      </c>
      <c r="U150" s="21">
        <f>VLOOKUP(TArticle[[#This Row],[شناسه]],TAccount[],7,TRUE)</f>
        <v>9163</v>
      </c>
      <c r="V150" s="21" t="s">
        <v>365</v>
      </c>
      <c r="W150" s="21">
        <f>IF(AND(TArticle[[#This Row],[مبلغ]]&gt;0, TArticle[[#This Row],[کد وضعیت سند]]=1),TArticle[[#This Row],[مبلغ]],0)</f>
        <v>0</v>
      </c>
      <c r="X150" s="27">
        <f>IF(AND(TArticle[[#This Row],[مبلغ]]&lt;0,TArticle[[#This Row],[کد وضعیت سند]]=1),0-TArticle[[#This Row],[مبلغ]],0)</f>
        <v>84</v>
      </c>
      <c r="Y150" s="27">
        <v>2</v>
      </c>
      <c r="Z150" t="str">
        <f>IF(TArticle[[#This Row],[کد بانک]]&gt;0,VLOOKUP(TArticle[[#This Row],[کد بانک]],TBank[],2,FALSE),"")</f>
        <v>ملی جاری</v>
      </c>
      <c r="AA150">
        <f>IF(AND(TArticle[[#This Row],[مبلغ]]&lt;0,TArticle[[#This Row],[کد وضعیت سند]]=1),0-TArticle[[#This Row],[مبلغ]],0)</f>
        <v>84</v>
      </c>
      <c r="AB150">
        <f>IF(AND(TArticle[[#This Row],[مبلغ]]&gt;0, TArticle[[#This Row],[کد وضعیت سند]]=1),TArticle[[#This Row],[مبلغ]],0)</f>
        <v>0</v>
      </c>
      <c r="AC150" s="84">
        <f>IF(TArticle[[#This Row],[کد بانک]]&gt;0,VLOOKUP(TArticle[[#This Row],[کد بانک]],TBank[],9,FALSE)+SUMIF($Y$2:Y150,Y150,$E$2:$E150),"")</f>
        <v>10031</v>
      </c>
      <c r="AD150" s="1">
        <f>IFERROR(IF(INT(LEFT(TArticle[[#This Row],[شناسه]]))=3,IF(TArticle[[#This Row],[کد وضعیت سند]]=1,TArticle[مبلغ],0),0),0)</f>
        <v>-84</v>
      </c>
      <c r="AE150" s="1">
        <f>IFERROR(IF(((TArticle[[#This Row],[شناسه]]))="4.1.1",IF(TArticle[[#This Row],[کد وضعیت سند]]=1,TArticle[مبلغ],0),0),0)</f>
        <v>0</v>
      </c>
      <c r="AF150" s="1">
        <f>IFERROR(IF(((TArticle[[#This Row],[شناسه]]))="4.1.2",IF(TArticle[[#This Row],[کد وضعیت سند]]=1,TArticle[مبلغ],0),0),0)</f>
        <v>0</v>
      </c>
      <c r="AG150" s="1">
        <f>IFERROR(IF(INT(LEFT(TArticle[[#This Row],[شناسه]]))=1,IF(TArticle[[#This Row],[کد وضعیت سند]]=1,TArticle[مبلغ],0),0),0)</f>
        <v>0</v>
      </c>
      <c r="AH150" s="1">
        <f>IFERROR(IF(INT(LEFT(TArticle[[#This Row],[شناسه]]))=2,IF(TArticle[[#This Row],[کد وضعیت سند]]=1,TArticle[مبلغ],0),0),0)</f>
        <v>0</v>
      </c>
      <c r="AI150" s="1">
        <f>IFERROR(IF((LEFT(TArticle[[#This Row],[شناسه]],3))="5.2",IF(TArticle[[#This Row],[کد وضعیت سند]]=1,TArticle[مبلغ],0),0),0)</f>
        <v>0</v>
      </c>
      <c r="AJ150" s="1">
        <f>IF(TArticle[[#This Row],[کد وضعیت سند]]=1,1,0)</f>
        <v>1</v>
      </c>
      <c r="AK150" s="1">
        <f>IF(AND(TArticle[[#This Row],[کد وضعیت سند]]&lt;&gt;1,TArticle[[#This Row],[مبلغ]]&lt;&gt;0),1,0)</f>
        <v>0</v>
      </c>
      <c r="AL150" s="51">
        <f>IF(TArticle[[#This Row],[کد بانک]]&gt;0,TArticle[[#This Row],[مانده بانک]]-VLOOKUP(TArticle[[#This Row],[کد بانک]],TBank[],7,FALSE),"")</f>
        <v>10031</v>
      </c>
      <c r="AM150" s="58" t="str">
        <f>LEFT(TArticle[[#This Row],[تاریخ]],7)</f>
        <v>1401-06</v>
      </c>
    </row>
    <row r="151" spans="1:39" hidden="1" x14ac:dyDescent="0.25">
      <c r="A151" s="24" t="s">
        <v>41</v>
      </c>
      <c r="B151" s="49" t="str">
        <f>VLOOKUP(TArticle[[#This Row],[شناسه]],TAccount[],2,TRUE)</f>
        <v>قرعه هجده (43)</v>
      </c>
      <c r="C151" s="49" t="str">
        <f>VLOOKUP(TArticle[[#This Row],[تاریخ]],TDays[],7,FALSE)</f>
        <v>دوشنبه</v>
      </c>
      <c r="D151" s="21" t="s">
        <v>63</v>
      </c>
      <c r="E151" s="1">
        <v>-350</v>
      </c>
      <c r="F151" s="1">
        <f>TArticle[[#This Row],[مبلغ]]+IFERROR(INT(F150),30181+3667+958)</f>
        <v>20312</v>
      </c>
      <c r="H151" s="21">
        <v>41</v>
      </c>
      <c r="K151" s="21">
        <v>1</v>
      </c>
      <c r="L151" t="str">
        <f>IF(TArticle[[#This Row],[کد وضعیت سند]]&gt;0,VLOOKUP(TArticle[[#This Row],[کد وضعیت سند]],TDocState[],2,FALSE),"")</f>
        <v>انجام شد</v>
      </c>
      <c r="M151" s="27">
        <v>103</v>
      </c>
      <c r="N151" t="str">
        <f>IF(TArticle[[#This Row],[کد طرف حساب]]&gt;0,VLOOKUP(TArticle[[#This Row],[کد طرف حساب]],TContact[],2,FALSE),"")</f>
        <v>قرعه 18م (43)</v>
      </c>
      <c r="O151" s="51">
        <f>IF(TArticle[[#This Row],[کد طرف حساب]]&gt;0,VLOOKUP(TArticle[[#This Row],[کد طرف حساب]],TContact[],7,FALSE)-SUMIF($M$2:M151,M151,$E$2:$E151),"")</f>
        <v>14700</v>
      </c>
      <c r="P151" s="27" t="str">
        <f>RIGHT(TArticle[[#This Row],[تاریخ]],2)</f>
        <v>14</v>
      </c>
      <c r="Q151" s="27">
        <f>VLOOKUP(TArticle[[#This Row],[تاریخ]],TDays[],16,FALSE)</f>
        <v>25</v>
      </c>
      <c r="R151" s="27" t="str">
        <f>RIGHT(LEFT(TArticle[[#This Row],[تاریخ]],7),2)</f>
        <v>06</v>
      </c>
      <c r="S151" s="27" t="str">
        <f>LEFT(TArticle[[#This Row],[تاریخ]],4)</f>
        <v>1401</v>
      </c>
      <c r="U151" s="21">
        <f>VLOOKUP(TArticle[[#This Row],[شناسه]],TAccount[],7,TRUE)</f>
        <v>4200</v>
      </c>
      <c r="V151" s="21" t="s">
        <v>63</v>
      </c>
      <c r="W151" s="21">
        <f>IF(AND(TArticle[[#This Row],[مبلغ]]&gt;0, TArticle[[#This Row],[کد وضعیت سند]]=1),TArticle[[#This Row],[مبلغ]],0)</f>
        <v>0</v>
      </c>
      <c r="X151" s="21">
        <f>IF(AND(TArticle[[#This Row],[مبلغ]]&lt;0,TArticle[[#This Row],[کد وضعیت سند]]=1),0-TArticle[[#This Row],[مبلغ]],0)</f>
        <v>350</v>
      </c>
      <c r="Y151" s="27">
        <v>2</v>
      </c>
      <c r="Z151" t="str">
        <f>IF(TArticle[[#This Row],[کد بانک]]&gt;0,VLOOKUP(TArticle[[#This Row],[کد بانک]],TBank[],2,FALSE),"")</f>
        <v>ملی جاری</v>
      </c>
      <c r="AA151">
        <f>IF(AND(TArticle[[#This Row],[مبلغ]]&lt;0,TArticle[[#This Row],[کد وضعیت سند]]=1),0-TArticle[[#This Row],[مبلغ]],0)</f>
        <v>350</v>
      </c>
      <c r="AB151">
        <f>IF(AND(TArticle[[#This Row],[مبلغ]]&gt;0, TArticle[[#This Row],[کد وضعیت سند]]=1),TArticle[[#This Row],[مبلغ]],0)</f>
        <v>0</v>
      </c>
      <c r="AC151" s="84">
        <f>IF(TArticle[[#This Row],[کد بانک]]&gt;0,VLOOKUP(TArticle[[#This Row],[کد بانک]],TBank[],9,FALSE)+SUMIF($Y$2:Y151,Y151,$E$2:$E151),"")</f>
        <v>9681</v>
      </c>
      <c r="AD151" s="1">
        <f>IFERROR(IF(INT(LEFT(TArticle[[#This Row],[شناسه]]))=3,IF(TArticle[[#This Row],[کد وضعیت سند]]=1,TArticle[مبلغ],0),0),0)</f>
        <v>0</v>
      </c>
      <c r="AE151" s="1">
        <f>IFERROR(IF(((TArticle[[#This Row],[شناسه]]))="4.1.1",IF(TArticle[[#This Row],[کد وضعیت سند]]=1,TArticle[مبلغ],0),0),0)</f>
        <v>0</v>
      </c>
      <c r="AF151" s="1">
        <f>IFERROR(IF(((TArticle[[#This Row],[شناسه]]))="4.1.2",IF(TArticle[[#This Row],[کد وضعیت سند]]=1,TArticle[مبلغ],0),0),0)</f>
        <v>0</v>
      </c>
      <c r="AG151" s="1">
        <f>IFERROR(IF(INT(LEFT(TArticle[[#This Row],[شناسه]]))=1,IF(TArticle[[#This Row],[کد وضعیت سند]]=1,TArticle[مبلغ],0),0),0)</f>
        <v>0</v>
      </c>
      <c r="AH151" s="1">
        <f>IFERROR(IF(INT(LEFT(TArticle[[#This Row],[شناسه]]))=2,IF(TArticle[[#This Row],[کد وضعیت سند]]=1,TArticle[مبلغ],0),0),0)</f>
        <v>-350</v>
      </c>
      <c r="AI151" s="1">
        <f>IFERROR(IF((LEFT(TArticle[[#This Row],[شناسه]],3))="5.2",IF(TArticle[[#This Row],[کد وضعیت سند]]=1,TArticle[مبلغ],0),0),0)</f>
        <v>0</v>
      </c>
      <c r="AJ151" s="1">
        <f>IF(TArticle[[#This Row],[کد وضعیت سند]]=1,1,0)</f>
        <v>1</v>
      </c>
      <c r="AK151" s="1">
        <f>IF(AND(TArticle[[#This Row],[کد وضعیت سند]]&lt;&gt;1,TArticle[[#This Row],[مبلغ]]&lt;&gt;0),1,0)</f>
        <v>0</v>
      </c>
      <c r="AL151" s="51">
        <f>IF(TArticle[[#This Row],[کد بانک]]&gt;0,TArticle[[#This Row],[مانده بانک]]-VLOOKUP(TArticle[[#This Row],[کد بانک]],TBank[],7,FALSE),"")</f>
        <v>9681</v>
      </c>
      <c r="AM151" s="58" t="str">
        <f>LEFT(TArticle[[#This Row],[تاریخ]],7)</f>
        <v>1401-06</v>
      </c>
    </row>
    <row r="152" spans="1:39" hidden="1" x14ac:dyDescent="0.25">
      <c r="A152" s="24" t="s">
        <v>1013</v>
      </c>
      <c r="B152" s="49" t="str">
        <f>VLOOKUP(TArticle[[#This Row],[شناسه]],TAccount[],2,TRUE)</f>
        <v>یارانه</v>
      </c>
      <c r="C152" s="49" t="str">
        <f>VLOOKUP(TArticle[[#This Row],[تاریخ]],TDays[],7,FALSE)</f>
        <v>یکشنبه</v>
      </c>
      <c r="D152" s="21" t="s">
        <v>373</v>
      </c>
      <c r="E152" s="1">
        <v>1500</v>
      </c>
      <c r="F152" s="1">
        <f>TArticle[[#This Row],[مبلغ]]+IFERROR(INT(F151),30181+3667+958)</f>
        <v>21812</v>
      </c>
      <c r="K152" s="21">
        <v>1</v>
      </c>
      <c r="L152" t="str">
        <f>IF(TArticle[[#This Row],[کد وضعیت سند]]&gt;0,VLOOKUP(TArticle[[#This Row],[کد وضعیت سند]],TDocState[],2,FALSE),"")</f>
        <v>انجام شد</v>
      </c>
      <c r="N152" t="str">
        <f>IF(TArticle[[#This Row],[کد طرف حساب]]&gt;0,VLOOKUP(TArticle[[#This Row],[کد طرف حساب]],TContact[],2,FALSE),"")</f>
        <v/>
      </c>
      <c r="O152" s="61" t="str">
        <f>IF(TArticle[[#This Row],[کد طرف حساب]]&gt;0,VLOOKUP(TArticle[[#This Row],[کد طرف حساب]],TContact[],7,FALSE)-SUMIF($M$2:M152,M152,$E$2:$E152),"")</f>
        <v/>
      </c>
      <c r="P152" s="27" t="str">
        <f>RIGHT(TArticle[[#This Row],[تاریخ]],2)</f>
        <v>20</v>
      </c>
      <c r="Q152" s="27">
        <f>VLOOKUP(TArticle[[#This Row],[تاریخ]],TDays[],16,FALSE)</f>
        <v>26</v>
      </c>
      <c r="R152" s="27" t="str">
        <f>RIGHT(LEFT(TArticle[[#This Row],[تاریخ]],7),2)</f>
        <v>06</v>
      </c>
      <c r="S152" s="27" t="str">
        <f>LEFT(TArticle[[#This Row],[تاریخ]],4)</f>
        <v>1401</v>
      </c>
      <c r="U152" s="21">
        <f>VLOOKUP(TArticle[[#This Row],[شناسه]],TAccount[],7,TRUE)</f>
        <v>12565</v>
      </c>
      <c r="W152" s="21">
        <f>IF(AND(TArticle[[#This Row],[مبلغ]]&gt;0, TArticle[[#This Row],[کد وضعیت سند]]=1),TArticle[[#This Row],[مبلغ]],0)</f>
        <v>1500</v>
      </c>
      <c r="X152" s="27">
        <f>IF(AND(TArticle[[#This Row],[مبلغ]]&lt;0,TArticle[[#This Row],[کد وضعیت سند]]=1),0-TArticle[[#This Row],[مبلغ]],0)</f>
        <v>0</v>
      </c>
      <c r="Y152" s="27">
        <v>2</v>
      </c>
      <c r="Z152" t="str">
        <f>IF(TArticle[[#This Row],[کد بانک]]&gt;0,VLOOKUP(TArticle[[#This Row],[کد بانک]],TBank[],2,FALSE),"")</f>
        <v>ملی جاری</v>
      </c>
      <c r="AA152">
        <f>IF(AND(TArticle[[#This Row],[مبلغ]]&lt;0,TArticle[[#This Row],[کد وضعیت سند]]=1),0-TArticle[[#This Row],[مبلغ]],0)</f>
        <v>0</v>
      </c>
      <c r="AB152">
        <f>IF(AND(TArticle[[#This Row],[مبلغ]]&gt;0, TArticle[[#This Row],[کد وضعیت سند]]=1),TArticle[[#This Row],[مبلغ]],0)</f>
        <v>1500</v>
      </c>
      <c r="AC152" s="84">
        <f>IF(TArticle[[#This Row],[کد بانک]]&gt;0,VLOOKUP(TArticle[[#This Row],[کد بانک]],TBank[],9,FALSE)+SUMIF($Y$2:Y152,Y152,$E$2:$E152),"")</f>
        <v>11181</v>
      </c>
      <c r="AD152" s="1">
        <f>IFERROR(IF(INT(LEFT(TArticle[[#This Row],[شناسه]]))=3,IF(TArticle[[#This Row],[کد وضعیت سند]]=1,TArticle[مبلغ],0),0),0)</f>
        <v>0</v>
      </c>
      <c r="AE152" s="1">
        <f>IFERROR(IF(((TArticle[[#This Row],[شناسه]]))="4.1.1",IF(TArticle[[#This Row],[کد وضعیت سند]]=1,TArticle[مبلغ],0),0),0)</f>
        <v>0</v>
      </c>
      <c r="AF152" s="1">
        <f>IFERROR(IF(((TArticle[[#This Row],[شناسه]]))="4.1.2",IF(TArticle[[#This Row],[کد وضعیت سند]]=1,TArticle[مبلغ],0),0),0)</f>
        <v>0</v>
      </c>
      <c r="AG152" s="1">
        <f>IFERROR(IF(INT(LEFT(TArticle[[#This Row],[شناسه]]))=1,IF(TArticle[[#This Row],[کد وضعیت سند]]=1,TArticle[مبلغ],0),0),0)</f>
        <v>0</v>
      </c>
      <c r="AH152" s="1">
        <f>IFERROR(IF(INT(LEFT(TArticle[[#This Row],[شناسه]]))=2,IF(TArticle[[#This Row],[کد وضعیت سند]]=1,TArticle[مبلغ],0),0),0)</f>
        <v>0</v>
      </c>
      <c r="AI152" s="1">
        <f>IFERROR(IF((LEFT(TArticle[[#This Row],[شناسه]],3))="5.2",IF(TArticle[[#This Row],[کد وضعیت سند]]=1,TArticle[مبلغ],0),0),0)</f>
        <v>0</v>
      </c>
      <c r="AJ152" s="1">
        <f>IF(TArticle[[#This Row],[کد وضعیت سند]]=1,1,0)</f>
        <v>1</v>
      </c>
      <c r="AK152" s="1">
        <f>IF(AND(TArticle[[#This Row],[کد وضعیت سند]]&lt;&gt;1,TArticle[[#This Row],[مبلغ]]&lt;&gt;0),1,0)</f>
        <v>0</v>
      </c>
      <c r="AL152" s="51">
        <f>IF(TArticle[[#This Row],[کد بانک]]&gt;0,TArticle[[#This Row],[مانده بانک]]-VLOOKUP(TArticle[[#This Row],[کد بانک]],TBank[],7,FALSE),"")</f>
        <v>11181</v>
      </c>
      <c r="AM152" s="49" t="str">
        <f>LEFT(TArticle[[#This Row],[تاریخ]],7)</f>
        <v>1401-06</v>
      </c>
    </row>
    <row r="153" spans="1:39" hidden="1" x14ac:dyDescent="0.25">
      <c r="A153" s="24" t="s">
        <v>1110</v>
      </c>
      <c r="B153" s="49" t="str">
        <f>VLOOKUP(TArticle[[#This Row],[شناسه]],TAccount[],2,TRUE)</f>
        <v>قسط وام بانکی</v>
      </c>
      <c r="C153" s="49" t="str">
        <f>VLOOKUP(TArticle[[#This Row],[تاریخ]],TDays[],7,FALSE)</f>
        <v>دوشنبه</v>
      </c>
      <c r="D153" s="21" t="s">
        <v>381</v>
      </c>
      <c r="E153" s="1">
        <v>-1808</v>
      </c>
      <c r="F153" s="1">
        <f>TArticle[[#This Row],[مبلغ]]+IFERROR(INT(F152),30181+3667+958)</f>
        <v>20004</v>
      </c>
      <c r="G153" t="s">
        <v>1597</v>
      </c>
      <c r="H153" s="21">
        <v>11</v>
      </c>
      <c r="J153" s="65"/>
      <c r="K153" s="21">
        <v>1</v>
      </c>
      <c r="L153" s="66" t="str">
        <f>IF(TArticle[[#This Row],[کد وضعیت سند]]&gt;0,VLOOKUP(TArticle[[#This Row],[کد وضعیت سند]],TDocState[],2,FALSE),"")</f>
        <v>انجام شد</v>
      </c>
      <c r="M153" s="67">
        <v>112</v>
      </c>
      <c r="N153" t="str">
        <f>IF(TArticle[[#This Row],[کد طرف حساب]]&gt;0,VLOOKUP(TArticle[[#This Row],[کد طرف حساب]],TContact[],2,FALSE),"")</f>
        <v>وام ملی</v>
      </c>
      <c r="O153" s="68">
        <f>IF(TArticle[[#This Row],[کد طرف حساب]]&gt;0,VLOOKUP(TArticle[[#This Row],[کد طرف حساب]],TContact[],7,FALSE)-SUMIF($M$2:M153,M153,$E$2:$E153),"")</f>
        <v>-42768</v>
      </c>
      <c r="P153" s="67" t="str">
        <f>RIGHT(TArticle[[#This Row],[تاریخ]],2)</f>
        <v>28</v>
      </c>
      <c r="Q153" s="67">
        <f>VLOOKUP(TArticle[[#This Row],[تاریخ]],TDays[],16,FALSE)</f>
        <v>27</v>
      </c>
      <c r="R153" s="67" t="str">
        <f>RIGHT(LEFT(TArticle[[#This Row],[تاریخ]],7),2)</f>
        <v>06</v>
      </c>
      <c r="S153" s="67" t="str">
        <f>LEFT(TArticle[[#This Row],[تاریخ]],4)</f>
        <v>1401</v>
      </c>
      <c r="T153" s="64"/>
      <c r="U153" s="64">
        <f>VLOOKUP(TArticle[[#This Row],[شناسه]],TAccount[],7,TRUE)</f>
        <v>81652</v>
      </c>
      <c r="V153" s="21" t="s">
        <v>381</v>
      </c>
      <c r="W153" s="64">
        <f>IF(AND(TArticle[[#This Row],[مبلغ]]&gt;0, TArticle[[#This Row],[کد وضعیت سند]]=1),TArticle[[#This Row],[مبلغ]],0)</f>
        <v>0</v>
      </c>
      <c r="X153" s="67">
        <f>IF(AND(TArticle[[#This Row],[مبلغ]]&lt;0,TArticle[[#This Row],[کد وضعیت سند]]=1),0-TArticle[[#This Row],[مبلغ]],0)</f>
        <v>1808</v>
      </c>
      <c r="Y153" s="67">
        <v>2</v>
      </c>
      <c r="Z153" t="str">
        <f>IF(TArticle[[#This Row],[کد بانک]]&gt;0,VLOOKUP(TArticle[[#This Row],[کد بانک]],TBank[],2,FALSE),"")</f>
        <v>ملی جاری</v>
      </c>
      <c r="AA153">
        <f>IF(AND(TArticle[[#This Row],[مبلغ]]&lt;0,TArticle[[#This Row],[کد وضعیت سند]]=1),0-TArticle[[#This Row],[مبلغ]],0)</f>
        <v>1808</v>
      </c>
      <c r="AB153">
        <f>IF(AND(TArticle[[#This Row],[مبلغ]]&gt;0, TArticle[[#This Row],[کد وضعیت سند]]=1),TArticle[[#This Row],[مبلغ]],0)</f>
        <v>0</v>
      </c>
      <c r="AC153" s="93">
        <f>IF(TArticle[[#This Row],[کد بانک]]&gt;0,VLOOKUP(TArticle[[#This Row],[کد بانک]],TBank[],9,FALSE)+SUMIF($Y$2:Y153,Y153,$E$2:$E153),"")</f>
        <v>9373</v>
      </c>
      <c r="AD153" s="1">
        <f>IFERROR(IF(INT(LEFT(TArticle[[#This Row],[شناسه]]))=3,IF(TArticle[[#This Row],[کد وضعیت سند]]=1,TArticle[مبلغ],0),0),0)</f>
        <v>0</v>
      </c>
      <c r="AE153" s="1">
        <f>IFERROR(IF(((TArticle[[#This Row],[شناسه]]))="4.1.1",IF(TArticle[[#This Row],[کد وضعیت سند]]=1,TArticle[مبلغ],0),0),0)</f>
        <v>0</v>
      </c>
      <c r="AF153" s="1">
        <f>IFERROR(IF(((TArticle[[#This Row],[شناسه]]))="4.1.2",IF(TArticle[[#This Row],[کد وضعیت سند]]=1,TArticle[مبلغ],0),0),0)</f>
        <v>0</v>
      </c>
      <c r="AG153" s="1">
        <f>IFERROR(IF(INT(LEFT(TArticle[[#This Row],[شناسه]]))=1,IF(TArticle[[#This Row],[کد وضعیت سند]]=1,TArticle[مبلغ],0),0),0)</f>
        <v>-1808</v>
      </c>
      <c r="AH153" s="1">
        <f>IFERROR(IF(INT(LEFT(TArticle[[#This Row],[شناسه]]))=2,IF(TArticle[[#This Row],[کد وضعیت سند]]=1,TArticle[مبلغ],0),0),0)</f>
        <v>0</v>
      </c>
      <c r="AI153" s="1">
        <f>IFERROR(IF((LEFT(TArticle[[#This Row],[شناسه]],3))="5.2",IF(TArticle[[#This Row],[کد وضعیت سند]]=1,TArticle[مبلغ],0),0),0)</f>
        <v>0</v>
      </c>
      <c r="AJ153" s="1">
        <f>IF(TArticle[[#This Row],[کد وضعیت سند]]=1,1,0)</f>
        <v>1</v>
      </c>
      <c r="AK153" s="1">
        <f>IF(AND(TArticle[[#This Row],[کد وضعیت سند]]&lt;&gt;1,TArticle[[#This Row],[مبلغ]]&lt;&gt;0),1,0)</f>
        <v>0</v>
      </c>
      <c r="AL153" s="78">
        <f>IF(TArticle[[#This Row],[کد بانک]]&gt;0,TArticle[[#This Row],[مانده بانک]]-VLOOKUP(TArticle[[#This Row],[کد بانک]],TBank[],7,FALSE),"")</f>
        <v>9373</v>
      </c>
      <c r="AM153" s="58" t="str">
        <f>LEFT(TArticle[[#This Row],[تاریخ]],7)</f>
        <v>1401-06</v>
      </c>
    </row>
    <row r="154" spans="1:39" hidden="1" x14ac:dyDescent="0.25">
      <c r="A154" s="24" t="s">
        <v>55</v>
      </c>
      <c r="B154" s="49" t="str">
        <f>VLOOKUP(TArticle[[#This Row],[شناسه]],TAccount[],2,TRUE)</f>
        <v>هزینه کلی</v>
      </c>
      <c r="C154" s="49" t="str">
        <f>VLOOKUP(TArticle[[#This Row],[تاریخ]],TDays[],7,FALSE)</f>
        <v>پنجشنبه</v>
      </c>
      <c r="D154" s="21" t="s">
        <v>384</v>
      </c>
      <c r="E154" s="1">
        <f>27329-38643+1941</f>
        <v>-9373</v>
      </c>
      <c r="F154" s="1">
        <f>TArticle[[#This Row],[مبلغ]]+IFERROR(INT(F153),30181+3667+958)</f>
        <v>10631</v>
      </c>
      <c r="K154" s="21">
        <v>1</v>
      </c>
      <c r="L154" t="str">
        <f>IF(TArticle[[#This Row],[کد وضعیت سند]]&gt;0,VLOOKUP(TArticle[[#This Row],[کد وضعیت سند]],TDocState[],2,FALSE),"")</f>
        <v>انجام شد</v>
      </c>
      <c r="N154" t="str">
        <f>IF(TArticle[[#This Row],[کد طرف حساب]]&gt;0,VLOOKUP(TArticle[[#This Row],[کد طرف حساب]],TContact[],2,FALSE),"")</f>
        <v/>
      </c>
      <c r="O154" s="61" t="str">
        <f>IF(TArticle[[#This Row],[کد طرف حساب]]&gt;0,VLOOKUP(TArticle[[#This Row],[کد طرف حساب]],TContact[],7,FALSE)-SUMIF($M$2:M154,M154,$E$2:$E154),"")</f>
        <v/>
      </c>
      <c r="P154" s="27" t="str">
        <f>RIGHT(TArticle[[#This Row],[تاریخ]],2)</f>
        <v>31</v>
      </c>
      <c r="Q154" s="27">
        <f>VLOOKUP(TArticle[[#This Row],[تاریخ]],TDays[],16,FALSE)</f>
        <v>27</v>
      </c>
      <c r="R154" s="27" t="str">
        <f>RIGHT(LEFT(TArticle[[#This Row],[تاریخ]],7),2)</f>
        <v>06</v>
      </c>
      <c r="S154" s="27" t="str">
        <f>LEFT(TArticle[[#This Row],[تاریخ]],4)</f>
        <v>1401</v>
      </c>
      <c r="U154" s="21">
        <f>VLOOKUP(TArticle[[#This Row],[شناسه]],TAccount[],7,TRUE)</f>
        <v>364074</v>
      </c>
      <c r="W154" s="21">
        <f>IF(AND(TArticle[[#This Row],[مبلغ]]&gt;0, TArticle[[#This Row],[کد وضعیت سند]]=1),TArticle[[#This Row],[مبلغ]],0)</f>
        <v>0</v>
      </c>
      <c r="X154" s="27">
        <f>IF(AND(TArticle[[#This Row],[مبلغ]]&lt;0,TArticle[[#This Row],[کد وضعیت سند]]=1),0-TArticle[[#This Row],[مبلغ]],0)</f>
        <v>9373</v>
      </c>
      <c r="Y154" s="27">
        <v>2</v>
      </c>
      <c r="Z154" t="str">
        <f>IF(TArticle[[#This Row],[کد بانک]]&gt;0,VLOOKUP(TArticle[[#This Row],[کد بانک]],TBank[],2,FALSE),"")</f>
        <v>ملی جاری</v>
      </c>
      <c r="AA154">
        <f>IF(AND(TArticle[[#This Row],[مبلغ]]&lt;0,TArticle[[#This Row],[کد وضعیت سند]]=1),0-TArticle[[#This Row],[مبلغ]],0)</f>
        <v>9373</v>
      </c>
      <c r="AB154">
        <f>IF(AND(TArticle[[#This Row],[مبلغ]]&gt;0, TArticle[[#This Row],[کد وضعیت سند]]=1),TArticle[[#This Row],[مبلغ]],0)</f>
        <v>0</v>
      </c>
      <c r="AC154" s="84">
        <f>IF(TArticle[[#This Row],[کد بانک]]&gt;0,VLOOKUP(TArticle[[#This Row],[کد بانک]],TBank[],9,FALSE)+SUMIF($Y$2:Y154,Y154,$E$2:$E154),"")</f>
        <v>0</v>
      </c>
      <c r="AD154" s="1">
        <f>IFERROR(IF(INT(LEFT(TArticle[[#This Row],[شناسه]]))=3,IF(TArticle[[#This Row],[کد وضعیت سند]]=1,TArticle[مبلغ],0),0),0)</f>
        <v>-9373</v>
      </c>
      <c r="AE154" s="1">
        <f>IFERROR(IF(((TArticle[[#This Row],[شناسه]]))="4.1.1",IF(TArticle[[#This Row],[کد وضعیت سند]]=1,TArticle[مبلغ],0),0),0)</f>
        <v>0</v>
      </c>
      <c r="AF154" s="1">
        <f>IFERROR(IF(((TArticle[[#This Row],[شناسه]]))="4.1.2",IF(TArticle[[#This Row],[کد وضعیت سند]]=1,TArticle[مبلغ],0),0),0)</f>
        <v>0</v>
      </c>
      <c r="AG154" s="1">
        <f>IFERROR(IF(INT(LEFT(TArticle[[#This Row],[شناسه]]))=1,IF(TArticle[[#This Row],[کد وضعیت سند]]=1,TArticle[مبلغ],0),0),0)</f>
        <v>0</v>
      </c>
      <c r="AH154" s="1">
        <f>IFERROR(IF(INT(LEFT(TArticle[[#This Row],[شناسه]]))=2,IF(TArticle[[#This Row],[کد وضعیت سند]]=1,TArticle[مبلغ],0),0),0)</f>
        <v>0</v>
      </c>
      <c r="AI154" s="1">
        <f>IFERROR(IF((LEFT(TArticle[[#This Row],[شناسه]],3))="5.2",IF(TArticle[[#This Row],[کد وضعیت سند]]=1,TArticle[مبلغ],0),0),0)</f>
        <v>0</v>
      </c>
      <c r="AJ154" s="1">
        <f>IF(TArticle[[#This Row],[کد وضعیت سند]]=1,1,0)</f>
        <v>1</v>
      </c>
      <c r="AK154" s="1">
        <f>IF(AND(TArticle[[#This Row],[کد وضعیت سند]]&lt;&gt;1,TArticle[[#This Row],[مبلغ]]&lt;&gt;0),1,0)</f>
        <v>0</v>
      </c>
      <c r="AL154" s="51">
        <f>IF(TArticle[[#This Row],[کد بانک]]&gt;0,TArticle[[#This Row],[مانده بانک]]-VLOOKUP(TArticle[[#This Row],[کد بانک]],TBank[],7,FALSE),"")</f>
        <v>0</v>
      </c>
      <c r="AM154" s="49" t="str">
        <f>LEFT(TArticle[[#This Row],[تاریخ]],7)</f>
        <v>1401-06</v>
      </c>
    </row>
    <row r="155" spans="1:39" hidden="1" x14ac:dyDescent="0.25">
      <c r="A155" s="24" t="s">
        <v>55</v>
      </c>
      <c r="B155" s="49" t="str">
        <f>VLOOKUP(TArticle[[#This Row],[شناسه]],TAccount[],2,TRUE)</f>
        <v>هزینه کلی</v>
      </c>
      <c r="C155" s="49" t="str">
        <f>VLOOKUP(TArticle[[#This Row],[تاریخ]],TDays[],7,FALSE)</f>
        <v>پنجشنبه</v>
      </c>
      <c r="D155" s="21" t="s">
        <v>384</v>
      </c>
      <c r="E155" s="1">
        <f>214-4027</f>
        <v>-3813</v>
      </c>
      <c r="F155" s="1">
        <f>TArticle[[#This Row],[مبلغ]]+IFERROR(INT(F154),30181+3667+958)</f>
        <v>6818</v>
      </c>
      <c r="K155" s="21">
        <v>1</v>
      </c>
      <c r="L155" t="str">
        <f>IF(TArticle[[#This Row],[کد وضعیت سند]]&gt;0,VLOOKUP(TArticle[[#This Row],[کد وضعیت سند]],TDocState[],2,FALSE),"")</f>
        <v>انجام شد</v>
      </c>
      <c r="N155" t="str">
        <f>IF(TArticle[[#This Row],[کد طرف حساب]]&gt;0,VLOOKUP(TArticle[[#This Row],[کد طرف حساب]],TContact[],2,FALSE),"")</f>
        <v/>
      </c>
      <c r="O155" s="61" t="str">
        <f>IF(TArticle[[#This Row],[کد طرف حساب]]&gt;0,VLOOKUP(TArticle[[#This Row],[کد طرف حساب]],TContact[],7,FALSE)-SUMIF($M$2:M155,M155,$E$2:$E155),"")</f>
        <v/>
      </c>
      <c r="P155" s="27" t="str">
        <f>RIGHT(TArticle[[#This Row],[تاریخ]],2)</f>
        <v>31</v>
      </c>
      <c r="Q155" s="27">
        <f>VLOOKUP(TArticle[[#This Row],[تاریخ]],TDays[],16,FALSE)</f>
        <v>27</v>
      </c>
      <c r="R155" s="27" t="str">
        <f>RIGHT(LEFT(TArticle[[#This Row],[تاریخ]],7),2)</f>
        <v>06</v>
      </c>
      <c r="S155" s="27" t="str">
        <f>LEFT(TArticle[[#This Row],[تاریخ]],4)</f>
        <v>1401</v>
      </c>
      <c r="U155" s="21">
        <f>VLOOKUP(TArticle[[#This Row],[شناسه]],TAccount[],7,TRUE)</f>
        <v>364074</v>
      </c>
      <c r="W155" s="21">
        <f>IF(AND(TArticle[[#This Row],[مبلغ]]&gt;0, TArticle[[#This Row],[کد وضعیت سند]]=1),TArticle[[#This Row],[مبلغ]],0)</f>
        <v>0</v>
      </c>
      <c r="X155" s="27">
        <f>IF(AND(TArticle[[#This Row],[مبلغ]]&lt;0,TArticle[[#This Row],[کد وضعیت سند]]=1),0-TArticle[[#This Row],[مبلغ]],0)</f>
        <v>3813</v>
      </c>
      <c r="Y155" s="27">
        <v>4</v>
      </c>
      <c r="Z155" t="str">
        <f>IF(TArticle[[#This Row],[کد بانک]]&gt;0,VLOOKUP(TArticle[[#This Row],[کد بانک]],TBank[],2,FALSE),"")</f>
        <v>سپه</v>
      </c>
      <c r="AA155">
        <f>IF(AND(TArticle[[#This Row],[مبلغ]]&lt;0,TArticle[[#This Row],[کد وضعیت سند]]=1),0-TArticle[[#This Row],[مبلغ]],0)</f>
        <v>3813</v>
      </c>
      <c r="AB155">
        <f>IF(AND(TArticle[[#This Row],[مبلغ]]&gt;0, TArticle[[#This Row],[کد وضعیت سند]]=1),TArticle[[#This Row],[مبلغ]],0)</f>
        <v>0</v>
      </c>
      <c r="AC155" s="84">
        <f>IF(TArticle[[#This Row],[کد بانک]]&gt;0,VLOOKUP(TArticle[[#This Row],[کد بانک]],TBank[],9,FALSE)+SUMIF($Y$2:Y155,Y155,$E$2:$E155),"")</f>
        <v>214</v>
      </c>
      <c r="AD155" s="1">
        <f>IFERROR(IF(INT(LEFT(TArticle[[#This Row],[شناسه]]))=3,IF(TArticle[[#This Row],[کد وضعیت سند]]=1,TArticle[مبلغ],0),0),0)</f>
        <v>-3813</v>
      </c>
      <c r="AE155" s="1">
        <f>IFERROR(IF(((TArticle[[#This Row],[شناسه]]))="4.1.1",IF(TArticle[[#This Row],[کد وضعیت سند]]=1,TArticle[مبلغ],0),0),0)</f>
        <v>0</v>
      </c>
      <c r="AF155" s="1">
        <f>IFERROR(IF(((TArticle[[#This Row],[شناسه]]))="4.1.2",IF(TArticle[[#This Row],[کد وضعیت سند]]=1,TArticle[مبلغ],0),0),0)</f>
        <v>0</v>
      </c>
      <c r="AG155" s="1">
        <f>IFERROR(IF(INT(LEFT(TArticle[[#This Row],[شناسه]]))=1,IF(TArticle[[#This Row],[کد وضعیت سند]]=1,TArticle[مبلغ],0),0),0)</f>
        <v>0</v>
      </c>
      <c r="AH155" s="1">
        <f>IFERROR(IF(INT(LEFT(TArticle[[#This Row],[شناسه]]))=2,IF(TArticle[[#This Row],[کد وضعیت سند]]=1,TArticle[مبلغ],0),0),0)</f>
        <v>0</v>
      </c>
      <c r="AI155" s="1">
        <f>IFERROR(IF((LEFT(TArticle[[#This Row],[شناسه]],3))="5.2",IF(TArticle[[#This Row],[کد وضعیت سند]]=1,TArticle[مبلغ],0),0),0)</f>
        <v>0</v>
      </c>
      <c r="AJ155" s="1">
        <f>IF(TArticle[[#This Row],[کد وضعیت سند]]=1,1,0)</f>
        <v>1</v>
      </c>
      <c r="AK155" s="1">
        <f>IF(AND(TArticle[[#This Row],[کد وضعیت سند]]&lt;&gt;1,TArticle[[#This Row],[مبلغ]]&lt;&gt;0),1,0)</f>
        <v>0</v>
      </c>
      <c r="AL155" s="51">
        <f>IF(TArticle[[#This Row],[کد بانک]]&gt;0,TArticle[[#This Row],[مانده بانک]]-VLOOKUP(TArticle[[#This Row],[کد بانک]],TBank[],7,FALSE),"")</f>
        <v>212</v>
      </c>
      <c r="AM155" s="49" t="str">
        <f>LEFT(TArticle[[#This Row],[تاریخ]],7)</f>
        <v>1401-06</v>
      </c>
    </row>
    <row r="156" spans="1:39" hidden="1" x14ac:dyDescent="0.25">
      <c r="A156" s="24" t="s">
        <v>1041</v>
      </c>
      <c r="B156" s="49" t="str">
        <f>VLOOKUP(TArticle[[#This Row],[شناسه]],TAccount[],2,TRUE)</f>
        <v>کارمزد و ضرر سهام</v>
      </c>
      <c r="C156" s="49" t="str">
        <f>VLOOKUP(TArticle[[#This Row],[تاریخ]],TDays[],7,FALSE)</f>
        <v>پنجشنبه</v>
      </c>
      <c r="D156" s="21" t="s">
        <v>384</v>
      </c>
      <c r="E156" s="1">
        <f>5723-6200</f>
        <v>-477</v>
      </c>
      <c r="F156" s="1">
        <f>TArticle[[#This Row],[مبلغ]]+IFERROR(INT(F155),30181+3667+958)</f>
        <v>6341</v>
      </c>
      <c r="G156" t="s">
        <v>1668</v>
      </c>
      <c r="K156" s="21">
        <v>1</v>
      </c>
      <c r="L156" t="str">
        <f>IF(TArticle[[#This Row],[کد وضعیت سند]]&gt;0,VLOOKUP(TArticle[[#This Row],[کد وضعیت سند]],TDocState[],2,FALSE),"")</f>
        <v>انجام شد</v>
      </c>
      <c r="N156" t="str">
        <f>IF(TArticle[[#This Row],[کد طرف حساب]]&gt;0,VLOOKUP(TArticle[[#This Row],[کد طرف حساب]],TContact[],2,FALSE),"")</f>
        <v/>
      </c>
      <c r="O156" s="61" t="str">
        <f>IF(TArticle[[#This Row],[کد طرف حساب]]&gt;0,VLOOKUP(TArticle[[#This Row],[کد طرف حساب]],TContact[],7,FALSE)-SUMIF($M$2:M156,M156,$E$2:$E156),"")</f>
        <v/>
      </c>
      <c r="P156" s="27" t="str">
        <f>RIGHT(TArticle[[#This Row],[تاریخ]],2)</f>
        <v>31</v>
      </c>
      <c r="Q156" s="27">
        <f>VLOOKUP(TArticle[[#This Row],[تاریخ]],TDays[],16,FALSE)</f>
        <v>27</v>
      </c>
      <c r="R156" s="27" t="str">
        <f>RIGHT(LEFT(TArticle[[#This Row],[تاریخ]],7),2)</f>
        <v>06</v>
      </c>
      <c r="S156" s="27" t="str">
        <f>LEFT(TArticle[[#This Row],[تاریخ]],4)</f>
        <v>1401</v>
      </c>
      <c r="U156" s="21">
        <f>VLOOKUP(TArticle[[#This Row],[شناسه]],TAccount[],7,TRUE)</f>
        <v>477</v>
      </c>
      <c r="W156" s="21">
        <f>IF(AND(TArticle[[#This Row],[مبلغ]]&gt;0, TArticle[[#This Row],[کد وضعیت سند]]=1),TArticle[[#This Row],[مبلغ]],0)</f>
        <v>0</v>
      </c>
      <c r="X156" s="27">
        <f>IF(AND(TArticle[[#This Row],[مبلغ]]&lt;0,TArticle[[#This Row],[کد وضعیت سند]]=1),0-TArticle[[#This Row],[مبلغ]],0)</f>
        <v>477</v>
      </c>
      <c r="Y156" s="27">
        <v>22</v>
      </c>
      <c r="Z156" t="str">
        <f>IF(TArticle[[#This Row],[کد بانک]]&gt;0,VLOOKUP(TArticle[[#This Row],[کد بانک]],TBank[],2,FALSE),"")</f>
        <v>بورس</v>
      </c>
      <c r="AA156">
        <f>IF(AND(TArticle[[#This Row],[مبلغ]]&lt;0,TArticle[[#This Row],[کد وضعیت سند]]=1),0-TArticle[[#This Row],[مبلغ]],0)</f>
        <v>477</v>
      </c>
      <c r="AB156">
        <f>IF(AND(TArticle[[#This Row],[مبلغ]]&gt;0, TArticle[[#This Row],[کد وضعیت سند]]=1),TArticle[[#This Row],[مبلغ]],0)</f>
        <v>0</v>
      </c>
      <c r="AC156" s="84">
        <f>IF(TArticle[[#This Row],[کد بانک]]&gt;0,VLOOKUP(TArticle[[#This Row],[کد بانک]],TBank[],9,FALSE)+SUMIF($Y$2:Y156,Y156,$E$2:$E156),"")</f>
        <v>5723</v>
      </c>
      <c r="AD156" s="1">
        <f>IFERROR(IF(INT(LEFT(TArticle[[#This Row],[شناسه]]))=3,IF(TArticle[[#This Row],[کد وضعیت سند]]=1,TArticle[مبلغ],0),0),0)</f>
        <v>-477</v>
      </c>
      <c r="AE156" s="1">
        <f>IFERROR(IF(((TArticle[[#This Row],[شناسه]]))="4.1.1",IF(TArticle[[#This Row],[کد وضعیت سند]]=1,TArticle[مبلغ],0),0),0)</f>
        <v>0</v>
      </c>
      <c r="AF156" s="1">
        <f>IFERROR(IF(((TArticle[[#This Row],[شناسه]]))="4.1.2",IF(TArticle[[#This Row],[کد وضعیت سند]]=1,TArticle[مبلغ],0),0),0)</f>
        <v>0</v>
      </c>
      <c r="AG156" s="1">
        <f>IFERROR(IF(INT(LEFT(TArticle[[#This Row],[شناسه]]))=1,IF(TArticle[[#This Row],[کد وضعیت سند]]=1,TArticle[مبلغ],0),0),0)</f>
        <v>0</v>
      </c>
      <c r="AH156" s="1">
        <f>IFERROR(IF(INT(LEFT(TArticle[[#This Row],[شناسه]]))=2,IF(TArticle[[#This Row],[کد وضعیت سند]]=1,TArticle[مبلغ],0),0),0)</f>
        <v>0</v>
      </c>
      <c r="AI156" s="1">
        <f>IFERROR(IF((LEFT(TArticle[[#This Row],[شناسه]],3))="5.2",IF(TArticle[[#This Row],[کد وضعیت سند]]=1,TArticle[مبلغ],0),0),0)</f>
        <v>0</v>
      </c>
      <c r="AJ156" s="1">
        <f>IF(TArticle[[#This Row],[کد وضعیت سند]]=1,1,0)</f>
        <v>1</v>
      </c>
      <c r="AK156" s="1">
        <f>IF(AND(TArticle[[#This Row],[کد وضعیت سند]]&lt;&gt;1,TArticle[[#This Row],[مبلغ]]&lt;&gt;0),1,0)</f>
        <v>0</v>
      </c>
      <c r="AL156" s="51">
        <f>IF(TArticle[[#This Row],[کد بانک]]&gt;0,TArticle[[#This Row],[مانده بانک]]-VLOOKUP(TArticle[[#This Row],[کد بانک]],TBank[],7,FALSE),"")</f>
        <v>5723</v>
      </c>
      <c r="AM156" s="49" t="str">
        <f>LEFT(TArticle[[#This Row],[تاریخ]],7)</f>
        <v>1401-06</v>
      </c>
    </row>
    <row r="157" spans="1:39" hidden="1" x14ac:dyDescent="0.25">
      <c r="A157" s="24" t="s">
        <v>43</v>
      </c>
      <c r="B157" s="49" t="str">
        <f>VLOOKUP(TArticle[[#This Row],[شناسه]],TAccount[],2,TRUE)</f>
        <v>حقوق</v>
      </c>
      <c r="C157" s="49" t="str">
        <f>VLOOKUP(TArticle[[#This Row],[تاریخ]],TDays[],7,FALSE)</f>
        <v>جمعه</v>
      </c>
      <c r="D157" s="21" t="s">
        <v>385</v>
      </c>
      <c r="E157" s="1">
        <v>29270</v>
      </c>
      <c r="F157" s="1">
        <f>TArticle[[#This Row],[مبلغ]]+IFERROR(INT(F156),30181+3667+958)</f>
        <v>35611</v>
      </c>
      <c r="H157" s="64"/>
      <c r="J157" s="65"/>
      <c r="K157" s="64">
        <v>1</v>
      </c>
      <c r="L157" s="66" t="str">
        <f>IF(TArticle[[#This Row],[کد وضعیت سند]]&gt;0,VLOOKUP(TArticle[[#This Row],[کد وضعیت سند]],TDocState[],2,FALSE),"")</f>
        <v>انجام شد</v>
      </c>
      <c r="M157" s="67"/>
      <c r="N157" t="str">
        <f>IF(TArticle[[#This Row],[کد طرف حساب]]&gt;0,VLOOKUP(TArticle[[#This Row],[کد طرف حساب]],TContact[],2,FALSE),"")</f>
        <v/>
      </c>
      <c r="O157" s="68" t="str">
        <f>IF(TArticle[[#This Row],[کد طرف حساب]]&gt;0,VLOOKUP(TArticle[[#This Row],[کد طرف حساب]],TContact[],7,FALSE)-SUMIF($M$2:M157,M157,$E$2:$E157),"")</f>
        <v/>
      </c>
      <c r="P157" s="67" t="str">
        <f>RIGHT(TArticle[[#This Row],[تاریخ]],2)</f>
        <v>01</v>
      </c>
      <c r="Q157" s="67">
        <f>VLOOKUP(TArticle[[#This Row],[تاریخ]],TDays[],16,FALSE)</f>
        <v>27</v>
      </c>
      <c r="R157" s="67" t="str">
        <f>RIGHT(LEFT(TArticle[[#This Row],[تاریخ]],7),2)</f>
        <v>07</v>
      </c>
      <c r="S157" s="67" t="str">
        <f>LEFT(TArticle[[#This Row],[تاریخ]],4)</f>
        <v>1401</v>
      </c>
      <c r="T157" s="64"/>
      <c r="U157" s="64">
        <f>VLOOKUP(TArticle[[#This Row],[شناسه]],TAccount[],7,TRUE)</f>
        <v>416023</v>
      </c>
      <c r="V157" s="64"/>
      <c r="W157" s="64">
        <f>IF(AND(TArticle[[#This Row],[مبلغ]]&gt;0, TArticle[[#This Row],[کد وضعیت سند]]=1),TArticle[[#This Row],[مبلغ]],0)</f>
        <v>29270</v>
      </c>
      <c r="X157" s="67">
        <f>IF(AND(TArticle[[#This Row],[مبلغ]]&lt;0,TArticle[[#This Row],[کد وضعیت سند]]=1),0-TArticle[[#This Row],[مبلغ]],0)</f>
        <v>0</v>
      </c>
      <c r="Y157" s="67">
        <v>2</v>
      </c>
      <c r="Z157" t="str">
        <f>IF(TArticle[[#This Row],[کد بانک]]&gt;0,VLOOKUP(TArticle[[#This Row],[کد بانک]],TBank[],2,FALSE),"")</f>
        <v>ملی جاری</v>
      </c>
      <c r="AA157">
        <f>IF(AND(TArticle[[#This Row],[مبلغ]]&lt;0,TArticle[[#This Row],[کد وضعیت سند]]=1),0-TArticle[[#This Row],[مبلغ]],0)</f>
        <v>0</v>
      </c>
      <c r="AB157">
        <f>IF(AND(TArticle[[#This Row],[مبلغ]]&gt;0, TArticle[[#This Row],[کد وضعیت سند]]=1),TArticle[[#This Row],[مبلغ]],0)</f>
        <v>29270</v>
      </c>
      <c r="AC157" s="93">
        <f>IF(TArticle[[#This Row],[کد بانک]]&gt;0,VLOOKUP(TArticle[[#This Row],[کد بانک]],TBank[],9,FALSE)+SUMIF($Y$2:Y157,Y157,$E$2:$E157),"")</f>
        <v>29270</v>
      </c>
      <c r="AD157" s="1">
        <f>IFERROR(IF(INT(LEFT(TArticle[[#This Row],[شناسه]]))=3,IF(TArticle[[#This Row],[کد وضعیت سند]]=1,TArticle[مبلغ],0),0),0)</f>
        <v>0</v>
      </c>
      <c r="AE157" s="1">
        <f>IFERROR(IF(((TArticle[[#This Row],[شناسه]]))="4.1.1",IF(TArticle[[#This Row],[کد وضعیت سند]]=1,TArticle[مبلغ],0),0),0)</f>
        <v>29270</v>
      </c>
      <c r="AF157" s="1">
        <f>IFERROR(IF(((TArticle[[#This Row],[شناسه]]))="4.1.2",IF(TArticle[[#This Row],[کد وضعیت سند]]=1,TArticle[مبلغ],0),0),0)</f>
        <v>0</v>
      </c>
      <c r="AG157" s="1">
        <f>IFERROR(IF(INT(LEFT(TArticle[[#This Row],[شناسه]]))=1,IF(TArticle[[#This Row],[کد وضعیت سند]]=1,TArticle[مبلغ],0),0),0)</f>
        <v>0</v>
      </c>
      <c r="AH157" s="1">
        <f>IFERROR(IF(INT(LEFT(TArticle[[#This Row],[شناسه]]))=2,IF(TArticle[[#This Row],[کد وضعیت سند]]=1,TArticle[مبلغ],0),0),0)</f>
        <v>0</v>
      </c>
      <c r="AI157" s="1">
        <f>IFERROR(IF((LEFT(TArticle[[#This Row],[شناسه]],3))="5.2",IF(TArticle[[#This Row],[کد وضعیت سند]]=1,TArticle[مبلغ],0),0),0)</f>
        <v>0</v>
      </c>
      <c r="AJ157" s="1">
        <f>IF(TArticle[[#This Row],[کد وضعیت سند]]=1,1,0)</f>
        <v>1</v>
      </c>
      <c r="AK157" s="1">
        <f>IF(AND(TArticle[[#This Row],[کد وضعیت سند]]&lt;&gt;1,TArticle[[#This Row],[مبلغ]]&lt;&gt;0),1,0)</f>
        <v>0</v>
      </c>
      <c r="AL157" s="78">
        <f>IF(TArticle[[#This Row],[کد بانک]]&gt;0,TArticle[[#This Row],[مانده بانک]]-VLOOKUP(TArticle[[#This Row],[کد بانک]],TBank[],7,FALSE),"")</f>
        <v>29270</v>
      </c>
      <c r="AM157" s="58" t="str">
        <f>LEFT(TArticle[[#This Row],[تاریخ]],7)</f>
        <v>1401-07</v>
      </c>
    </row>
    <row r="158" spans="1:39" hidden="1" x14ac:dyDescent="0.25">
      <c r="A158" s="24" t="s">
        <v>55</v>
      </c>
      <c r="B158" s="49" t="str">
        <f>VLOOKUP(TArticle[[#This Row],[شناسه]],TAccount[],2,TRUE)</f>
        <v>هزینه کلی</v>
      </c>
      <c r="C158" s="49" t="str">
        <f>VLOOKUP(TArticle[[#This Row],[تاریخ]],TDays[],7,FALSE)</f>
        <v>جمعه</v>
      </c>
      <c r="D158" s="21" t="s">
        <v>385</v>
      </c>
      <c r="E158" s="1">
        <f>-1941</f>
        <v>-1941</v>
      </c>
      <c r="F158" s="1">
        <f>TArticle[[#This Row],[مبلغ]]+IFERROR(INT(F157),30181+3667+958)</f>
        <v>33670</v>
      </c>
      <c r="H158" s="64"/>
      <c r="J158" s="65"/>
      <c r="K158" s="49">
        <v>1</v>
      </c>
      <c r="L158" s="66" t="str">
        <f>IF(TArticle[[#This Row],[کد وضعیت سند]]&gt;0,VLOOKUP(TArticle[[#This Row],[کد وضعیت سند]],TDocState[],2,FALSE),"")</f>
        <v>انجام شد</v>
      </c>
      <c r="M158" s="67"/>
      <c r="N158" t="str">
        <f>IF(TArticle[[#This Row],[کد طرف حساب]]&gt;0,VLOOKUP(TArticle[[#This Row],[کد طرف حساب]],TContact[],2,FALSE),"")</f>
        <v/>
      </c>
      <c r="O158" s="68" t="str">
        <f>IF(TArticle[[#This Row],[کد طرف حساب]]&gt;0,VLOOKUP(TArticle[[#This Row],[کد طرف حساب]],TContact[],7,FALSE)-SUMIF($M$2:M158,M158,$E$2:$E158),"")</f>
        <v/>
      </c>
      <c r="P158" s="67" t="str">
        <f>RIGHT(TArticle[[#This Row],[تاریخ]],2)</f>
        <v>01</v>
      </c>
      <c r="Q158" s="67">
        <f>VLOOKUP(TArticle[[#This Row],[تاریخ]],TDays[],16,FALSE)</f>
        <v>27</v>
      </c>
      <c r="R158" s="67" t="str">
        <f>RIGHT(LEFT(TArticle[[#This Row],[تاریخ]],7),2)</f>
        <v>07</v>
      </c>
      <c r="S158" s="67" t="str">
        <f>LEFT(TArticle[[#This Row],[تاریخ]],4)</f>
        <v>1401</v>
      </c>
      <c r="T158" s="64"/>
      <c r="U158" s="64">
        <f>VLOOKUP(TArticle[[#This Row],[شناسه]],TAccount[],7,TRUE)</f>
        <v>364074</v>
      </c>
      <c r="V158" s="64"/>
      <c r="W158" s="64">
        <f>IF(AND(TArticle[[#This Row],[مبلغ]]&gt;0, TArticle[[#This Row],[کد وضعیت سند]]=1),TArticle[[#This Row],[مبلغ]],0)</f>
        <v>0</v>
      </c>
      <c r="X158" s="67">
        <f>IF(AND(TArticle[[#This Row],[مبلغ]]&lt;0,TArticle[[#This Row],[کد وضعیت سند]]=1),0-TArticle[[#This Row],[مبلغ]],0)</f>
        <v>1941</v>
      </c>
      <c r="Y158" s="27">
        <v>2</v>
      </c>
      <c r="Z158" t="str">
        <f>IF(TArticle[[#This Row],[کد بانک]]&gt;0,VLOOKUP(TArticle[[#This Row],[کد بانک]],TBank[],2,FALSE),"")</f>
        <v>ملی جاری</v>
      </c>
      <c r="AA158">
        <f>IF(AND(TArticle[[#This Row],[مبلغ]]&lt;0,TArticle[[#This Row],[کد وضعیت سند]]=1),0-TArticle[[#This Row],[مبلغ]],0)</f>
        <v>1941</v>
      </c>
      <c r="AB158">
        <f>IF(AND(TArticle[[#This Row],[مبلغ]]&gt;0, TArticle[[#This Row],[کد وضعیت سند]]=1),TArticle[[#This Row],[مبلغ]],0)</f>
        <v>0</v>
      </c>
      <c r="AC158" s="93">
        <f>IF(TArticle[[#This Row],[کد بانک]]&gt;0,VLOOKUP(TArticle[[#This Row],[کد بانک]],TBank[],9,FALSE)+SUMIF($Y$2:Y158,Y158,$E$2:$E158),"")</f>
        <v>27329</v>
      </c>
      <c r="AD158" s="1">
        <f>IFERROR(IF(INT(LEFT(TArticle[[#This Row],[شناسه]]))=3,IF(TArticle[[#This Row],[کد وضعیت سند]]=1,TArticle[مبلغ],0),0),0)</f>
        <v>-1941</v>
      </c>
      <c r="AE158" s="1">
        <f>IFERROR(IF(((TArticle[[#This Row],[شناسه]]))="4.1.1",IF(TArticle[[#This Row],[کد وضعیت سند]]=1,TArticle[مبلغ],0),0),0)</f>
        <v>0</v>
      </c>
      <c r="AF158" s="1">
        <f>IFERROR(IF(((TArticle[[#This Row],[شناسه]]))="4.1.2",IF(TArticle[[#This Row],[کد وضعیت سند]]=1,TArticle[مبلغ],0),0),0)</f>
        <v>0</v>
      </c>
      <c r="AG158" s="1">
        <f>IFERROR(IF(INT(LEFT(TArticle[[#This Row],[شناسه]]))=1,IF(TArticle[[#This Row],[کد وضعیت سند]]=1,TArticle[مبلغ],0),0),0)</f>
        <v>0</v>
      </c>
      <c r="AH158" s="1">
        <f>IFERROR(IF(INT(LEFT(TArticle[[#This Row],[شناسه]]))=2,IF(TArticle[[#This Row],[کد وضعیت سند]]=1,TArticle[مبلغ],0),0),0)</f>
        <v>0</v>
      </c>
      <c r="AI158" s="1">
        <f>IFERROR(IF((LEFT(TArticle[[#This Row],[شناسه]],3))="5.2",IF(TArticle[[#This Row],[کد وضعیت سند]]=1,TArticle[مبلغ],0),0),0)</f>
        <v>0</v>
      </c>
      <c r="AJ158" s="1">
        <f>IF(TArticle[[#This Row],[کد وضعیت سند]]=1,1,0)</f>
        <v>1</v>
      </c>
      <c r="AK158" s="1">
        <f>IF(AND(TArticle[[#This Row],[کد وضعیت سند]]&lt;&gt;1,TArticle[[#This Row],[مبلغ]]&lt;&gt;0),1,0)</f>
        <v>0</v>
      </c>
      <c r="AL158" s="78">
        <f>IF(TArticle[[#This Row],[کد بانک]]&gt;0,TArticle[[#This Row],[مانده بانک]]-VLOOKUP(TArticle[[#This Row],[کد بانک]],TBank[],7,FALSE),"")</f>
        <v>27329</v>
      </c>
      <c r="AM158" s="58" t="str">
        <f>LEFT(TArticle[[#This Row],[تاریخ]],7)</f>
        <v>1401-07</v>
      </c>
    </row>
    <row r="159" spans="1:39" hidden="1" x14ac:dyDescent="0.25">
      <c r="A159" s="24" t="s">
        <v>1008</v>
      </c>
      <c r="B159" s="49" t="str">
        <f>VLOOKUP(TArticle[[#This Row],[شناسه]],TAccount[],2,TRUE)</f>
        <v>حواله پرداخت/برداشت</v>
      </c>
      <c r="C159" s="49" t="str">
        <f>VLOOKUP(TArticle[[#This Row],[تاریخ]],TDays[],7,FALSE)</f>
        <v>جمعه</v>
      </c>
      <c r="D159" s="21" t="s">
        <v>385</v>
      </c>
      <c r="E159" s="1">
        <v>-14000</v>
      </c>
      <c r="F159" s="1">
        <f>TArticle[[#This Row],[مبلغ]]+IFERROR(INT(F158),30181+3667+958)</f>
        <v>19670</v>
      </c>
      <c r="K159" s="21">
        <v>1</v>
      </c>
      <c r="L159" t="str">
        <f>IF(TArticle[[#This Row],[کد وضعیت سند]]&gt;0,VLOOKUP(TArticle[[#This Row],[کد وضعیت سند]],TDocState[],2,FALSE),"")</f>
        <v>انجام شد</v>
      </c>
      <c r="N159" t="str">
        <f>IF(TArticle[[#This Row],[کد طرف حساب]]&gt;0,VLOOKUP(TArticle[[#This Row],[کد طرف حساب]],TContact[],2,FALSE),"")</f>
        <v/>
      </c>
      <c r="O159" s="61" t="str">
        <f>IF(TArticle[[#This Row],[کد طرف حساب]]&gt;0,VLOOKUP(TArticle[[#This Row],[کد طرف حساب]],TContact[],7,FALSE)-SUMIF($M$2:M159,M159,$E$2:$E159),"")</f>
        <v/>
      </c>
      <c r="P159" s="27" t="str">
        <f>RIGHT(TArticle[[#This Row],[تاریخ]],2)</f>
        <v>01</v>
      </c>
      <c r="Q159" s="27">
        <f>VLOOKUP(TArticle[[#This Row],[تاریخ]],TDays[],16,FALSE)</f>
        <v>27</v>
      </c>
      <c r="R159" s="27" t="str">
        <f>RIGHT(LEFT(TArticle[[#This Row],[تاریخ]],7),2)</f>
        <v>07</v>
      </c>
      <c r="S159" s="27" t="str">
        <f>LEFT(TArticle[[#This Row],[تاریخ]],4)</f>
        <v>1401</v>
      </c>
      <c r="U159" s="21">
        <f>VLOOKUP(TArticle[[#This Row],[شناسه]],TAccount[],7,TRUE)</f>
        <v>179525</v>
      </c>
      <c r="W159" s="21">
        <f>IF(AND(TArticle[[#This Row],[مبلغ]]&gt;0, TArticle[[#This Row],[کد وضعیت سند]]=1),TArticle[[#This Row],[مبلغ]],0)</f>
        <v>0</v>
      </c>
      <c r="X159" s="27">
        <f>IF(AND(TArticle[[#This Row],[مبلغ]]&lt;0,TArticle[[#This Row],[کد وضعیت سند]]=1),0-TArticle[[#This Row],[مبلغ]],0)</f>
        <v>14000</v>
      </c>
      <c r="Y159" s="27">
        <v>2</v>
      </c>
      <c r="Z159" t="str">
        <f>IF(TArticle[[#This Row],[کد بانک]]&gt;0,VLOOKUP(TArticle[[#This Row],[کد بانک]],TBank[],2,FALSE),"")</f>
        <v>ملی جاری</v>
      </c>
      <c r="AA159">
        <f>IF(AND(TArticle[[#This Row],[مبلغ]]&lt;0,TArticle[[#This Row],[کد وضعیت سند]]=1),0-TArticle[[#This Row],[مبلغ]],0)</f>
        <v>14000</v>
      </c>
      <c r="AB159">
        <f>IF(AND(TArticle[[#This Row],[مبلغ]]&gt;0, TArticle[[#This Row],[کد وضعیت سند]]=1),TArticle[[#This Row],[مبلغ]],0)</f>
        <v>0</v>
      </c>
      <c r="AC159" s="84">
        <f>IF(TArticle[[#This Row],[کد بانک]]&gt;0,VLOOKUP(TArticle[[#This Row],[کد بانک]],TBank[],9,FALSE)+SUMIF($Y$2:Y159,Y159,$E$2:$E159),"")</f>
        <v>13329</v>
      </c>
      <c r="AD159" s="1">
        <f>IFERROR(IF(INT(LEFT(TArticle[[#This Row],[شناسه]]))=3,IF(TArticle[[#This Row],[کد وضعیت سند]]=1,TArticle[مبلغ],0),0),0)</f>
        <v>0</v>
      </c>
      <c r="AE159" s="1">
        <f>IFERROR(IF(((TArticle[[#This Row],[شناسه]]))="4.1.1",IF(TArticle[[#This Row],[کد وضعیت سند]]=1,TArticle[مبلغ],0),0),0)</f>
        <v>0</v>
      </c>
      <c r="AF159" s="1">
        <f>IFERROR(IF(((TArticle[[#This Row],[شناسه]]))="4.1.2",IF(TArticle[[#This Row],[کد وضعیت سند]]=1,TArticle[مبلغ],0),0),0)</f>
        <v>0</v>
      </c>
      <c r="AG159" s="1">
        <f>IFERROR(IF(INT(LEFT(TArticle[[#This Row],[شناسه]]))=1,IF(TArticle[[#This Row],[کد وضعیت سند]]=1,TArticle[مبلغ],0),0),0)</f>
        <v>0</v>
      </c>
      <c r="AH159" s="1">
        <f>IFERROR(IF(INT(LEFT(TArticle[[#This Row],[شناسه]]))=2,IF(TArticle[[#This Row],[کد وضعیت سند]]=1,TArticle[مبلغ],0),0),0)</f>
        <v>0</v>
      </c>
      <c r="AI159" s="1">
        <f>IFERROR(IF((LEFT(TArticle[[#This Row],[شناسه]],3))="5.2",IF(TArticle[[#This Row],[کد وضعیت سند]]=1,TArticle[مبلغ],0),0),0)</f>
        <v>0</v>
      </c>
      <c r="AJ159" s="1">
        <f>IF(TArticle[[#This Row],[کد وضعیت سند]]=1,1,0)</f>
        <v>1</v>
      </c>
      <c r="AK159" s="1">
        <f>IF(AND(TArticle[[#This Row],[کد وضعیت سند]]&lt;&gt;1,TArticle[[#This Row],[مبلغ]]&lt;&gt;0),1,0)</f>
        <v>0</v>
      </c>
      <c r="AL159" s="51">
        <f>IF(TArticle[[#This Row],[کد بانک]]&gt;0,TArticle[[#This Row],[مانده بانک]]-VLOOKUP(TArticle[[#This Row],[کد بانک]],TBank[],7,FALSE),"")</f>
        <v>13329</v>
      </c>
      <c r="AM159" s="49" t="str">
        <f>LEFT(TArticle[[#This Row],[تاریخ]],7)</f>
        <v>1401-07</v>
      </c>
    </row>
    <row r="160" spans="1:39" hidden="1" x14ac:dyDescent="0.25">
      <c r="A160" s="24" t="s">
        <v>112</v>
      </c>
      <c r="B160" s="49" t="str">
        <f>VLOOKUP(TArticle[[#This Row],[شناسه]],TAccount[],2,TRUE)</f>
        <v>رسید دریافت/واریز</v>
      </c>
      <c r="C160" s="49" t="str">
        <f>VLOOKUP(TArticle[[#This Row],[تاریخ]],TDays[],7,FALSE)</f>
        <v>جمعه</v>
      </c>
      <c r="D160" s="21" t="s">
        <v>385</v>
      </c>
      <c r="E160" s="1">
        <v>14000</v>
      </c>
      <c r="F160" s="1">
        <f>TArticle[[#This Row],[مبلغ]]+IFERROR(INT(F159),30181+3667+958)</f>
        <v>33670</v>
      </c>
      <c r="K160" s="21">
        <v>1</v>
      </c>
      <c r="L160" t="str">
        <f>IF(TArticle[[#This Row],[کد وضعیت سند]]&gt;0,VLOOKUP(TArticle[[#This Row],[کد وضعیت سند]],TDocState[],2,FALSE),"")</f>
        <v>انجام شد</v>
      </c>
      <c r="N160" t="str">
        <f>IF(TArticle[[#This Row],[کد طرف حساب]]&gt;0,VLOOKUP(TArticle[[#This Row],[کد طرف حساب]],TContact[],2,FALSE),"")</f>
        <v/>
      </c>
      <c r="O160" s="61" t="str">
        <f>IF(TArticle[[#This Row],[کد طرف حساب]]&gt;0,VLOOKUP(TArticle[[#This Row],[کد طرف حساب]],TContact[],7,FALSE)-SUMIF($M$2:M160,M160,$E$2:$E160),"")</f>
        <v/>
      </c>
      <c r="P160" s="27" t="str">
        <f>RIGHT(TArticle[[#This Row],[تاریخ]],2)</f>
        <v>01</v>
      </c>
      <c r="Q160" s="27">
        <f>VLOOKUP(TArticle[[#This Row],[تاریخ]],TDays[],16,FALSE)</f>
        <v>27</v>
      </c>
      <c r="R160" s="27" t="str">
        <f>RIGHT(LEFT(TArticle[[#This Row],[تاریخ]],7),2)</f>
        <v>07</v>
      </c>
      <c r="S160" s="27" t="str">
        <f>LEFT(TArticle[[#This Row],[تاریخ]],4)</f>
        <v>1401</v>
      </c>
      <c r="U160" s="21">
        <f>VLOOKUP(TArticle[[#This Row],[شناسه]],TAccount[],7,TRUE)</f>
        <v>257767</v>
      </c>
      <c r="W160" s="21">
        <f>IF(AND(TArticle[[#This Row],[مبلغ]]&gt;0, TArticle[[#This Row],[کد وضعیت سند]]=1),TArticle[[#This Row],[مبلغ]],0)</f>
        <v>14000</v>
      </c>
      <c r="X160" s="27">
        <f>IF(AND(TArticle[[#This Row],[مبلغ]]&lt;0,TArticle[[#This Row],[کد وضعیت سند]]=1),0-TArticle[[#This Row],[مبلغ]],0)</f>
        <v>0</v>
      </c>
      <c r="Y160" s="27">
        <v>4</v>
      </c>
      <c r="Z160" t="str">
        <f>IF(TArticle[[#This Row],[کد بانک]]&gt;0,VLOOKUP(TArticle[[#This Row],[کد بانک]],TBank[],2,FALSE),"")</f>
        <v>سپه</v>
      </c>
      <c r="AA160">
        <f>IF(AND(TArticle[[#This Row],[مبلغ]]&lt;0,TArticle[[#This Row],[کد وضعیت سند]]=1),0-TArticle[[#This Row],[مبلغ]],0)</f>
        <v>0</v>
      </c>
      <c r="AB160">
        <f>IF(AND(TArticle[[#This Row],[مبلغ]]&gt;0, TArticle[[#This Row],[کد وضعیت سند]]=1),TArticle[[#This Row],[مبلغ]],0)</f>
        <v>14000</v>
      </c>
      <c r="AC160" s="84">
        <f>IF(TArticle[[#This Row],[کد بانک]]&gt;0,VLOOKUP(TArticle[[#This Row],[کد بانک]],TBank[],9,FALSE)+SUMIF($Y$2:Y160,Y160,$E$2:$E160),"")</f>
        <v>14214</v>
      </c>
      <c r="AD160" s="1">
        <f>IFERROR(IF(INT(LEFT(TArticle[[#This Row],[شناسه]]))=3,IF(TArticle[[#This Row],[کد وضعیت سند]]=1,TArticle[مبلغ],0),0),0)</f>
        <v>0</v>
      </c>
      <c r="AE160" s="1">
        <f>IFERROR(IF(((TArticle[[#This Row],[شناسه]]))="4.1.1",IF(TArticle[[#This Row],[کد وضعیت سند]]=1,TArticle[مبلغ],0),0),0)</f>
        <v>0</v>
      </c>
      <c r="AF160" s="1">
        <f>IFERROR(IF(((TArticle[[#This Row],[شناسه]]))="4.1.2",IF(TArticle[[#This Row],[کد وضعیت سند]]=1,TArticle[مبلغ],0),0),0)</f>
        <v>0</v>
      </c>
      <c r="AG160" s="1">
        <f>IFERROR(IF(INT(LEFT(TArticle[[#This Row],[شناسه]]))=1,IF(TArticle[[#This Row],[کد وضعیت سند]]=1,TArticle[مبلغ],0),0),0)</f>
        <v>0</v>
      </c>
      <c r="AH160" s="1">
        <f>IFERROR(IF(INT(LEFT(TArticle[[#This Row],[شناسه]]))=2,IF(TArticle[[#This Row],[کد وضعیت سند]]=1,TArticle[مبلغ],0),0),0)</f>
        <v>0</v>
      </c>
      <c r="AI160" s="1">
        <f>IFERROR(IF((LEFT(TArticle[[#This Row],[شناسه]],3))="5.2",IF(TArticle[[#This Row],[کد وضعیت سند]]=1,TArticle[مبلغ],0),0),0)</f>
        <v>0</v>
      </c>
      <c r="AJ160" s="1">
        <f>IF(TArticle[[#This Row],[کد وضعیت سند]]=1,1,0)</f>
        <v>1</v>
      </c>
      <c r="AK160" s="1">
        <f>IF(AND(TArticle[[#This Row],[کد وضعیت سند]]&lt;&gt;1,TArticle[[#This Row],[مبلغ]]&lt;&gt;0),1,0)</f>
        <v>0</v>
      </c>
      <c r="AL160" s="51">
        <f>IF(TArticle[[#This Row],[کد بانک]]&gt;0,TArticle[[#This Row],[مانده بانک]]-VLOOKUP(TArticle[[#This Row],[کد بانک]],TBank[],7,FALSE),"")</f>
        <v>14212</v>
      </c>
      <c r="AM160" s="49" t="str">
        <f>LEFT(TArticle[[#This Row],[تاریخ]],7)</f>
        <v>1401-07</v>
      </c>
    </row>
    <row r="161" spans="1:39" hidden="1" x14ac:dyDescent="0.25">
      <c r="A161" s="24" t="s">
        <v>1110</v>
      </c>
      <c r="B161" s="49" t="str">
        <f>VLOOKUP(TArticle[[#This Row],[شناسه]],TAccount[],2,TRUE)</f>
        <v>قسط وام بانکی</v>
      </c>
      <c r="C161" s="49" t="str">
        <f>VLOOKUP(TArticle[[#This Row],[تاریخ]],TDays[],7,FALSE)</f>
        <v>جمعه</v>
      </c>
      <c r="D161" s="21" t="s">
        <v>385</v>
      </c>
      <c r="E161" s="1">
        <v>-1830</v>
      </c>
      <c r="F161" s="1">
        <f>TArticle[[#This Row],[مبلغ]]+IFERROR(INT(F160),30181+3667+958)</f>
        <v>31840</v>
      </c>
      <c r="G161" t="s">
        <v>1591</v>
      </c>
      <c r="H161" s="21">
        <v>16</v>
      </c>
      <c r="K161" s="21">
        <v>1</v>
      </c>
      <c r="L161" t="str">
        <f>IF(TArticle[[#This Row],[کد وضعیت سند]]&gt;0,VLOOKUP(TArticle[[#This Row],[کد وضعیت سند]],TDocState[],2,FALSE),"")</f>
        <v>انجام شد</v>
      </c>
      <c r="M161" s="27">
        <v>110</v>
      </c>
      <c r="N161" t="str">
        <f>IF(TArticle[[#This Row],[کد طرف حساب]]&gt;0,VLOOKUP(TArticle[[#This Row],[کد طرف حساب]],TContact[],2,FALSE),"")</f>
        <v>وام ملت</v>
      </c>
      <c r="O161" s="61">
        <f>IF(TArticle[[#This Row],[کد طرف حساب]]&gt;0,VLOOKUP(TArticle[[#This Row],[کد طرف حساب]],TContact[],7,FALSE)-SUMIF($M$2:M161,M161,$E$2:$E161),"")</f>
        <v>-35360</v>
      </c>
      <c r="P161" s="27" t="str">
        <f>RIGHT(TArticle[[#This Row],[تاریخ]],2)</f>
        <v>01</v>
      </c>
      <c r="Q161" s="27">
        <f>VLOOKUP(TArticle[[#This Row],[تاریخ]],TDays[],16,FALSE)</f>
        <v>27</v>
      </c>
      <c r="R161" s="27" t="str">
        <f>RIGHT(LEFT(TArticle[[#This Row],[تاریخ]],7),2)</f>
        <v>07</v>
      </c>
      <c r="S161" s="27" t="str">
        <f>LEFT(TArticle[[#This Row],[تاریخ]],4)</f>
        <v>1401</v>
      </c>
      <c r="U161" s="21">
        <f>VLOOKUP(TArticle[[#This Row],[شناسه]],TAccount[],7,TRUE)</f>
        <v>81652</v>
      </c>
      <c r="V161" s="21" t="s">
        <v>387</v>
      </c>
      <c r="W161" s="21">
        <f>IF(AND(TArticle[[#This Row],[مبلغ]]&gt;0, TArticle[[#This Row],[کد وضعیت سند]]=1),TArticle[[#This Row],[مبلغ]],0)</f>
        <v>0</v>
      </c>
      <c r="X161" s="27">
        <f>IF(AND(TArticle[[#This Row],[مبلغ]]&lt;0,TArticle[[#This Row],[کد وضعیت سند]]=1),0-TArticle[[#This Row],[مبلغ]],0)</f>
        <v>1830</v>
      </c>
      <c r="Y161" s="27">
        <v>2</v>
      </c>
      <c r="Z161" t="str">
        <f>IF(TArticle[[#This Row],[کد بانک]]&gt;0,VLOOKUP(TArticle[[#This Row],[کد بانک]],TBank[],2,FALSE),"")</f>
        <v>ملی جاری</v>
      </c>
      <c r="AA161">
        <f>IF(AND(TArticle[[#This Row],[مبلغ]]&lt;0,TArticle[[#This Row],[کد وضعیت سند]]=1),0-TArticle[[#This Row],[مبلغ]],0)</f>
        <v>1830</v>
      </c>
      <c r="AB161">
        <f>IF(AND(TArticle[[#This Row],[مبلغ]]&gt;0, TArticle[[#This Row],[کد وضعیت سند]]=1),TArticle[[#This Row],[مبلغ]],0)</f>
        <v>0</v>
      </c>
      <c r="AC161" s="84">
        <f>IF(TArticle[[#This Row],[کد بانک]]&gt;0,VLOOKUP(TArticle[[#This Row],[کد بانک]],TBank[],9,FALSE)+SUMIF($Y$2:Y161,Y161,$E$2:$E161),"")</f>
        <v>11499</v>
      </c>
      <c r="AD161" s="1">
        <f>IFERROR(IF(INT(LEFT(TArticle[[#This Row],[شناسه]]))=3,IF(TArticle[[#This Row],[کد وضعیت سند]]=1,TArticle[مبلغ],0),0),0)</f>
        <v>0</v>
      </c>
      <c r="AE161" s="1">
        <f>IFERROR(IF(((TArticle[[#This Row],[شناسه]]))="4.1.1",IF(TArticle[[#This Row],[کد وضعیت سند]]=1,TArticle[مبلغ],0),0),0)</f>
        <v>0</v>
      </c>
      <c r="AF161" s="1">
        <f>IFERROR(IF(((TArticle[[#This Row],[شناسه]]))="4.1.2",IF(TArticle[[#This Row],[کد وضعیت سند]]=1,TArticle[مبلغ],0),0),0)</f>
        <v>0</v>
      </c>
      <c r="AG161" s="1">
        <f>IFERROR(IF(INT(LEFT(TArticle[[#This Row],[شناسه]]))=1,IF(TArticle[[#This Row],[کد وضعیت سند]]=1,TArticle[مبلغ],0),0),0)</f>
        <v>-1830</v>
      </c>
      <c r="AH161" s="1">
        <f>IFERROR(IF(INT(LEFT(TArticle[[#This Row],[شناسه]]))=2,IF(TArticle[[#This Row],[کد وضعیت سند]]=1,TArticle[مبلغ],0),0),0)</f>
        <v>0</v>
      </c>
      <c r="AI161" s="1">
        <f>IFERROR(IF((LEFT(TArticle[[#This Row],[شناسه]],3))="5.2",IF(TArticle[[#This Row],[کد وضعیت سند]]=1,TArticle[مبلغ],0),0),0)</f>
        <v>0</v>
      </c>
      <c r="AJ161" s="1">
        <f>IF(TArticle[[#This Row],[کد وضعیت سند]]=1,1,0)</f>
        <v>1</v>
      </c>
      <c r="AK161" s="1">
        <f>IF(AND(TArticle[[#This Row],[کد وضعیت سند]]&lt;&gt;1,TArticle[[#This Row],[مبلغ]]&lt;&gt;0),1,0)</f>
        <v>0</v>
      </c>
      <c r="AL161" s="51">
        <f>IF(TArticle[[#This Row],[کد بانک]]&gt;0,TArticle[[#This Row],[مانده بانک]]-VLOOKUP(TArticle[[#This Row],[کد بانک]],TBank[],7,FALSE),"")</f>
        <v>11499</v>
      </c>
      <c r="AM161" s="49" t="str">
        <f>LEFT(TArticle[[#This Row],[تاریخ]],7)</f>
        <v>1401-07</v>
      </c>
    </row>
    <row r="162" spans="1:39" hidden="1" x14ac:dyDescent="0.25">
      <c r="A162" s="24" t="s">
        <v>1110</v>
      </c>
      <c r="B162" s="49" t="str">
        <f>VLOOKUP(TArticle[[#This Row],[شناسه]],TAccount[],2,TRUE)</f>
        <v>قسط وام بانکی</v>
      </c>
      <c r="C162" s="49" t="str">
        <f>VLOOKUP(TArticle[[#This Row],[تاریخ]],TDays[],7,FALSE)</f>
        <v>جمعه</v>
      </c>
      <c r="D162" s="21" t="s">
        <v>385</v>
      </c>
      <c r="E162" s="1">
        <v>-1830</v>
      </c>
      <c r="F162" s="1">
        <f>TArticle[[#This Row],[مبلغ]]+IFERROR(INT(F161),30181+3667+958)</f>
        <v>30010</v>
      </c>
      <c r="G162" t="s">
        <v>1591</v>
      </c>
      <c r="H162" s="21">
        <v>16</v>
      </c>
      <c r="K162" s="21">
        <v>1</v>
      </c>
      <c r="L162" t="str">
        <f>IF(TArticle[[#This Row],[کد وضعیت سند]]&gt;0,VLOOKUP(TArticle[[#This Row],[کد وضعیت سند]],TDocState[],2,FALSE),"")</f>
        <v>انجام شد</v>
      </c>
      <c r="M162" s="27">
        <v>111</v>
      </c>
      <c r="N162" t="str">
        <f>IF(TArticle[[#This Row],[کد طرف حساب]]&gt;0,VLOOKUP(TArticle[[#This Row],[کد طرف حساب]],TContact[],2,FALSE),"")</f>
        <v>وام ملت ف</v>
      </c>
      <c r="O162" s="61">
        <f>IF(TArticle[[#This Row],[کد طرف حساب]]&gt;0,VLOOKUP(TArticle[[#This Row],[کد طرف حساب]],TContact[],7,FALSE)-SUMIF($M$2:M162,M162,$E$2:$E162),"")</f>
        <v>-35360</v>
      </c>
      <c r="P162" s="27" t="str">
        <f>RIGHT(TArticle[[#This Row],[تاریخ]],2)</f>
        <v>01</v>
      </c>
      <c r="Q162" s="27">
        <f>VLOOKUP(TArticle[[#This Row],[تاریخ]],TDays[],16,FALSE)</f>
        <v>27</v>
      </c>
      <c r="R162" s="27" t="str">
        <f>RIGHT(LEFT(TArticle[[#This Row],[تاریخ]],7),2)</f>
        <v>07</v>
      </c>
      <c r="S162" s="27" t="str">
        <f>LEFT(TArticle[[#This Row],[تاریخ]],4)</f>
        <v>1401</v>
      </c>
      <c r="U162" s="21">
        <f>VLOOKUP(TArticle[[#This Row],[شناسه]],TAccount[],7,TRUE)</f>
        <v>81652</v>
      </c>
      <c r="V162" s="21" t="s">
        <v>387</v>
      </c>
      <c r="W162" s="21">
        <f>IF(AND(TArticle[[#This Row],[مبلغ]]&gt;0, TArticle[[#This Row],[کد وضعیت سند]]=1),TArticle[[#This Row],[مبلغ]],0)</f>
        <v>0</v>
      </c>
      <c r="X162" s="27">
        <f>IF(AND(TArticle[[#This Row],[مبلغ]]&lt;0,TArticle[[#This Row],[کد وضعیت سند]]=1),0-TArticle[[#This Row],[مبلغ]],0)</f>
        <v>1830</v>
      </c>
      <c r="Y162" s="27">
        <v>2</v>
      </c>
      <c r="Z162" t="str">
        <f>IF(TArticle[[#This Row],[کد بانک]]&gt;0,VLOOKUP(TArticle[[#This Row],[کد بانک]],TBank[],2,FALSE),"")</f>
        <v>ملی جاری</v>
      </c>
      <c r="AA162">
        <f>IF(AND(TArticle[[#This Row],[مبلغ]]&lt;0,TArticle[[#This Row],[کد وضعیت سند]]=1),0-TArticle[[#This Row],[مبلغ]],0)</f>
        <v>1830</v>
      </c>
      <c r="AB162">
        <f>IF(AND(TArticle[[#This Row],[مبلغ]]&gt;0, TArticle[[#This Row],[کد وضعیت سند]]=1),TArticle[[#This Row],[مبلغ]],0)</f>
        <v>0</v>
      </c>
      <c r="AC162" s="84">
        <f>IF(TArticle[[#This Row],[کد بانک]]&gt;0,VLOOKUP(TArticle[[#This Row],[کد بانک]],TBank[],9,FALSE)+SUMIF($Y$2:Y162,Y162,$E$2:$E162),"")</f>
        <v>9669</v>
      </c>
      <c r="AD162" s="1">
        <f>IFERROR(IF(INT(LEFT(TArticle[[#This Row],[شناسه]]))=3,IF(TArticle[[#This Row],[کد وضعیت سند]]=1,TArticle[مبلغ],0),0),0)</f>
        <v>0</v>
      </c>
      <c r="AE162" s="1">
        <f>IFERROR(IF(((TArticle[[#This Row],[شناسه]]))="4.1.1",IF(TArticle[[#This Row],[کد وضعیت سند]]=1,TArticle[مبلغ],0),0),0)</f>
        <v>0</v>
      </c>
      <c r="AF162" s="1">
        <f>IFERROR(IF(((TArticle[[#This Row],[شناسه]]))="4.1.2",IF(TArticle[[#This Row],[کد وضعیت سند]]=1,TArticle[مبلغ],0),0),0)</f>
        <v>0</v>
      </c>
      <c r="AG162" s="1">
        <f>IFERROR(IF(INT(LEFT(TArticle[[#This Row],[شناسه]]))=1,IF(TArticle[[#This Row],[کد وضعیت سند]]=1,TArticle[مبلغ],0),0),0)</f>
        <v>-1830</v>
      </c>
      <c r="AH162" s="1">
        <f>IFERROR(IF(INT(LEFT(TArticle[[#This Row],[شناسه]]))=2,IF(TArticle[[#This Row],[کد وضعیت سند]]=1,TArticle[مبلغ],0),0),0)</f>
        <v>0</v>
      </c>
      <c r="AI162" s="1">
        <f>IFERROR(IF((LEFT(TArticle[[#This Row],[شناسه]],3))="5.2",IF(TArticle[[#This Row],[کد وضعیت سند]]=1,TArticle[مبلغ],0),0),0)</f>
        <v>0</v>
      </c>
      <c r="AJ162" s="1">
        <f>IF(TArticle[[#This Row],[کد وضعیت سند]]=1,1,0)</f>
        <v>1</v>
      </c>
      <c r="AK162" s="1">
        <f>IF(AND(TArticle[[#This Row],[کد وضعیت سند]]&lt;&gt;1,TArticle[[#This Row],[مبلغ]]&lt;&gt;0),1,0)</f>
        <v>0</v>
      </c>
      <c r="AL162" s="51">
        <f>IF(TArticle[[#This Row],[کد بانک]]&gt;0,TArticle[[#This Row],[مانده بانک]]-VLOOKUP(TArticle[[#This Row],[کد بانک]],TBank[],7,FALSE),"")</f>
        <v>9669</v>
      </c>
      <c r="AM162" s="49" t="str">
        <f>LEFT(TArticle[[#This Row],[تاریخ]],7)</f>
        <v>1401-07</v>
      </c>
    </row>
    <row r="163" spans="1:39" hidden="1" x14ac:dyDescent="0.25">
      <c r="A163" s="24" t="s">
        <v>78</v>
      </c>
      <c r="B163" s="49" t="str">
        <f>VLOOKUP(TArticle[[#This Row],[شناسه]],TAccount[],2,TRUE)</f>
        <v>چک</v>
      </c>
      <c r="C163" s="49" t="str">
        <f>VLOOKUP(TArticle[[#This Row],[تاریخ]],TDays[],7,FALSE)</f>
        <v>سه شنبه</v>
      </c>
      <c r="D163" s="21" t="s">
        <v>389</v>
      </c>
      <c r="E163" s="1">
        <v>-5000</v>
      </c>
      <c r="F163" s="1">
        <f>TArticle[[#This Row],[مبلغ]]+IFERROR(INT(F162),30181+3667+958)</f>
        <v>25010</v>
      </c>
      <c r="G163" t="s">
        <v>1661</v>
      </c>
      <c r="K163" s="21">
        <v>1</v>
      </c>
      <c r="L163" t="str">
        <f>IF(TArticle[[#This Row],[کد وضعیت سند]]&gt;0,VLOOKUP(TArticle[[#This Row],[کد وضعیت سند]],TDocState[],2,FALSE),"")</f>
        <v>انجام شد</v>
      </c>
      <c r="M163" s="27">
        <v>2</v>
      </c>
      <c r="N163" t="str">
        <f>IF(TArticle[[#This Row],[کد طرف حساب]]&gt;0,VLOOKUP(TArticle[[#This Row],[کد طرف حساب]],TContact[],2,FALSE),"")</f>
        <v>حامد</v>
      </c>
      <c r="O163" s="61">
        <f>IF(TArticle[[#This Row],[کد طرف حساب]]&gt;0,VLOOKUP(TArticle[[#This Row],[کد طرف حساب]],TContact[],7,FALSE)-SUMIF($M$2:M163,M163,$E$2:$E163),"")</f>
        <v>-20000</v>
      </c>
      <c r="P163" s="27" t="str">
        <f>RIGHT(TArticle[[#This Row],[تاریخ]],2)</f>
        <v>05</v>
      </c>
      <c r="Q163" s="27">
        <f>VLOOKUP(TArticle[[#This Row],[تاریخ]],TDays[],16,FALSE)</f>
        <v>28</v>
      </c>
      <c r="R163" s="27" t="str">
        <f>RIGHT(LEFT(TArticle[[#This Row],[تاریخ]],7),2)</f>
        <v>07</v>
      </c>
      <c r="S163" s="27" t="str">
        <f>LEFT(TArticle[[#This Row],[تاریخ]],4)</f>
        <v>1401</v>
      </c>
      <c r="U163" s="21">
        <f>VLOOKUP(TArticle[[#This Row],[شناسه]],TAccount[],7,TRUE)</f>
        <v>57000</v>
      </c>
      <c r="W163" s="21">
        <f>IF(AND(TArticle[[#This Row],[مبلغ]]&gt;0, TArticle[[#This Row],[کد وضعیت سند]]=1),TArticle[[#This Row],[مبلغ]],0)</f>
        <v>0</v>
      </c>
      <c r="X163" s="27">
        <f>IF(AND(TArticle[[#This Row],[مبلغ]]&lt;0,TArticle[[#This Row],[کد وضعیت سند]]=1),0-TArticle[[#This Row],[مبلغ]],0)</f>
        <v>5000</v>
      </c>
      <c r="Y163" s="27">
        <v>4</v>
      </c>
      <c r="Z163" t="str">
        <f>IF(TArticle[[#This Row],[کد بانک]]&gt;0,VLOOKUP(TArticle[[#This Row],[کد بانک]],TBank[],2,FALSE),"")</f>
        <v>سپه</v>
      </c>
      <c r="AA163">
        <f>IF(AND(TArticle[[#This Row],[مبلغ]]&lt;0,TArticle[[#This Row],[کد وضعیت سند]]=1),0-TArticle[[#This Row],[مبلغ]],0)</f>
        <v>5000</v>
      </c>
      <c r="AB163">
        <f>IF(AND(TArticle[[#This Row],[مبلغ]]&gt;0, TArticle[[#This Row],[کد وضعیت سند]]=1),TArticle[[#This Row],[مبلغ]],0)</f>
        <v>0</v>
      </c>
      <c r="AC163" s="84">
        <f>IF(TArticle[[#This Row],[کد بانک]]&gt;0,VLOOKUP(TArticle[[#This Row],[کد بانک]],TBank[],9,FALSE)+SUMIF($Y$2:Y163,Y163,$E$2:$E163),"")</f>
        <v>9214</v>
      </c>
      <c r="AD163" s="1">
        <f>IFERROR(IF(INT(LEFT(TArticle[[#This Row],[شناسه]]))=3,IF(TArticle[[#This Row],[کد وضعیت سند]]=1,TArticle[مبلغ],0),0),0)</f>
        <v>0</v>
      </c>
      <c r="AE163" s="1">
        <f>IFERROR(IF(((TArticle[[#This Row],[شناسه]]))="4.1.1",IF(TArticle[[#This Row],[کد وضعیت سند]]=1,TArticle[مبلغ],0),0),0)</f>
        <v>0</v>
      </c>
      <c r="AF163" s="1">
        <f>IFERROR(IF(((TArticle[[#This Row],[شناسه]]))="4.1.2",IF(TArticle[[#This Row],[کد وضعیت سند]]=1,TArticle[مبلغ],0),0),0)</f>
        <v>0</v>
      </c>
      <c r="AG163" s="1">
        <f>IFERROR(IF(INT(LEFT(TArticle[[#This Row],[شناسه]]))=1,IF(TArticle[[#This Row],[کد وضعیت سند]]=1,TArticle[مبلغ],0),0),0)</f>
        <v>-5000</v>
      </c>
      <c r="AH163" s="1">
        <f>IFERROR(IF(INT(LEFT(TArticle[[#This Row],[شناسه]]))=2,IF(TArticle[[#This Row],[کد وضعیت سند]]=1,TArticle[مبلغ],0),0),0)</f>
        <v>0</v>
      </c>
      <c r="AI163" s="1">
        <f>IFERROR(IF((LEFT(TArticle[[#This Row],[شناسه]],3))="5.2",IF(TArticle[[#This Row],[کد وضعیت سند]]=1,TArticle[مبلغ],0),0),0)</f>
        <v>0</v>
      </c>
      <c r="AJ163" s="1">
        <f>IF(TArticle[[#This Row],[کد وضعیت سند]]=1,1,0)</f>
        <v>1</v>
      </c>
      <c r="AK163" s="1">
        <f>IF(AND(TArticle[[#This Row],[کد وضعیت سند]]&lt;&gt;1,TArticle[[#This Row],[مبلغ]]&lt;&gt;0),1,0)</f>
        <v>0</v>
      </c>
      <c r="AL163" s="51">
        <f>IF(TArticle[[#This Row],[کد بانک]]&gt;0,TArticle[[#This Row],[مانده بانک]]-VLOOKUP(TArticle[[#This Row],[کد بانک]],TBank[],7,FALSE),"")</f>
        <v>9212</v>
      </c>
      <c r="AM163" s="49" t="str">
        <f>LEFT(TArticle[[#This Row],[تاریخ]],7)</f>
        <v>1401-07</v>
      </c>
    </row>
    <row r="164" spans="1:39" hidden="1" x14ac:dyDescent="0.25">
      <c r="A164" s="24" t="s">
        <v>1612</v>
      </c>
      <c r="B164" s="49" t="str">
        <f>VLOOKUP(TArticle[[#This Row],[شناسه]],TAccount[],2,TRUE)</f>
        <v>تجهیز آپارتمان</v>
      </c>
      <c r="C164" s="49" t="str">
        <f>VLOOKUP(TArticle[[#This Row],[تاریخ]],TDays[],7,FALSE)</f>
        <v>سه شنبه</v>
      </c>
      <c r="D164" s="21" t="s">
        <v>389</v>
      </c>
      <c r="E164" s="1">
        <v>-9000</v>
      </c>
      <c r="F164" s="1">
        <f>TArticle[[#This Row],[مبلغ]]+IFERROR(INT(F163),30181+3667+958)</f>
        <v>16010</v>
      </c>
      <c r="G164" t="s">
        <v>1658</v>
      </c>
      <c r="K164" s="21">
        <v>1</v>
      </c>
      <c r="L164" t="str">
        <f>IF(TArticle[[#This Row],[کد وضعیت سند]]&gt;0,VLOOKUP(TArticle[[#This Row],[کد وضعیت سند]],TDocState[],2,FALSE),"")</f>
        <v>انجام شد</v>
      </c>
      <c r="N164" t="str">
        <f>IF(TArticle[[#This Row],[کد طرف حساب]]&gt;0,VLOOKUP(TArticle[[#This Row],[کد طرف حساب]],TContact[],2,FALSE),"")</f>
        <v/>
      </c>
      <c r="O164" s="51" t="str">
        <f>IF(TArticle[[#This Row],[کد طرف حساب]]&gt;0,VLOOKUP(TArticle[[#This Row],[کد طرف حساب]],TContact[],7,FALSE)-SUMIF($M$2:M164,M164,$E$2:$E164),"")</f>
        <v/>
      </c>
      <c r="P164" s="27" t="str">
        <f>RIGHT(TArticle[[#This Row],[تاریخ]],2)</f>
        <v>05</v>
      </c>
      <c r="Q164" s="27">
        <f>VLOOKUP(TArticle[[#This Row],[تاریخ]],TDays[],16,FALSE)</f>
        <v>28</v>
      </c>
      <c r="R164" s="27" t="str">
        <f>RIGHT(LEFT(TArticle[[#This Row],[تاریخ]],7),2)</f>
        <v>07</v>
      </c>
      <c r="S164" s="27" t="str">
        <f>LEFT(TArticle[[#This Row],[تاریخ]],4)</f>
        <v>1401</v>
      </c>
      <c r="U164" s="21">
        <f>VLOOKUP(TArticle[[#This Row],[شناسه]],TAccount[],7,TRUE)</f>
        <v>97700</v>
      </c>
      <c r="W164" s="21">
        <f>IF(AND(TArticle[[#This Row],[مبلغ]]&gt;0, TArticle[[#This Row],[کد وضعیت سند]]=1),TArticle[[#This Row],[مبلغ]],0)</f>
        <v>0</v>
      </c>
      <c r="X164" s="27">
        <f>IF(AND(TArticle[[#This Row],[مبلغ]]&lt;0,TArticle[[#This Row],[کد وضعیت سند]]=1),0-TArticle[[#This Row],[مبلغ]],0)</f>
        <v>9000</v>
      </c>
      <c r="Y164" s="67">
        <v>4</v>
      </c>
      <c r="Z164" t="str">
        <f>IF(TArticle[[#This Row],[کد بانک]]&gt;0,VLOOKUP(TArticle[[#This Row],[کد بانک]],TBank[],2,FALSE),"")</f>
        <v>سپه</v>
      </c>
      <c r="AA164">
        <f>IF(AND(TArticle[[#This Row],[مبلغ]]&lt;0,TArticle[[#This Row],[کد وضعیت سند]]=1),0-TArticle[[#This Row],[مبلغ]],0)</f>
        <v>9000</v>
      </c>
      <c r="AB164">
        <f>IF(AND(TArticle[[#This Row],[مبلغ]]&gt;0, TArticle[[#This Row],[کد وضعیت سند]]=1),TArticle[[#This Row],[مبلغ]],0)</f>
        <v>0</v>
      </c>
      <c r="AC164" s="84">
        <f>IF(TArticle[[#This Row],[کد بانک]]&gt;0,VLOOKUP(TArticle[[#This Row],[کد بانک]],TBank[],9,FALSE)+SUMIF($Y$2:Y164,Y164,$E$2:$E164),"")</f>
        <v>214</v>
      </c>
      <c r="AD164" s="1">
        <f>IFERROR(IF(INT(LEFT(TArticle[[#This Row],[شناسه]]))=3,IF(TArticle[[#This Row],[کد وضعیت سند]]=1,TArticle[مبلغ],0),0),0)</f>
        <v>-9000</v>
      </c>
      <c r="AE164" s="1">
        <f>IFERROR(IF(((TArticle[[#This Row],[شناسه]]))="4.1.1",IF(TArticle[[#This Row],[کد وضعیت سند]]=1,TArticle[مبلغ],0),0),0)</f>
        <v>0</v>
      </c>
      <c r="AF164" s="1">
        <f>IFERROR(IF(((TArticle[[#This Row],[شناسه]]))="4.1.2",IF(TArticle[[#This Row],[کد وضعیت سند]]=1,TArticle[مبلغ],0),0),0)</f>
        <v>0</v>
      </c>
      <c r="AG164" s="1">
        <f>IFERROR(IF(INT(LEFT(TArticle[[#This Row],[شناسه]]))=1,IF(TArticle[[#This Row],[کد وضعیت سند]]=1,TArticle[مبلغ],0),0),0)</f>
        <v>0</v>
      </c>
      <c r="AH164" s="1">
        <f>IFERROR(IF(INT(LEFT(TArticle[[#This Row],[شناسه]]))=2,IF(TArticle[[#This Row],[کد وضعیت سند]]=1,TArticle[مبلغ],0),0),0)</f>
        <v>0</v>
      </c>
      <c r="AI164" s="1">
        <f>IFERROR(IF((LEFT(TArticle[[#This Row],[شناسه]],3))="5.2",IF(TArticle[[#This Row],[کد وضعیت سند]]=1,TArticle[مبلغ],0),0),0)</f>
        <v>0</v>
      </c>
      <c r="AJ164" s="1">
        <f>IF(TArticle[[#This Row],[کد وضعیت سند]]=1,1,0)</f>
        <v>1</v>
      </c>
      <c r="AK164" s="1">
        <f>IF(AND(TArticle[[#This Row],[کد وضعیت سند]]&lt;&gt;1,TArticle[[#This Row],[مبلغ]]&lt;&gt;0),1,0)</f>
        <v>0</v>
      </c>
      <c r="AL164" s="51">
        <f>IF(TArticle[[#This Row],[کد بانک]]&gt;0,TArticle[[#This Row],[مانده بانک]]-VLOOKUP(TArticle[[#This Row],[کد بانک]],TBank[],7,FALSE),"")</f>
        <v>212</v>
      </c>
      <c r="AM164" s="49" t="str">
        <f>LEFT(TArticle[[#This Row],[تاریخ]],7)</f>
        <v>1401-07</v>
      </c>
    </row>
    <row r="165" spans="1:39" hidden="1" x14ac:dyDescent="0.25">
      <c r="A165" s="24" t="s">
        <v>1110</v>
      </c>
      <c r="B165" s="49" t="str">
        <f>VLOOKUP(TArticle[[#This Row],[شناسه]],TAccount[],2,TRUE)</f>
        <v>قسط وام بانکی</v>
      </c>
      <c r="C165" s="49" t="str">
        <f>VLOOKUP(TArticle[[#This Row],[تاریخ]],TDays[],7,FALSE)</f>
        <v>چهارشنبه</v>
      </c>
      <c r="D165" s="21" t="s">
        <v>390</v>
      </c>
      <c r="E165" s="1">
        <v>-104</v>
      </c>
      <c r="F165" s="1">
        <f>TArticle[[#This Row],[مبلغ]]+IFERROR(INT(F164),30181+3667+958)</f>
        <v>15906</v>
      </c>
      <c r="H165" s="21">
        <v>17</v>
      </c>
      <c r="J165" s="65"/>
      <c r="K165" s="49">
        <v>1</v>
      </c>
      <c r="L165" s="66" t="str">
        <f>IF(TArticle[[#This Row],[کد وضعیت سند]]&gt;0,VLOOKUP(TArticle[[#This Row],[کد وضعیت سند]],TDocState[],2,FALSE),"")</f>
        <v>انجام شد</v>
      </c>
      <c r="M165" s="67">
        <v>107</v>
      </c>
      <c r="N165" t="str">
        <f>IF(TArticle[[#This Row],[کد طرف حساب]]&gt;0,VLOOKUP(TArticle[[#This Row],[کد طرف حساب]],TContact[],2,FALSE),"")</f>
        <v>وام مهرایران ف</v>
      </c>
      <c r="O165" s="51">
        <f>IF(TArticle[[#This Row],[کد طرف حساب]]&gt;0,VLOOKUP(TArticle[[#This Row],[کد طرف حساب]],TContact[],7,FALSE)-SUMIF($M$2:M165,M165,$E$2:$E165),"")</f>
        <v>-104</v>
      </c>
      <c r="P165" s="67" t="str">
        <f>RIGHT(TArticle[[#This Row],[تاریخ]],2)</f>
        <v>06</v>
      </c>
      <c r="Q165" s="67">
        <f>VLOOKUP(TArticle[[#This Row],[تاریخ]],TDays[],16,FALSE)</f>
        <v>28</v>
      </c>
      <c r="R165" s="67" t="str">
        <f>RIGHT(LEFT(TArticle[[#This Row],[تاریخ]],7),2)</f>
        <v>07</v>
      </c>
      <c r="S165" s="67" t="str">
        <f>LEFT(TArticle[[#This Row],[تاریخ]],4)</f>
        <v>1401</v>
      </c>
      <c r="T165" s="64"/>
      <c r="U165" s="64">
        <f>VLOOKUP(TArticle[[#This Row],[شناسه]],TAccount[],7,TRUE)</f>
        <v>81652</v>
      </c>
      <c r="V165" s="64" t="s">
        <v>370</v>
      </c>
      <c r="W165" s="64">
        <f>IF(AND(TArticle[[#This Row],[مبلغ]]&gt;0, TArticle[[#This Row],[کد وضعیت سند]]=1),TArticle[[#This Row],[مبلغ]],0)</f>
        <v>0</v>
      </c>
      <c r="X165" s="67">
        <f>IF(AND(TArticle[[#This Row],[مبلغ]]&lt;0,TArticle[[#This Row],[کد وضعیت سند]]=1),0-TArticle[[#This Row],[مبلغ]],0)</f>
        <v>104</v>
      </c>
      <c r="Y165" s="27">
        <v>2</v>
      </c>
      <c r="Z165" t="str">
        <f>IF(TArticle[[#This Row],[کد بانک]]&gt;0,VLOOKUP(TArticle[[#This Row],[کد بانک]],TBank[],2,FALSE),"")</f>
        <v>ملی جاری</v>
      </c>
      <c r="AA165">
        <f>IF(AND(TArticle[[#This Row],[مبلغ]]&lt;0,TArticle[[#This Row],[کد وضعیت سند]]=1),0-TArticle[[#This Row],[مبلغ]],0)</f>
        <v>104</v>
      </c>
      <c r="AB165">
        <f>IF(AND(TArticle[[#This Row],[مبلغ]]&gt;0, TArticle[[#This Row],[کد وضعیت سند]]=1),TArticle[[#This Row],[مبلغ]],0)</f>
        <v>0</v>
      </c>
      <c r="AC165" s="93">
        <f>IF(TArticle[[#This Row],[کد بانک]]&gt;0,VLOOKUP(TArticle[[#This Row],[کد بانک]],TBank[],9,FALSE)+SUMIF($Y$2:Y165,Y165,$E$2:$E165),"")</f>
        <v>9565</v>
      </c>
      <c r="AD165" s="1">
        <f>IFERROR(IF(INT(LEFT(TArticle[[#This Row],[شناسه]]))=3,IF(TArticle[[#This Row],[کد وضعیت سند]]=1,TArticle[مبلغ],0),0),0)</f>
        <v>0</v>
      </c>
      <c r="AE165" s="1">
        <f>IFERROR(IF(((TArticle[[#This Row],[شناسه]]))="4.1.1",IF(TArticle[[#This Row],[کد وضعیت سند]]=1,TArticle[مبلغ],0),0),0)</f>
        <v>0</v>
      </c>
      <c r="AF165" s="1">
        <f>IFERROR(IF(((TArticle[[#This Row],[شناسه]]))="4.1.2",IF(TArticle[[#This Row],[کد وضعیت سند]]=1,TArticle[مبلغ],0),0),0)</f>
        <v>0</v>
      </c>
      <c r="AG165" s="1">
        <f>IFERROR(IF(INT(LEFT(TArticle[[#This Row],[شناسه]]))=1,IF(TArticle[[#This Row],[کد وضعیت سند]]=1,TArticle[مبلغ],0),0),0)</f>
        <v>-104</v>
      </c>
      <c r="AH165" s="1">
        <f>IFERROR(IF(INT(LEFT(TArticle[[#This Row],[شناسه]]))=2,IF(TArticle[[#This Row],[کد وضعیت سند]]=1,TArticle[مبلغ],0),0),0)</f>
        <v>0</v>
      </c>
      <c r="AI165" s="1">
        <f>IFERROR(IF((LEFT(TArticle[[#This Row],[شناسه]],3))="5.2",IF(TArticle[[#This Row],[کد وضعیت سند]]=1,TArticle[مبلغ],0),0),0)</f>
        <v>0</v>
      </c>
      <c r="AJ165" s="1">
        <f>IF(TArticle[[#This Row],[کد وضعیت سند]]=1,1,0)</f>
        <v>1</v>
      </c>
      <c r="AK165" s="1">
        <f>IF(AND(TArticle[[#This Row],[کد وضعیت سند]]&lt;&gt;1,TArticle[[#This Row],[مبلغ]]&lt;&gt;0),1,0)</f>
        <v>0</v>
      </c>
      <c r="AL165" s="78">
        <f>IF(TArticle[[#This Row],[کد بانک]]&gt;0,TArticle[[#This Row],[مانده بانک]]-VLOOKUP(TArticle[[#This Row],[کد بانک]],TBank[],7,FALSE),"")</f>
        <v>9565</v>
      </c>
      <c r="AM165" s="58" t="str">
        <f>LEFT(TArticle[[#This Row],[تاریخ]],7)</f>
        <v>1401-07</v>
      </c>
    </row>
    <row r="166" spans="1:39" hidden="1" x14ac:dyDescent="0.25">
      <c r="A166" s="24" t="s">
        <v>1031</v>
      </c>
      <c r="B166" s="49" t="str">
        <f>VLOOKUP(TArticle[[#This Row],[شناسه]],TAccount[],2,TRUE)</f>
        <v>وام گرفتن</v>
      </c>
      <c r="C166" s="49" t="str">
        <f>VLOOKUP(TArticle[[#This Row],[تاریخ]],TDays[],7,FALSE)</f>
        <v>پنجشنبه</v>
      </c>
      <c r="D166" s="28" t="s">
        <v>64</v>
      </c>
      <c r="E166" s="1">
        <v>18900</v>
      </c>
      <c r="F166" s="1">
        <f>TArticle[[#This Row],[مبلغ]]+IFERROR(INT(F165),30181+3667+958)</f>
        <v>34806</v>
      </c>
      <c r="G166" t="s">
        <v>1033</v>
      </c>
      <c r="J166" s="51">
        <v>18000</v>
      </c>
      <c r="K166" s="49">
        <v>1</v>
      </c>
      <c r="L166" t="str">
        <f>IF(TArticle[[#This Row],[کد وضعیت سند]]&gt;0,VLOOKUP(TArticle[[#This Row],[کد وضعیت سند]],TDocState[],2,FALSE),"")</f>
        <v>انجام شد</v>
      </c>
      <c r="M166" s="27">
        <v>103</v>
      </c>
      <c r="N166" t="str">
        <f>IF(TArticle[[#This Row],[کد طرف حساب]]&gt;0,VLOOKUP(TArticle[[#This Row],[کد طرف حساب]],TContact[],2,FALSE),"")</f>
        <v>قرعه 18م (43)</v>
      </c>
      <c r="O166" s="61">
        <f>IF(TArticle[[#This Row],[کد طرف حساب]]&gt;0,VLOOKUP(TArticle[[#This Row],[کد طرف حساب]],TContact[],7,FALSE)-SUMIF($M$2:M166,M166,$E$2:$E166),"")</f>
        <v>-4200</v>
      </c>
      <c r="P166" s="21" t="str">
        <f>RIGHT(TArticle[[#This Row],[تاریخ]],2)</f>
        <v>14</v>
      </c>
      <c r="Q166" s="21">
        <f>VLOOKUP(TArticle[[#This Row],[تاریخ]],TDays[],16,FALSE)</f>
        <v>29</v>
      </c>
      <c r="R166" s="21" t="str">
        <f>RIGHT(LEFT(TArticle[[#This Row],[تاریخ]],7),2)</f>
        <v>07</v>
      </c>
      <c r="S166" s="21" t="str">
        <f>LEFT(TArticle[[#This Row],[تاریخ]],4)</f>
        <v>1401</v>
      </c>
      <c r="U166" s="21">
        <f>VLOOKUP(TArticle[[#This Row],[شناسه]],TAccount[],7,TRUE)</f>
        <v>90600</v>
      </c>
      <c r="V166" s="21" t="s">
        <v>74</v>
      </c>
      <c r="W166" s="21">
        <f>IF(AND(TArticle[[#This Row],[مبلغ]]&gt;0, TArticle[[#This Row],[کد وضعیت سند]]=1),TArticle[[#This Row],[مبلغ]],0)</f>
        <v>18900</v>
      </c>
      <c r="X166" s="21">
        <f>IF(AND(TArticle[[#This Row],[مبلغ]]&lt;0,TArticle[[#This Row],[کد وضعیت سند]]=1),0-TArticle[[#This Row],[مبلغ]],0)</f>
        <v>0</v>
      </c>
      <c r="Y166" s="27">
        <v>2</v>
      </c>
      <c r="Z166" t="str">
        <f>IF(TArticle[[#This Row],[کد بانک]]&gt;0,VLOOKUP(TArticle[[#This Row],[کد بانک]],TBank[],2,FALSE),"")</f>
        <v>ملی جاری</v>
      </c>
      <c r="AA166">
        <f>IF(AND(TArticle[[#This Row],[مبلغ]]&lt;0,TArticle[[#This Row],[کد وضعیت سند]]=1),0-TArticle[[#This Row],[مبلغ]],0)</f>
        <v>0</v>
      </c>
      <c r="AB166">
        <f>IF(AND(TArticle[[#This Row],[مبلغ]]&gt;0, TArticle[[#This Row],[کد وضعیت سند]]=1),TArticle[[#This Row],[مبلغ]],0)</f>
        <v>18900</v>
      </c>
      <c r="AC166" s="92">
        <f>IF(TArticle[[#This Row],[کد بانک]]&gt;0,VLOOKUP(TArticle[[#This Row],[کد بانک]],TBank[],9,FALSE)+SUMIF($Y$2:Y166,Y166,$E$2:$E166),"")</f>
        <v>28465</v>
      </c>
      <c r="AD166" s="1">
        <f>IFERROR(IF(INT(LEFT(TArticle[[#This Row],[شناسه]]))=3,IF(TArticle[[#This Row],[کد وضعیت سند]]=1,TArticle[مبلغ],0),0),0)</f>
        <v>0</v>
      </c>
      <c r="AE166" s="1">
        <f>IFERROR(IF(((TArticle[[#This Row],[شناسه]]))="4.1.1",IF(TArticle[[#This Row],[کد وضعیت سند]]=1,TArticle[مبلغ],0),0),0)</f>
        <v>0</v>
      </c>
      <c r="AF166" s="1">
        <f>IFERROR(IF(((TArticle[[#This Row],[شناسه]]))="4.1.2",IF(TArticle[[#This Row],[کد وضعیت سند]]=1,TArticle[مبلغ],0),0),0)</f>
        <v>0</v>
      </c>
      <c r="AG166" s="1">
        <f>IFERROR(IF(INT(LEFT(TArticle[[#This Row],[شناسه]]))=1,IF(TArticle[[#This Row],[کد وضعیت سند]]=1,TArticle[مبلغ],0),0),0)</f>
        <v>0</v>
      </c>
      <c r="AH166" s="1">
        <f>IFERROR(IF(INT(LEFT(TArticle[[#This Row],[شناسه]]))=2,IF(TArticle[[#This Row],[کد وضعیت سند]]=1,TArticle[مبلغ],0),0),0)</f>
        <v>0</v>
      </c>
      <c r="AI166" s="1">
        <f>IFERROR(IF((LEFT(TArticle[[#This Row],[شناسه]],3))="5.2",IF(TArticle[[#This Row],[کد وضعیت سند]]=1,TArticle[مبلغ],0),0),0)</f>
        <v>18900</v>
      </c>
      <c r="AJ166" s="1">
        <f>IF(TArticle[[#This Row],[کد وضعیت سند]]=1,1,0)</f>
        <v>1</v>
      </c>
      <c r="AK166" s="1">
        <f>IF(AND(TArticle[[#This Row],[کد وضعیت سند]]&lt;&gt;1,TArticle[[#This Row],[مبلغ]]&lt;&gt;0),1,0)</f>
        <v>0</v>
      </c>
      <c r="AL166" s="51">
        <f>IF(TArticle[[#This Row],[کد بانک]]&gt;0,TArticle[[#This Row],[مانده بانک]]-VLOOKUP(TArticle[[#This Row],[کد بانک]],TBank[],7,FALSE),"")</f>
        <v>28465</v>
      </c>
      <c r="AM166" s="58" t="str">
        <f>LEFT(TArticle[[#This Row],[تاریخ]],7)</f>
        <v>1401-07</v>
      </c>
    </row>
    <row r="167" spans="1:39" hidden="1" x14ac:dyDescent="0.25">
      <c r="A167" s="24" t="s">
        <v>41</v>
      </c>
      <c r="B167" s="49" t="str">
        <f>VLOOKUP(TArticle[[#This Row],[شناسه]],TAccount[],2,TRUE)</f>
        <v>قرعه هجده (43)</v>
      </c>
      <c r="C167" s="49" t="str">
        <f>VLOOKUP(TArticle[[#This Row],[تاریخ]],TDays[],7,FALSE)</f>
        <v>پنجشنبه</v>
      </c>
      <c r="D167" s="21" t="s">
        <v>64</v>
      </c>
      <c r="E167" s="1">
        <v>-350</v>
      </c>
      <c r="F167" s="1">
        <f>TArticle[[#This Row],[مبلغ]]+IFERROR(INT(F166),30181+3667+958)</f>
        <v>34456</v>
      </c>
      <c r="H167" s="21">
        <v>42</v>
      </c>
      <c r="K167" s="21">
        <v>1</v>
      </c>
      <c r="L167" t="str">
        <f>IF(TArticle[[#This Row],[کد وضعیت سند]]&gt;0,VLOOKUP(TArticle[[#This Row],[کد وضعیت سند]],TDocState[],2,FALSE),"")</f>
        <v>انجام شد</v>
      </c>
      <c r="M167" s="27">
        <v>103</v>
      </c>
      <c r="N167" t="str">
        <f>IF(TArticle[[#This Row],[کد طرف حساب]]&gt;0,VLOOKUP(TArticle[[#This Row],[کد طرف حساب]],TContact[],2,FALSE),"")</f>
        <v>قرعه 18م (43)</v>
      </c>
      <c r="O167" s="51">
        <f>IF(TArticle[[#This Row],[کد طرف حساب]]&gt;0,VLOOKUP(TArticle[[#This Row],[کد طرف حساب]],TContact[],7,FALSE)-SUMIF($M$2:M167,M167,$E$2:$E167),"")</f>
        <v>-3850</v>
      </c>
      <c r="P167" s="27" t="str">
        <f>RIGHT(TArticle[[#This Row],[تاریخ]],2)</f>
        <v>14</v>
      </c>
      <c r="Q167" s="27">
        <f>VLOOKUP(TArticle[[#This Row],[تاریخ]],TDays[],16,FALSE)</f>
        <v>29</v>
      </c>
      <c r="R167" s="27" t="str">
        <f>RIGHT(LEFT(TArticle[[#This Row],[تاریخ]],7),2)</f>
        <v>07</v>
      </c>
      <c r="S167" s="27" t="str">
        <f>LEFT(TArticle[[#This Row],[تاریخ]],4)</f>
        <v>1401</v>
      </c>
      <c r="U167" s="21">
        <f>VLOOKUP(TArticle[[#This Row],[شناسه]],TAccount[],7,TRUE)</f>
        <v>4200</v>
      </c>
      <c r="V167" s="21" t="s">
        <v>64</v>
      </c>
      <c r="W167" s="21">
        <f>IF(AND(TArticle[[#This Row],[مبلغ]]&gt;0, TArticle[[#This Row],[کد وضعیت سند]]=1),TArticle[[#This Row],[مبلغ]],0)</f>
        <v>0</v>
      </c>
      <c r="X167" s="21">
        <f>IF(AND(TArticle[[#This Row],[مبلغ]]&lt;0,TArticle[[#This Row],[کد وضعیت سند]]=1),0-TArticle[[#This Row],[مبلغ]],0)</f>
        <v>350</v>
      </c>
      <c r="Y167" s="27">
        <v>2</v>
      </c>
      <c r="Z167" t="str">
        <f>IF(TArticle[[#This Row],[کد بانک]]&gt;0,VLOOKUP(TArticle[[#This Row],[کد بانک]],TBank[],2,FALSE),"")</f>
        <v>ملی جاری</v>
      </c>
      <c r="AA167">
        <f>IF(AND(TArticle[[#This Row],[مبلغ]]&lt;0,TArticle[[#This Row],[کد وضعیت سند]]=1),0-TArticle[[#This Row],[مبلغ]],0)</f>
        <v>350</v>
      </c>
      <c r="AB167">
        <f>IF(AND(TArticle[[#This Row],[مبلغ]]&gt;0, TArticle[[#This Row],[کد وضعیت سند]]=1),TArticle[[#This Row],[مبلغ]],0)</f>
        <v>0</v>
      </c>
      <c r="AC167" s="84">
        <f>IF(TArticle[[#This Row],[کد بانک]]&gt;0,VLOOKUP(TArticle[[#This Row],[کد بانک]],TBank[],9,FALSE)+SUMIF($Y$2:Y167,Y167,$E$2:$E167),"")</f>
        <v>28115</v>
      </c>
      <c r="AD167" s="1">
        <f>IFERROR(IF(INT(LEFT(TArticle[[#This Row],[شناسه]]))=3,IF(TArticle[[#This Row],[کد وضعیت سند]]=1,TArticle[مبلغ],0),0),0)</f>
        <v>0</v>
      </c>
      <c r="AE167" s="1">
        <f>IFERROR(IF(((TArticle[[#This Row],[شناسه]]))="4.1.1",IF(TArticle[[#This Row],[کد وضعیت سند]]=1,TArticle[مبلغ],0),0),0)</f>
        <v>0</v>
      </c>
      <c r="AF167" s="1">
        <f>IFERROR(IF(((TArticle[[#This Row],[شناسه]]))="4.1.2",IF(TArticle[[#This Row],[کد وضعیت سند]]=1,TArticle[مبلغ],0),0),0)</f>
        <v>0</v>
      </c>
      <c r="AG167" s="1">
        <f>IFERROR(IF(INT(LEFT(TArticle[[#This Row],[شناسه]]))=1,IF(TArticle[[#This Row],[کد وضعیت سند]]=1,TArticle[مبلغ],0),0),0)</f>
        <v>0</v>
      </c>
      <c r="AH167" s="1">
        <f>IFERROR(IF(INT(LEFT(TArticle[[#This Row],[شناسه]]))=2,IF(TArticle[[#This Row],[کد وضعیت سند]]=1,TArticle[مبلغ],0),0),0)</f>
        <v>-350</v>
      </c>
      <c r="AI167" s="1">
        <f>IFERROR(IF((LEFT(TArticle[[#This Row],[شناسه]],3))="5.2",IF(TArticle[[#This Row],[کد وضعیت سند]]=1,TArticle[مبلغ],0),0),0)</f>
        <v>0</v>
      </c>
      <c r="AJ167" s="1">
        <f>IF(TArticle[[#This Row],[کد وضعیت سند]]=1,1,0)</f>
        <v>1</v>
      </c>
      <c r="AK167" s="1">
        <f>IF(AND(TArticle[[#This Row],[کد وضعیت سند]]&lt;&gt;1,TArticle[[#This Row],[مبلغ]]&lt;&gt;0),1,0)</f>
        <v>0</v>
      </c>
      <c r="AL167" s="51">
        <f>IF(TArticle[[#This Row],[کد بانک]]&gt;0,TArticle[[#This Row],[مانده بانک]]-VLOOKUP(TArticle[[#This Row],[کد بانک]],TBank[],7,FALSE),"")</f>
        <v>28115</v>
      </c>
      <c r="AM167" s="58" t="str">
        <f>LEFT(TArticle[[#This Row],[تاریخ]],7)</f>
        <v>1401-07</v>
      </c>
    </row>
    <row r="168" spans="1:39" hidden="1" x14ac:dyDescent="0.25">
      <c r="A168" s="24" t="s">
        <v>1013</v>
      </c>
      <c r="B168" s="49" t="str">
        <f>VLOOKUP(TArticle[[#This Row],[شناسه]],TAccount[],2,TRUE)</f>
        <v>یارانه</v>
      </c>
      <c r="C168" s="49" t="str">
        <f>VLOOKUP(TArticle[[#This Row],[تاریخ]],TDays[],7,FALSE)</f>
        <v>چهارشنبه</v>
      </c>
      <c r="D168" s="21" t="s">
        <v>403</v>
      </c>
      <c r="E168" s="1">
        <v>1500</v>
      </c>
      <c r="F168" s="1">
        <f>TArticle[[#This Row],[مبلغ]]+IFERROR(INT(F167),30181+3667+958)</f>
        <v>35956</v>
      </c>
      <c r="K168" s="21">
        <v>1</v>
      </c>
      <c r="L168" t="str">
        <f>IF(TArticle[[#This Row],[کد وضعیت سند]]&gt;0,VLOOKUP(TArticle[[#This Row],[کد وضعیت سند]],TDocState[],2,FALSE),"")</f>
        <v>انجام شد</v>
      </c>
      <c r="N168" t="str">
        <f>IF(TArticle[[#This Row],[کد طرف حساب]]&gt;0,VLOOKUP(TArticle[[#This Row],[کد طرف حساب]],TContact[],2,FALSE),"")</f>
        <v/>
      </c>
      <c r="O168" s="61" t="str">
        <f>IF(TArticle[[#This Row],[کد طرف حساب]]&gt;0,VLOOKUP(TArticle[[#This Row],[کد طرف حساب]],TContact[],7,FALSE)-SUMIF($M$2:M168,M168,$E$2:$E168),"")</f>
        <v/>
      </c>
      <c r="P168" s="27" t="str">
        <f>RIGHT(TArticle[[#This Row],[تاریخ]],2)</f>
        <v>20</v>
      </c>
      <c r="Q168" s="27">
        <f>VLOOKUP(TArticle[[#This Row],[تاریخ]],TDays[],16,FALSE)</f>
        <v>30</v>
      </c>
      <c r="R168" s="27" t="str">
        <f>RIGHT(LEFT(TArticle[[#This Row],[تاریخ]],7),2)</f>
        <v>07</v>
      </c>
      <c r="S168" s="27" t="str">
        <f>LEFT(TArticle[[#This Row],[تاریخ]],4)</f>
        <v>1401</v>
      </c>
      <c r="U168" s="21">
        <f>VLOOKUP(TArticle[[#This Row],[شناسه]],TAccount[],7,TRUE)</f>
        <v>12565</v>
      </c>
      <c r="W168" s="21">
        <f>IF(AND(TArticle[[#This Row],[مبلغ]]&gt;0, TArticle[[#This Row],[کد وضعیت سند]]=1),TArticle[[#This Row],[مبلغ]],0)</f>
        <v>1500</v>
      </c>
      <c r="X168" s="27">
        <f>IF(AND(TArticle[[#This Row],[مبلغ]]&lt;0,TArticle[[#This Row],[کد وضعیت سند]]=1),0-TArticle[[#This Row],[مبلغ]],0)</f>
        <v>0</v>
      </c>
      <c r="Y168" s="27">
        <v>2</v>
      </c>
      <c r="Z168" t="str">
        <f>IF(TArticle[[#This Row],[کد بانک]]&gt;0,VLOOKUP(TArticle[[#This Row],[کد بانک]],TBank[],2,FALSE),"")</f>
        <v>ملی جاری</v>
      </c>
      <c r="AA168">
        <f>IF(AND(TArticle[[#This Row],[مبلغ]]&lt;0,TArticle[[#This Row],[کد وضعیت سند]]=1),0-TArticle[[#This Row],[مبلغ]],0)</f>
        <v>0</v>
      </c>
      <c r="AB168">
        <f>IF(AND(TArticle[[#This Row],[مبلغ]]&gt;0, TArticle[[#This Row],[کد وضعیت سند]]=1),TArticle[[#This Row],[مبلغ]],0)</f>
        <v>1500</v>
      </c>
      <c r="AC168" s="84">
        <f>IF(TArticle[[#This Row],[کد بانک]]&gt;0,VLOOKUP(TArticle[[#This Row],[کد بانک]],TBank[],9,FALSE)+SUMIF($Y$2:Y168,Y168,$E$2:$E168),"")</f>
        <v>29615</v>
      </c>
      <c r="AD168" s="1">
        <f>IFERROR(IF(INT(LEFT(TArticle[[#This Row],[شناسه]]))=3,IF(TArticle[[#This Row],[کد وضعیت سند]]=1,TArticle[مبلغ],0),0),0)</f>
        <v>0</v>
      </c>
      <c r="AE168" s="1">
        <f>IFERROR(IF(((TArticle[[#This Row],[شناسه]]))="4.1.1",IF(TArticle[[#This Row],[کد وضعیت سند]]=1,TArticle[مبلغ],0),0),0)</f>
        <v>0</v>
      </c>
      <c r="AF168" s="1">
        <f>IFERROR(IF(((TArticle[[#This Row],[شناسه]]))="4.1.2",IF(TArticle[[#This Row],[کد وضعیت سند]]=1,TArticle[مبلغ],0),0),0)</f>
        <v>0</v>
      </c>
      <c r="AG168" s="1">
        <f>IFERROR(IF(INT(LEFT(TArticle[[#This Row],[شناسه]]))=1,IF(TArticle[[#This Row],[کد وضعیت سند]]=1,TArticle[مبلغ],0),0),0)</f>
        <v>0</v>
      </c>
      <c r="AH168" s="1">
        <f>IFERROR(IF(INT(LEFT(TArticle[[#This Row],[شناسه]]))=2,IF(TArticle[[#This Row],[کد وضعیت سند]]=1,TArticle[مبلغ],0),0),0)</f>
        <v>0</v>
      </c>
      <c r="AI168" s="1">
        <f>IFERROR(IF((LEFT(TArticle[[#This Row],[شناسه]],3))="5.2",IF(TArticle[[#This Row],[کد وضعیت سند]]=1,TArticle[مبلغ],0),0),0)</f>
        <v>0</v>
      </c>
      <c r="AJ168" s="1">
        <f>IF(TArticle[[#This Row],[کد وضعیت سند]]=1,1,0)</f>
        <v>1</v>
      </c>
      <c r="AK168" s="1">
        <f>IF(AND(TArticle[[#This Row],[کد وضعیت سند]]&lt;&gt;1,TArticle[[#This Row],[مبلغ]]&lt;&gt;0),1,0)</f>
        <v>0</v>
      </c>
      <c r="AL168" s="51">
        <f>IF(TArticle[[#This Row],[کد بانک]]&gt;0,TArticle[[#This Row],[مانده بانک]]-VLOOKUP(TArticle[[#This Row],[کد بانک]],TBank[],7,FALSE),"")</f>
        <v>29615</v>
      </c>
      <c r="AM168" s="49" t="str">
        <f>LEFT(TArticle[[#This Row],[تاریخ]],7)</f>
        <v>1401-07</v>
      </c>
    </row>
    <row r="169" spans="1:39" hidden="1" x14ac:dyDescent="0.25">
      <c r="A169" s="24" t="s">
        <v>1019</v>
      </c>
      <c r="B169" s="49" t="str">
        <f>VLOOKUP(TArticle[[#This Row],[شناسه]],TAccount[],2,TRUE)</f>
        <v>قرض گرفتن</v>
      </c>
      <c r="C169" s="49" t="str">
        <f>VLOOKUP(TArticle[[#This Row],[تاریخ]],TDays[],7,FALSE)</f>
        <v>شنبه</v>
      </c>
      <c r="D169" s="21" t="s">
        <v>406</v>
      </c>
      <c r="E169" s="1">
        <v>15000</v>
      </c>
      <c r="F169" s="1">
        <f>TArticle[[#This Row],[مبلغ]]+IFERROR(INT(F168),30181+3667+958)</f>
        <v>50956</v>
      </c>
      <c r="K169" s="21">
        <v>1</v>
      </c>
      <c r="L169" t="str">
        <f>IF(TArticle[[#This Row],[کد وضعیت سند]]&gt;0,VLOOKUP(TArticle[[#This Row],[کد وضعیت سند]],TDocState[],2,FALSE),"")</f>
        <v>انجام شد</v>
      </c>
      <c r="N169" t="str">
        <f>IF(TArticle[[#This Row],[کد طرف حساب]]&gt;0,VLOOKUP(TArticle[[#This Row],[کد طرف حساب]],TContact[],2,FALSE),"")</f>
        <v/>
      </c>
      <c r="O169" s="61" t="str">
        <f>IF(TArticle[[#This Row],[کد طرف حساب]]&gt;0,VLOOKUP(TArticle[[#This Row],[کد طرف حساب]],TContact[],7,FALSE)-SUMIF($M$2:M169,M169,$E$2:$E169),"")</f>
        <v/>
      </c>
      <c r="P169" s="27" t="str">
        <f>RIGHT(TArticle[[#This Row],[تاریخ]],2)</f>
        <v>23</v>
      </c>
      <c r="Q169" s="27">
        <f>VLOOKUP(TArticle[[#This Row],[تاریخ]],TDays[],16,FALSE)</f>
        <v>31</v>
      </c>
      <c r="R169" s="27" t="str">
        <f>RIGHT(LEFT(TArticle[[#This Row],[تاریخ]],7),2)</f>
        <v>07</v>
      </c>
      <c r="S169" s="27" t="str">
        <f>LEFT(TArticle[[#This Row],[تاریخ]],4)</f>
        <v>1401</v>
      </c>
      <c r="U169" s="21">
        <f>VLOOKUP(TArticle[[#This Row],[شناسه]],TAccount[],7,TRUE)</f>
        <v>15000</v>
      </c>
      <c r="W169" s="21">
        <f>IF(AND(TArticle[[#This Row],[مبلغ]]&gt;0, TArticle[[#This Row],[کد وضعیت سند]]=1),TArticle[[#This Row],[مبلغ]],0)</f>
        <v>15000</v>
      </c>
      <c r="X169" s="27">
        <f>IF(AND(TArticle[[#This Row],[مبلغ]]&lt;0,TArticle[[#This Row],[کد وضعیت سند]]=1),0-TArticle[[#This Row],[مبلغ]],0)</f>
        <v>0</v>
      </c>
      <c r="Y169" s="27">
        <v>2</v>
      </c>
      <c r="Z169" t="str">
        <f>IF(TArticle[[#This Row],[کد بانک]]&gt;0,VLOOKUP(TArticle[[#This Row],[کد بانک]],TBank[],2,FALSE),"")</f>
        <v>ملی جاری</v>
      </c>
      <c r="AA169">
        <f>IF(AND(TArticle[[#This Row],[مبلغ]]&lt;0,TArticle[[#This Row],[کد وضعیت سند]]=1),0-TArticle[[#This Row],[مبلغ]],0)</f>
        <v>0</v>
      </c>
      <c r="AB169">
        <f>IF(AND(TArticle[[#This Row],[مبلغ]]&gt;0, TArticle[[#This Row],[کد وضعیت سند]]=1),TArticle[[#This Row],[مبلغ]],0)</f>
        <v>15000</v>
      </c>
      <c r="AC169" s="84">
        <f>IF(TArticle[[#This Row],[کد بانک]]&gt;0,VLOOKUP(TArticle[[#This Row],[کد بانک]],TBank[],9,FALSE)+SUMIF($Y$2:Y169,Y169,$E$2:$E169),"")</f>
        <v>44615</v>
      </c>
      <c r="AD169" s="1">
        <f>IFERROR(IF(INT(LEFT(TArticle[[#This Row],[شناسه]]))=3,IF(TArticle[[#This Row],[کد وضعیت سند]]=1,TArticle[مبلغ],0),0),0)</f>
        <v>0</v>
      </c>
      <c r="AE169" s="1">
        <f>IFERROR(IF(((TArticle[[#This Row],[شناسه]]))="4.1.1",IF(TArticle[[#This Row],[کد وضعیت سند]]=1,TArticle[مبلغ],0),0),0)</f>
        <v>0</v>
      </c>
      <c r="AF169" s="1">
        <f>IFERROR(IF(((TArticle[[#This Row],[شناسه]]))="4.1.2",IF(TArticle[[#This Row],[کد وضعیت سند]]=1,TArticle[مبلغ],0),0),0)</f>
        <v>0</v>
      </c>
      <c r="AG169" s="1">
        <f>IFERROR(IF(INT(LEFT(TArticle[[#This Row],[شناسه]]))=1,IF(TArticle[[#This Row],[کد وضعیت سند]]=1,TArticle[مبلغ],0),0),0)</f>
        <v>0</v>
      </c>
      <c r="AH169" s="1">
        <f>IFERROR(IF(INT(LEFT(TArticle[[#This Row],[شناسه]]))=2,IF(TArticle[[#This Row],[کد وضعیت سند]]=1,TArticle[مبلغ],0),0),0)</f>
        <v>0</v>
      </c>
      <c r="AI169" s="1">
        <f>IFERROR(IF((LEFT(TArticle[[#This Row],[شناسه]],3))="5.2",IF(TArticle[[#This Row],[کد وضعیت سند]]=1,TArticle[مبلغ],0),0),0)</f>
        <v>15000</v>
      </c>
      <c r="AJ169" s="1">
        <f>IF(TArticle[[#This Row],[کد وضعیت سند]]=1,1,0)</f>
        <v>1</v>
      </c>
      <c r="AK169" s="1">
        <f>IF(AND(TArticle[[#This Row],[کد وضعیت سند]]&lt;&gt;1,TArticle[[#This Row],[مبلغ]]&lt;&gt;0),1,0)</f>
        <v>0</v>
      </c>
      <c r="AL169" s="51">
        <f>IF(TArticle[[#This Row],[کد بانک]]&gt;0,TArticle[[#This Row],[مانده بانک]]-VLOOKUP(TArticle[[#This Row],[کد بانک]],TBank[],7,FALSE),"")</f>
        <v>44615</v>
      </c>
      <c r="AM169" s="49" t="str">
        <f>LEFT(TArticle[[#This Row],[تاریخ]],7)</f>
        <v>1401-07</v>
      </c>
    </row>
    <row r="170" spans="1:39" hidden="1" x14ac:dyDescent="0.25">
      <c r="A170" s="24" t="s">
        <v>153</v>
      </c>
      <c r="B170" s="49" t="str">
        <f>VLOOKUP(TArticle[[#This Row],[شناسه]],TAccount[],2,TRUE)</f>
        <v>کارمزد بانک</v>
      </c>
      <c r="C170" s="49" t="str">
        <f>VLOOKUP(TArticle[[#This Row],[تاریخ]],TDays[],7,FALSE)</f>
        <v>یکشنبه</v>
      </c>
      <c r="D170" s="21" t="s">
        <v>407</v>
      </c>
      <c r="E170" s="1">
        <v>-6100</v>
      </c>
      <c r="F170" s="1">
        <f>TArticle[[#This Row],[مبلغ]]+IFERROR(INT(F169),30181+3667+958)</f>
        <v>44856</v>
      </c>
      <c r="G170" t="s">
        <v>1212</v>
      </c>
      <c r="H170" s="64"/>
      <c r="J170" s="65"/>
      <c r="K170" s="64">
        <v>1</v>
      </c>
      <c r="L170" s="66" t="str">
        <f>IF(TArticle[[#This Row],[کد وضعیت سند]]&gt;0,VLOOKUP(TArticle[[#This Row],[کد وضعیت سند]],TDocState[],2,FALSE),"")</f>
        <v>انجام شد</v>
      </c>
      <c r="M170" s="67"/>
      <c r="N170" t="str">
        <f>IF(TArticle[[#This Row],[کد طرف حساب]]&gt;0,VLOOKUP(TArticle[[#This Row],[کد طرف حساب]],TContact[],2,FALSE),"")</f>
        <v/>
      </c>
      <c r="O170" s="68" t="str">
        <f>IF(TArticle[[#This Row],[کد طرف حساب]]&gt;0,VLOOKUP(TArticle[[#This Row],[کد طرف حساب]],TContact[],7,FALSE)-SUMIF($M$2:M170,M170,$E$2:$E170),"")</f>
        <v/>
      </c>
      <c r="P170" s="67" t="str">
        <f>RIGHT(TArticle[[#This Row],[تاریخ]],2)</f>
        <v>24</v>
      </c>
      <c r="Q170" s="67">
        <f>VLOOKUP(TArticle[[#This Row],[تاریخ]],TDays[],16,FALSE)</f>
        <v>31</v>
      </c>
      <c r="R170" s="67" t="str">
        <f>RIGHT(LEFT(TArticle[[#This Row],[تاریخ]],7),2)</f>
        <v>07</v>
      </c>
      <c r="S170" s="67" t="str">
        <f>LEFT(TArticle[[#This Row],[تاریخ]],4)</f>
        <v>1401</v>
      </c>
      <c r="T170" s="64"/>
      <c r="U170" s="64">
        <f>VLOOKUP(TArticle[[#This Row],[شناسه]],TAccount[],7,TRUE)</f>
        <v>6100</v>
      </c>
      <c r="V170" s="64"/>
      <c r="W170" s="64">
        <f>IF(AND(TArticle[[#This Row],[مبلغ]]&gt;0, TArticle[[#This Row],[کد وضعیت سند]]=1),TArticle[[#This Row],[مبلغ]],0)</f>
        <v>0</v>
      </c>
      <c r="X170" s="67">
        <f>IF(AND(TArticle[[#This Row],[مبلغ]]&lt;0,TArticle[[#This Row],[کد وضعیت سند]]=1),0-TArticle[[#This Row],[مبلغ]],0)</f>
        <v>6100</v>
      </c>
      <c r="Y170" s="67">
        <v>2</v>
      </c>
      <c r="Z170" t="str">
        <f>IF(TArticle[[#This Row],[کد بانک]]&gt;0,VLOOKUP(TArticle[[#This Row],[کد بانک]],TBank[],2,FALSE),"")</f>
        <v>ملی جاری</v>
      </c>
      <c r="AA170">
        <f>IF(AND(TArticle[[#This Row],[مبلغ]]&lt;0,TArticle[[#This Row],[کد وضعیت سند]]=1),0-TArticle[[#This Row],[مبلغ]],0)</f>
        <v>6100</v>
      </c>
      <c r="AB170">
        <f>IF(AND(TArticle[[#This Row],[مبلغ]]&gt;0, TArticle[[#This Row],[کد وضعیت سند]]=1),TArticle[[#This Row],[مبلغ]],0)</f>
        <v>0</v>
      </c>
      <c r="AC170" s="93">
        <f>IF(TArticle[[#This Row],[کد بانک]]&gt;0,VLOOKUP(TArticle[[#This Row],[کد بانک]],TBank[],9,FALSE)+SUMIF($Y$2:Y170,Y170,$E$2:$E170),"")</f>
        <v>38515</v>
      </c>
      <c r="AD170" s="1">
        <f>IFERROR(IF(INT(LEFT(TArticle[[#This Row],[شناسه]]))=3,IF(TArticle[[#This Row],[کد وضعیت سند]]=1,TArticle[مبلغ],0),0),0)</f>
        <v>-6100</v>
      </c>
      <c r="AE170" s="1">
        <f>IFERROR(IF(((TArticle[[#This Row],[شناسه]]))="4.1.1",IF(TArticle[[#This Row],[کد وضعیت سند]]=1,TArticle[مبلغ],0),0),0)</f>
        <v>0</v>
      </c>
      <c r="AF170" s="1">
        <f>IFERROR(IF(((TArticle[[#This Row],[شناسه]]))="4.1.2",IF(TArticle[[#This Row],[کد وضعیت سند]]=1,TArticle[مبلغ],0),0),0)</f>
        <v>0</v>
      </c>
      <c r="AG170" s="1">
        <f>IFERROR(IF(INT(LEFT(TArticle[[#This Row],[شناسه]]))=1,IF(TArticle[[#This Row],[کد وضعیت سند]]=1,TArticle[مبلغ],0),0),0)</f>
        <v>0</v>
      </c>
      <c r="AH170" s="1">
        <f>IFERROR(IF(INT(LEFT(TArticle[[#This Row],[شناسه]]))=2,IF(TArticle[[#This Row],[کد وضعیت سند]]=1,TArticle[مبلغ],0),0),0)</f>
        <v>0</v>
      </c>
      <c r="AI170" s="1">
        <f>IFERROR(IF((LEFT(TArticle[[#This Row],[شناسه]],3))="5.2",IF(TArticle[[#This Row],[کد وضعیت سند]]=1,TArticle[مبلغ],0),0),0)</f>
        <v>0</v>
      </c>
      <c r="AJ170" s="1">
        <f>IF(TArticle[[#This Row],[کد وضعیت سند]]=1,1,0)</f>
        <v>1</v>
      </c>
      <c r="AK170" s="1">
        <f>IF(AND(TArticle[[#This Row],[کد وضعیت سند]]&lt;&gt;1,TArticle[[#This Row],[مبلغ]]&lt;&gt;0),1,0)</f>
        <v>0</v>
      </c>
      <c r="AL170" s="78">
        <f>IF(TArticle[[#This Row],[کد بانک]]&gt;0,TArticle[[#This Row],[مانده بانک]]-VLOOKUP(TArticle[[#This Row],[کد بانک]],TBank[],7,FALSE),"")</f>
        <v>38515</v>
      </c>
      <c r="AM170" s="58" t="str">
        <f>LEFT(TArticle[[#This Row],[تاریخ]],7)</f>
        <v>1401-07</v>
      </c>
    </row>
    <row r="171" spans="1:39" hidden="1" x14ac:dyDescent="0.25">
      <c r="A171" s="24" t="s">
        <v>1008</v>
      </c>
      <c r="B171" s="49" t="str">
        <f>VLOOKUP(TArticle[[#This Row],[شناسه]],TAccount[],2,TRUE)</f>
        <v>حواله پرداخت/برداشت</v>
      </c>
      <c r="C171" s="49" t="str">
        <f>VLOOKUP(TArticle[[#This Row],[تاریخ]],TDays[],7,FALSE)</f>
        <v>یکشنبه</v>
      </c>
      <c r="D171" s="21" t="s">
        <v>407</v>
      </c>
      <c r="E171" s="1">
        <v>-19900</v>
      </c>
      <c r="F171" s="1">
        <f>TArticle[[#This Row],[مبلغ]]+IFERROR(INT(F170),30181+3667+958)</f>
        <v>24956</v>
      </c>
      <c r="G171" t="s">
        <v>1212</v>
      </c>
      <c r="H171" s="64"/>
      <c r="J171" s="65"/>
      <c r="K171" s="64">
        <v>1</v>
      </c>
      <c r="L171" s="66" t="str">
        <f>IF(TArticle[[#This Row],[کد وضعیت سند]]&gt;0,VLOOKUP(TArticle[[#This Row],[کد وضعیت سند]],TDocState[],2,FALSE),"")</f>
        <v>انجام شد</v>
      </c>
      <c r="M171" s="67">
        <v>113</v>
      </c>
      <c r="N171" t="str">
        <f>IF(TArticle[[#This Row],[کد طرف حساب]]&gt;0,VLOOKUP(TArticle[[#This Row],[کد طرف حساب]],TContact[],2,FALSE),"")</f>
        <v>وام طلا</v>
      </c>
      <c r="O171" s="68">
        <f>IF(TArticle[[#This Row],[کد طرف حساب]]&gt;0,VLOOKUP(TArticle[[#This Row],[کد طرف حساب]],TContact[],7,FALSE)-SUMIF($M$2:M171,M171,$E$2:$E171),"")</f>
        <v>0</v>
      </c>
      <c r="P171" s="67" t="str">
        <f>RIGHT(TArticle[[#This Row],[تاریخ]],2)</f>
        <v>24</v>
      </c>
      <c r="Q171" s="67">
        <f>VLOOKUP(TArticle[[#This Row],[تاریخ]],TDays[],16,FALSE)</f>
        <v>31</v>
      </c>
      <c r="R171" s="67" t="str">
        <f>RIGHT(LEFT(TArticle[[#This Row],[تاریخ]],7),2)</f>
        <v>07</v>
      </c>
      <c r="S171" s="67" t="str">
        <f>LEFT(TArticle[[#This Row],[تاریخ]],4)</f>
        <v>1401</v>
      </c>
      <c r="T171" s="64"/>
      <c r="U171" s="64">
        <f>VLOOKUP(TArticle[[#This Row],[شناسه]],TAccount[],7,TRUE)</f>
        <v>179525</v>
      </c>
      <c r="V171" s="64"/>
      <c r="W171" s="64">
        <f>IF(AND(TArticle[[#This Row],[مبلغ]]&gt;0, TArticle[[#This Row],[کد وضعیت سند]]=1),TArticle[[#This Row],[مبلغ]],0)</f>
        <v>0</v>
      </c>
      <c r="X171" s="67">
        <f>IF(AND(TArticle[[#This Row],[مبلغ]]&lt;0,TArticle[[#This Row],[کد وضعیت سند]]=1),0-TArticle[[#This Row],[مبلغ]],0)</f>
        <v>19900</v>
      </c>
      <c r="Y171" s="67">
        <v>2</v>
      </c>
      <c r="Z171" t="str">
        <f>IF(TArticle[[#This Row],[کد بانک]]&gt;0,VLOOKUP(TArticle[[#This Row],[کد بانک]],TBank[],2,FALSE),"")</f>
        <v>ملی جاری</v>
      </c>
      <c r="AA171">
        <f>IF(AND(TArticle[[#This Row],[مبلغ]]&lt;0,TArticle[[#This Row],[کد وضعیت سند]]=1),0-TArticle[[#This Row],[مبلغ]],0)</f>
        <v>19900</v>
      </c>
      <c r="AB171">
        <f>IF(AND(TArticle[[#This Row],[مبلغ]]&gt;0, TArticle[[#This Row],[کد وضعیت سند]]=1),TArticle[[#This Row],[مبلغ]],0)</f>
        <v>0</v>
      </c>
      <c r="AC171" s="93">
        <f>IF(TArticle[[#This Row],[کد بانک]]&gt;0,VLOOKUP(TArticle[[#This Row],[کد بانک]],TBank[],9,FALSE)+SUMIF($Y$2:Y171,Y171,$E$2:$E171),"")</f>
        <v>18615</v>
      </c>
      <c r="AD171" s="1">
        <f>IFERROR(IF(INT(LEFT(TArticle[[#This Row],[شناسه]]))=3,IF(TArticle[[#This Row],[کد وضعیت سند]]=1,TArticle[مبلغ],0),0),0)</f>
        <v>0</v>
      </c>
      <c r="AE171" s="1">
        <f>IFERROR(IF(((TArticle[[#This Row],[شناسه]]))="4.1.1",IF(TArticle[[#This Row],[کد وضعیت سند]]=1,TArticle[مبلغ],0),0),0)</f>
        <v>0</v>
      </c>
      <c r="AF171" s="1">
        <f>IFERROR(IF(((TArticle[[#This Row],[شناسه]]))="4.1.2",IF(TArticle[[#This Row],[کد وضعیت سند]]=1,TArticle[مبلغ],0),0),0)</f>
        <v>0</v>
      </c>
      <c r="AG171" s="1">
        <f>IFERROR(IF(INT(LEFT(TArticle[[#This Row],[شناسه]]))=1,IF(TArticle[[#This Row],[کد وضعیت سند]]=1,TArticle[مبلغ],0),0),0)</f>
        <v>0</v>
      </c>
      <c r="AH171" s="1">
        <f>IFERROR(IF(INT(LEFT(TArticle[[#This Row],[شناسه]]))=2,IF(TArticle[[#This Row],[کد وضعیت سند]]=1,TArticle[مبلغ],0),0),0)</f>
        <v>0</v>
      </c>
      <c r="AI171" s="1">
        <f>IFERROR(IF((LEFT(TArticle[[#This Row],[شناسه]],3))="5.2",IF(TArticle[[#This Row],[کد وضعیت سند]]=1,TArticle[مبلغ],0),0),0)</f>
        <v>0</v>
      </c>
      <c r="AJ171" s="1">
        <f>IF(TArticle[[#This Row],[کد وضعیت سند]]=1,1,0)</f>
        <v>1</v>
      </c>
      <c r="AK171" s="1">
        <f>IF(AND(TArticle[[#This Row],[کد وضعیت سند]]&lt;&gt;1,TArticle[[#This Row],[مبلغ]]&lt;&gt;0),1,0)</f>
        <v>0</v>
      </c>
      <c r="AL171" s="78">
        <f>IF(TArticle[[#This Row],[کد بانک]]&gt;0,TArticle[[#This Row],[مانده بانک]]-VLOOKUP(TArticle[[#This Row],[کد بانک]],TBank[],7,FALSE),"")</f>
        <v>18615</v>
      </c>
      <c r="AM171" s="58" t="str">
        <f>LEFT(TArticle[[#This Row],[تاریخ]],7)</f>
        <v>1401-07</v>
      </c>
    </row>
    <row r="172" spans="1:39" hidden="1" x14ac:dyDescent="0.25">
      <c r="A172" s="24" t="s">
        <v>55</v>
      </c>
      <c r="B172" s="49" t="str">
        <f>VLOOKUP(TArticle[[#This Row],[شناسه]],TAccount[],2,TRUE)</f>
        <v>هزینه کلی</v>
      </c>
      <c r="C172" s="49" t="str">
        <f>VLOOKUP(TArticle[[#This Row],[تاریخ]],TDays[],7,FALSE)</f>
        <v>دوشنبه</v>
      </c>
      <c r="D172" s="21" t="s">
        <v>408</v>
      </c>
      <c r="E172" s="1">
        <v>-212</v>
      </c>
      <c r="F172" s="1">
        <f>TArticle[[#This Row],[مبلغ]]+IFERROR(INT(F171),30181+3667+958)</f>
        <v>24744</v>
      </c>
      <c r="K172" s="21">
        <v>1</v>
      </c>
      <c r="L172" t="str">
        <f>IF(TArticle[[#This Row],[کد وضعیت سند]]&gt;0,VLOOKUP(TArticle[[#This Row],[کد وضعیت سند]],TDocState[],2,FALSE),"")</f>
        <v>انجام شد</v>
      </c>
      <c r="N172" t="str">
        <f>IF(TArticle[[#This Row],[کد طرف حساب]]&gt;0,VLOOKUP(TArticle[[#This Row],[کد طرف حساب]],TContact[],2,FALSE),"")</f>
        <v/>
      </c>
      <c r="O172" s="61" t="str">
        <f>IF(TArticle[[#This Row],[کد طرف حساب]]&gt;0,VLOOKUP(TArticle[[#This Row],[کد طرف حساب]],TContact[],7,FALSE)-SUMIF($M$2:M172,M172,$E$2:$E172),"")</f>
        <v/>
      </c>
      <c r="P172" s="27" t="str">
        <f>RIGHT(TArticle[[#This Row],[تاریخ]],2)</f>
        <v>25</v>
      </c>
      <c r="Q172" s="27">
        <f>VLOOKUP(TArticle[[#This Row],[تاریخ]],TDays[],16,FALSE)</f>
        <v>31</v>
      </c>
      <c r="R172" s="27" t="str">
        <f>RIGHT(LEFT(TArticle[[#This Row],[تاریخ]],7),2)</f>
        <v>07</v>
      </c>
      <c r="S172" s="27" t="str">
        <f>LEFT(TArticle[[#This Row],[تاریخ]],4)</f>
        <v>1401</v>
      </c>
      <c r="U172" s="21">
        <f>VLOOKUP(TArticle[[#This Row],[شناسه]],TAccount[],7,TRUE)</f>
        <v>364074</v>
      </c>
      <c r="W172" s="21">
        <f>IF(AND(TArticle[[#This Row],[مبلغ]]&gt;0, TArticle[[#This Row],[کد وضعیت سند]]=1),TArticle[[#This Row],[مبلغ]],0)</f>
        <v>0</v>
      </c>
      <c r="X172" s="27">
        <f>IF(AND(TArticle[[#This Row],[مبلغ]]&lt;0,TArticle[[#This Row],[کد وضعیت سند]]=1),0-TArticle[[#This Row],[مبلغ]],0)</f>
        <v>212</v>
      </c>
      <c r="Y172" s="27">
        <v>4</v>
      </c>
      <c r="Z172" t="str">
        <f>IF(TArticle[[#This Row],[کد بانک]]&gt;0,VLOOKUP(TArticle[[#This Row],[کد بانک]],TBank[],2,FALSE),"")</f>
        <v>سپه</v>
      </c>
      <c r="AA172">
        <f>IF(AND(TArticle[[#This Row],[مبلغ]]&lt;0,TArticle[[#This Row],[کد وضعیت سند]]=1),0-TArticle[[#This Row],[مبلغ]],0)</f>
        <v>212</v>
      </c>
      <c r="AB172">
        <f>IF(AND(TArticle[[#This Row],[مبلغ]]&gt;0, TArticle[[#This Row],[کد وضعیت سند]]=1),TArticle[[#This Row],[مبلغ]],0)</f>
        <v>0</v>
      </c>
      <c r="AC172" s="84">
        <f>IF(TArticle[[#This Row],[کد بانک]]&gt;0,VLOOKUP(TArticle[[#This Row],[کد بانک]],TBank[],9,FALSE)+SUMIF($Y$2:Y172,Y172,$E$2:$E172),"")</f>
        <v>2</v>
      </c>
      <c r="AD172" s="1">
        <f>IFERROR(IF(INT(LEFT(TArticle[[#This Row],[شناسه]]))=3,IF(TArticle[[#This Row],[کد وضعیت سند]]=1,TArticle[مبلغ],0),0),0)</f>
        <v>-212</v>
      </c>
      <c r="AE172" s="1">
        <f>IFERROR(IF(((TArticle[[#This Row],[شناسه]]))="4.1.1",IF(TArticle[[#This Row],[کد وضعیت سند]]=1,TArticle[مبلغ],0),0),0)</f>
        <v>0</v>
      </c>
      <c r="AF172" s="1">
        <f>IFERROR(IF(((TArticle[[#This Row],[شناسه]]))="4.1.2",IF(TArticle[[#This Row],[کد وضعیت سند]]=1,TArticle[مبلغ],0),0),0)</f>
        <v>0</v>
      </c>
      <c r="AG172" s="1">
        <f>IFERROR(IF(INT(LEFT(TArticle[[#This Row],[شناسه]]))=1,IF(TArticle[[#This Row],[کد وضعیت سند]]=1,TArticle[مبلغ],0),0),0)</f>
        <v>0</v>
      </c>
      <c r="AH172" s="1">
        <f>IFERROR(IF(INT(LEFT(TArticle[[#This Row],[شناسه]]))=2,IF(TArticle[[#This Row],[کد وضعیت سند]]=1,TArticle[مبلغ],0),0),0)</f>
        <v>0</v>
      </c>
      <c r="AI172" s="1">
        <f>IFERROR(IF((LEFT(TArticle[[#This Row],[شناسه]],3))="5.2",IF(TArticle[[#This Row],[کد وضعیت سند]]=1,TArticle[مبلغ],0),0),0)</f>
        <v>0</v>
      </c>
      <c r="AJ172" s="1">
        <f>IF(TArticle[[#This Row],[کد وضعیت سند]]=1,1,0)</f>
        <v>1</v>
      </c>
      <c r="AK172" s="1">
        <f>IF(AND(TArticle[[#This Row],[کد وضعیت سند]]&lt;&gt;1,TArticle[[#This Row],[مبلغ]]&lt;&gt;0),1,0)</f>
        <v>0</v>
      </c>
      <c r="AL172" s="51">
        <f>IF(TArticle[[#This Row],[کد بانک]]&gt;0,TArticle[[#This Row],[مانده بانک]]-VLOOKUP(TArticle[[#This Row],[کد بانک]],TBank[],7,FALSE),"")</f>
        <v>0</v>
      </c>
      <c r="AM172" s="49" t="str">
        <f>LEFT(TArticle[[#This Row],[تاریخ]],7)</f>
        <v>1401-07</v>
      </c>
    </row>
    <row r="173" spans="1:39" hidden="1" x14ac:dyDescent="0.25">
      <c r="A173" s="24" t="s">
        <v>55</v>
      </c>
      <c r="B173" s="49" t="str">
        <f>VLOOKUP(TArticle[[#This Row],[شناسه]],TAccount[],2,TRUE)</f>
        <v>هزینه کلی</v>
      </c>
      <c r="C173" s="49" t="str">
        <f>VLOOKUP(TArticle[[#This Row],[تاریخ]],TDays[],7,FALSE)</f>
        <v>شنبه</v>
      </c>
      <c r="D173" s="21" t="s">
        <v>413</v>
      </c>
      <c r="E173" s="1">
        <v>-18611</v>
      </c>
      <c r="F173" s="1">
        <f>TArticle[[#This Row],[مبلغ]]+IFERROR(INT(F172),30181+3667+958)</f>
        <v>6133</v>
      </c>
      <c r="K173" s="21">
        <v>1</v>
      </c>
      <c r="L173" t="str">
        <f>IF(TArticle[[#This Row],[کد وضعیت سند]]&gt;0,VLOOKUP(TArticle[[#This Row],[کد وضعیت سند]],TDocState[],2,FALSE),"")</f>
        <v>انجام شد</v>
      </c>
      <c r="N173" t="str">
        <f>IF(TArticle[[#This Row],[کد طرف حساب]]&gt;0,VLOOKUP(TArticle[[#This Row],[کد طرف حساب]],TContact[],2,FALSE),"")</f>
        <v/>
      </c>
      <c r="O173" s="61" t="str">
        <f>IF(TArticle[[#This Row],[کد طرف حساب]]&gt;0,VLOOKUP(TArticle[[#This Row],[کد طرف حساب]],TContact[],7,FALSE)-SUMIF($M$2:M173,M173,$E$2:$E173),"")</f>
        <v/>
      </c>
      <c r="P173" s="27" t="str">
        <f>RIGHT(TArticle[[#This Row],[تاریخ]],2)</f>
        <v>30</v>
      </c>
      <c r="Q173" s="27">
        <f>VLOOKUP(TArticle[[#This Row],[تاریخ]],TDays[],16,FALSE)</f>
        <v>32</v>
      </c>
      <c r="R173" s="27" t="str">
        <f>RIGHT(LEFT(TArticle[[#This Row],[تاریخ]],7),2)</f>
        <v>07</v>
      </c>
      <c r="S173" s="27" t="str">
        <f>LEFT(TArticle[[#This Row],[تاریخ]],4)</f>
        <v>1401</v>
      </c>
      <c r="U173" s="21">
        <f>VLOOKUP(TArticle[[#This Row],[شناسه]],TAccount[],7,TRUE)</f>
        <v>364074</v>
      </c>
      <c r="W173" s="21">
        <f>IF(AND(TArticle[[#This Row],[مبلغ]]&gt;0, TArticle[[#This Row],[کد وضعیت سند]]=1),TArticle[[#This Row],[مبلغ]],0)</f>
        <v>0</v>
      </c>
      <c r="X173" s="27">
        <f>IF(AND(TArticle[[#This Row],[مبلغ]]&lt;0,TArticle[[#This Row],[کد وضعیت سند]]=1),0-TArticle[[#This Row],[مبلغ]],0)</f>
        <v>18611</v>
      </c>
      <c r="Y173" s="27">
        <v>2</v>
      </c>
      <c r="Z173" t="str">
        <f>IF(TArticle[[#This Row],[کد بانک]]&gt;0,VLOOKUP(TArticle[[#This Row],[کد بانک]],TBank[],2,FALSE),"")</f>
        <v>ملی جاری</v>
      </c>
      <c r="AA173">
        <f>IF(AND(TArticle[[#This Row],[مبلغ]]&lt;0,TArticle[[#This Row],[کد وضعیت سند]]=1),0-TArticle[[#This Row],[مبلغ]],0)</f>
        <v>18611</v>
      </c>
      <c r="AB173">
        <f>IF(AND(TArticle[[#This Row],[مبلغ]]&gt;0, TArticle[[#This Row],[کد وضعیت سند]]=1),TArticle[[#This Row],[مبلغ]],0)</f>
        <v>0</v>
      </c>
      <c r="AC173" s="84">
        <f>IF(TArticle[[#This Row],[کد بانک]]&gt;0,VLOOKUP(TArticle[[#This Row],[کد بانک]],TBank[],9,FALSE)+SUMIF($Y$2:Y173,Y173,$E$2:$E173),"")</f>
        <v>4</v>
      </c>
      <c r="AD173" s="1">
        <f>IFERROR(IF(INT(LEFT(TArticle[[#This Row],[شناسه]]))=3,IF(TArticle[[#This Row],[کد وضعیت سند]]=1,TArticle[مبلغ],0),0),0)</f>
        <v>-18611</v>
      </c>
      <c r="AE173" s="1">
        <f>IFERROR(IF(((TArticle[[#This Row],[شناسه]]))="4.1.1",IF(TArticle[[#This Row],[کد وضعیت سند]]=1,TArticle[مبلغ],0),0),0)</f>
        <v>0</v>
      </c>
      <c r="AF173" s="1">
        <f>IFERROR(IF(((TArticle[[#This Row],[شناسه]]))="4.1.2",IF(TArticle[[#This Row],[کد وضعیت سند]]=1,TArticle[مبلغ],0),0),0)</f>
        <v>0</v>
      </c>
      <c r="AG173" s="1">
        <f>IFERROR(IF(INT(LEFT(TArticle[[#This Row],[شناسه]]))=1,IF(TArticle[[#This Row],[کد وضعیت سند]]=1,TArticle[مبلغ],0),0),0)</f>
        <v>0</v>
      </c>
      <c r="AH173" s="1">
        <f>IFERROR(IF(INT(LEFT(TArticle[[#This Row],[شناسه]]))=2,IF(TArticle[[#This Row],[کد وضعیت سند]]=1,TArticle[مبلغ],0),0),0)</f>
        <v>0</v>
      </c>
      <c r="AI173" s="1">
        <f>IFERROR(IF((LEFT(TArticle[[#This Row],[شناسه]],3))="5.2",IF(TArticle[[#This Row],[کد وضعیت سند]]=1,TArticle[مبلغ],0),0),0)</f>
        <v>0</v>
      </c>
      <c r="AJ173" s="1">
        <f>IF(TArticle[[#This Row],[کد وضعیت سند]]=1,1,0)</f>
        <v>1</v>
      </c>
      <c r="AK173" s="1">
        <f>IF(AND(TArticle[[#This Row],[کد وضعیت سند]]&lt;&gt;1,TArticle[[#This Row],[مبلغ]]&lt;&gt;0),1,0)</f>
        <v>0</v>
      </c>
      <c r="AL173" s="51">
        <f>IF(TArticle[[#This Row],[کد بانک]]&gt;0,TArticle[[#This Row],[مانده بانک]]-VLOOKUP(TArticle[[#This Row],[کد بانک]],TBank[],7,FALSE),"")</f>
        <v>4</v>
      </c>
      <c r="AM173" s="49" t="str">
        <f>LEFT(TArticle[[#This Row],[تاریخ]],7)</f>
        <v>1401-07</v>
      </c>
    </row>
    <row r="174" spans="1:39" hidden="1" x14ac:dyDescent="0.25">
      <c r="A174" s="24" t="s">
        <v>43</v>
      </c>
      <c r="B174" s="49" t="str">
        <f>VLOOKUP(TArticle[[#This Row],[شناسه]],TAccount[],2,TRUE)</f>
        <v>حقوق</v>
      </c>
      <c r="C174" s="49" t="str">
        <f>VLOOKUP(TArticle[[#This Row],[تاریخ]],TDays[],7,FALSE)</f>
        <v>یکشنبه</v>
      </c>
      <c r="D174" s="21" t="s">
        <v>414</v>
      </c>
      <c r="E174" s="1">
        <v>26312</v>
      </c>
      <c r="F174" s="1">
        <f>TArticle[[#This Row],[مبلغ]]+IFERROR(INT(F173),30181+3667+958)</f>
        <v>32445</v>
      </c>
      <c r="H174" s="64"/>
      <c r="J174" s="65"/>
      <c r="K174" s="64">
        <v>1</v>
      </c>
      <c r="L174" s="66" t="str">
        <f>IF(TArticle[[#This Row],[کد وضعیت سند]]&gt;0,VLOOKUP(TArticle[[#This Row],[کد وضعیت سند]],TDocState[],2,FALSE),"")</f>
        <v>انجام شد</v>
      </c>
      <c r="M174" s="67"/>
      <c r="N174" t="str">
        <f>IF(TArticle[[#This Row],[کد طرف حساب]]&gt;0,VLOOKUP(TArticle[[#This Row],[کد طرف حساب]],TContact[],2,FALSE),"")</f>
        <v/>
      </c>
      <c r="O174" s="68" t="str">
        <f>IF(TArticle[[#This Row],[کد طرف حساب]]&gt;0,VLOOKUP(TArticle[[#This Row],[کد طرف حساب]],TContact[],7,FALSE)-SUMIF($M$2:M174,M174,$E$2:$E174),"")</f>
        <v/>
      </c>
      <c r="P174" s="67" t="str">
        <f>RIGHT(TArticle[[#This Row],[تاریخ]],2)</f>
        <v>01</v>
      </c>
      <c r="Q174" s="67">
        <f>VLOOKUP(TArticle[[#This Row],[تاریخ]],TDays[],16,FALSE)</f>
        <v>32</v>
      </c>
      <c r="R174" s="67" t="str">
        <f>RIGHT(LEFT(TArticle[[#This Row],[تاریخ]],7),2)</f>
        <v>08</v>
      </c>
      <c r="S174" s="67" t="str">
        <f>LEFT(TArticle[[#This Row],[تاریخ]],4)</f>
        <v>1401</v>
      </c>
      <c r="T174" s="64"/>
      <c r="U174" s="64">
        <f>VLOOKUP(TArticle[[#This Row],[شناسه]],TAccount[],7,TRUE)</f>
        <v>416023</v>
      </c>
      <c r="V174" s="64"/>
      <c r="W174" s="64">
        <f>IF(AND(TArticle[[#This Row],[مبلغ]]&gt;0, TArticle[[#This Row],[کد وضعیت سند]]=1),TArticle[[#This Row],[مبلغ]],0)</f>
        <v>26312</v>
      </c>
      <c r="X174" s="67">
        <f>IF(AND(TArticle[[#This Row],[مبلغ]]&lt;0,TArticle[[#This Row],[کد وضعیت سند]]=1),0-TArticle[[#This Row],[مبلغ]],0)</f>
        <v>0</v>
      </c>
      <c r="Y174" s="67">
        <v>2</v>
      </c>
      <c r="Z174" t="str">
        <f>IF(TArticle[[#This Row],[کد بانک]]&gt;0,VLOOKUP(TArticle[[#This Row],[کد بانک]],TBank[],2,FALSE),"")</f>
        <v>ملی جاری</v>
      </c>
      <c r="AA174">
        <f>IF(AND(TArticle[[#This Row],[مبلغ]]&lt;0,TArticle[[#This Row],[کد وضعیت سند]]=1),0-TArticle[[#This Row],[مبلغ]],0)</f>
        <v>0</v>
      </c>
      <c r="AB174">
        <f>IF(AND(TArticle[[#This Row],[مبلغ]]&gt;0, TArticle[[#This Row],[کد وضعیت سند]]=1),TArticle[[#This Row],[مبلغ]],0)</f>
        <v>26312</v>
      </c>
      <c r="AC174" s="93">
        <f>IF(TArticle[[#This Row],[کد بانک]]&gt;0,VLOOKUP(TArticle[[#This Row],[کد بانک]],TBank[],9,FALSE)+SUMIF($Y$2:Y174,Y174,$E$2:$E174),"")</f>
        <v>26316</v>
      </c>
      <c r="AD174" s="1">
        <f>IFERROR(IF(INT(LEFT(TArticle[[#This Row],[شناسه]]))=3,IF(TArticle[[#This Row],[کد وضعیت سند]]=1,TArticle[مبلغ],0),0),0)</f>
        <v>0</v>
      </c>
      <c r="AE174" s="1">
        <f>IFERROR(IF(((TArticle[[#This Row],[شناسه]]))="4.1.1",IF(TArticle[[#This Row],[کد وضعیت سند]]=1,TArticle[مبلغ],0),0),0)</f>
        <v>26312</v>
      </c>
      <c r="AF174" s="1">
        <f>IFERROR(IF(((TArticle[[#This Row],[شناسه]]))="4.1.2",IF(TArticle[[#This Row],[کد وضعیت سند]]=1,TArticle[مبلغ],0),0),0)</f>
        <v>0</v>
      </c>
      <c r="AG174" s="1">
        <f>IFERROR(IF(INT(LEFT(TArticle[[#This Row],[شناسه]]))=1,IF(TArticle[[#This Row],[کد وضعیت سند]]=1,TArticle[مبلغ],0),0),0)</f>
        <v>0</v>
      </c>
      <c r="AH174" s="1">
        <f>IFERROR(IF(INT(LEFT(TArticle[[#This Row],[شناسه]]))=2,IF(TArticle[[#This Row],[کد وضعیت سند]]=1,TArticle[مبلغ],0),0),0)</f>
        <v>0</v>
      </c>
      <c r="AI174" s="1">
        <f>IFERROR(IF((LEFT(TArticle[[#This Row],[شناسه]],3))="5.2",IF(TArticle[[#This Row],[کد وضعیت سند]]=1,TArticle[مبلغ],0),0),0)</f>
        <v>0</v>
      </c>
      <c r="AJ174" s="1">
        <f>IF(TArticle[[#This Row],[کد وضعیت سند]]=1,1,0)</f>
        <v>1</v>
      </c>
      <c r="AK174" s="1">
        <f>IF(AND(TArticle[[#This Row],[کد وضعیت سند]]&lt;&gt;1,TArticle[[#This Row],[مبلغ]]&lt;&gt;0),1,0)</f>
        <v>0</v>
      </c>
      <c r="AL174" s="78">
        <f>IF(TArticle[[#This Row],[کد بانک]]&gt;0,TArticle[[#This Row],[مانده بانک]]-VLOOKUP(TArticle[[#This Row],[کد بانک]],TBank[],7,FALSE),"")</f>
        <v>26316</v>
      </c>
      <c r="AM174" s="58" t="str">
        <f>LEFT(TArticle[[#This Row],[تاریخ]],7)</f>
        <v>1401-08</v>
      </c>
    </row>
    <row r="175" spans="1:39" hidden="1" x14ac:dyDescent="0.25">
      <c r="A175" s="24" t="s">
        <v>1008</v>
      </c>
      <c r="B175" s="49" t="str">
        <f>VLOOKUP(TArticle[[#This Row],[شناسه]],TAccount[],2,TRUE)</f>
        <v>حواله پرداخت/برداشت</v>
      </c>
      <c r="C175" s="49" t="str">
        <f>VLOOKUP(TArticle[[#This Row],[تاریخ]],TDays[],7,FALSE)</f>
        <v>یکشنبه</v>
      </c>
      <c r="D175" s="21" t="s">
        <v>414</v>
      </c>
      <c r="E175" s="1">
        <v>-6000</v>
      </c>
      <c r="F175" s="1">
        <f>TArticle[[#This Row],[مبلغ]]+IFERROR(INT(F174),30181+3667+958)</f>
        <v>26445</v>
      </c>
      <c r="K175" s="21">
        <v>1</v>
      </c>
      <c r="L175" t="str">
        <f>IF(TArticle[[#This Row],[کد وضعیت سند]]&gt;0,VLOOKUP(TArticle[[#This Row],[کد وضعیت سند]],TDocState[],2,FALSE),"")</f>
        <v>انجام شد</v>
      </c>
      <c r="N175" t="str">
        <f>IF(TArticle[[#This Row],[کد طرف حساب]]&gt;0,VLOOKUP(TArticle[[#This Row],[کد طرف حساب]],TContact[],2,FALSE),"")</f>
        <v/>
      </c>
      <c r="O175" s="61" t="str">
        <f>IF(TArticle[[#This Row],[کد طرف حساب]]&gt;0,VLOOKUP(TArticle[[#This Row],[کد طرف حساب]],TContact[],7,FALSE)-SUMIF($M$2:M175,M175,$E$2:$E175),"")</f>
        <v/>
      </c>
      <c r="P175" s="27" t="str">
        <f>RIGHT(TArticle[[#This Row],[تاریخ]],2)</f>
        <v>01</v>
      </c>
      <c r="Q175" s="27">
        <f>VLOOKUP(TArticle[[#This Row],[تاریخ]],TDays[],16,FALSE)</f>
        <v>32</v>
      </c>
      <c r="R175" s="27" t="str">
        <f>RIGHT(LEFT(TArticle[[#This Row],[تاریخ]],7),2)</f>
        <v>08</v>
      </c>
      <c r="S175" s="27" t="str">
        <f>LEFT(TArticle[[#This Row],[تاریخ]],4)</f>
        <v>1401</v>
      </c>
      <c r="U175" s="21">
        <f>VLOOKUP(TArticle[[#This Row],[شناسه]],TAccount[],7,TRUE)</f>
        <v>179525</v>
      </c>
      <c r="W175" s="21">
        <f>IF(AND(TArticle[[#This Row],[مبلغ]]&gt;0, TArticle[[#This Row],[کد وضعیت سند]]=1),TArticle[[#This Row],[مبلغ]],0)</f>
        <v>0</v>
      </c>
      <c r="X175" s="27">
        <f>IF(AND(TArticle[[#This Row],[مبلغ]]&lt;0,TArticle[[#This Row],[کد وضعیت سند]]=1),0-TArticle[[#This Row],[مبلغ]],0)</f>
        <v>6000</v>
      </c>
      <c r="Y175" s="27">
        <v>2</v>
      </c>
      <c r="Z175" t="str">
        <f>IF(TArticle[[#This Row],[کد بانک]]&gt;0,VLOOKUP(TArticle[[#This Row],[کد بانک]],TBank[],2,FALSE),"")</f>
        <v>ملی جاری</v>
      </c>
      <c r="AA175">
        <f>IF(AND(TArticle[[#This Row],[مبلغ]]&lt;0,TArticle[[#This Row],[کد وضعیت سند]]=1),0-TArticle[[#This Row],[مبلغ]],0)</f>
        <v>6000</v>
      </c>
      <c r="AB175">
        <f>IF(AND(TArticle[[#This Row],[مبلغ]]&gt;0, TArticle[[#This Row],[کد وضعیت سند]]=1),TArticle[[#This Row],[مبلغ]],0)</f>
        <v>0</v>
      </c>
      <c r="AC175" s="84">
        <f>IF(TArticle[[#This Row],[کد بانک]]&gt;0,VLOOKUP(TArticle[[#This Row],[کد بانک]],TBank[],9,FALSE)+SUMIF($Y$2:Y175,Y175,$E$2:$E175),"")</f>
        <v>20316</v>
      </c>
      <c r="AD175" s="1">
        <f>IFERROR(IF(INT(LEFT(TArticle[[#This Row],[شناسه]]))=3,IF(TArticle[[#This Row],[کد وضعیت سند]]=1,TArticle[مبلغ],0),0),0)</f>
        <v>0</v>
      </c>
      <c r="AE175" s="1">
        <f>IFERROR(IF(((TArticle[[#This Row],[شناسه]]))="4.1.1",IF(TArticle[[#This Row],[کد وضعیت سند]]=1,TArticle[مبلغ],0),0),0)</f>
        <v>0</v>
      </c>
      <c r="AF175" s="1">
        <f>IFERROR(IF(((TArticle[[#This Row],[شناسه]]))="4.1.2",IF(TArticle[[#This Row],[کد وضعیت سند]]=1,TArticle[مبلغ],0),0),0)</f>
        <v>0</v>
      </c>
      <c r="AG175" s="1">
        <f>IFERROR(IF(INT(LEFT(TArticle[[#This Row],[شناسه]]))=1,IF(TArticle[[#This Row],[کد وضعیت سند]]=1,TArticle[مبلغ],0),0),0)</f>
        <v>0</v>
      </c>
      <c r="AH175" s="1">
        <f>IFERROR(IF(INT(LEFT(TArticle[[#This Row],[شناسه]]))=2,IF(TArticle[[#This Row],[کد وضعیت سند]]=1,TArticle[مبلغ],0),0),0)</f>
        <v>0</v>
      </c>
      <c r="AI175" s="1">
        <f>IFERROR(IF((LEFT(TArticle[[#This Row],[شناسه]],3))="5.2",IF(TArticle[[#This Row],[کد وضعیت سند]]=1,TArticle[مبلغ],0),0),0)</f>
        <v>0</v>
      </c>
      <c r="AJ175" s="1">
        <f>IF(TArticle[[#This Row],[کد وضعیت سند]]=1,1,0)</f>
        <v>1</v>
      </c>
      <c r="AK175" s="1">
        <f>IF(AND(TArticle[[#This Row],[کد وضعیت سند]]&lt;&gt;1,TArticle[[#This Row],[مبلغ]]&lt;&gt;0),1,0)</f>
        <v>0</v>
      </c>
      <c r="AL175" s="51">
        <f>IF(TArticle[[#This Row],[کد بانک]]&gt;0,TArticle[[#This Row],[مانده بانک]]-VLOOKUP(TArticle[[#This Row],[کد بانک]],TBank[],7,FALSE),"")</f>
        <v>20316</v>
      </c>
      <c r="AM175" s="49" t="str">
        <f>LEFT(TArticle[[#This Row],[تاریخ]],7)</f>
        <v>1401-08</v>
      </c>
    </row>
    <row r="176" spans="1:39" hidden="1" x14ac:dyDescent="0.25">
      <c r="A176" s="24" t="s">
        <v>112</v>
      </c>
      <c r="B176" s="49" t="str">
        <f>VLOOKUP(TArticle[[#This Row],[شناسه]],TAccount[],2,TRUE)</f>
        <v>رسید دریافت/واریز</v>
      </c>
      <c r="C176" s="49" t="str">
        <f>VLOOKUP(TArticle[[#This Row],[تاریخ]],TDays[],7,FALSE)</f>
        <v>یکشنبه</v>
      </c>
      <c r="D176" s="21" t="s">
        <v>414</v>
      </c>
      <c r="E176" s="1">
        <v>6000</v>
      </c>
      <c r="F176" s="1">
        <f>TArticle[[#This Row],[مبلغ]]+IFERROR(INT(F175),30181+3667+958)</f>
        <v>32445</v>
      </c>
      <c r="K176" s="21">
        <v>1</v>
      </c>
      <c r="L176" t="str">
        <f>IF(TArticle[[#This Row],[کد وضعیت سند]]&gt;0,VLOOKUP(TArticle[[#This Row],[کد وضعیت سند]],TDocState[],2,FALSE),"")</f>
        <v>انجام شد</v>
      </c>
      <c r="N176" t="str">
        <f>IF(TArticle[[#This Row],[کد طرف حساب]]&gt;0,VLOOKUP(TArticle[[#This Row],[کد طرف حساب]],TContact[],2,FALSE),"")</f>
        <v/>
      </c>
      <c r="O176" s="61" t="str">
        <f>IF(TArticle[[#This Row],[کد طرف حساب]]&gt;0,VLOOKUP(TArticle[[#This Row],[کد طرف حساب]],TContact[],7,FALSE)-SUMIF($M$2:M176,M176,$E$2:$E176),"")</f>
        <v/>
      </c>
      <c r="P176" s="27" t="str">
        <f>RIGHT(TArticle[[#This Row],[تاریخ]],2)</f>
        <v>01</v>
      </c>
      <c r="Q176" s="27">
        <f>VLOOKUP(TArticle[[#This Row],[تاریخ]],TDays[],16,FALSE)</f>
        <v>32</v>
      </c>
      <c r="R176" s="27" t="str">
        <f>RIGHT(LEFT(TArticle[[#This Row],[تاریخ]],7),2)</f>
        <v>08</v>
      </c>
      <c r="S176" s="27" t="str">
        <f>LEFT(TArticle[[#This Row],[تاریخ]],4)</f>
        <v>1401</v>
      </c>
      <c r="U176" s="21">
        <f>VLOOKUP(TArticle[[#This Row],[شناسه]],TAccount[],7,TRUE)</f>
        <v>257767</v>
      </c>
      <c r="W176" s="21">
        <f>IF(AND(TArticle[[#This Row],[مبلغ]]&gt;0, TArticle[[#This Row],[کد وضعیت سند]]=1),TArticle[[#This Row],[مبلغ]],0)</f>
        <v>6000</v>
      </c>
      <c r="X176" s="27">
        <f>IF(AND(TArticle[[#This Row],[مبلغ]]&lt;0,TArticle[[#This Row],[کد وضعیت سند]]=1),0-TArticle[[#This Row],[مبلغ]],0)</f>
        <v>0</v>
      </c>
      <c r="Y176" s="27">
        <v>16</v>
      </c>
      <c r="Z176" t="str">
        <f>IF(TArticle[[#This Row],[کد بانک]]&gt;0,VLOOKUP(TArticle[[#This Row],[کد بانک]],TBank[],2,FALSE),"")</f>
        <v>مهرایران</v>
      </c>
      <c r="AA176">
        <f>IF(AND(TArticle[[#This Row],[مبلغ]]&lt;0,TArticle[[#This Row],[کد وضعیت سند]]=1),0-TArticle[[#This Row],[مبلغ]],0)</f>
        <v>0</v>
      </c>
      <c r="AB176">
        <f>IF(AND(TArticle[[#This Row],[مبلغ]]&gt;0, TArticle[[#This Row],[کد وضعیت سند]]=1),TArticle[[#This Row],[مبلغ]],0)</f>
        <v>6000</v>
      </c>
      <c r="AC176" s="84">
        <f>IF(TArticle[[#This Row],[کد بانک]]&gt;0,VLOOKUP(TArticle[[#This Row],[کد بانک]],TBank[],9,FALSE)+SUMIF($Y$2:Y176,Y176,$E$2:$E176),"")</f>
        <v>6206</v>
      </c>
      <c r="AD176" s="1">
        <f>IFERROR(IF(INT(LEFT(TArticle[[#This Row],[شناسه]]))=3,IF(TArticle[[#This Row],[کد وضعیت سند]]=1,TArticle[مبلغ],0),0),0)</f>
        <v>0</v>
      </c>
      <c r="AE176" s="1">
        <f>IFERROR(IF(((TArticle[[#This Row],[شناسه]]))="4.1.1",IF(TArticle[[#This Row],[کد وضعیت سند]]=1,TArticle[مبلغ],0),0),0)</f>
        <v>0</v>
      </c>
      <c r="AF176" s="1">
        <f>IFERROR(IF(((TArticle[[#This Row],[شناسه]]))="4.1.2",IF(TArticle[[#This Row],[کد وضعیت سند]]=1,TArticle[مبلغ],0),0),0)</f>
        <v>0</v>
      </c>
      <c r="AG176" s="1">
        <f>IFERROR(IF(INT(LEFT(TArticle[[#This Row],[شناسه]]))=1,IF(TArticle[[#This Row],[کد وضعیت سند]]=1,TArticle[مبلغ],0),0),0)</f>
        <v>0</v>
      </c>
      <c r="AH176" s="1">
        <f>IFERROR(IF(INT(LEFT(TArticle[[#This Row],[شناسه]]))=2,IF(TArticle[[#This Row],[کد وضعیت سند]]=1,TArticle[مبلغ],0),0),0)</f>
        <v>0</v>
      </c>
      <c r="AI176" s="1">
        <f>IFERROR(IF((LEFT(TArticle[[#This Row],[شناسه]],3))="5.2",IF(TArticle[[#This Row],[کد وضعیت سند]]=1,TArticle[مبلغ],0),0),0)</f>
        <v>0</v>
      </c>
      <c r="AJ176" s="1">
        <f>IF(TArticle[[#This Row],[کد وضعیت سند]]=1,1,0)</f>
        <v>1</v>
      </c>
      <c r="AK176" s="1">
        <f>IF(AND(TArticle[[#This Row],[کد وضعیت سند]]&lt;&gt;1,TArticle[[#This Row],[مبلغ]]&lt;&gt;0),1,0)</f>
        <v>0</v>
      </c>
      <c r="AL176" s="51">
        <f>IF(TArticle[[#This Row],[کد بانک]]&gt;0,TArticle[[#This Row],[مانده بانک]]-VLOOKUP(TArticle[[#This Row],[کد بانک]],TBank[],7,FALSE),"")</f>
        <v>6176</v>
      </c>
      <c r="AM176" s="49" t="str">
        <f>LEFT(TArticle[[#This Row],[تاریخ]],7)</f>
        <v>1401-08</v>
      </c>
    </row>
    <row r="177" spans="1:39" hidden="1" x14ac:dyDescent="0.25">
      <c r="A177" s="24" t="s">
        <v>55</v>
      </c>
      <c r="B177" s="49" t="str">
        <f>VLOOKUP(TArticle[[#This Row],[شناسه]],TAccount[],2,TRUE)</f>
        <v>هزینه کلی</v>
      </c>
      <c r="C177" s="49" t="str">
        <f>VLOOKUP(TArticle[[#This Row],[تاریخ]],TDays[],7,FALSE)</f>
        <v>یکشنبه</v>
      </c>
      <c r="D177" s="21" t="s">
        <v>414</v>
      </c>
      <c r="E177" s="1">
        <f>4475-6206</f>
        <v>-1731</v>
      </c>
      <c r="F177" s="1">
        <f>TArticle[[#This Row],[مبلغ]]+IFERROR(INT(F176),30181+3667+958)</f>
        <v>30714</v>
      </c>
      <c r="K177" s="21">
        <v>1</v>
      </c>
      <c r="L177" t="str">
        <f>IF(TArticle[[#This Row],[کد وضعیت سند]]&gt;0,VLOOKUP(TArticle[[#This Row],[کد وضعیت سند]],TDocState[],2,FALSE),"")</f>
        <v>انجام شد</v>
      </c>
      <c r="N177" t="str">
        <f>IF(TArticle[[#This Row],[کد طرف حساب]]&gt;0,VLOOKUP(TArticle[[#This Row],[کد طرف حساب]],TContact[],2,FALSE),"")</f>
        <v/>
      </c>
      <c r="O177" s="61" t="str">
        <f>IF(TArticle[[#This Row],[کد طرف حساب]]&gt;0,VLOOKUP(TArticle[[#This Row],[کد طرف حساب]],TContact[],7,FALSE)-SUMIF($M$2:M177,M177,$E$2:$E177),"")</f>
        <v/>
      </c>
      <c r="P177" s="27" t="str">
        <f>RIGHT(TArticle[[#This Row],[تاریخ]],2)</f>
        <v>01</v>
      </c>
      <c r="Q177" s="27">
        <f>VLOOKUP(TArticle[[#This Row],[تاریخ]],TDays[],16,FALSE)</f>
        <v>32</v>
      </c>
      <c r="R177" s="27" t="str">
        <f>RIGHT(LEFT(TArticle[[#This Row],[تاریخ]],7),2)</f>
        <v>08</v>
      </c>
      <c r="S177" s="27" t="str">
        <f>LEFT(TArticle[[#This Row],[تاریخ]],4)</f>
        <v>1401</v>
      </c>
      <c r="U177" s="21">
        <f>VLOOKUP(TArticle[[#This Row],[شناسه]],TAccount[],7,TRUE)</f>
        <v>364074</v>
      </c>
      <c r="W177" s="21">
        <f>IF(AND(TArticle[[#This Row],[مبلغ]]&gt;0, TArticle[[#This Row],[کد وضعیت سند]]=1),TArticle[[#This Row],[مبلغ]],0)</f>
        <v>0</v>
      </c>
      <c r="X177" s="27">
        <f>IF(AND(TArticle[[#This Row],[مبلغ]]&lt;0,TArticle[[#This Row],[کد وضعیت سند]]=1),0-TArticle[[#This Row],[مبلغ]],0)</f>
        <v>1731</v>
      </c>
      <c r="Y177" s="27">
        <v>16</v>
      </c>
      <c r="Z177" t="str">
        <f>IF(TArticle[[#This Row],[کد بانک]]&gt;0,VLOOKUP(TArticle[[#This Row],[کد بانک]],TBank[],2,FALSE),"")</f>
        <v>مهرایران</v>
      </c>
      <c r="AA177">
        <f>IF(AND(TArticle[[#This Row],[مبلغ]]&lt;0,TArticle[[#This Row],[کد وضعیت سند]]=1),0-TArticle[[#This Row],[مبلغ]],0)</f>
        <v>1731</v>
      </c>
      <c r="AB177">
        <f>IF(AND(TArticle[[#This Row],[مبلغ]]&gt;0, TArticle[[#This Row],[کد وضعیت سند]]=1),TArticle[[#This Row],[مبلغ]],0)</f>
        <v>0</v>
      </c>
      <c r="AC177" s="84">
        <f>IF(TArticle[[#This Row],[کد بانک]]&gt;0,VLOOKUP(TArticle[[#This Row],[کد بانک]],TBank[],9,FALSE)+SUMIF($Y$2:Y177,Y177,$E$2:$E177),"")</f>
        <v>4475</v>
      </c>
      <c r="AD177" s="1">
        <f>IFERROR(IF(INT(LEFT(TArticle[[#This Row],[شناسه]]))=3,IF(TArticle[[#This Row],[کد وضعیت سند]]=1,TArticle[مبلغ],0),0),0)</f>
        <v>-1731</v>
      </c>
      <c r="AE177" s="1">
        <f>IFERROR(IF(((TArticle[[#This Row],[شناسه]]))="4.1.1",IF(TArticle[[#This Row],[کد وضعیت سند]]=1,TArticle[مبلغ],0),0),0)</f>
        <v>0</v>
      </c>
      <c r="AF177" s="1">
        <f>IFERROR(IF(((TArticle[[#This Row],[شناسه]]))="4.1.2",IF(TArticle[[#This Row],[کد وضعیت سند]]=1,TArticle[مبلغ],0),0),0)</f>
        <v>0</v>
      </c>
      <c r="AG177" s="1">
        <f>IFERROR(IF(INT(LEFT(TArticle[[#This Row],[شناسه]]))=1,IF(TArticle[[#This Row],[کد وضعیت سند]]=1,TArticle[مبلغ],0),0),0)</f>
        <v>0</v>
      </c>
      <c r="AH177" s="1">
        <f>IFERROR(IF(INT(LEFT(TArticle[[#This Row],[شناسه]]))=2,IF(TArticle[[#This Row],[کد وضعیت سند]]=1,TArticle[مبلغ],0),0),0)</f>
        <v>0</v>
      </c>
      <c r="AI177" s="1">
        <f>IFERROR(IF((LEFT(TArticle[[#This Row],[شناسه]],3))="5.2",IF(TArticle[[#This Row],[کد وضعیت سند]]=1,TArticle[مبلغ],0),0),0)</f>
        <v>0</v>
      </c>
      <c r="AJ177" s="1">
        <f>IF(TArticle[[#This Row],[کد وضعیت سند]]=1,1,0)</f>
        <v>1</v>
      </c>
      <c r="AK177" s="1">
        <f>IF(AND(TArticle[[#This Row],[کد وضعیت سند]]&lt;&gt;1,TArticle[[#This Row],[مبلغ]]&lt;&gt;0),1,0)</f>
        <v>0</v>
      </c>
      <c r="AL177" s="51">
        <f>IF(TArticle[[#This Row],[کد بانک]]&gt;0,TArticle[[#This Row],[مانده بانک]]-VLOOKUP(TArticle[[#This Row],[کد بانک]],TBank[],7,FALSE),"")</f>
        <v>4445</v>
      </c>
      <c r="AM177" s="49" t="str">
        <f>LEFT(TArticle[[#This Row],[تاریخ]],7)</f>
        <v>1401-08</v>
      </c>
    </row>
    <row r="178" spans="1:39" hidden="1" x14ac:dyDescent="0.25">
      <c r="A178" s="24" t="s">
        <v>1110</v>
      </c>
      <c r="B178" s="49" t="str">
        <f>VLOOKUP(TArticle[[#This Row],[شناسه]],TAccount[],2,TRUE)</f>
        <v>قسط وام بانکی</v>
      </c>
      <c r="C178" s="49" t="str">
        <f>VLOOKUP(TArticle[[#This Row],[تاریخ]],TDays[],7,FALSE)</f>
        <v>دوشنبه</v>
      </c>
      <c r="D178" s="21" t="s">
        <v>415</v>
      </c>
      <c r="E178" s="1">
        <v>-278</v>
      </c>
      <c r="F178" s="1">
        <f>TArticle[[#This Row],[مبلغ]]+IFERROR(INT(F177),30181+3667+958)</f>
        <v>30436</v>
      </c>
      <c r="G178" t="s">
        <v>1109</v>
      </c>
      <c r="H178" s="21">
        <v>34</v>
      </c>
      <c r="K178" s="21">
        <v>1</v>
      </c>
      <c r="L178" t="str">
        <f>IF(TArticle[[#This Row],[کد وضعیت سند]]&gt;0,VLOOKUP(TArticle[[#This Row],[کد وضعیت سند]],TDocState[],2,FALSE),"")</f>
        <v>انجام شد</v>
      </c>
      <c r="M178" s="27">
        <v>104</v>
      </c>
      <c r="N178" t="str">
        <f>IF(TArticle[[#This Row],[کد طرف حساب]]&gt;0,VLOOKUP(TArticle[[#This Row],[کد طرف حساب]],TContact[],2,FALSE),"")</f>
        <v>وام ملی ف</v>
      </c>
      <c r="O178" s="61">
        <f>IF(TArticle[[#This Row],[کد طرف حساب]]&gt;0,VLOOKUP(TArticle[[#This Row],[کد طرف حساب]],TContact[],7,FALSE)-SUMIF($M$2:M178,M178,$E$2:$E178),"")</f>
        <v>-548</v>
      </c>
      <c r="P178" s="27" t="str">
        <f>RIGHT(TArticle[[#This Row],[تاریخ]],2)</f>
        <v>02</v>
      </c>
      <c r="Q178" s="27">
        <f>VLOOKUP(TArticle[[#This Row],[تاریخ]],TDays[],16,FALSE)</f>
        <v>32</v>
      </c>
      <c r="R178" s="27" t="str">
        <f>RIGHT(LEFT(TArticle[[#This Row],[تاریخ]],7),2)</f>
        <v>08</v>
      </c>
      <c r="S178" s="27" t="str">
        <f>LEFT(TArticle[[#This Row],[تاریخ]],4)</f>
        <v>1401</v>
      </c>
      <c r="U178" s="21">
        <f>VLOOKUP(TArticle[[#This Row],[شناسه]],TAccount[],7,TRUE)</f>
        <v>81652</v>
      </c>
      <c r="V178" s="21" t="s">
        <v>395</v>
      </c>
      <c r="W178" s="21">
        <f>IF(AND(TArticle[[#This Row],[مبلغ]]&gt;0, TArticle[[#This Row],[کد وضعیت سند]]=1),TArticle[[#This Row],[مبلغ]],0)</f>
        <v>0</v>
      </c>
      <c r="X178" s="27">
        <f>IF(AND(TArticle[[#This Row],[مبلغ]]&lt;0,TArticle[[#This Row],[کد وضعیت سند]]=1),0-TArticle[[#This Row],[مبلغ]],0)</f>
        <v>278</v>
      </c>
      <c r="Y178" s="27">
        <v>2</v>
      </c>
      <c r="Z178" t="str">
        <f>IF(TArticle[[#This Row],[کد بانک]]&gt;0,VLOOKUP(TArticle[[#This Row],[کد بانک]],TBank[],2,FALSE),"")</f>
        <v>ملی جاری</v>
      </c>
      <c r="AA178">
        <f>IF(AND(TArticle[[#This Row],[مبلغ]]&lt;0,TArticle[[#This Row],[کد وضعیت سند]]=1),0-TArticle[[#This Row],[مبلغ]],0)</f>
        <v>278</v>
      </c>
      <c r="AB178">
        <f>IF(AND(TArticle[[#This Row],[مبلغ]]&gt;0, TArticle[[#This Row],[کد وضعیت سند]]=1),TArticle[[#This Row],[مبلغ]],0)</f>
        <v>0</v>
      </c>
      <c r="AC178" s="84">
        <f>IF(TArticle[[#This Row],[کد بانک]]&gt;0,VLOOKUP(TArticle[[#This Row],[کد بانک]],TBank[],9,FALSE)+SUMIF($Y$2:Y178,Y178,$E$2:$E178),"")</f>
        <v>20038</v>
      </c>
      <c r="AD178" s="1">
        <f>IFERROR(IF(INT(LEFT(TArticle[[#This Row],[شناسه]]))=3,IF(TArticle[[#This Row],[کد وضعیت سند]]=1,TArticle[مبلغ],0),0),0)</f>
        <v>0</v>
      </c>
      <c r="AE178" s="1">
        <f>IFERROR(IF(((TArticle[[#This Row],[شناسه]]))="4.1.1",IF(TArticle[[#This Row],[کد وضعیت سند]]=1,TArticle[مبلغ],0),0),0)</f>
        <v>0</v>
      </c>
      <c r="AF178" s="1">
        <f>IFERROR(IF(((TArticle[[#This Row],[شناسه]]))="4.1.2",IF(TArticle[[#This Row],[کد وضعیت سند]]=1,TArticle[مبلغ],0),0),0)</f>
        <v>0</v>
      </c>
      <c r="AG178" s="1">
        <f>IFERROR(IF(INT(LEFT(TArticle[[#This Row],[شناسه]]))=1,IF(TArticle[[#This Row],[کد وضعیت سند]]=1,TArticle[مبلغ],0),0),0)</f>
        <v>-278</v>
      </c>
      <c r="AH178" s="1">
        <f>IFERROR(IF(INT(LEFT(TArticle[[#This Row],[شناسه]]))=2,IF(TArticle[[#This Row],[کد وضعیت سند]]=1,TArticle[مبلغ],0),0),0)</f>
        <v>0</v>
      </c>
      <c r="AI178" s="1">
        <f>IFERROR(IF((LEFT(TArticle[[#This Row],[شناسه]],3))="5.2",IF(TArticle[[#This Row],[کد وضعیت سند]]=1,TArticle[مبلغ],0),0),0)</f>
        <v>0</v>
      </c>
      <c r="AJ178" s="1">
        <f>IF(TArticle[[#This Row],[کد وضعیت سند]]=1,1,0)</f>
        <v>1</v>
      </c>
      <c r="AK178" s="1">
        <f>IF(AND(TArticle[[#This Row],[کد وضعیت سند]]&lt;&gt;1,TArticle[[#This Row],[مبلغ]]&lt;&gt;0),1,0)</f>
        <v>0</v>
      </c>
      <c r="AL178" s="51">
        <f>IF(TArticle[[#This Row],[کد بانک]]&gt;0,TArticle[[#This Row],[مانده بانک]]-VLOOKUP(TArticle[[#This Row],[کد بانک]],TBank[],7,FALSE),"")</f>
        <v>20038</v>
      </c>
      <c r="AM178" s="58" t="str">
        <f>LEFT(TArticle[[#This Row],[تاریخ]],7)</f>
        <v>1401-08</v>
      </c>
    </row>
    <row r="179" spans="1:39" hidden="1" x14ac:dyDescent="0.25">
      <c r="A179" s="24" t="s">
        <v>1107</v>
      </c>
      <c r="B179" s="49" t="str">
        <f>VLOOKUP(TArticle[[#This Row],[شناسه]],TAccount[],2,TRUE)</f>
        <v>سود وام</v>
      </c>
      <c r="C179" s="49" t="str">
        <f>VLOOKUP(TArticle[[#This Row],[تاریخ]],TDays[],7,FALSE)</f>
        <v>دوشنبه</v>
      </c>
      <c r="D179" s="21" t="s">
        <v>415</v>
      </c>
      <c r="E179" s="1">
        <v>-83</v>
      </c>
      <c r="F179" s="1">
        <f>TArticle[[#This Row],[مبلغ]]+IFERROR(INT(F178),30181+3667+958)</f>
        <v>30353</v>
      </c>
      <c r="G179" t="s">
        <v>1109</v>
      </c>
      <c r="H179" s="21">
        <v>34</v>
      </c>
      <c r="K179" s="21">
        <v>1</v>
      </c>
      <c r="L179" t="str">
        <f>IF(TArticle[[#This Row],[کد وضعیت سند]]&gt;0,VLOOKUP(TArticle[[#This Row],[کد وضعیت سند]],TDocState[],2,FALSE),"")</f>
        <v>انجام شد</v>
      </c>
      <c r="M179" s="27">
        <v>104.1</v>
      </c>
      <c r="N179" t="str">
        <f>IF(TArticle[[#This Row],[کد طرف حساب]]&gt;0,VLOOKUP(TArticle[[#This Row],[کد طرف حساب]],TContact[],2,FALSE),"")</f>
        <v>وام ملی ف - سود</v>
      </c>
      <c r="O179" s="61">
        <f>IF(TArticle[[#This Row],[کد طرف حساب]]&gt;0,VLOOKUP(TArticle[[#This Row],[کد طرف حساب]],TContact[],7,FALSE)-SUMIF($M$2:M179,M179,$E$2:$E179),"")</f>
        <v>-77</v>
      </c>
      <c r="P179" s="27" t="str">
        <f>RIGHT(TArticle[[#This Row],[تاریخ]],2)</f>
        <v>02</v>
      </c>
      <c r="Q179" s="27">
        <f>VLOOKUP(TArticle[[#This Row],[تاریخ]],TDays[],16,FALSE)</f>
        <v>32</v>
      </c>
      <c r="R179" s="27" t="str">
        <f>RIGHT(LEFT(TArticle[[#This Row],[تاریخ]],7),2)</f>
        <v>08</v>
      </c>
      <c r="S179" s="27" t="str">
        <f>LEFT(TArticle[[#This Row],[تاریخ]],4)</f>
        <v>1401</v>
      </c>
      <c r="U179" s="21">
        <f>VLOOKUP(TArticle[[#This Row],[شناسه]],TAccount[],7,TRUE)</f>
        <v>9163</v>
      </c>
      <c r="V179" s="21" t="s">
        <v>395</v>
      </c>
      <c r="W179" s="21">
        <f>IF(AND(TArticle[[#This Row],[مبلغ]]&gt;0, TArticle[[#This Row],[کد وضعیت سند]]=1),TArticle[[#This Row],[مبلغ]],0)</f>
        <v>0</v>
      </c>
      <c r="X179" s="27">
        <f>IF(AND(TArticle[[#This Row],[مبلغ]]&lt;0,TArticle[[#This Row],[کد وضعیت سند]]=1),0-TArticle[[#This Row],[مبلغ]],0)</f>
        <v>83</v>
      </c>
      <c r="Y179" s="27">
        <v>2</v>
      </c>
      <c r="Z179" t="str">
        <f>IF(TArticle[[#This Row],[کد بانک]]&gt;0,VLOOKUP(TArticle[[#This Row],[کد بانک]],TBank[],2,FALSE),"")</f>
        <v>ملی جاری</v>
      </c>
      <c r="AA179">
        <f>IF(AND(TArticle[[#This Row],[مبلغ]]&lt;0,TArticle[[#This Row],[کد وضعیت سند]]=1),0-TArticle[[#This Row],[مبلغ]],0)</f>
        <v>83</v>
      </c>
      <c r="AB179">
        <f>IF(AND(TArticle[[#This Row],[مبلغ]]&gt;0, TArticle[[#This Row],[کد وضعیت سند]]=1),TArticle[[#This Row],[مبلغ]],0)</f>
        <v>0</v>
      </c>
      <c r="AC179" s="84">
        <f>IF(TArticle[[#This Row],[کد بانک]]&gt;0,VLOOKUP(TArticle[[#This Row],[کد بانک]],TBank[],9,FALSE)+SUMIF($Y$2:Y179,Y179,$E$2:$E179),"")</f>
        <v>19955</v>
      </c>
      <c r="AD179" s="1">
        <f>IFERROR(IF(INT(LEFT(TArticle[[#This Row],[شناسه]]))=3,IF(TArticle[[#This Row],[کد وضعیت سند]]=1,TArticle[مبلغ],0),0),0)</f>
        <v>-83</v>
      </c>
      <c r="AE179" s="1">
        <f>IFERROR(IF(((TArticle[[#This Row],[شناسه]]))="4.1.1",IF(TArticle[[#This Row],[کد وضعیت سند]]=1,TArticle[مبلغ],0),0),0)</f>
        <v>0</v>
      </c>
      <c r="AF179" s="1">
        <f>IFERROR(IF(((TArticle[[#This Row],[شناسه]]))="4.1.2",IF(TArticle[[#This Row],[کد وضعیت سند]]=1,TArticle[مبلغ],0),0),0)</f>
        <v>0</v>
      </c>
      <c r="AG179" s="1">
        <f>IFERROR(IF(INT(LEFT(TArticle[[#This Row],[شناسه]]))=1,IF(TArticle[[#This Row],[کد وضعیت سند]]=1,TArticle[مبلغ],0),0),0)</f>
        <v>0</v>
      </c>
      <c r="AH179" s="1">
        <f>IFERROR(IF(INT(LEFT(TArticle[[#This Row],[شناسه]]))=2,IF(TArticle[[#This Row],[کد وضعیت سند]]=1,TArticle[مبلغ],0),0),0)</f>
        <v>0</v>
      </c>
      <c r="AI179" s="1">
        <f>IFERROR(IF((LEFT(TArticle[[#This Row],[شناسه]],3))="5.2",IF(TArticle[[#This Row],[کد وضعیت سند]]=1,TArticle[مبلغ],0),0),0)</f>
        <v>0</v>
      </c>
      <c r="AJ179" s="1">
        <f>IF(TArticle[[#This Row],[کد وضعیت سند]]=1,1,0)</f>
        <v>1</v>
      </c>
      <c r="AK179" s="1">
        <f>IF(AND(TArticle[[#This Row],[کد وضعیت سند]]&lt;&gt;1,TArticle[[#This Row],[مبلغ]]&lt;&gt;0),1,0)</f>
        <v>0</v>
      </c>
      <c r="AL179" s="51">
        <f>IF(TArticle[[#This Row],[کد بانک]]&gt;0,TArticle[[#This Row],[مانده بانک]]-VLOOKUP(TArticle[[#This Row],[کد بانک]],TBank[],7,FALSE),"")</f>
        <v>19955</v>
      </c>
      <c r="AM179" s="58" t="str">
        <f>LEFT(TArticle[[#This Row],[تاریخ]],7)</f>
        <v>1401-08</v>
      </c>
    </row>
    <row r="180" spans="1:39" hidden="1" x14ac:dyDescent="0.25">
      <c r="A180" s="24" t="s">
        <v>1008</v>
      </c>
      <c r="B180" s="49" t="str">
        <f>VLOOKUP(TArticle[[#This Row],[شناسه]],TAccount[],2,TRUE)</f>
        <v>حواله پرداخت/برداشت</v>
      </c>
      <c r="C180" s="49" t="str">
        <f>VLOOKUP(TArticle[[#This Row],[تاریخ]],TDays[],7,FALSE)</f>
        <v>دوشنبه</v>
      </c>
      <c r="D180" s="21" t="s">
        <v>415</v>
      </c>
      <c r="E180" s="1">
        <v>-17000</v>
      </c>
      <c r="F180" s="1">
        <f>TArticle[[#This Row],[مبلغ]]+IFERROR(INT(F179),30181+3667+958)</f>
        <v>13353</v>
      </c>
      <c r="K180" s="21">
        <v>1</v>
      </c>
      <c r="L180" t="str">
        <f>IF(TArticle[[#This Row],[کد وضعیت سند]]&gt;0,VLOOKUP(TArticle[[#This Row],[کد وضعیت سند]],TDocState[],2,FALSE),"")</f>
        <v>انجام شد</v>
      </c>
      <c r="N180" t="str">
        <f>IF(TArticle[[#This Row],[کد طرف حساب]]&gt;0,VLOOKUP(TArticle[[#This Row],[کد طرف حساب]],TContact[],2,FALSE),"")</f>
        <v/>
      </c>
      <c r="O180" s="61" t="str">
        <f>IF(TArticle[[#This Row],[کد طرف حساب]]&gt;0,VLOOKUP(TArticle[[#This Row],[کد طرف حساب]],TContact[],7,FALSE)-SUMIF($M$2:M180,M180,$E$2:$E180),"")</f>
        <v/>
      </c>
      <c r="P180" s="27" t="str">
        <f>RIGHT(TArticle[[#This Row],[تاریخ]],2)</f>
        <v>02</v>
      </c>
      <c r="Q180" s="27">
        <f>VLOOKUP(TArticle[[#This Row],[تاریخ]],TDays[],16,FALSE)</f>
        <v>32</v>
      </c>
      <c r="R180" s="27" t="str">
        <f>RIGHT(LEFT(TArticle[[#This Row],[تاریخ]],7),2)</f>
        <v>08</v>
      </c>
      <c r="S180" s="27" t="str">
        <f>LEFT(TArticle[[#This Row],[تاریخ]],4)</f>
        <v>1401</v>
      </c>
      <c r="U180" s="21">
        <f>VLOOKUP(TArticle[[#This Row],[شناسه]],TAccount[],7,TRUE)</f>
        <v>179525</v>
      </c>
      <c r="W180" s="21">
        <f>IF(AND(TArticle[[#This Row],[مبلغ]]&gt;0, TArticle[[#This Row],[کد وضعیت سند]]=1),TArticle[[#This Row],[مبلغ]],0)</f>
        <v>0</v>
      </c>
      <c r="X180" s="27">
        <f>IF(AND(TArticle[[#This Row],[مبلغ]]&lt;0,TArticle[[#This Row],[کد وضعیت سند]]=1),0-TArticle[[#This Row],[مبلغ]],0)</f>
        <v>17000</v>
      </c>
      <c r="Y180" s="27">
        <v>2</v>
      </c>
      <c r="Z180" t="str">
        <f>IF(TArticle[[#This Row],[کد بانک]]&gt;0,VLOOKUP(TArticle[[#This Row],[کد بانک]],TBank[],2,FALSE),"")</f>
        <v>ملی جاری</v>
      </c>
      <c r="AA180">
        <f>IF(AND(TArticle[[#This Row],[مبلغ]]&lt;0,TArticle[[#This Row],[کد وضعیت سند]]=1),0-TArticle[[#This Row],[مبلغ]],0)</f>
        <v>17000</v>
      </c>
      <c r="AB180">
        <f>IF(AND(TArticle[[#This Row],[مبلغ]]&gt;0, TArticle[[#This Row],[کد وضعیت سند]]=1),TArticle[[#This Row],[مبلغ]],0)</f>
        <v>0</v>
      </c>
      <c r="AC180" s="84">
        <f>IF(TArticle[[#This Row],[کد بانک]]&gt;0,VLOOKUP(TArticle[[#This Row],[کد بانک]],TBank[],9,FALSE)+SUMIF($Y$2:Y180,Y180,$E$2:$E180),"")</f>
        <v>2955</v>
      </c>
      <c r="AD180" s="1">
        <f>IFERROR(IF(INT(LEFT(TArticle[[#This Row],[شناسه]]))=3,IF(TArticle[[#This Row],[کد وضعیت سند]]=1,TArticle[مبلغ],0),0),0)</f>
        <v>0</v>
      </c>
      <c r="AE180" s="1">
        <f>IFERROR(IF(((TArticle[[#This Row],[شناسه]]))="4.1.1",IF(TArticle[[#This Row],[کد وضعیت سند]]=1,TArticle[مبلغ],0),0),0)</f>
        <v>0</v>
      </c>
      <c r="AF180" s="1">
        <f>IFERROR(IF(((TArticle[[#This Row],[شناسه]]))="4.1.2",IF(TArticle[[#This Row],[کد وضعیت سند]]=1,TArticle[مبلغ],0),0),0)</f>
        <v>0</v>
      </c>
      <c r="AG180" s="1">
        <f>IFERROR(IF(INT(LEFT(TArticle[[#This Row],[شناسه]]))=1,IF(TArticle[[#This Row],[کد وضعیت سند]]=1,TArticle[مبلغ],0),0),0)</f>
        <v>0</v>
      </c>
      <c r="AH180" s="1">
        <f>IFERROR(IF(INT(LEFT(TArticle[[#This Row],[شناسه]]))=2,IF(TArticle[[#This Row],[کد وضعیت سند]]=1,TArticle[مبلغ],0),0),0)</f>
        <v>0</v>
      </c>
      <c r="AI180" s="1">
        <f>IFERROR(IF((LEFT(TArticle[[#This Row],[شناسه]],3))="5.2",IF(TArticle[[#This Row],[کد وضعیت سند]]=1,TArticle[مبلغ],0),0),0)</f>
        <v>0</v>
      </c>
      <c r="AJ180" s="1">
        <f>IF(TArticle[[#This Row],[کد وضعیت سند]]=1,1,0)</f>
        <v>1</v>
      </c>
      <c r="AK180" s="1">
        <f>IF(AND(TArticle[[#This Row],[کد وضعیت سند]]&lt;&gt;1,TArticle[[#This Row],[مبلغ]]&lt;&gt;0),1,0)</f>
        <v>0</v>
      </c>
      <c r="AL180" s="51">
        <f>IF(TArticle[[#This Row],[کد بانک]]&gt;0,TArticle[[#This Row],[مانده بانک]]-VLOOKUP(TArticle[[#This Row],[کد بانک]],TBank[],7,FALSE),"")</f>
        <v>2955</v>
      </c>
      <c r="AM180" s="49" t="str">
        <f>LEFT(TArticle[[#This Row],[تاریخ]],7)</f>
        <v>1401-08</v>
      </c>
    </row>
    <row r="181" spans="1:39" hidden="1" x14ac:dyDescent="0.25">
      <c r="A181" s="24" t="s">
        <v>112</v>
      </c>
      <c r="B181" s="49" t="str">
        <f>VLOOKUP(TArticle[[#This Row],[شناسه]],TAccount[],2,TRUE)</f>
        <v>رسید دریافت/واریز</v>
      </c>
      <c r="C181" s="49" t="str">
        <f>VLOOKUP(TArticle[[#This Row],[تاریخ]],TDays[],7,FALSE)</f>
        <v>دوشنبه</v>
      </c>
      <c r="D181" s="21" t="s">
        <v>415</v>
      </c>
      <c r="E181" s="1">
        <v>17000</v>
      </c>
      <c r="F181" s="1">
        <f>TArticle[[#This Row],[مبلغ]]+IFERROR(INT(F180),30181+3667+958)</f>
        <v>30353</v>
      </c>
      <c r="K181" s="21">
        <v>1</v>
      </c>
      <c r="L181" t="str">
        <f>IF(TArticle[[#This Row],[کد وضعیت سند]]&gt;0,VLOOKUP(TArticle[[#This Row],[کد وضعیت سند]],TDocState[],2,FALSE),"")</f>
        <v>انجام شد</v>
      </c>
      <c r="N181" t="str">
        <f>IF(TArticle[[#This Row],[کد طرف حساب]]&gt;0,VLOOKUP(TArticle[[#This Row],[کد طرف حساب]],TContact[],2,FALSE),"")</f>
        <v/>
      </c>
      <c r="O181" s="61" t="str">
        <f>IF(TArticle[[#This Row],[کد طرف حساب]]&gt;0,VLOOKUP(TArticle[[#This Row],[کد طرف حساب]],TContact[],7,FALSE)-SUMIF($M$2:M181,M181,$E$2:$E181),"")</f>
        <v/>
      </c>
      <c r="P181" s="27" t="str">
        <f>RIGHT(TArticle[[#This Row],[تاریخ]],2)</f>
        <v>02</v>
      </c>
      <c r="Q181" s="27">
        <f>VLOOKUP(TArticle[[#This Row],[تاریخ]],TDays[],16,FALSE)</f>
        <v>32</v>
      </c>
      <c r="R181" s="27" t="str">
        <f>RIGHT(LEFT(TArticle[[#This Row],[تاریخ]],7),2)</f>
        <v>08</v>
      </c>
      <c r="S181" s="27" t="str">
        <f>LEFT(TArticle[[#This Row],[تاریخ]],4)</f>
        <v>1401</v>
      </c>
      <c r="U181" s="21">
        <f>VLOOKUP(TArticle[[#This Row],[شناسه]],TAccount[],7,TRUE)</f>
        <v>257767</v>
      </c>
      <c r="W181" s="21">
        <f>IF(AND(TArticle[[#This Row],[مبلغ]]&gt;0, TArticle[[#This Row],[کد وضعیت سند]]=1),TArticle[[#This Row],[مبلغ]],0)</f>
        <v>17000</v>
      </c>
      <c r="X181" s="27">
        <f>IF(AND(TArticle[[#This Row],[مبلغ]]&lt;0,TArticle[[#This Row],[کد وضعیت سند]]=1),0-TArticle[[#This Row],[مبلغ]],0)</f>
        <v>0</v>
      </c>
      <c r="Y181" s="27">
        <v>4</v>
      </c>
      <c r="Z181" t="str">
        <f>IF(TArticle[[#This Row],[کد بانک]]&gt;0,VLOOKUP(TArticle[[#This Row],[کد بانک]],TBank[],2,FALSE),"")</f>
        <v>سپه</v>
      </c>
      <c r="AA181">
        <f>IF(AND(TArticle[[#This Row],[مبلغ]]&lt;0,TArticle[[#This Row],[کد وضعیت سند]]=1),0-TArticle[[#This Row],[مبلغ]],0)</f>
        <v>0</v>
      </c>
      <c r="AB181">
        <f>IF(AND(TArticle[[#This Row],[مبلغ]]&gt;0, TArticle[[#This Row],[کد وضعیت سند]]=1),TArticle[[#This Row],[مبلغ]],0)</f>
        <v>17000</v>
      </c>
      <c r="AC181" s="84">
        <f>IF(TArticle[[#This Row],[کد بانک]]&gt;0,VLOOKUP(TArticle[[#This Row],[کد بانک]],TBank[],9,FALSE)+SUMIF($Y$2:Y181,Y181,$E$2:$E181),"")</f>
        <v>17002</v>
      </c>
      <c r="AD181" s="1">
        <f>IFERROR(IF(INT(LEFT(TArticle[[#This Row],[شناسه]]))=3,IF(TArticle[[#This Row],[کد وضعیت سند]]=1,TArticle[مبلغ],0),0),0)</f>
        <v>0</v>
      </c>
      <c r="AE181" s="1">
        <f>IFERROR(IF(((TArticle[[#This Row],[شناسه]]))="4.1.1",IF(TArticle[[#This Row],[کد وضعیت سند]]=1,TArticle[مبلغ],0),0),0)</f>
        <v>0</v>
      </c>
      <c r="AF181" s="1">
        <f>IFERROR(IF(((TArticle[[#This Row],[شناسه]]))="4.1.2",IF(TArticle[[#This Row],[کد وضعیت سند]]=1,TArticle[مبلغ],0),0),0)</f>
        <v>0</v>
      </c>
      <c r="AG181" s="1">
        <f>IFERROR(IF(INT(LEFT(TArticle[[#This Row],[شناسه]]))=1,IF(TArticle[[#This Row],[کد وضعیت سند]]=1,TArticle[مبلغ],0),0),0)</f>
        <v>0</v>
      </c>
      <c r="AH181" s="1">
        <f>IFERROR(IF(INT(LEFT(TArticle[[#This Row],[شناسه]]))=2,IF(TArticle[[#This Row],[کد وضعیت سند]]=1,TArticle[مبلغ],0),0),0)</f>
        <v>0</v>
      </c>
      <c r="AI181" s="1">
        <f>IFERROR(IF((LEFT(TArticle[[#This Row],[شناسه]],3))="5.2",IF(TArticle[[#This Row],[کد وضعیت سند]]=1,TArticle[مبلغ],0),0),0)</f>
        <v>0</v>
      </c>
      <c r="AJ181" s="1">
        <f>IF(TArticle[[#This Row],[کد وضعیت سند]]=1,1,0)</f>
        <v>1</v>
      </c>
      <c r="AK181" s="1">
        <f>IF(AND(TArticle[[#This Row],[کد وضعیت سند]]&lt;&gt;1,TArticle[[#This Row],[مبلغ]]&lt;&gt;0),1,0)</f>
        <v>0</v>
      </c>
      <c r="AL181" s="51">
        <f>IF(TArticle[[#This Row],[کد بانک]]&gt;0,TArticle[[#This Row],[مانده بانک]]-VLOOKUP(TArticle[[#This Row],[کد بانک]],TBank[],7,FALSE),"")</f>
        <v>17000</v>
      </c>
      <c r="AM181" s="49" t="str">
        <f>LEFT(TArticle[[#This Row],[تاریخ]],7)</f>
        <v>1401-08</v>
      </c>
    </row>
    <row r="182" spans="1:39" hidden="1" x14ac:dyDescent="0.25">
      <c r="A182" s="24" t="s">
        <v>55</v>
      </c>
      <c r="B182" s="49" t="str">
        <f>VLOOKUP(TArticle[[#This Row],[شناسه]],TAccount[],2,TRUE)</f>
        <v>هزینه کلی</v>
      </c>
      <c r="C182" s="49" t="str">
        <f>VLOOKUP(TArticle[[#This Row],[تاریخ]],TDays[],7,FALSE)</f>
        <v>دوشنبه</v>
      </c>
      <c r="D182" s="21" t="s">
        <v>415</v>
      </c>
      <c r="E182" s="1">
        <f>760-2955</f>
        <v>-2195</v>
      </c>
      <c r="F182" s="1">
        <f>TArticle[[#This Row],[مبلغ]]+IFERROR(INT(F181),30181+3667+958)</f>
        <v>28158</v>
      </c>
      <c r="K182" s="21">
        <v>1</v>
      </c>
      <c r="L182" t="str">
        <f>IF(TArticle[[#This Row],[کد وضعیت سند]]&gt;0,VLOOKUP(TArticle[[#This Row],[کد وضعیت سند]],TDocState[],2,FALSE),"")</f>
        <v>انجام شد</v>
      </c>
      <c r="N182" t="str">
        <f>IF(TArticle[[#This Row],[کد طرف حساب]]&gt;0,VLOOKUP(TArticle[[#This Row],[کد طرف حساب]],TContact[],2,FALSE),"")</f>
        <v/>
      </c>
      <c r="O182" s="61" t="str">
        <f>IF(TArticle[[#This Row],[کد طرف حساب]]&gt;0,VLOOKUP(TArticle[[#This Row],[کد طرف حساب]],TContact[],7,FALSE)-SUMIF($M$2:M182,M182,$E$2:$E182),"")</f>
        <v/>
      </c>
      <c r="P182" s="27" t="str">
        <f>RIGHT(TArticle[[#This Row],[تاریخ]],2)</f>
        <v>02</v>
      </c>
      <c r="Q182" s="27">
        <f>VLOOKUP(TArticle[[#This Row],[تاریخ]],TDays[],16,FALSE)</f>
        <v>32</v>
      </c>
      <c r="R182" s="27" t="str">
        <f>RIGHT(LEFT(TArticle[[#This Row],[تاریخ]],7),2)</f>
        <v>08</v>
      </c>
      <c r="S182" s="27" t="str">
        <f>LEFT(TArticle[[#This Row],[تاریخ]],4)</f>
        <v>1401</v>
      </c>
      <c r="U182" s="21">
        <f>VLOOKUP(TArticle[[#This Row],[شناسه]],TAccount[],7,TRUE)</f>
        <v>364074</v>
      </c>
      <c r="W182" s="21">
        <f>IF(AND(TArticle[[#This Row],[مبلغ]]&gt;0, TArticle[[#This Row],[کد وضعیت سند]]=1),TArticle[[#This Row],[مبلغ]],0)</f>
        <v>0</v>
      </c>
      <c r="X182" s="27">
        <f>IF(AND(TArticle[[#This Row],[مبلغ]]&lt;0,TArticle[[#This Row],[کد وضعیت سند]]=1),0-TArticle[[#This Row],[مبلغ]],0)</f>
        <v>2195</v>
      </c>
      <c r="Y182" s="27">
        <v>2</v>
      </c>
      <c r="Z182" t="str">
        <f>IF(TArticle[[#This Row],[کد بانک]]&gt;0,VLOOKUP(TArticle[[#This Row],[کد بانک]],TBank[],2,FALSE),"")</f>
        <v>ملی جاری</v>
      </c>
      <c r="AA182">
        <f>IF(AND(TArticle[[#This Row],[مبلغ]]&lt;0,TArticle[[#This Row],[کد وضعیت سند]]=1),0-TArticle[[#This Row],[مبلغ]],0)</f>
        <v>2195</v>
      </c>
      <c r="AB182">
        <f>IF(AND(TArticle[[#This Row],[مبلغ]]&gt;0, TArticle[[#This Row],[کد وضعیت سند]]=1),TArticle[[#This Row],[مبلغ]],0)</f>
        <v>0</v>
      </c>
      <c r="AC182" s="84">
        <f>IF(TArticle[[#This Row],[کد بانک]]&gt;0,VLOOKUP(TArticle[[#This Row],[کد بانک]],TBank[],9,FALSE)+SUMIF($Y$2:Y182,Y182,$E$2:$E182),"")</f>
        <v>760</v>
      </c>
      <c r="AD182" s="1">
        <f>IFERROR(IF(INT(LEFT(TArticle[[#This Row],[شناسه]]))=3,IF(TArticle[[#This Row],[کد وضعیت سند]]=1,TArticle[مبلغ],0),0),0)</f>
        <v>-2195</v>
      </c>
      <c r="AE182" s="1">
        <f>IFERROR(IF(((TArticle[[#This Row],[شناسه]]))="4.1.1",IF(TArticle[[#This Row],[کد وضعیت سند]]=1,TArticle[مبلغ],0),0),0)</f>
        <v>0</v>
      </c>
      <c r="AF182" s="1">
        <f>IFERROR(IF(((TArticle[[#This Row],[شناسه]]))="4.1.2",IF(TArticle[[#This Row],[کد وضعیت سند]]=1,TArticle[مبلغ],0),0),0)</f>
        <v>0</v>
      </c>
      <c r="AG182" s="1">
        <f>IFERROR(IF(INT(LEFT(TArticle[[#This Row],[شناسه]]))=1,IF(TArticle[[#This Row],[کد وضعیت سند]]=1,TArticle[مبلغ],0),0),0)</f>
        <v>0</v>
      </c>
      <c r="AH182" s="1">
        <f>IFERROR(IF(INT(LEFT(TArticle[[#This Row],[شناسه]]))=2,IF(TArticle[[#This Row],[کد وضعیت سند]]=1,TArticle[مبلغ],0),0),0)</f>
        <v>0</v>
      </c>
      <c r="AI182" s="1">
        <f>IFERROR(IF((LEFT(TArticle[[#This Row],[شناسه]],3))="5.2",IF(TArticle[[#This Row],[کد وضعیت سند]]=1,TArticle[مبلغ],0),0),0)</f>
        <v>0</v>
      </c>
      <c r="AJ182" s="1">
        <f>IF(TArticle[[#This Row],[کد وضعیت سند]]=1,1,0)</f>
        <v>1</v>
      </c>
      <c r="AK182" s="1">
        <f>IF(AND(TArticle[[#This Row],[کد وضعیت سند]]&lt;&gt;1,TArticle[[#This Row],[مبلغ]]&lt;&gt;0),1,0)</f>
        <v>0</v>
      </c>
      <c r="AL182" s="51">
        <f>IF(TArticle[[#This Row],[کد بانک]]&gt;0,TArticle[[#This Row],[مانده بانک]]-VLOOKUP(TArticle[[#This Row],[کد بانک]],TBank[],7,FALSE),"")</f>
        <v>760</v>
      </c>
      <c r="AM182" s="49" t="str">
        <f>LEFT(TArticle[[#This Row],[تاریخ]],7)</f>
        <v>1401-08</v>
      </c>
    </row>
    <row r="183" spans="1:39" hidden="1" x14ac:dyDescent="0.25">
      <c r="A183" s="24" t="s">
        <v>55</v>
      </c>
      <c r="B183" s="49" t="str">
        <f>VLOOKUP(TArticle[[#This Row],[شناسه]],TAccount[],2,TRUE)</f>
        <v>هزینه کلی</v>
      </c>
      <c r="C183" s="49" t="str">
        <f>VLOOKUP(TArticle[[#This Row],[تاریخ]],TDays[],7,FALSE)</f>
        <v>سه شنبه</v>
      </c>
      <c r="D183" s="21" t="s">
        <v>416</v>
      </c>
      <c r="E183" s="1">
        <v>-4800</v>
      </c>
      <c r="F183" s="1">
        <f>TArticle[[#This Row],[مبلغ]]+IFERROR(INT(F182),30181+3667+958)</f>
        <v>23358</v>
      </c>
      <c r="G183" t="s">
        <v>1670</v>
      </c>
      <c r="H183" s="64"/>
      <c r="J183" s="65"/>
      <c r="K183" s="49">
        <v>1</v>
      </c>
      <c r="L183" s="66" t="str">
        <f>IF(TArticle[[#This Row],[کد وضعیت سند]]&gt;0,VLOOKUP(TArticle[[#This Row],[کد وضعیت سند]],TDocState[],2,FALSE),"")</f>
        <v>انجام شد</v>
      </c>
      <c r="M183" s="67"/>
      <c r="N183" t="str">
        <f>IF(TArticle[[#This Row],[کد طرف حساب]]&gt;0,VLOOKUP(TArticle[[#This Row],[کد طرف حساب]],TContact[],2,FALSE),"")</f>
        <v/>
      </c>
      <c r="O183" s="68" t="str">
        <f>IF(TArticle[[#This Row],[کد طرف حساب]]&gt;0,VLOOKUP(TArticle[[#This Row],[کد طرف حساب]],TContact[],7,FALSE)-SUMIF($M$2:M183,M183,$E$2:$E183),"")</f>
        <v/>
      </c>
      <c r="P183" s="67" t="str">
        <f>RIGHT(TArticle[[#This Row],[تاریخ]],2)</f>
        <v>03</v>
      </c>
      <c r="Q183" s="67">
        <f>VLOOKUP(TArticle[[#This Row],[تاریخ]],TDays[],16,FALSE)</f>
        <v>32</v>
      </c>
      <c r="R183" s="67" t="str">
        <f>RIGHT(LEFT(TArticle[[#This Row],[تاریخ]],7),2)</f>
        <v>08</v>
      </c>
      <c r="S183" s="67" t="str">
        <f>LEFT(TArticle[[#This Row],[تاریخ]],4)</f>
        <v>1401</v>
      </c>
      <c r="T183" s="64"/>
      <c r="U183" s="64">
        <f>VLOOKUP(TArticle[[#This Row],[شناسه]],TAccount[],7,TRUE)</f>
        <v>364074</v>
      </c>
      <c r="V183" s="64"/>
      <c r="W183" s="64">
        <f>IF(AND(TArticle[[#This Row],[مبلغ]]&gt;0, TArticle[[#This Row],[کد وضعیت سند]]=1),TArticle[[#This Row],[مبلغ]],0)</f>
        <v>0</v>
      </c>
      <c r="X183" s="67">
        <f>IF(AND(TArticle[[#This Row],[مبلغ]]&lt;0,TArticle[[#This Row],[کد وضعیت سند]]=1),0-TArticle[[#This Row],[مبلغ]],0)</f>
        <v>4800</v>
      </c>
      <c r="Y183" s="27">
        <v>4</v>
      </c>
      <c r="Z183" t="str">
        <f>IF(TArticle[[#This Row],[کد بانک]]&gt;0,VLOOKUP(TArticle[[#This Row],[کد بانک]],TBank[],2,FALSE),"")</f>
        <v>سپه</v>
      </c>
      <c r="AA183">
        <f>IF(AND(TArticle[[#This Row],[مبلغ]]&lt;0,TArticle[[#This Row],[کد وضعیت سند]]=1),0-TArticle[[#This Row],[مبلغ]],0)</f>
        <v>4800</v>
      </c>
      <c r="AB183">
        <f>IF(AND(TArticle[[#This Row],[مبلغ]]&gt;0, TArticle[[#This Row],[کد وضعیت سند]]=1),TArticle[[#This Row],[مبلغ]],0)</f>
        <v>0</v>
      </c>
      <c r="AC183" s="93">
        <f>IF(TArticle[[#This Row],[کد بانک]]&gt;0,VLOOKUP(TArticle[[#This Row],[کد بانک]],TBank[],9,FALSE)+SUMIF($Y$2:Y183,Y183,$E$2:$E183),"")</f>
        <v>12202</v>
      </c>
      <c r="AD183" s="1">
        <f>IFERROR(IF(INT(LEFT(TArticle[[#This Row],[شناسه]]))=3,IF(TArticle[[#This Row],[کد وضعیت سند]]=1,TArticle[مبلغ],0),0),0)</f>
        <v>-4800</v>
      </c>
      <c r="AE183" s="1">
        <f>IFERROR(IF(((TArticle[[#This Row],[شناسه]]))="4.1.1",IF(TArticle[[#This Row],[کد وضعیت سند]]=1,TArticle[مبلغ],0),0),0)</f>
        <v>0</v>
      </c>
      <c r="AF183" s="1">
        <f>IFERROR(IF(((TArticle[[#This Row],[شناسه]]))="4.1.2",IF(TArticle[[#This Row],[کد وضعیت سند]]=1,TArticle[مبلغ],0),0),0)</f>
        <v>0</v>
      </c>
      <c r="AG183" s="1">
        <f>IFERROR(IF(INT(LEFT(TArticle[[#This Row],[شناسه]]))=1,IF(TArticle[[#This Row],[کد وضعیت سند]]=1,TArticle[مبلغ],0),0),0)</f>
        <v>0</v>
      </c>
      <c r="AH183" s="1">
        <f>IFERROR(IF(INT(LEFT(TArticle[[#This Row],[شناسه]]))=2,IF(TArticle[[#This Row],[کد وضعیت سند]]=1,TArticle[مبلغ],0),0),0)</f>
        <v>0</v>
      </c>
      <c r="AI183" s="1">
        <f>IFERROR(IF((LEFT(TArticle[[#This Row],[شناسه]],3))="5.2",IF(TArticle[[#This Row],[کد وضعیت سند]]=1,TArticle[مبلغ],0),0),0)</f>
        <v>0</v>
      </c>
      <c r="AJ183" s="1">
        <f>IF(TArticle[[#This Row],[کد وضعیت سند]]=1,1,0)</f>
        <v>1</v>
      </c>
      <c r="AK183" s="1">
        <f>IF(AND(TArticle[[#This Row],[کد وضعیت سند]]&lt;&gt;1,TArticle[[#This Row],[مبلغ]]&lt;&gt;0),1,0)</f>
        <v>0</v>
      </c>
      <c r="AL183" s="78">
        <f>IF(TArticle[[#This Row],[کد بانک]]&gt;0,TArticle[[#This Row],[مانده بانک]]-VLOOKUP(TArticle[[#This Row],[کد بانک]],TBank[],7,FALSE),"")</f>
        <v>12200</v>
      </c>
      <c r="AM183" s="58" t="str">
        <f>LEFT(TArticle[[#This Row],[تاریخ]],7)</f>
        <v>1401-08</v>
      </c>
    </row>
    <row r="184" spans="1:39" hidden="1" x14ac:dyDescent="0.25">
      <c r="A184" s="24" t="s">
        <v>55</v>
      </c>
      <c r="B184" s="49" t="str">
        <f>VLOOKUP(TArticle[[#This Row],[شناسه]],TAccount[],2,TRUE)</f>
        <v>هزینه کلی</v>
      </c>
      <c r="C184" s="49" t="str">
        <f>VLOOKUP(TArticle[[#This Row],[تاریخ]],TDays[],7,FALSE)</f>
        <v>سه شنبه</v>
      </c>
      <c r="D184" s="21" t="s">
        <v>416</v>
      </c>
      <c r="E184" s="1">
        <v>-1000</v>
      </c>
      <c r="F184" s="1">
        <f>TArticle[[#This Row],[مبلغ]]+IFERROR(INT(F183),30181+3667+958)</f>
        <v>22358</v>
      </c>
      <c r="G184" t="s">
        <v>1672</v>
      </c>
      <c r="K184" s="21">
        <v>1</v>
      </c>
      <c r="L184" t="str">
        <f>IF(TArticle[[#This Row],[کد وضعیت سند]]&gt;0,VLOOKUP(TArticle[[#This Row],[کد وضعیت سند]],TDocState[],2,FALSE),"")</f>
        <v>انجام شد</v>
      </c>
      <c r="N184" t="str">
        <f>IF(TArticle[[#This Row],[کد طرف حساب]]&gt;0,VLOOKUP(TArticle[[#This Row],[کد طرف حساب]],TContact[],2,FALSE),"")</f>
        <v/>
      </c>
      <c r="O184" s="61" t="str">
        <f>IF(TArticle[[#This Row],[کد طرف حساب]]&gt;0,VLOOKUP(TArticle[[#This Row],[کد طرف حساب]],TContact[],7,FALSE)-SUMIF($M$2:M184,M184,$E$2:$E184),"")</f>
        <v/>
      </c>
      <c r="P184" s="27" t="str">
        <f>RIGHT(TArticle[[#This Row],[تاریخ]],2)</f>
        <v>03</v>
      </c>
      <c r="Q184" s="27">
        <f>VLOOKUP(TArticle[[#This Row],[تاریخ]],TDays[],16,FALSE)</f>
        <v>32</v>
      </c>
      <c r="R184" s="27" t="str">
        <f>RIGHT(LEFT(TArticle[[#This Row],[تاریخ]],7),2)</f>
        <v>08</v>
      </c>
      <c r="S184" s="27" t="str">
        <f>LEFT(TArticle[[#This Row],[تاریخ]],4)</f>
        <v>1401</v>
      </c>
      <c r="U184" s="21">
        <f>VLOOKUP(TArticle[[#This Row],[شناسه]],TAccount[],7,TRUE)</f>
        <v>364074</v>
      </c>
      <c r="W184" s="21">
        <f>IF(AND(TArticle[[#This Row],[مبلغ]]&gt;0, TArticle[[#This Row],[کد وضعیت سند]]=1),TArticle[[#This Row],[مبلغ]],0)</f>
        <v>0</v>
      </c>
      <c r="X184" s="27">
        <f>IF(AND(TArticle[[#This Row],[مبلغ]]&lt;0,TArticle[[#This Row],[کد وضعیت سند]]=1),0-TArticle[[#This Row],[مبلغ]],0)</f>
        <v>1000</v>
      </c>
      <c r="Y184" s="27">
        <v>4</v>
      </c>
      <c r="Z184" t="str">
        <f>IF(TArticle[[#This Row],[کد بانک]]&gt;0,VLOOKUP(TArticle[[#This Row],[کد بانک]],TBank[],2,FALSE),"")</f>
        <v>سپه</v>
      </c>
      <c r="AA184">
        <f>IF(AND(TArticle[[#This Row],[مبلغ]]&lt;0,TArticle[[#This Row],[کد وضعیت سند]]=1),0-TArticle[[#This Row],[مبلغ]],0)</f>
        <v>1000</v>
      </c>
      <c r="AB184">
        <f>IF(AND(TArticle[[#This Row],[مبلغ]]&gt;0, TArticle[[#This Row],[کد وضعیت سند]]=1),TArticle[[#This Row],[مبلغ]],0)</f>
        <v>0</v>
      </c>
      <c r="AC184" s="84">
        <f>IF(TArticle[[#This Row],[کد بانک]]&gt;0,VLOOKUP(TArticle[[#This Row],[کد بانک]],TBank[],9,FALSE)+SUMIF($Y$2:Y184,Y184,$E$2:$E184),"")</f>
        <v>11202</v>
      </c>
      <c r="AD184" s="1">
        <f>IFERROR(IF(INT(LEFT(TArticle[[#This Row],[شناسه]]))=3,IF(TArticle[[#This Row],[کد وضعیت سند]]=1,TArticle[مبلغ],0),0),0)</f>
        <v>-1000</v>
      </c>
      <c r="AE184" s="1">
        <f>IFERROR(IF(((TArticle[[#This Row],[شناسه]]))="4.1.1",IF(TArticle[[#This Row],[کد وضعیت سند]]=1,TArticle[مبلغ],0),0),0)</f>
        <v>0</v>
      </c>
      <c r="AF184" s="1">
        <f>IFERROR(IF(((TArticle[[#This Row],[شناسه]]))="4.1.2",IF(TArticle[[#This Row],[کد وضعیت سند]]=1,TArticle[مبلغ],0),0),0)</f>
        <v>0</v>
      </c>
      <c r="AG184" s="1">
        <f>IFERROR(IF(INT(LEFT(TArticle[[#This Row],[شناسه]]))=1,IF(TArticle[[#This Row],[کد وضعیت سند]]=1,TArticle[مبلغ],0),0),0)</f>
        <v>0</v>
      </c>
      <c r="AH184" s="1">
        <f>IFERROR(IF(INT(LEFT(TArticle[[#This Row],[شناسه]]))=2,IF(TArticle[[#This Row],[کد وضعیت سند]]=1,TArticle[مبلغ],0),0),0)</f>
        <v>0</v>
      </c>
      <c r="AI184" s="1">
        <f>IFERROR(IF((LEFT(TArticle[[#This Row],[شناسه]],3))="5.2",IF(TArticle[[#This Row],[کد وضعیت سند]]=1,TArticle[مبلغ],0),0),0)</f>
        <v>0</v>
      </c>
      <c r="AJ184" s="1">
        <f>IF(TArticle[[#This Row],[کد وضعیت سند]]=1,1,0)</f>
        <v>1</v>
      </c>
      <c r="AK184" s="1">
        <f>IF(AND(TArticle[[#This Row],[کد وضعیت سند]]&lt;&gt;1,TArticle[[#This Row],[مبلغ]]&lt;&gt;0),1,0)</f>
        <v>0</v>
      </c>
      <c r="AL184" s="51">
        <f>IF(TArticle[[#This Row],[کد بانک]]&gt;0,TArticle[[#This Row],[مانده بانک]]-VLOOKUP(TArticle[[#This Row],[کد بانک]],TBank[],7,FALSE),"")</f>
        <v>11200</v>
      </c>
      <c r="AM184" s="49" t="str">
        <f>LEFT(TArticle[[#This Row],[تاریخ]],7)</f>
        <v>1401-08</v>
      </c>
    </row>
    <row r="185" spans="1:39" hidden="1" x14ac:dyDescent="0.25">
      <c r="A185" s="24" t="s">
        <v>78</v>
      </c>
      <c r="B185" s="49" t="str">
        <f>VLOOKUP(TArticle[[#This Row],[شناسه]],TAccount[],2,TRUE)</f>
        <v>چک</v>
      </c>
      <c r="C185" s="49" t="str">
        <f>VLOOKUP(TArticle[[#This Row],[تاریخ]],TDays[],7,FALSE)</f>
        <v>پنجشنبه</v>
      </c>
      <c r="D185" s="21" t="s">
        <v>418</v>
      </c>
      <c r="E185" s="1">
        <v>-10000</v>
      </c>
      <c r="F185" s="1">
        <f>TArticle[[#This Row],[مبلغ]]+IFERROR(INT(F184),30181+3667+958)</f>
        <v>12358</v>
      </c>
      <c r="G185" t="s">
        <v>1661</v>
      </c>
      <c r="K185" s="21">
        <v>1</v>
      </c>
      <c r="L185" t="str">
        <f>IF(TArticle[[#This Row],[کد وضعیت سند]]&gt;0,VLOOKUP(TArticle[[#This Row],[کد وضعیت سند]],TDocState[],2,FALSE),"")</f>
        <v>انجام شد</v>
      </c>
      <c r="M185" s="27">
        <v>2</v>
      </c>
      <c r="N185" t="str">
        <f>IF(TArticle[[#This Row],[کد طرف حساب]]&gt;0,VLOOKUP(TArticle[[#This Row],[کد طرف حساب]],TContact[],2,FALSE),"")</f>
        <v>حامد</v>
      </c>
      <c r="O185" s="61">
        <f>IF(TArticle[[#This Row],[کد طرف حساب]]&gt;0,VLOOKUP(TArticle[[#This Row],[کد طرف حساب]],TContact[],7,FALSE)-SUMIF($M$2:M185,M185,$E$2:$E185),"")</f>
        <v>-10000</v>
      </c>
      <c r="P185" s="27" t="str">
        <f>RIGHT(TArticle[[#This Row],[تاریخ]],2)</f>
        <v>05</v>
      </c>
      <c r="Q185" s="27">
        <f>VLOOKUP(TArticle[[#This Row],[تاریخ]],TDays[],16,FALSE)</f>
        <v>32</v>
      </c>
      <c r="R185" s="27" t="str">
        <f>RIGHT(LEFT(TArticle[[#This Row],[تاریخ]],7),2)</f>
        <v>08</v>
      </c>
      <c r="S185" s="27" t="str">
        <f>LEFT(TArticle[[#This Row],[تاریخ]],4)</f>
        <v>1401</v>
      </c>
      <c r="U185" s="21">
        <f>VLOOKUP(TArticle[[#This Row],[شناسه]],TAccount[],7,TRUE)</f>
        <v>57000</v>
      </c>
      <c r="W185" s="21">
        <f>IF(AND(TArticle[[#This Row],[مبلغ]]&gt;0, TArticle[[#This Row],[کد وضعیت سند]]=1),TArticle[[#This Row],[مبلغ]],0)</f>
        <v>0</v>
      </c>
      <c r="X185" s="27">
        <f>IF(AND(TArticle[[#This Row],[مبلغ]]&lt;0,TArticle[[#This Row],[کد وضعیت سند]]=1),0-TArticle[[#This Row],[مبلغ]],0)</f>
        <v>10000</v>
      </c>
      <c r="Y185" s="27">
        <v>4</v>
      </c>
      <c r="Z185" t="str">
        <f>IF(TArticle[[#This Row],[کد بانک]]&gt;0,VLOOKUP(TArticle[[#This Row],[کد بانک]],TBank[],2,FALSE),"")</f>
        <v>سپه</v>
      </c>
      <c r="AA185">
        <f>IF(AND(TArticle[[#This Row],[مبلغ]]&lt;0,TArticle[[#This Row],[کد وضعیت سند]]=1),0-TArticle[[#This Row],[مبلغ]],0)</f>
        <v>10000</v>
      </c>
      <c r="AB185">
        <f>IF(AND(TArticle[[#This Row],[مبلغ]]&gt;0, TArticle[[#This Row],[کد وضعیت سند]]=1),TArticle[[#This Row],[مبلغ]],0)</f>
        <v>0</v>
      </c>
      <c r="AC185" s="84">
        <f>IF(TArticle[[#This Row],[کد بانک]]&gt;0,VLOOKUP(TArticle[[#This Row],[کد بانک]],TBank[],9,FALSE)+SUMIF($Y$2:Y185,Y185,$E$2:$E185),"")</f>
        <v>1202</v>
      </c>
      <c r="AD185" s="1">
        <f>IFERROR(IF(INT(LEFT(TArticle[[#This Row],[شناسه]]))=3,IF(TArticle[[#This Row],[کد وضعیت سند]]=1,TArticle[مبلغ],0),0),0)</f>
        <v>0</v>
      </c>
      <c r="AE185" s="1">
        <f>IFERROR(IF(((TArticle[[#This Row],[شناسه]]))="4.1.1",IF(TArticle[[#This Row],[کد وضعیت سند]]=1,TArticle[مبلغ],0),0),0)</f>
        <v>0</v>
      </c>
      <c r="AF185" s="1">
        <f>IFERROR(IF(((TArticle[[#This Row],[شناسه]]))="4.1.2",IF(TArticle[[#This Row],[کد وضعیت سند]]=1,TArticle[مبلغ],0),0),0)</f>
        <v>0</v>
      </c>
      <c r="AG185" s="1">
        <f>IFERROR(IF(INT(LEFT(TArticle[[#This Row],[شناسه]]))=1,IF(TArticle[[#This Row],[کد وضعیت سند]]=1,TArticle[مبلغ],0),0),0)</f>
        <v>-10000</v>
      </c>
      <c r="AH185" s="1">
        <f>IFERROR(IF(INT(LEFT(TArticle[[#This Row],[شناسه]]))=2,IF(TArticle[[#This Row],[کد وضعیت سند]]=1,TArticle[مبلغ],0),0),0)</f>
        <v>0</v>
      </c>
      <c r="AI185" s="1">
        <f>IFERROR(IF((LEFT(TArticle[[#This Row],[شناسه]],3))="5.2",IF(TArticle[[#This Row],[کد وضعیت سند]]=1,TArticle[مبلغ],0),0),0)</f>
        <v>0</v>
      </c>
      <c r="AJ185" s="1">
        <f>IF(TArticle[[#This Row],[کد وضعیت سند]]=1,1,0)</f>
        <v>1</v>
      </c>
      <c r="AK185" s="1">
        <f>IF(AND(TArticle[[#This Row],[کد وضعیت سند]]&lt;&gt;1,TArticle[[#This Row],[مبلغ]]&lt;&gt;0),1,0)</f>
        <v>0</v>
      </c>
      <c r="AL185" s="51">
        <f>IF(TArticle[[#This Row],[کد بانک]]&gt;0,TArticle[[#This Row],[مانده بانک]]-VLOOKUP(TArticle[[#This Row],[کد بانک]],TBank[],7,FALSE),"")</f>
        <v>1200</v>
      </c>
      <c r="AM185" s="49" t="str">
        <f>LEFT(TArticle[[#This Row],[تاریخ]],7)</f>
        <v>1401-08</v>
      </c>
    </row>
    <row r="186" spans="1:39" hidden="1" x14ac:dyDescent="0.25">
      <c r="A186" s="24" t="s">
        <v>41</v>
      </c>
      <c r="B186" s="49" t="str">
        <f>VLOOKUP(TArticle[[#This Row],[شناسه]],TAccount[],2,TRUE)</f>
        <v>قرعه هجده (43)</v>
      </c>
      <c r="C186" s="49" t="str">
        <f>VLOOKUP(TArticle[[#This Row],[تاریخ]],TDays[],7,FALSE)</f>
        <v>شنبه</v>
      </c>
      <c r="D186" s="21" t="s">
        <v>65</v>
      </c>
      <c r="E186" s="1">
        <v>-350</v>
      </c>
      <c r="F186" s="1">
        <f>TArticle[[#This Row],[مبلغ]]+IFERROR(INT(F185),30181+3667+958)</f>
        <v>12008</v>
      </c>
      <c r="H186" s="21">
        <v>43</v>
      </c>
      <c r="K186" s="21">
        <v>1</v>
      </c>
      <c r="L186" t="str">
        <f>IF(TArticle[[#This Row],[کد وضعیت سند]]&gt;0,VLOOKUP(TArticle[[#This Row],[کد وضعیت سند]],TDocState[],2,FALSE),"")</f>
        <v>انجام شد</v>
      </c>
      <c r="M186" s="27">
        <v>103</v>
      </c>
      <c r="N186" t="str">
        <f>IF(TArticle[[#This Row],[کد طرف حساب]]&gt;0,VLOOKUP(TArticle[[#This Row],[کد طرف حساب]],TContact[],2,FALSE),"")</f>
        <v>قرعه 18م (43)</v>
      </c>
      <c r="O186" s="51">
        <f>IF(TArticle[[#This Row],[کد طرف حساب]]&gt;0,VLOOKUP(TArticle[[#This Row],[کد طرف حساب]],TContact[],7,FALSE)-SUMIF($M$2:M186,M186,$E$2:$E186),"")</f>
        <v>-3500</v>
      </c>
      <c r="P186" s="27" t="str">
        <f>RIGHT(TArticle[[#This Row],[تاریخ]],2)</f>
        <v>14</v>
      </c>
      <c r="Q186" s="27">
        <f>VLOOKUP(TArticle[[#This Row],[تاریخ]],TDays[],16,FALSE)</f>
        <v>34</v>
      </c>
      <c r="R186" s="27" t="str">
        <f>RIGHT(LEFT(TArticle[[#This Row],[تاریخ]],7),2)</f>
        <v>08</v>
      </c>
      <c r="S186" s="27" t="str">
        <f>LEFT(TArticle[[#This Row],[تاریخ]],4)</f>
        <v>1401</v>
      </c>
      <c r="U186" s="21">
        <f>VLOOKUP(TArticle[[#This Row],[شناسه]],TAccount[],7,TRUE)</f>
        <v>4200</v>
      </c>
      <c r="V186" s="21" t="s">
        <v>65</v>
      </c>
      <c r="W186" s="21">
        <f>IF(AND(TArticle[[#This Row],[مبلغ]]&gt;0, TArticle[[#This Row],[کد وضعیت سند]]=1),TArticle[[#This Row],[مبلغ]],0)</f>
        <v>0</v>
      </c>
      <c r="X186" s="21">
        <f>IF(AND(TArticle[[#This Row],[مبلغ]]&lt;0,TArticle[[#This Row],[کد وضعیت سند]]=1),0-TArticle[[#This Row],[مبلغ]],0)</f>
        <v>350</v>
      </c>
      <c r="Y186" s="27">
        <v>2</v>
      </c>
      <c r="Z186" t="str">
        <f>IF(TArticle[[#This Row],[کد بانک]]&gt;0,VLOOKUP(TArticle[[#This Row],[کد بانک]],TBank[],2,FALSE),"")</f>
        <v>ملی جاری</v>
      </c>
      <c r="AA186">
        <f>IF(AND(TArticle[[#This Row],[مبلغ]]&lt;0,TArticle[[#This Row],[کد وضعیت سند]]=1),0-TArticle[[#This Row],[مبلغ]],0)</f>
        <v>350</v>
      </c>
      <c r="AB186">
        <f>IF(AND(TArticle[[#This Row],[مبلغ]]&gt;0, TArticle[[#This Row],[کد وضعیت سند]]=1),TArticle[[#This Row],[مبلغ]],0)</f>
        <v>0</v>
      </c>
      <c r="AC186" s="84">
        <f>IF(TArticle[[#This Row],[کد بانک]]&gt;0,VLOOKUP(TArticle[[#This Row],[کد بانک]],TBank[],9,FALSE)+SUMIF($Y$2:Y186,Y186,$E$2:$E186),"")</f>
        <v>410</v>
      </c>
      <c r="AD186" s="1">
        <f>IFERROR(IF(INT(LEFT(TArticle[[#This Row],[شناسه]]))=3,IF(TArticle[[#This Row],[کد وضعیت سند]]=1,TArticle[مبلغ],0),0),0)</f>
        <v>0</v>
      </c>
      <c r="AE186" s="1">
        <f>IFERROR(IF(((TArticle[[#This Row],[شناسه]]))="4.1.1",IF(TArticle[[#This Row],[کد وضعیت سند]]=1,TArticle[مبلغ],0),0),0)</f>
        <v>0</v>
      </c>
      <c r="AF186" s="1">
        <f>IFERROR(IF(((TArticle[[#This Row],[شناسه]]))="4.1.2",IF(TArticle[[#This Row],[کد وضعیت سند]]=1,TArticle[مبلغ],0),0),0)</f>
        <v>0</v>
      </c>
      <c r="AG186" s="1">
        <f>IFERROR(IF(INT(LEFT(TArticle[[#This Row],[شناسه]]))=1,IF(TArticle[[#This Row],[کد وضعیت سند]]=1,TArticle[مبلغ],0),0),0)</f>
        <v>0</v>
      </c>
      <c r="AH186" s="1">
        <f>IFERROR(IF(INT(LEFT(TArticle[[#This Row],[شناسه]]))=2,IF(TArticle[[#This Row],[کد وضعیت سند]]=1,TArticle[مبلغ],0),0),0)</f>
        <v>-350</v>
      </c>
      <c r="AI186" s="1">
        <f>IFERROR(IF((LEFT(TArticle[[#This Row],[شناسه]],3))="5.2",IF(TArticle[[#This Row],[کد وضعیت سند]]=1,TArticle[مبلغ],0),0),0)</f>
        <v>0</v>
      </c>
      <c r="AJ186" s="1">
        <f>IF(TArticle[[#This Row],[کد وضعیت سند]]=1,1,0)</f>
        <v>1</v>
      </c>
      <c r="AK186" s="1">
        <f>IF(AND(TArticle[[#This Row],[کد وضعیت سند]]&lt;&gt;1,TArticle[[#This Row],[مبلغ]]&lt;&gt;0),1,0)</f>
        <v>0</v>
      </c>
      <c r="AL186" s="51">
        <f>IF(TArticle[[#This Row],[کد بانک]]&gt;0,TArticle[[#This Row],[مانده بانک]]-VLOOKUP(TArticle[[#This Row],[کد بانک]],TBank[],7,FALSE),"")</f>
        <v>410</v>
      </c>
      <c r="AM186" s="58" t="str">
        <f>LEFT(TArticle[[#This Row],[تاریخ]],7)</f>
        <v>1401-08</v>
      </c>
    </row>
    <row r="187" spans="1:39" hidden="1" x14ac:dyDescent="0.25">
      <c r="A187" s="24" t="s">
        <v>1013</v>
      </c>
      <c r="B187" s="49" t="str">
        <f>VLOOKUP(TArticle[[#This Row],[شناسه]],TAccount[],2,TRUE)</f>
        <v>یارانه</v>
      </c>
      <c r="C187" s="49" t="str">
        <f>VLOOKUP(TArticle[[#This Row],[تاریخ]],TDays[],7,FALSE)</f>
        <v>جمعه</v>
      </c>
      <c r="D187" s="21" t="s">
        <v>432</v>
      </c>
      <c r="E187" s="1">
        <v>1500</v>
      </c>
      <c r="F187" s="1">
        <f>TArticle[[#This Row],[مبلغ]]+IFERROR(INT(F186),30181+3667+958)</f>
        <v>13508</v>
      </c>
      <c r="K187" s="21">
        <v>1</v>
      </c>
      <c r="L187" t="str">
        <f>IF(TArticle[[#This Row],[کد وضعیت سند]]&gt;0,VLOOKUP(TArticle[[#This Row],[کد وضعیت سند]],TDocState[],2,FALSE),"")</f>
        <v>انجام شد</v>
      </c>
      <c r="N187" t="str">
        <f>IF(TArticle[[#This Row],[کد طرف حساب]]&gt;0,VLOOKUP(TArticle[[#This Row],[کد طرف حساب]],TContact[],2,FALSE),"")</f>
        <v/>
      </c>
      <c r="O187" s="61" t="str">
        <f>IF(TArticle[[#This Row],[کد طرف حساب]]&gt;0,VLOOKUP(TArticle[[#This Row],[کد طرف حساب]],TContact[],7,FALSE)-SUMIF($M$2:M187,M187,$E$2:$E187),"")</f>
        <v/>
      </c>
      <c r="P187" s="27" t="str">
        <f>RIGHT(TArticle[[#This Row],[تاریخ]],2)</f>
        <v>20</v>
      </c>
      <c r="Q187" s="27">
        <f>VLOOKUP(TArticle[[#This Row],[تاریخ]],TDays[],16,FALSE)</f>
        <v>35</v>
      </c>
      <c r="R187" s="27" t="str">
        <f>RIGHT(LEFT(TArticle[[#This Row],[تاریخ]],7),2)</f>
        <v>08</v>
      </c>
      <c r="S187" s="27" t="str">
        <f>LEFT(TArticle[[#This Row],[تاریخ]],4)</f>
        <v>1401</v>
      </c>
      <c r="U187" s="21">
        <f>VLOOKUP(TArticle[[#This Row],[شناسه]],TAccount[],7,TRUE)</f>
        <v>12565</v>
      </c>
      <c r="W187" s="21">
        <f>IF(AND(TArticle[[#This Row],[مبلغ]]&gt;0, TArticle[[#This Row],[کد وضعیت سند]]=1),TArticle[[#This Row],[مبلغ]],0)</f>
        <v>1500</v>
      </c>
      <c r="X187" s="27">
        <f>IF(AND(TArticle[[#This Row],[مبلغ]]&lt;0,TArticle[[#This Row],[کد وضعیت سند]]=1),0-TArticle[[#This Row],[مبلغ]],0)</f>
        <v>0</v>
      </c>
      <c r="Y187" s="27">
        <v>2</v>
      </c>
      <c r="Z187" t="str">
        <f>IF(TArticle[[#This Row],[کد بانک]]&gt;0,VLOOKUP(TArticle[[#This Row],[کد بانک]],TBank[],2,FALSE),"")</f>
        <v>ملی جاری</v>
      </c>
      <c r="AA187">
        <f>IF(AND(TArticle[[#This Row],[مبلغ]]&lt;0,TArticle[[#This Row],[کد وضعیت سند]]=1),0-TArticle[[#This Row],[مبلغ]],0)</f>
        <v>0</v>
      </c>
      <c r="AB187">
        <f>IF(AND(TArticle[[#This Row],[مبلغ]]&gt;0, TArticle[[#This Row],[کد وضعیت سند]]=1),TArticle[[#This Row],[مبلغ]],0)</f>
        <v>1500</v>
      </c>
      <c r="AC187" s="84">
        <f>IF(TArticle[[#This Row],[کد بانک]]&gt;0,VLOOKUP(TArticle[[#This Row],[کد بانک]],TBank[],9,FALSE)+SUMIF($Y$2:Y187,Y187,$E$2:$E187),"")</f>
        <v>1910</v>
      </c>
      <c r="AD187" s="1">
        <f>IFERROR(IF(INT(LEFT(TArticle[[#This Row],[شناسه]]))=3,IF(TArticle[[#This Row],[کد وضعیت سند]]=1,TArticle[مبلغ],0),0),0)</f>
        <v>0</v>
      </c>
      <c r="AE187" s="1">
        <f>IFERROR(IF(((TArticle[[#This Row],[شناسه]]))="4.1.1",IF(TArticle[[#This Row],[کد وضعیت سند]]=1,TArticle[مبلغ],0),0),0)</f>
        <v>0</v>
      </c>
      <c r="AF187" s="1">
        <f>IFERROR(IF(((TArticle[[#This Row],[شناسه]]))="4.1.2",IF(TArticle[[#This Row],[کد وضعیت سند]]=1,TArticle[مبلغ],0),0),0)</f>
        <v>0</v>
      </c>
      <c r="AG187" s="1">
        <f>IFERROR(IF(INT(LEFT(TArticle[[#This Row],[شناسه]]))=1,IF(TArticle[[#This Row],[کد وضعیت سند]]=1,TArticle[مبلغ],0),0),0)</f>
        <v>0</v>
      </c>
      <c r="AH187" s="1">
        <f>IFERROR(IF(INT(LEFT(TArticle[[#This Row],[شناسه]]))=2,IF(TArticle[[#This Row],[کد وضعیت سند]]=1,TArticle[مبلغ],0),0),0)</f>
        <v>0</v>
      </c>
      <c r="AI187" s="1">
        <f>IFERROR(IF((LEFT(TArticle[[#This Row],[شناسه]],3))="5.2",IF(TArticle[[#This Row],[کد وضعیت سند]]=1,TArticle[مبلغ],0),0),0)</f>
        <v>0</v>
      </c>
      <c r="AJ187" s="1">
        <f>IF(TArticle[[#This Row],[کد وضعیت سند]]=1,1,0)</f>
        <v>1</v>
      </c>
      <c r="AK187" s="1">
        <f>IF(AND(TArticle[[#This Row],[کد وضعیت سند]]&lt;&gt;1,TArticle[[#This Row],[مبلغ]]&lt;&gt;0),1,0)</f>
        <v>0</v>
      </c>
      <c r="AL187" s="51">
        <f>IF(TArticle[[#This Row],[کد بانک]]&gt;0,TArticle[[#This Row],[مانده بانک]]-VLOOKUP(TArticle[[#This Row],[کد بانک]],TBank[],7,FALSE),"")</f>
        <v>1910</v>
      </c>
      <c r="AM187" s="49" t="str">
        <f>LEFT(TArticle[[#This Row],[تاریخ]],7)</f>
        <v>1401-08</v>
      </c>
    </row>
    <row r="188" spans="1:39" hidden="1" x14ac:dyDescent="0.25">
      <c r="A188" s="24" t="s">
        <v>43</v>
      </c>
      <c r="B188" s="49" t="str">
        <f>VLOOKUP(TArticle[[#This Row],[شناسه]],TAccount[],2,TRUE)</f>
        <v>حقوق</v>
      </c>
      <c r="C188" s="49" t="str">
        <f>VLOOKUP(TArticle[[#This Row],[تاریخ]],TDays[],7,FALSE)</f>
        <v>سه شنبه</v>
      </c>
      <c r="D188" s="21" t="s">
        <v>443</v>
      </c>
      <c r="E188" s="1">
        <v>47323</v>
      </c>
      <c r="F188" s="1">
        <f>TArticle[[#This Row],[مبلغ]]+IFERROR(INT(F187),30181+3667+958)</f>
        <v>60831</v>
      </c>
      <c r="H188" s="64"/>
      <c r="J188" s="65"/>
      <c r="K188" s="64">
        <v>1</v>
      </c>
      <c r="L188" s="66" t="str">
        <f>IF(TArticle[[#This Row],[کد وضعیت سند]]&gt;0,VLOOKUP(TArticle[[#This Row],[کد وضعیت سند]],TDocState[],2,FALSE),"")</f>
        <v>انجام شد</v>
      </c>
      <c r="M188" s="67"/>
      <c r="N188" t="str">
        <f>IF(TArticle[[#This Row],[کد طرف حساب]]&gt;0,VLOOKUP(TArticle[[#This Row],[کد طرف حساب]],TContact[],2,FALSE),"")</f>
        <v/>
      </c>
      <c r="O188" s="68" t="str">
        <f>IF(TArticle[[#This Row],[کد طرف حساب]]&gt;0,VLOOKUP(TArticle[[#This Row],[کد طرف حساب]],TContact[],7,FALSE)-SUMIF($M$2:M188,M188,$E$2:$E188),"")</f>
        <v/>
      </c>
      <c r="P188" s="67" t="str">
        <f>RIGHT(TArticle[[#This Row],[تاریخ]],2)</f>
        <v>01</v>
      </c>
      <c r="Q188" s="67">
        <f>VLOOKUP(TArticle[[#This Row],[تاریخ]],TDays[],16,FALSE)</f>
        <v>36</v>
      </c>
      <c r="R188" s="67" t="str">
        <f>RIGHT(LEFT(TArticle[[#This Row],[تاریخ]],7),2)</f>
        <v>09</v>
      </c>
      <c r="S188" s="67" t="str">
        <f>LEFT(TArticle[[#This Row],[تاریخ]],4)</f>
        <v>1401</v>
      </c>
      <c r="T188" s="64"/>
      <c r="U188" s="64">
        <f>VLOOKUP(TArticle[[#This Row],[شناسه]],TAccount[],7,TRUE)</f>
        <v>416023</v>
      </c>
      <c r="V188" s="64"/>
      <c r="W188" s="64">
        <f>IF(AND(TArticle[[#This Row],[مبلغ]]&gt;0, TArticle[[#This Row],[کد وضعیت سند]]=1),TArticle[[#This Row],[مبلغ]],0)</f>
        <v>47323</v>
      </c>
      <c r="X188" s="67">
        <f>IF(AND(TArticle[[#This Row],[مبلغ]]&lt;0,TArticle[[#This Row],[کد وضعیت سند]]=1),0-TArticle[[#This Row],[مبلغ]],0)</f>
        <v>0</v>
      </c>
      <c r="Y188" s="67">
        <v>2</v>
      </c>
      <c r="Z188" t="str">
        <f>IF(TArticle[[#This Row],[کد بانک]]&gt;0,VLOOKUP(TArticle[[#This Row],[کد بانک]],TBank[],2,FALSE),"")</f>
        <v>ملی جاری</v>
      </c>
      <c r="AA188">
        <f>IF(AND(TArticle[[#This Row],[مبلغ]]&lt;0,TArticle[[#This Row],[کد وضعیت سند]]=1),0-TArticle[[#This Row],[مبلغ]],0)</f>
        <v>0</v>
      </c>
      <c r="AB188">
        <f>IF(AND(TArticle[[#This Row],[مبلغ]]&gt;0, TArticle[[#This Row],[کد وضعیت سند]]=1),TArticle[[#This Row],[مبلغ]],0)</f>
        <v>47323</v>
      </c>
      <c r="AC188" s="93">
        <f>IF(TArticle[[#This Row],[کد بانک]]&gt;0,VLOOKUP(TArticle[[#This Row],[کد بانک]],TBank[],9,FALSE)+SUMIF($Y$2:Y188,Y188,$E$2:$E188),"")</f>
        <v>49233</v>
      </c>
      <c r="AD188" s="1">
        <f>IFERROR(IF(INT(LEFT(TArticle[[#This Row],[شناسه]]))=3,IF(TArticle[[#This Row],[کد وضعیت سند]]=1,TArticle[مبلغ],0),0),0)</f>
        <v>0</v>
      </c>
      <c r="AE188" s="1">
        <f>IFERROR(IF(((TArticle[[#This Row],[شناسه]]))="4.1.1",IF(TArticle[[#This Row],[کد وضعیت سند]]=1,TArticle[مبلغ],0),0),0)</f>
        <v>47323</v>
      </c>
      <c r="AF188" s="1">
        <f>IFERROR(IF(((TArticle[[#This Row],[شناسه]]))="4.1.2",IF(TArticle[[#This Row],[کد وضعیت سند]]=1,TArticle[مبلغ],0),0),0)</f>
        <v>0</v>
      </c>
      <c r="AG188" s="1">
        <f>IFERROR(IF(INT(LEFT(TArticle[[#This Row],[شناسه]]))=1,IF(TArticle[[#This Row],[کد وضعیت سند]]=1,TArticle[مبلغ],0),0),0)</f>
        <v>0</v>
      </c>
      <c r="AH188" s="1">
        <f>IFERROR(IF(INT(LEFT(TArticle[[#This Row],[شناسه]]))=2,IF(TArticle[[#This Row],[کد وضعیت سند]]=1,TArticle[مبلغ],0),0),0)</f>
        <v>0</v>
      </c>
      <c r="AI188" s="1">
        <f>IFERROR(IF((LEFT(TArticle[[#This Row],[شناسه]],3))="5.2",IF(TArticle[[#This Row],[کد وضعیت سند]]=1,TArticle[مبلغ],0),0),0)</f>
        <v>0</v>
      </c>
      <c r="AJ188" s="1">
        <f>IF(TArticle[[#This Row],[کد وضعیت سند]]=1,1,0)</f>
        <v>1</v>
      </c>
      <c r="AK188" s="1">
        <f>IF(AND(TArticle[[#This Row],[کد وضعیت سند]]&lt;&gt;1,TArticle[[#This Row],[مبلغ]]&lt;&gt;0),1,0)</f>
        <v>0</v>
      </c>
      <c r="AL188" s="78">
        <f>IF(TArticle[[#This Row],[کد بانک]]&gt;0,TArticle[[#This Row],[مانده بانک]]-VLOOKUP(TArticle[[#This Row],[کد بانک]],TBank[],7,FALSE),"")</f>
        <v>49233</v>
      </c>
      <c r="AM188" s="58" t="str">
        <f>LEFT(TArticle[[#This Row],[تاریخ]],7)</f>
        <v>1401-09</v>
      </c>
    </row>
    <row r="189" spans="1:39" hidden="1" x14ac:dyDescent="0.25">
      <c r="A189" s="24" t="s">
        <v>1110</v>
      </c>
      <c r="B189" s="49" t="str">
        <f>VLOOKUP(TArticle[[#This Row],[شناسه]],TAccount[],2,TRUE)</f>
        <v>قسط وام بانکی</v>
      </c>
      <c r="C189" s="49" t="str">
        <f>VLOOKUP(TArticle[[#This Row],[تاریخ]],TDays[],7,FALSE)</f>
        <v>پنجشنبه</v>
      </c>
      <c r="D189" s="21" t="s">
        <v>445</v>
      </c>
      <c r="E189" s="1">
        <v>-1808</v>
      </c>
      <c r="F189" s="1">
        <f>TArticle[[#This Row],[مبلغ]]+IFERROR(INT(F188),30181+3667+958)</f>
        <v>59023</v>
      </c>
      <c r="G189" t="s">
        <v>1597</v>
      </c>
      <c r="H189" s="64">
        <v>13</v>
      </c>
      <c r="J189" s="65"/>
      <c r="K189" s="21">
        <v>1</v>
      </c>
      <c r="L189" s="66" t="str">
        <f>IF(TArticle[[#This Row],[کد وضعیت سند]]&gt;0,VLOOKUP(TArticle[[#This Row],[کد وضعیت سند]],TDocState[],2,FALSE),"")</f>
        <v>انجام شد</v>
      </c>
      <c r="M189" s="67">
        <v>112</v>
      </c>
      <c r="N189" t="str">
        <f>IF(TArticle[[#This Row],[کد طرف حساب]]&gt;0,VLOOKUP(TArticle[[#This Row],[کد طرف حساب]],TContact[],2,FALSE),"")</f>
        <v>وام ملی</v>
      </c>
      <c r="O189" s="68">
        <f>IF(TArticle[[#This Row],[کد طرف حساب]]&gt;0,VLOOKUP(TArticle[[#This Row],[کد طرف حساب]],TContact[],7,FALSE)-SUMIF($M$2:M189,M189,$E$2:$E189),"")</f>
        <v>-40960</v>
      </c>
      <c r="P189" s="67" t="str">
        <f>RIGHT(TArticle[[#This Row],[تاریخ]],2)</f>
        <v>03</v>
      </c>
      <c r="Q189" s="67">
        <f>VLOOKUP(TArticle[[#This Row],[تاریخ]],TDays[],16,FALSE)</f>
        <v>37</v>
      </c>
      <c r="R189" s="67" t="str">
        <f>RIGHT(LEFT(TArticle[[#This Row],[تاریخ]],7),2)</f>
        <v>09</v>
      </c>
      <c r="S189" s="67" t="str">
        <f>LEFT(TArticle[[#This Row],[تاریخ]],4)</f>
        <v>1401</v>
      </c>
      <c r="T189" s="64"/>
      <c r="U189" s="64">
        <f>VLOOKUP(TArticle[[#This Row],[شناسه]],TAccount[],7,TRUE)</f>
        <v>81652</v>
      </c>
      <c r="V189" s="21" t="s">
        <v>440</v>
      </c>
      <c r="W189" s="64">
        <f>IF(AND(TArticle[[#This Row],[مبلغ]]&gt;0, TArticle[[#This Row],[کد وضعیت سند]]=1),TArticle[[#This Row],[مبلغ]],0)</f>
        <v>0</v>
      </c>
      <c r="X189" s="67">
        <f>IF(AND(TArticle[[#This Row],[مبلغ]]&lt;0,TArticle[[#This Row],[کد وضعیت سند]]=1),0-TArticle[[#This Row],[مبلغ]],0)</f>
        <v>1808</v>
      </c>
      <c r="Y189" s="67">
        <v>2</v>
      </c>
      <c r="Z189" t="str">
        <f>IF(TArticle[[#This Row],[کد بانک]]&gt;0,VLOOKUP(TArticle[[#This Row],[کد بانک]],TBank[],2,FALSE),"")</f>
        <v>ملی جاری</v>
      </c>
      <c r="AA189">
        <f>IF(AND(TArticle[[#This Row],[مبلغ]]&lt;0,TArticle[[#This Row],[کد وضعیت سند]]=1),0-TArticle[[#This Row],[مبلغ]],0)</f>
        <v>1808</v>
      </c>
      <c r="AB189">
        <f>IF(AND(TArticle[[#This Row],[مبلغ]]&gt;0, TArticle[[#This Row],[کد وضعیت سند]]=1),TArticle[[#This Row],[مبلغ]],0)</f>
        <v>0</v>
      </c>
      <c r="AC189" s="93">
        <f>IF(TArticle[[#This Row],[کد بانک]]&gt;0,VLOOKUP(TArticle[[#This Row],[کد بانک]],TBank[],9,FALSE)+SUMIF($Y$2:Y189,Y189,$E$2:$E189),"")</f>
        <v>47425</v>
      </c>
      <c r="AD189" s="1">
        <f>IFERROR(IF(INT(LEFT(TArticle[[#This Row],[شناسه]]))=3,IF(TArticle[[#This Row],[کد وضعیت سند]]=1,TArticle[مبلغ],0),0),0)</f>
        <v>0</v>
      </c>
      <c r="AE189" s="1">
        <f>IFERROR(IF(((TArticle[[#This Row],[شناسه]]))="4.1.1",IF(TArticle[[#This Row],[کد وضعیت سند]]=1,TArticle[مبلغ],0),0),0)</f>
        <v>0</v>
      </c>
      <c r="AF189" s="1">
        <f>IFERROR(IF(((TArticle[[#This Row],[شناسه]]))="4.1.2",IF(TArticle[[#This Row],[کد وضعیت سند]]=1,TArticle[مبلغ],0),0),0)</f>
        <v>0</v>
      </c>
      <c r="AG189" s="1">
        <f>IFERROR(IF(INT(LEFT(TArticle[[#This Row],[شناسه]]))=1,IF(TArticle[[#This Row],[کد وضعیت سند]]=1,TArticle[مبلغ],0),0),0)</f>
        <v>-1808</v>
      </c>
      <c r="AH189" s="1">
        <f>IFERROR(IF(INT(LEFT(TArticle[[#This Row],[شناسه]]))=2,IF(TArticle[[#This Row],[کد وضعیت سند]]=1,TArticle[مبلغ],0),0),0)</f>
        <v>0</v>
      </c>
      <c r="AI189" s="1">
        <f>IFERROR(IF((LEFT(TArticle[[#This Row],[شناسه]],3))="5.2",IF(TArticle[[#This Row],[کد وضعیت سند]]=1,TArticle[مبلغ],0),0),0)</f>
        <v>0</v>
      </c>
      <c r="AJ189" s="1">
        <f>IF(TArticle[[#This Row],[کد وضعیت سند]]=1,1,0)</f>
        <v>1</v>
      </c>
      <c r="AK189" s="1">
        <f>IF(AND(TArticle[[#This Row],[کد وضعیت سند]]&lt;&gt;1,TArticle[[#This Row],[مبلغ]]&lt;&gt;0),1,0)</f>
        <v>0</v>
      </c>
      <c r="AL189" s="78">
        <f>IF(TArticle[[#This Row],[کد بانک]]&gt;0,TArticle[[#This Row],[مانده بانک]]-VLOOKUP(TArticle[[#This Row],[کد بانک]],TBank[],7,FALSE),"")</f>
        <v>47425</v>
      </c>
      <c r="AM189" s="58" t="str">
        <f>LEFT(TArticle[[#This Row],[تاریخ]],7)</f>
        <v>1401-09</v>
      </c>
    </row>
    <row r="190" spans="1:39" hidden="1" x14ac:dyDescent="0.25">
      <c r="A190" s="77" t="s">
        <v>76</v>
      </c>
      <c r="B190" s="49" t="str">
        <f>VLOOKUP(TArticle[[#This Row],[شناسه]],TAccount[],2,TRUE)</f>
        <v>قسط</v>
      </c>
      <c r="C190" s="49" t="str">
        <f>VLOOKUP(TArticle[[#This Row],[تاریخ]],TDays[],7,FALSE)</f>
        <v>پنجشنبه</v>
      </c>
      <c r="D190" s="28" t="s">
        <v>445</v>
      </c>
      <c r="E190" s="1">
        <v>-2777</v>
      </c>
      <c r="F190" s="1">
        <f>TArticle[[#This Row],[مبلغ]]+IFERROR(INT(F189),30181+3667+958)</f>
        <v>56246</v>
      </c>
      <c r="H190" s="64">
        <v>28</v>
      </c>
      <c r="J190" s="65"/>
      <c r="K190" s="64">
        <v>1</v>
      </c>
      <c r="L190" s="66" t="str">
        <f>IF(TArticle[[#This Row],[کد وضعیت سند]]&gt;0,VLOOKUP(TArticle[[#This Row],[کد وضعیت سند]],TDocState[],2,FALSE),"")</f>
        <v>انجام شد</v>
      </c>
      <c r="M190" s="67">
        <v>105</v>
      </c>
      <c r="N190" t="str">
        <f>IF(TArticle[[#This Row],[کد طرف حساب]]&gt;0,VLOOKUP(TArticle[[#This Row],[کد طرف حساب]],TContact[],2,FALSE),"")</f>
        <v>وام محبوبه</v>
      </c>
      <c r="O190" s="68">
        <f>IF(TArticle[[#This Row],[کد طرف حساب]]&gt;0,VLOOKUP(TArticle[[#This Row],[کد طرف حساب]],TContact[],7,FALSE)-SUMIF($M$2:M190,M190,$E$2:$E190),"")</f>
        <v>-14121</v>
      </c>
      <c r="P190" s="67" t="str">
        <f>RIGHT(TArticle[[#This Row],[تاریخ]],2)</f>
        <v>03</v>
      </c>
      <c r="Q190" s="67">
        <f>VLOOKUP(TArticle[[#This Row],[تاریخ]],TDays[],16,FALSE)</f>
        <v>37</v>
      </c>
      <c r="R190" s="67" t="str">
        <f>RIGHT(LEFT(TArticle[[#This Row],[تاریخ]],7),2)</f>
        <v>09</v>
      </c>
      <c r="S190" s="67" t="str">
        <f>LEFT(TArticle[[#This Row],[تاریخ]],4)</f>
        <v>1401</v>
      </c>
      <c r="T190" s="64"/>
      <c r="U190" s="64">
        <f>VLOOKUP(TArticle[[#This Row],[شناسه]],TAccount[],7,TRUE)</f>
        <v>36266</v>
      </c>
      <c r="V190" s="28" t="s">
        <v>442</v>
      </c>
      <c r="W190" s="64">
        <f>IF(AND(TArticle[[#This Row],[مبلغ]]&gt;0, TArticle[[#This Row],[کد وضعیت سند]]=1),TArticle[[#This Row],[مبلغ]],0)</f>
        <v>0</v>
      </c>
      <c r="X190" s="67">
        <f>IF(AND(TArticle[[#This Row],[مبلغ]]&lt;0,TArticle[[#This Row],[کد وضعیت سند]]=1),0-TArticle[[#This Row],[مبلغ]],0)</f>
        <v>2777</v>
      </c>
      <c r="Y190" s="27">
        <v>2</v>
      </c>
      <c r="Z190" t="str">
        <f>IF(TArticle[[#This Row],[کد بانک]]&gt;0,VLOOKUP(TArticle[[#This Row],[کد بانک]],TBank[],2,FALSE),"")</f>
        <v>ملی جاری</v>
      </c>
      <c r="AA190">
        <f>IF(AND(TArticle[[#This Row],[مبلغ]]&lt;0,TArticle[[#This Row],[کد وضعیت سند]]=1),0-TArticle[[#This Row],[مبلغ]],0)</f>
        <v>2777</v>
      </c>
      <c r="AB190">
        <f>IF(AND(TArticle[[#This Row],[مبلغ]]&gt;0, TArticle[[#This Row],[کد وضعیت سند]]=1),TArticle[[#This Row],[مبلغ]],0)</f>
        <v>0</v>
      </c>
      <c r="AC190" s="93">
        <f>IF(TArticle[[#This Row],[کد بانک]]&gt;0,VLOOKUP(TArticle[[#This Row],[کد بانک]],TBank[],9,FALSE)+SUMIF($Y$2:Y190,Y190,$E$2:$E190),"")</f>
        <v>44648</v>
      </c>
      <c r="AD190" s="1">
        <f>IFERROR(IF(INT(LEFT(TArticle[[#This Row],[شناسه]]))=3,IF(TArticle[[#This Row],[کد وضعیت سند]]=1,TArticle[مبلغ],0),0),0)</f>
        <v>0</v>
      </c>
      <c r="AE190" s="1">
        <f>IFERROR(IF(((TArticle[[#This Row],[شناسه]]))="4.1.1",IF(TArticle[[#This Row],[کد وضعیت سند]]=1,TArticle[مبلغ],0),0),0)</f>
        <v>0</v>
      </c>
      <c r="AF190" s="1">
        <f>IFERROR(IF(((TArticle[[#This Row],[شناسه]]))="4.1.2",IF(TArticle[[#This Row],[کد وضعیت سند]]=1,TArticle[مبلغ],0),0),0)</f>
        <v>0</v>
      </c>
      <c r="AG190" s="1">
        <f>IFERROR(IF(INT(LEFT(TArticle[[#This Row],[شناسه]]))=1,IF(TArticle[[#This Row],[کد وضعیت سند]]=1,TArticle[مبلغ],0),0),0)</f>
        <v>-2777</v>
      </c>
      <c r="AH190" s="1">
        <f>IFERROR(IF(INT(LEFT(TArticle[[#This Row],[شناسه]]))=2,IF(TArticle[[#This Row],[کد وضعیت سند]]=1,TArticle[مبلغ],0),0),0)</f>
        <v>0</v>
      </c>
      <c r="AI190" s="1">
        <f>IFERROR(IF((LEFT(TArticle[[#This Row],[شناسه]],3))="5.2",IF(TArticle[[#This Row],[کد وضعیت سند]]=1,TArticle[مبلغ],0),0),0)</f>
        <v>0</v>
      </c>
      <c r="AJ190" s="1">
        <f>IF(TArticle[[#This Row],[کد وضعیت سند]]=1,1,0)</f>
        <v>1</v>
      </c>
      <c r="AK190" s="1">
        <f>IF(AND(TArticle[[#This Row],[کد وضعیت سند]]&lt;&gt;1,TArticle[[#This Row],[مبلغ]]&lt;&gt;0),1,0)</f>
        <v>0</v>
      </c>
      <c r="AL190" s="78">
        <f>IF(TArticle[[#This Row],[کد بانک]]&gt;0,TArticle[[#This Row],[مانده بانک]]-VLOOKUP(TArticle[[#This Row],[کد بانک]],TBank[],7,FALSE),"")</f>
        <v>44648</v>
      </c>
      <c r="AM190" s="58" t="str">
        <f>LEFT(TArticle[[#This Row],[تاریخ]],7)</f>
        <v>1401-09</v>
      </c>
    </row>
    <row r="191" spans="1:39" hidden="1" x14ac:dyDescent="0.25">
      <c r="A191" s="24" t="s">
        <v>1110</v>
      </c>
      <c r="B191" s="49" t="str">
        <f>VLOOKUP(TArticle[[#This Row],[شناسه]],TAccount[],2,TRUE)</f>
        <v>قسط وام بانکی</v>
      </c>
      <c r="C191" s="49" t="str">
        <f>VLOOKUP(TArticle[[#This Row],[تاریخ]],TDays[],7,FALSE)</f>
        <v>پنجشنبه</v>
      </c>
      <c r="D191" s="21" t="s">
        <v>445</v>
      </c>
      <c r="E191" s="1">
        <v>-1808</v>
      </c>
      <c r="F191" s="1">
        <f>TArticle[[#This Row],[مبلغ]]+IFERROR(INT(F190),30181+3667+958)</f>
        <v>54438</v>
      </c>
      <c r="G191" t="s">
        <v>1597</v>
      </c>
      <c r="H191" s="64">
        <v>12</v>
      </c>
      <c r="J191" s="65"/>
      <c r="K191" s="21">
        <v>1</v>
      </c>
      <c r="L191" s="66" t="str">
        <f>IF(TArticle[[#This Row],[کد وضعیت سند]]&gt;0,VLOOKUP(TArticle[[#This Row],[کد وضعیت سند]],TDocState[],2,FALSE),"")</f>
        <v>انجام شد</v>
      </c>
      <c r="M191" s="67">
        <v>112</v>
      </c>
      <c r="N191" t="str">
        <f>IF(TArticle[[#This Row],[کد طرف حساب]]&gt;0,VLOOKUP(TArticle[[#This Row],[کد طرف حساب]],TContact[],2,FALSE),"")</f>
        <v>وام ملی</v>
      </c>
      <c r="O191" s="68">
        <f>IF(TArticle[[#This Row],[کد طرف حساب]]&gt;0,VLOOKUP(TArticle[[#This Row],[کد طرف حساب]],TContact[],7,FALSE)-SUMIF($M$2:M191,M191,$E$2:$E191),"")</f>
        <v>-39152</v>
      </c>
      <c r="P191" s="67" t="str">
        <f>RIGHT(TArticle[[#This Row],[تاریخ]],2)</f>
        <v>03</v>
      </c>
      <c r="Q191" s="67">
        <f>VLOOKUP(TArticle[[#This Row],[تاریخ]],TDays[],16,FALSE)</f>
        <v>37</v>
      </c>
      <c r="R191" s="67" t="str">
        <f>RIGHT(LEFT(TArticle[[#This Row],[تاریخ]],7),2)</f>
        <v>09</v>
      </c>
      <c r="S191" s="67" t="str">
        <f>LEFT(TArticle[[#This Row],[تاریخ]],4)</f>
        <v>1401</v>
      </c>
      <c r="T191" s="64"/>
      <c r="U191" s="64">
        <f>VLOOKUP(TArticle[[#This Row],[شناسه]],TAccount[],7,TRUE)</f>
        <v>81652</v>
      </c>
      <c r="V191" s="21" t="s">
        <v>411</v>
      </c>
      <c r="W191" s="64">
        <f>IF(AND(TArticle[[#This Row],[مبلغ]]&gt;0, TArticle[[#This Row],[کد وضعیت سند]]=1),TArticle[[#This Row],[مبلغ]],0)</f>
        <v>0</v>
      </c>
      <c r="X191" s="67">
        <f>IF(AND(TArticle[[#This Row],[مبلغ]]&lt;0,TArticle[[#This Row],[کد وضعیت سند]]=1),0-TArticle[[#This Row],[مبلغ]],0)</f>
        <v>1808</v>
      </c>
      <c r="Y191" s="67">
        <v>2</v>
      </c>
      <c r="Z191" t="str">
        <f>IF(TArticle[[#This Row],[کد بانک]]&gt;0,VLOOKUP(TArticle[[#This Row],[کد بانک]],TBank[],2,FALSE),"")</f>
        <v>ملی جاری</v>
      </c>
      <c r="AA191">
        <f>IF(AND(TArticle[[#This Row],[مبلغ]]&lt;0,TArticle[[#This Row],[کد وضعیت سند]]=1),0-TArticle[[#This Row],[مبلغ]],0)</f>
        <v>1808</v>
      </c>
      <c r="AB191">
        <f>IF(AND(TArticle[[#This Row],[مبلغ]]&gt;0, TArticle[[#This Row],[کد وضعیت سند]]=1),TArticle[[#This Row],[مبلغ]],0)</f>
        <v>0</v>
      </c>
      <c r="AC191" s="93">
        <f>IF(TArticle[[#This Row],[کد بانک]]&gt;0,VLOOKUP(TArticle[[#This Row],[کد بانک]],TBank[],9,FALSE)+SUMIF($Y$2:Y191,Y191,$E$2:$E191),"")</f>
        <v>42840</v>
      </c>
      <c r="AD191" s="1">
        <f>IFERROR(IF(INT(LEFT(TArticle[[#This Row],[شناسه]]))=3,IF(TArticle[[#This Row],[کد وضعیت سند]]=1,TArticle[مبلغ],0),0),0)</f>
        <v>0</v>
      </c>
      <c r="AE191" s="1">
        <f>IFERROR(IF(((TArticle[[#This Row],[شناسه]]))="4.1.1",IF(TArticle[[#This Row],[کد وضعیت سند]]=1,TArticle[مبلغ],0),0),0)</f>
        <v>0</v>
      </c>
      <c r="AF191" s="1">
        <f>IFERROR(IF(((TArticle[[#This Row],[شناسه]]))="4.1.2",IF(TArticle[[#This Row],[کد وضعیت سند]]=1,TArticle[مبلغ],0),0),0)</f>
        <v>0</v>
      </c>
      <c r="AG191" s="1">
        <f>IFERROR(IF(INT(LEFT(TArticle[[#This Row],[شناسه]]))=1,IF(TArticle[[#This Row],[کد وضعیت سند]]=1,TArticle[مبلغ],0),0),0)</f>
        <v>-1808</v>
      </c>
      <c r="AH191" s="1">
        <f>IFERROR(IF(INT(LEFT(TArticle[[#This Row],[شناسه]]))=2,IF(TArticle[[#This Row],[کد وضعیت سند]]=1,TArticle[مبلغ],0),0),0)</f>
        <v>0</v>
      </c>
      <c r="AI191" s="1">
        <f>IFERROR(IF((LEFT(TArticle[[#This Row],[شناسه]],3))="5.2",IF(TArticle[[#This Row],[کد وضعیت سند]]=1,TArticle[مبلغ],0),0),0)</f>
        <v>0</v>
      </c>
      <c r="AJ191" s="1">
        <f>IF(TArticle[[#This Row],[کد وضعیت سند]]=1,1,0)</f>
        <v>1</v>
      </c>
      <c r="AK191" s="1">
        <f>IF(AND(TArticle[[#This Row],[کد وضعیت سند]]&lt;&gt;1,TArticle[[#This Row],[مبلغ]]&lt;&gt;0),1,0)</f>
        <v>0</v>
      </c>
      <c r="AL191" s="78">
        <f>IF(TArticle[[#This Row],[کد بانک]]&gt;0,TArticle[[#This Row],[مانده بانک]]-VLOOKUP(TArticle[[#This Row],[کد بانک]],TBank[],7,FALSE),"")</f>
        <v>42840</v>
      </c>
      <c r="AM191" s="58" t="str">
        <f>LEFT(TArticle[[#This Row],[تاریخ]],7)</f>
        <v>1401-09</v>
      </c>
    </row>
    <row r="192" spans="1:39" hidden="1" x14ac:dyDescent="0.25">
      <c r="A192" s="77" t="s">
        <v>76</v>
      </c>
      <c r="B192" s="49" t="str">
        <f>VLOOKUP(TArticle[[#This Row],[شناسه]],TAccount[],2,TRUE)</f>
        <v>قسط</v>
      </c>
      <c r="C192" s="49" t="str">
        <f>VLOOKUP(TArticle[[#This Row],[تاریخ]],TDays[],7,FALSE)</f>
        <v>پنجشنبه</v>
      </c>
      <c r="D192" s="28" t="s">
        <v>445</v>
      </c>
      <c r="E192" s="1">
        <v>-2777</v>
      </c>
      <c r="F192" s="1">
        <f>TArticle[[#This Row],[مبلغ]]+IFERROR(INT(F191),30181+3667+958)</f>
        <v>51661</v>
      </c>
      <c r="H192" s="64">
        <v>27</v>
      </c>
      <c r="J192" s="65"/>
      <c r="K192" s="64">
        <v>1</v>
      </c>
      <c r="L192" s="66" t="str">
        <f>IF(TArticle[[#This Row],[کد وضعیت سند]]&gt;0,VLOOKUP(TArticle[[#This Row],[کد وضعیت سند]],TDocState[],2,FALSE),"")</f>
        <v>انجام شد</v>
      </c>
      <c r="M192" s="67">
        <v>105</v>
      </c>
      <c r="N192" t="str">
        <f>IF(TArticle[[#This Row],[کد طرف حساب]]&gt;0,VLOOKUP(TArticle[[#This Row],[کد طرف حساب]],TContact[],2,FALSE),"")</f>
        <v>وام محبوبه</v>
      </c>
      <c r="O192" s="68">
        <f>IF(TArticle[[#This Row],[کد طرف حساب]]&gt;0,VLOOKUP(TArticle[[#This Row],[کد طرف حساب]],TContact[],7,FALSE)-SUMIF($M$2:M192,M192,$E$2:$E192),"")</f>
        <v>-11344</v>
      </c>
      <c r="P192" s="67" t="str">
        <f>RIGHT(TArticle[[#This Row],[تاریخ]],2)</f>
        <v>03</v>
      </c>
      <c r="Q192" s="67">
        <f>VLOOKUP(TArticle[[#This Row],[تاریخ]],TDays[],16,FALSE)</f>
        <v>37</v>
      </c>
      <c r="R192" s="67" t="str">
        <f>RIGHT(LEFT(TArticle[[#This Row],[تاریخ]],7),2)</f>
        <v>09</v>
      </c>
      <c r="S192" s="67" t="str">
        <f>LEFT(TArticle[[#This Row],[تاریخ]],4)</f>
        <v>1401</v>
      </c>
      <c r="T192" s="64"/>
      <c r="U192" s="64">
        <f>VLOOKUP(TArticle[[#This Row],[شناسه]],TAccount[],7,TRUE)</f>
        <v>36266</v>
      </c>
      <c r="V192" s="28" t="s">
        <v>413</v>
      </c>
      <c r="W192" s="64">
        <f>IF(AND(TArticle[[#This Row],[مبلغ]]&gt;0, TArticle[[#This Row],[کد وضعیت سند]]=1),TArticle[[#This Row],[مبلغ]],0)</f>
        <v>0</v>
      </c>
      <c r="X192" s="67">
        <f>IF(AND(TArticle[[#This Row],[مبلغ]]&lt;0,TArticle[[#This Row],[کد وضعیت سند]]=1),0-TArticle[[#This Row],[مبلغ]],0)</f>
        <v>2777</v>
      </c>
      <c r="Y192" s="27">
        <v>2</v>
      </c>
      <c r="Z192" t="str">
        <f>IF(TArticle[[#This Row],[کد بانک]]&gt;0,VLOOKUP(TArticle[[#This Row],[کد بانک]],TBank[],2,FALSE),"")</f>
        <v>ملی جاری</v>
      </c>
      <c r="AA192">
        <f>IF(AND(TArticle[[#This Row],[مبلغ]]&lt;0,TArticle[[#This Row],[کد وضعیت سند]]=1),0-TArticle[[#This Row],[مبلغ]],0)</f>
        <v>2777</v>
      </c>
      <c r="AB192">
        <f>IF(AND(TArticle[[#This Row],[مبلغ]]&gt;0, TArticle[[#This Row],[کد وضعیت سند]]=1),TArticle[[#This Row],[مبلغ]],0)</f>
        <v>0</v>
      </c>
      <c r="AC192" s="93">
        <f>IF(TArticle[[#This Row],[کد بانک]]&gt;0,VLOOKUP(TArticle[[#This Row],[کد بانک]],TBank[],9,FALSE)+SUMIF($Y$2:Y192,Y192,$E$2:$E192),"")</f>
        <v>40063</v>
      </c>
      <c r="AD192" s="1">
        <f>IFERROR(IF(INT(LEFT(TArticle[[#This Row],[شناسه]]))=3,IF(TArticle[[#This Row],[کد وضعیت سند]]=1,TArticle[مبلغ],0),0),0)</f>
        <v>0</v>
      </c>
      <c r="AE192" s="1">
        <f>IFERROR(IF(((TArticle[[#This Row],[شناسه]]))="4.1.1",IF(TArticle[[#This Row],[کد وضعیت سند]]=1,TArticle[مبلغ],0),0),0)</f>
        <v>0</v>
      </c>
      <c r="AF192" s="1">
        <f>IFERROR(IF(((TArticle[[#This Row],[شناسه]]))="4.1.2",IF(TArticle[[#This Row],[کد وضعیت سند]]=1,TArticle[مبلغ],0),0),0)</f>
        <v>0</v>
      </c>
      <c r="AG192" s="1">
        <f>IFERROR(IF(INT(LEFT(TArticle[[#This Row],[شناسه]]))=1,IF(TArticle[[#This Row],[کد وضعیت سند]]=1,TArticle[مبلغ],0),0),0)</f>
        <v>-2777</v>
      </c>
      <c r="AH192" s="1">
        <f>IFERROR(IF(INT(LEFT(TArticle[[#This Row],[شناسه]]))=2,IF(TArticle[[#This Row],[کد وضعیت سند]]=1,TArticle[مبلغ],0),0),0)</f>
        <v>0</v>
      </c>
      <c r="AI192" s="1">
        <f>IFERROR(IF((LEFT(TArticle[[#This Row],[شناسه]],3))="5.2",IF(TArticle[[#This Row],[کد وضعیت سند]]=1,TArticle[مبلغ],0),0),0)</f>
        <v>0</v>
      </c>
      <c r="AJ192" s="1">
        <f>IF(TArticle[[#This Row],[کد وضعیت سند]]=1,1,0)</f>
        <v>1</v>
      </c>
      <c r="AK192" s="1">
        <f>IF(AND(TArticle[[#This Row],[کد وضعیت سند]]&lt;&gt;1,TArticle[[#This Row],[مبلغ]]&lt;&gt;0),1,0)</f>
        <v>0</v>
      </c>
      <c r="AL192" s="78">
        <f>IF(TArticle[[#This Row],[کد بانک]]&gt;0,TArticle[[#This Row],[مانده بانک]]-VLOOKUP(TArticle[[#This Row],[کد بانک]],TBank[],7,FALSE),"")</f>
        <v>40063</v>
      </c>
      <c r="AM192" s="58" t="str">
        <f>LEFT(TArticle[[#This Row],[تاریخ]],7)</f>
        <v>1401-09</v>
      </c>
    </row>
    <row r="193" spans="1:39" hidden="1" x14ac:dyDescent="0.25">
      <c r="A193" s="24" t="s">
        <v>1110</v>
      </c>
      <c r="B193" s="49" t="str">
        <f>VLOOKUP(TArticle[[#This Row],[شناسه]],TAccount[],2,TRUE)</f>
        <v>قسط وام بانکی</v>
      </c>
      <c r="C193" s="49" t="str">
        <f>VLOOKUP(TArticle[[#This Row],[تاریخ]],TDays[],7,FALSE)</f>
        <v>پنجشنبه</v>
      </c>
      <c r="D193" s="21" t="s">
        <v>445</v>
      </c>
      <c r="E193" s="1">
        <v>-278</v>
      </c>
      <c r="F193" s="1">
        <f>TArticle[[#This Row],[مبلغ]]+IFERROR(INT(F192),30181+3667+958)</f>
        <v>51383</v>
      </c>
      <c r="G193" t="s">
        <v>1109</v>
      </c>
      <c r="H193" s="21">
        <v>35</v>
      </c>
      <c r="K193" s="21">
        <v>1</v>
      </c>
      <c r="L193" t="str">
        <f>IF(TArticle[[#This Row],[کد وضعیت سند]]&gt;0,VLOOKUP(TArticle[[#This Row],[کد وضعیت سند]],TDocState[],2,FALSE),"")</f>
        <v>انجام شد</v>
      </c>
      <c r="M193" s="27">
        <v>104</v>
      </c>
      <c r="N193" t="str">
        <f>IF(TArticle[[#This Row],[کد طرف حساب]]&gt;0,VLOOKUP(TArticle[[#This Row],[کد طرف حساب]],TContact[],2,FALSE),"")</f>
        <v>وام ملی ف</v>
      </c>
      <c r="O193" s="61">
        <f>IF(TArticle[[#This Row],[کد طرف حساب]]&gt;0,VLOOKUP(TArticle[[#This Row],[کد طرف حساب]],TContact[],7,FALSE)-SUMIF($M$2:M193,M193,$E$2:$E193),"")</f>
        <v>-270</v>
      </c>
      <c r="P193" s="27" t="str">
        <f>RIGHT(TArticle[[#This Row],[تاریخ]],2)</f>
        <v>03</v>
      </c>
      <c r="Q193" s="27">
        <f>VLOOKUP(TArticle[[#This Row],[تاریخ]],TDays[],16,FALSE)</f>
        <v>37</v>
      </c>
      <c r="R193" s="27" t="str">
        <f>RIGHT(LEFT(TArticle[[#This Row],[تاریخ]],7),2)</f>
        <v>09</v>
      </c>
      <c r="S193" s="27" t="str">
        <f>LEFT(TArticle[[#This Row],[تاریخ]],4)</f>
        <v>1401</v>
      </c>
      <c r="U193" s="21">
        <f>VLOOKUP(TArticle[[#This Row],[شناسه]],TAccount[],7,TRUE)</f>
        <v>81652</v>
      </c>
      <c r="V193" s="21" t="s">
        <v>424</v>
      </c>
      <c r="W193" s="21">
        <f>IF(AND(TArticle[[#This Row],[مبلغ]]&gt;0, TArticle[[#This Row],[کد وضعیت سند]]=1),TArticle[[#This Row],[مبلغ]],0)</f>
        <v>0</v>
      </c>
      <c r="X193" s="27">
        <f>IF(AND(TArticle[[#This Row],[مبلغ]]&lt;0,TArticle[[#This Row],[کد وضعیت سند]]=1),0-TArticle[[#This Row],[مبلغ]],0)</f>
        <v>278</v>
      </c>
      <c r="Y193" s="27">
        <v>2</v>
      </c>
      <c r="Z193" t="str">
        <f>IF(TArticle[[#This Row],[کد بانک]]&gt;0,VLOOKUP(TArticle[[#This Row],[کد بانک]],TBank[],2,FALSE),"")</f>
        <v>ملی جاری</v>
      </c>
      <c r="AA193">
        <f>IF(AND(TArticle[[#This Row],[مبلغ]]&lt;0,TArticle[[#This Row],[کد وضعیت سند]]=1),0-TArticle[[#This Row],[مبلغ]],0)</f>
        <v>278</v>
      </c>
      <c r="AB193">
        <f>IF(AND(TArticle[[#This Row],[مبلغ]]&gt;0, TArticle[[#This Row],[کد وضعیت سند]]=1),TArticle[[#This Row],[مبلغ]],0)</f>
        <v>0</v>
      </c>
      <c r="AC193" s="84">
        <f>IF(TArticle[[#This Row],[کد بانک]]&gt;0,VLOOKUP(TArticle[[#This Row],[کد بانک]],TBank[],9,FALSE)+SUMIF($Y$2:Y193,Y193,$E$2:$E193),"")</f>
        <v>39785</v>
      </c>
      <c r="AD193" s="1">
        <f>IFERROR(IF(INT(LEFT(TArticle[[#This Row],[شناسه]]))=3,IF(TArticle[[#This Row],[کد وضعیت سند]]=1,TArticle[مبلغ],0),0),0)</f>
        <v>0</v>
      </c>
      <c r="AE193" s="1">
        <f>IFERROR(IF(((TArticle[[#This Row],[شناسه]]))="4.1.1",IF(TArticle[[#This Row],[کد وضعیت سند]]=1,TArticle[مبلغ],0),0),0)</f>
        <v>0</v>
      </c>
      <c r="AF193" s="1">
        <f>IFERROR(IF(((TArticle[[#This Row],[شناسه]]))="4.1.2",IF(TArticle[[#This Row],[کد وضعیت سند]]=1,TArticle[مبلغ],0),0),0)</f>
        <v>0</v>
      </c>
      <c r="AG193" s="1">
        <f>IFERROR(IF(INT(LEFT(TArticle[[#This Row],[شناسه]]))=1,IF(TArticle[[#This Row],[کد وضعیت سند]]=1,TArticle[مبلغ],0),0),0)</f>
        <v>-278</v>
      </c>
      <c r="AH193" s="1">
        <f>IFERROR(IF(INT(LEFT(TArticle[[#This Row],[شناسه]]))=2,IF(TArticle[[#This Row],[کد وضعیت سند]]=1,TArticle[مبلغ],0),0),0)</f>
        <v>0</v>
      </c>
      <c r="AI193" s="1">
        <f>IFERROR(IF((LEFT(TArticle[[#This Row],[شناسه]],3))="5.2",IF(TArticle[[#This Row],[کد وضعیت سند]]=1,TArticle[مبلغ],0),0),0)</f>
        <v>0</v>
      </c>
      <c r="AJ193" s="1">
        <f>IF(TArticle[[#This Row],[کد وضعیت سند]]=1,1,0)</f>
        <v>1</v>
      </c>
      <c r="AK193" s="1">
        <f>IF(AND(TArticle[[#This Row],[کد وضعیت سند]]&lt;&gt;1,TArticle[[#This Row],[مبلغ]]&lt;&gt;0),1,0)</f>
        <v>0</v>
      </c>
      <c r="AL193" s="51">
        <f>IF(TArticle[[#This Row],[کد بانک]]&gt;0,TArticle[[#This Row],[مانده بانک]]-VLOOKUP(TArticle[[#This Row],[کد بانک]],TBank[],7,FALSE),"")</f>
        <v>39785</v>
      </c>
      <c r="AM193" s="58" t="str">
        <f>LEFT(TArticle[[#This Row],[تاریخ]],7)</f>
        <v>1401-09</v>
      </c>
    </row>
    <row r="194" spans="1:39" hidden="1" x14ac:dyDescent="0.25">
      <c r="A194" s="24" t="s">
        <v>1107</v>
      </c>
      <c r="B194" s="49" t="str">
        <f>VLOOKUP(TArticle[[#This Row],[شناسه]],TAccount[],2,TRUE)</f>
        <v>سود وام</v>
      </c>
      <c r="C194" s="49" t="str">
        <f>VLOOKUP(TArticle[[#This Row],[تاریخ]],TDays[],7,FALSE)</f>
        <v>پنجشنبه</v>
      </c>
      <c r="D194" s="21" t="s">
        <v>445</v>
      </c>
      <c r="E194" s="1">
        <v>-84</v>
      </c>
      <c r="F194" s="1">
        <f>TArticle[[#This Row],[مبلغ]]+IFERROR(INT(F193),30181+3667+958)</f>
        <v>51299</v>
      </c>
      <c r="G194" t="s">
        <v>1109</v>
      </c>
      <c r="H194" s="21">
        <v>35</v>
      </c>
      <c r="K194" s="21">
        <v>1</v>
      </c>
      <c r="L194" t="str">
        <f>IF(TArticle[[#This Row],[کد وضعیت سند]]&gt;0,VLOOKUP(TArticle[[#This Row],[کد وضعیت سند]],TDocState[],2,FALSE),"")</f>
        <v>انجام شد</v>
      </c>
      <c r="M194" s="27">
        <v>104.1</v>
      </c>
      <c r="N194" t="str">
        <f>IF(TArticle[[#This Row],[کد طرف حساب]]&gt;0,VLOOKUP(TArticle[[#This Row],[کد طرف حساب]],TContact[],2,FALSE),"")</f>
        <v>وام ملی ف - سود</v>
      </c>
      <c r="O194" s="61">
        <f>IF(TArticle[[#This Row],[کد طرف حساب]]&gt;0,VLOOKUP(TArticle[[#This Row],[کد طرف حساب]],TContact[],7,FALSE)-SUMIF($M$2:M194,M194,$E$2:$E194),"")</f>
        <v>7</v>
      </c>
      <c r="P194" s="27" t="str">
        <f>RIGHT(TArticle[[#This Row],[تاریخ]],2)</f>
        <v>03</v>
      </c>
      <c r="Q194" s="27">
        <f>VLOOKUP(TArticle[[#This Row],[تاریخ]],TDays[],16,FALSE)</f>
        <v>37</v>
      </c>
      <c r="R194" s="27" t="str">
        <f>RIGHT(LEFT(TArticle[[#This Row],[تاریخ]],7),2)</f>
        <v>09</v>
      </c>
      <c r="S194" s="27" t="str">
        <f>LEFT(TArticle[[#This Row],[تاریخ]],4)</f>
        <v>1401</v>
      </c>
      <c r="U194" s="21">
        <f>VLOOKUP(TArticle[[#This Row],[شناسه]],TAccount[],7,TRUE)</f>
        <v>9163</v>
      </c>
      <c r="V194" s="21" t="s">
        <v>424</v>
      </c>
      <c r="W194" s="21">
        <f>IF(AND(TArticle[[#This Row],[مبلغ]]&gt;0, TArticle[[#This Row],[کد وضعیت سند]]=1),TArticle[[#This Row],[مبلغ]],0)</f>
        <v>0</v>
      </c>
      <c r="X194" s="27">
        <f>IF(AND(TArticle[[#This Row],[مبلغ]]&lt;0,TArticle[[#This Row],[کد وضعیت سند]]=1),0-TArticle[[#This Row],[مبلغ]],0)</f>
        <v>84</v>
      </c>
      <c r="Y194" s="27">
        <v>2</v>
      </c>
      <c r="Z194" t="str">
        <f>IF(TArticle[[#This Row],[کد بانک]]&gt;0,VLOOKUP(TArticle[[#This Row],[کد بانک]],TBank[],2,FALSE),"")</f>
        <v>ملی جاری</v>
      </c>
      <c r="AA194">
        <f>IF(AND(TArticle[[#This Row],[مبلغ]]&lt;0,TArticle[[#This Row],[کد وضعیت سند]]=1),0-TArticle[[#This Row],[مبلغ]],0)</f>
        <v>84</v>
      </c>
      <c r="AB194">
        <f>IF(AND(TArticle[[#This Row],[مبلغ]]&gt;0, TArticle[[#This Row],[کد وضعیت سند]]=1),TArticle[[#This Row],[مبلغ]],0)</f>
        <v>0</v>
      </c>
      <c r="AC194" s="84">
        <f>IF(TArticle[[#This Row],[کد بانک]]&gt;0,VLOOKUP(TArticle[[#This Row],[کد بانک]],TBank[],9,FALSE)+SUMIF($Y$2:Y194,Y194,$E$2:$E194),"")</f>
        <v>39701</v>
      </c>
      <c r="AD194" s="1">
        <f>IFERROR(IF(INT(LEFT(TArticle[[#This Row],[شناسه]]))=3,IF(TArticle[[#This Row],[کد وضعیت سند]]=1,TArticle[مبلغ],0),0),0)</f>
        <v>-84</v>
      </c>
      <c r="AE194" s="1">
        <f>IFERROR(IF(((TArticle[[#This Row],[شناسه]]))="4.1.1",IF(TArticle[[#This Row],[کد وضعیت سند]]=1,TArticle[مبلغ],0),0),0)</f>
        <v>0</v>
      </c>
      <c r="AF194" s="1">
        <f>IFERROR(IF(((TArticle[[#This Row],[شناسه]]))="4.1.2",IF(TArticle[[#This Row],[کد وضعیت سند]]=1,TArticle[مبلغ],0),0),0)</f>
        <v>0</v>
      </c>
      <c r="AG194" s="1">
        <f>IFERROR(IF(INT(LEFT(TArticle[[#This Row],[شناسه]]))=1,IF(TArticle[[#This Row],[کد وضعیت سند]]=1,TArticle[مبلغ],0),0),0)</f>
        <v>0</v>
      </c>
      <c r="AH194" s="1">
        <f>IFERROR(IF(INT(LEFT(TArticle[[#This Row],[شناسه]]))=2,IF(TArticle[[#This Row],[کد وضعیت سند]]=1,TArticle[مبلغ],0),0),0)</f>
        <v>0</v>
      </c>
      <c r="AI194" s="1">
        <f>IFERROR(IF((LEFT(TArticle[[#This Row],[شناسه]],3))="5.2",IF(TArticle[[#This Row],[کد وضعیت سند]]=1,TArticle[مبلغ],0),0),0)</f>
        <v>0</v>
      </c>
      <c r="AJ194" s="1">
        <f>IF(TArticle[[#This Row],[کد وضعیت سند]]=1,1,0)</f>
        <v>1</v>
      </c>
      <c r="AK194" s="1">
        <f>IF(AND(TArticle[[#This Row],[کد وضعیت سند]]&lt;&gt;1,TArticle[[#This Row],[مبلغ]]&lt;&gt;0),1,0)</f>
        <v>0</v>
      </c>
      <c r="AL194" s="51">
        <f>IF(TArticle[[#This Row],[کد بانک]]&gt;0,TArticle[[#This Row],[مانده بانک]]-VLOOKUP(TArticle[[#This Row],[کد بانک]],TBank[],7,FALSE),"")</f>
        <v>39701</v>
      </c>
      <c r="AM194" s="58" t="str">
        <f>LEFT(TArticle[[#This Row],[تاریخ]],7)</f>
        <v>1401-09</v>
      </c>
    </row>
    <row r="195" spans="1:39" hidden="1" x14ac:dyDescent="0.25">
      <c r="A195" s="24" t="s">
        <v>1008</v>
      </c>
      <c r="B195" s="49" t="str">
        <f>VLOOKUP(TArticle[[#This Row],[شناسه]],TAccount[],2,TRUE)</f>
        <v>حواله پرداخت/برداشت</v>
      </c>
      <c r="C195" s="49" t="str">
        <f>VLOOKUP(TArticle[[#This Row],[تاریخ]],TDays[],7,FALSE)</f>
        <v>پنجشنبه</v>
      </c>
      <c r="D195" s="21" t="s">
        <v>445</v>
      </c>
      <c r="E195" s="1">
        <v>-10000</v>
      </c>
      <c r="F195" s="1">
        <f>TArticle[[#This Row],[مبلغ]]+IFERROR(INT(F194),30181+3667+958)</f>
        <v>41299</v>
      </c>
      <c r="K195" s="21">
        <v>1</v>
      </c>
      <c r="L195" t="str">
        <f>IF(TArticle[[#This Row],[کد وضعیت سند]]&gt;0,VLOOKUP(TArticle[[#This Row],[کد وضعیت سند]],TDocState[],2,FALSE),"")</f>
        <v>انجام شد</v>
      </c>
      <c r="N195" t="str">
        <f>IF(TArticle[[#This Row],[کد طرف حساب]]&gt;0,VLOOKUP(TArticle[[#This Row],[کد طرف حساب]],TContact[],2,FALSE),"")</f>
        <v/>
      </c>
      <c r="O195" s="61" t="str">
        <f>IF(TArticle[[#This Row],[کد طرف حساب]]&gt;0,VLOOKUP(TArticle[[#This Row],[کد طرف حساب]],TContact[],7,FALSE)-SUMIF($M$2:M195,M195,$E$2:$E195),"")</f>
        <v/>
      </c>
      <c r="P195" s="27" t="str">
        <f>RIGHT(TArticle[[#This Row],[تاریخ]],2)</f>
        <v>03</v>
      </c>
      <c r="Q195" s="27">
        <f>VLOOKUP(TArticle[[#This Row],[تاریخ]],TDays[],16,FALSE)</f>
        <v>37</v>
      </c>
      <c r="R195" s="27" t="str">
        <f>RIGHT(LEFT(TArticle[[#This Row],[تاریخ]],7),2)</f>
        <v>09</v>
      </c>
      <c r="S195" s="27" t="str">
        <f>LEFT(TArticle[[#This Row],[تاریخ]],4)</f>
        <v>1401</v>
      </c>
      <c r="U195" s="21">
        <f>VLOOKUP(TArticle[[#This Row],[شناسه]],TAccount[],7,TRUE)</f>
        <v>179525</v>
      </c>
      <c r="W195" s="21">
        <f>IF(AND(TArticle[[#This Row],[مبلغ]]&gt;0, TArticle[[#This Row],[کد وضعیت سند]]=1),TArticle[[#This Row],[مبلغ]],0)</f>
        <v>0</v>
      </c>
      <c r="X195" s="27">
        <f>IF(AND(TArticle[[#This Row],[مبلغ]]&lt;0,TArticle[[#This Row],[کد وضعیت سند]]=1),0-TArticle[[#This Row],[مبلغ]],0)</f>
        <v>10000</v>
      </c>
      <c r="Y195" s="27">
        <v>2</v>
      </c>
      <c r="Z195" t="str">
        <f>IF(TArticle[[#This Row],[کد بانک]]&gt;0,VLOOKUP(TArticle[[#This Row],[کد بانک]],TBank[],2,FALSE),"")</f>
        <v>ملی جاری</v>
      </c>
      <c r="AA195">
        <f>IF(AND(TArticle[[#This Row],[مبلغ]]&lt;0,TArticle[[#This Row],[کد وضعیت سند]]=1),0-TArticle[[#This Row],[مبلغ]],0)</f>
        <v>10000</v>
      </c>
      <c r="AB195">
        <f>IF(AND(TArticle[[#This Row],[مبلغ]]&gt;0, TArticle[[#This Row],[کد وضعیت سند]]=1),TArticle[[#This Row],[مبلغ]],0)</f>
        <v>0</v>
      </c>
      <c r="AC195" s="84">
        <f>IF(TArticle[[#This Row],[کد بانک]]&gt;0,VLOOKUP(TArticle[[#This Row],[کد بانک]],TBank[],9,FALSE)+SUMIF($Y$2:Y195,Y195,$E$2:$E195),"")</f>
        <v>29701</v>
      </c>
      <c r="AD195" s="1">
        <f>IFERROR(IF(INT(LEFT(TArticle[[#This Row],[شناسه]]))=3,IF(TArticle[[#This Row],[کد وضعیت سند]]=1,TArticle[مبلغ],0),0),0)</f>
        <v>0</v>
      </c>
      <c r="AE195" s="1">
        <f>IFERROR(IF(((TArticle[[#This Row],[شناسه]]))="4.1.1",IF(TArticle[[#This Row],[کد وضعیت سند]]=1,TArticle[مبلغ],0),0),0)</f>
        <v>0</v>
      </c>
      <c r="AF195" s="1">
        <f>IFERROR(IF(((TArticle[[#This Row],[شناسه]]))="4.1.2",IF(TArticle[[#This Row],[کد وضعیت سند]]=1,TArticle[مبلغ],0),0),0)</f>
        <v>0</v>
      </c>
      <c r="AG195" s="1">
        <f>IFERROR(IF(INT(LEFT(TArticle[[#This Row],[شناسه]]))=1,IF(TArticle[[#This Row],[کد وضعیت سند]]=1,TArticle[مبلغ],0),0),0)</f>
        <v>0</v>
      </c>
      <c r="AH195" s="1">
        <f>IFERROR(IF(INT(LEFT(TArticle[[#This Row],[شناسه]]))=2,IF(TArticle[[#This Row],[کد وضعیت سند]]=1,TArticle[مبلغ],0),0),0)</f>
        <v>0</v>
      </c>
      <c r="AI195" s="1">
        <f>IFERROR(IF((LEFT(TArticle[[#This Row],[شناسه]],3))="5.2",IF(TArticle[[#This Row],[کد وضعیت سند]]=1,TArticle[مبلغ],0),0),0)</f>
        <v>0</v>
      </c>
      <c r="AJ195" s="1">
        <f>IF(TArticle[[#This Row],[کد وضعیت سند]]=1,1,0)</f>
        <v>1</v>
      </c>
      <c r="AK195" s="1">
        <f>IF(AND(TArticle[[#This Row],[کد وضعیت سند]]&lt;&gt;1,TArticle[[#This Row],[مبلغ]]&lt;&gt;0),1,0)</f>
        <v>0</v>
      </c>
      <c r="AL195" s="51">
        <f>IF(TArticle[[#This Row],[کد بانک]]&gt;0,TArticle[[#This Row],[مانده بانک]]-VLOOKUP(TArticle[[#This Row],[کد بانک]],TBank[],7,FALSE),"")</f>
        <v>29701</v>
      </c>
      <c r="AM195" s="49" t="str">
        <f>LEFT(TArticle[[#This Row],[تاریخ]],7)</f>
        <v>1401-09</v>
      </c>
    </row>
    <row r="196" spans="1:39" hidden="1" x14ac:dyDescent="0.25">
      <c r="A196" s="24" t="s">
        <v>112</v>
      </c>
      <c r="B196" s="49" t="str">
        <f>VLOOKUP(TArticle[[#This Row],[شناسه]],TAccount[],2,TRUE)</f>
        <v>رسید دریافت/واریز</v>
      </c>
      <c r="C196" s="49" t="str">
        <f>VLOOKUP(TArticle[[#This Row],[تاریخ]],TDays[],7,FALSE)</f>
        <v>پنجشنبه</v>
      </c>
      <c r="D196" s="21" t="s">
        <v>445</v>
      </c>
      <c r="E196" s="1">
        <v>10000</v>
      </c>
      <c r="F196" s="1">
        <f>TArticle[[#This Row],[مبلغ]]+IFERROR(INT(F195),30181+3667+958)</f>
        <v>51299</v>
      </c>
      <c r="K196" s="21">
        <v>1</v>
      </c>
      <c r="L196" t="str">
        <f>IF(TArticle[[#This Row],[کد وضعیت سند]]&gt;0,VLOOKUP(TArticle[[#This Row],[کد وضعیت سند]],TDocState[],2,FALSE),"")</f>
        <v>انجام شد</v>
      </c>
      <c r="N196" t="str">
        <f>IF(TArticle[[#This Row],[کد طرف حساب]]&gt;0,VLOOKUP(TArticle[[#This Row],[کد طرف حساب]],TContact[],2,FALSE),"")</f>
        <v/>
      </c>
      <c r="O196" s="61" t="str">
        <f>IF(TArticle[[#This Row],[کد طرف حساب]]&gt;0,VLOOKUP(TArticle[[#This Row],[کد طرف حساب]],TContact[],7,FALSE)-SUMIF($M$2:M196,M196,$E$2:$E196),"")</f>
        <v/>
      </c>
      <c r="P196" s="27" t="str">
        <f>RIGHT(TArticle[[#This Row],[تاریخ]],2)</f>
        <v>03</v>
      </c>
      <c r="Q196" s="27">
        <f>VLOOKUP(TArticle[[#This Row],[تاریخ]],TDays[],16,FALSE)</f>
        <v>37</v>
      </c>
      <c r="R196" s="27" t="str">
        <f>RIGHT(LEFT(TArticle[[#This Row],[تاریخ]],7),2)</f>
        <v>09</v>
      </c>
      <c r="S196" s="27" t="str">
        <f>LEFT(TArticle[[#This Row],[تاریخ]],4)</f>
        <v>1401</v>
      </c>
      <c r="U196" s="21">
        <f>VLOOKUP(TArticle[[#This Row],[شناسه]],TAccount[],7,TRUE)</f>
        <v>257767</v>
      </c>
      <c r="W196" s="21">
        <f>IF(AND(TArticle[[#This Row],[مبلغ]]&gt;0, TArticle[[#This Row],[کد وضعیت سند]]=1),TArticle[[#This Row],[مبلغ]],0)</f>
        <v>10000</v>
      </c>
      <c r="X196" s="27">
        <f>IF(AND(TArticle[[#This Row],[مبلغ]]&lt;0,TArticle[[#This Row],[کد وضعیت سند]]=1),0-TArticle[[#This Row],[مبلغ]],0)</f>
        <v>0</v>
      </c>
      <c r="Y196" s="27">
        <v>4</v>
      </c>
      <c r="Z196" t="str">
        <f>IF(TArticle[[#This Row],[کد بانک]]&gt;0,VLOOKUP(TArticle[[#This Row],[کد بانک]],TBank[],2,FALSE),"")</f>
        <v>سپه</v>
      </c>
      <c r="AA196">
        <f>IF(AND(TArticle[[#This Row],[مبلغ]]&lt;0,TArticle[[#This Row],[کد وضعیت سند]]=1),0-TArticle[[#This Row],[مبلغ]],0)</f>
        <v>0</v>
      </c>
      <c r="AB196">
        <f>IF(AND(TArticle[[#This Row],[مبلغ]]&gt;0, TArticle[[#This Row],[کد وضعیت سند]]=1),TArticle[[#This Row],[مبلغ]],0)</f>
        <v>10000</v>
      </c>
      <c r="AC196" s="84">
        <f>IF(TArticle[[#This Row],[کد بانک]]&gt;0,VLOOKUP(TArticle[[#This Row],[کد بانک]],TBank[],9,FALSE)+SUMIF($Y$2:Y196,Y196,$E$2:$E196),"")</f>
        <v>11202</v>
      </c>
      <c r="AD196" s="1">
        <f>IFERROR(IF(INT(LEFT(TArticle[[#This Row],[شناسه]]))=3,IF(TArticle[[#This Row],[کد وضعیت سند]]=1,TArticle[مبلغ],0),0),0)</f>
        <v>0</v>
      </c>
      <c r="AE196" s="1">
        <f>IFERROR(IF(((TArticle[[#This Row],[شناسه]]))="4.1.1",IF(TArticle[[#This Row],[کد وضعیت سند]]=1,TArticle[مبلغ],0),0),0)</f>
        <v>0</v>
      </c>
      <c r="AF196" s="1">
        <f>IFERROR(IF(((TArticle[[#This Row],[شناسه]]))="4.1.2",IF(TArticle[[#This Row],[کد وضعیت سند]]=1,TArticle[مبلغ],0),0),0)</f>
        <v>0</v>
      </c>
      <c r="AG196" s="1">
        <f>IFERROR(IF(INT(LEFT(TArticle[[#This Row],[شناسه]]))=1,IF(TArticle[[#This Row],[کد وضعیت سند]]=1,TArticle[مبلغ],0),0),0)</f>
        <v>0</v>
      </c>
      <c r="AH196" s="1">
        <f>IFERROR(IF(INT(LEFT(TArticle[[#This Row],[شناسه]]))=2,IF(TArticle[[#This Row],[کد وضعیت سند]]=1,TArticle[مبلغ],0),0),0)</f>
        <v>0</v>
      </c>
      <c r="AI196" s="1">
        <f>IFERROR(IF((LEFT(TArticle[[#This Row],[شناسه]],3))="5.2",IF(TArticle[[#This Row],[کد وضعیت سند]]=1,TArticle[مبلغ],0),0),0)</f>
        <v>0</v>
      </c>
      <c r="AJ196" s="1">
        <f>IF(TArticle[[#This Row],[کد وضعیت سند]]=1,1,0)</f>
        <v>1</v>
      </c>
      <c r="AK196" s="1">
        <f>IF(AND(TArticle[[#This Row],[کد وضعیت سند]]&lt;&gt;1,TArticle[[#This Row],[مبلغ]]&lt;&gt;0),1,0)</f>
        <v>0</v>
      </c>
      <c r="AL196" s="51">
        <f>IF(TArticle[[#This Row],[کد بانک]]&gt;0,TArticle[[#This Row],[مانده بانک]]-VLOOKUP(TArticle[[#This Row],[کد بانک]],TBank[],7,FALSE),"")</f>
        <v>11200</v>
      </c>
      <c r="AM196" s="49" t="str">
        <f>LEFT(TArticle[[#This Row],[تاریخ]],7)</f>
        <v>1401-09</v>
      </c>
    </row>
    <row r="197" spans="1:39" hidden="1" x14ac:dyDescent="0.25">
      <c r="A197" s="24" t="s">
        <v>78</v>
      </c>
      <c r="B197" s="49" t="str">
        <f>VLOOKUP(TArticle[[#This Row],[شناسه]],TAccount[],2,TRUE)</f>
        <v>چک</v>
      </c>
      <c r="C197" s="49" t="str">
        <f>VLOOKUP(TArticle[[#This Row],[تاریخ]],TDays[],7,FALSE)</f>
        <v>شنبه</v>
      </c>
      <c r="D197" s="21" t="s">
        <v>447</v>
      </c>
      <c r="E197" s="1">
        <v>-10000</v>
      </c>
      <c r="F197" s="1">
        <f>TArticle[[#This Row],[مبلغ]]+IFERROR(INT(F196),30181+3667+958)</f>
        <v>41299</v>
      </c>
      <c r="G197" t="s">
        <v>1661</v>
      </c>
      <c r="K197" s="21">
        <v>1</v>
      </c>
      <c r="L197" t="str">
        <f>IF(TArticle[[#This Row],[کد وضعیت سند]]&gt;0,VLOOKUP(TArticle[[#This Row],[کد وضعیت سند]],TDocState[],2,FALSE),"")</f>
        <v>انجام شد</v>
      </c>
      <c r="M197" s="27">
        <v>2</v>
      </c>
      <c r="N197" t="str">
        <f>IF(TArticle[[#This Row],[کد طرف حساب]]&gt;0,VLOOKUP(TArticle[[#This Row],[کد طرف حساب]],TContact[],2,FALSE),"")</f>
        <v>حامد</v>
      </c>
      <c r="O197" s="61">
        <f>IF(TArticle[[#This Row],[کد طرف حساب]]&gt;0,VLOOKUP(TArticle[[#This Row],[کد طرف حساب]],TContact[],7,FALSE)-SUMIF($M$2:M197,M197,$E$2:$E197),"")</f>
        <v>0</v>
      </c>
      <c r="P197" s="27" t="str">
        <f>RIGHT(TArticle[[#This Row],[تاریخ]],2)</f>
        <v>05</v>
      </c>
      <c r="Q197" s="27">
        <f>VLOOKUP(TArticle[[#This Row],[تاریخ]],TDays[],16,FALSE)</f>
        <v>37</v>
      </c>
      <c r="R197" s="27" t="str">
        <f>RIGHT(LEFT(TArticle[[#This Row],[تاریخ]],7),2)</f>
        <v>09</v>
      </c>
      <c r="S197" s="27" t="str">
        <f>LEFT(TArticle[[#This Row],[تاریخ]],4)</f>
        <v>1401</v>
      </c>
      <c r="U197" s="21">
        <f>VLOOKUP(TArticle[[#This Row],[شناسه]],TAccount[],7,TRUE)</f>
        <v>57000</v>
      </c>
      <c r="W197" s="21">
        <f>IF(AND(TArticle[[#This Row],[مبلغ]]&gt;0, TArticle[[#This Row],[کد وضعیت سند]]=1),TArticle[[#This Row],[مبلغ]],0)</f>
        <v>0</v>
      </c>
      <c r="X197" s="27">
        <f>IF(AND(TArticle[[#This Row],[مبلغ]]&lt;0,TArticle[[#This Row],[کد وضعیت سند]]=1),0-TArticle[[#This Row],[مبلغ]],0)</f>
        <v>10000</v>
      </c>
      <c r="Y197" s="27">
        <v>4</v>
      </c>
      <c r="Z197" t="str">
        <f>IF(TArticle[[#This Row],[کد بانک]]&gt;0,VLOOKUP(TArticle[[#This Row],[کد بانک]],TBank[],2,FALSE),"")</f>
        <v>سپه</v>
      </c>
      <c r="AA197">
        <f>IF(AND(TArticle[[#This Row],[مبلغ]]&lt;0,TArticle[[#This Row],[کد وضعیت سند]]=1),0-TArticle[[#This Row],[مبلغ]],0)</f>
        <v>10000</v>
      </c>
      <c r="AB197">
        <f>IF(AND(TArticle[[#This Row],[مبلغ]]&gt;0, TArticle[[#This Row],[کد وضعیت سند]]=1),TArticle[[#This Row],[مبلغ]],0)</f>
        <v>0</v>
      </c>
      <c r="AC197" s="84">
        <f>IF(TArticle[[#This Row],[کد بانک]]&gt;0,VLOOKUP(TArticle[[#This Row],[کد بانک]],TBank[],9,FALSE)+SUMIF($Y$2:Y197,Y197,$E$2:$E197),"")</f>
        <v>1202</v>
      </c>
      <c r="AD197" s="1">
        <f>IFERROR(IF(INT(LEFT(TArticle[[#This Row],[شناسه]]))=3,IF(TArticle[[#This Row],[کد وضعیت سند]]=1,TArticle[مبلغ],0),0),0)</f>
        <v>0</v>
      </c>
      <c r="AE197" s="1">
        <f>IFERROR(IF(((TArticle[[#This Row],[شناسه]]))="4.1.1",IF(TArticle[[#This Row],[کد وضعیت سند]]=1,TArticle[مبلغ],0),0),0)</f>
        <v>0</v>
      </c>
      <c r="AF197" s="1">
        <f>IFERROR(IF(((TArticle[[#This Row],[شناسه]]))="4.1.2",IF(TArticle[[#This Row],[کد وضعیت سند]]=1,TArticle[مبلغ],0),0),0)</f>
        <v>0</v>
      </c>
      <c r="AG197" s="1">
        <f>IFERROR(IF(INT(LEFT(TArticle[[#This Row],[شناسه]]))=1,IF(TArticle[[#This Row],[کد وضعیت سند]]=1,TArticle[مبلغ],0),0),0)</f>
        <v>-10000</v>
      </c>
      <c r="AH197" s="1">
        <f>IFERROR(IF(INT(LEFT(TArticle[[#This Row],[شناسه]]))=2,IF(TArticle[[#This Row],[کد وضعیت سند]]=1,TArticle[مبلغ],0),0),0)</f>
        <v>0</v>
      </c>
      <c r="AI197" s="1">
        <f>IFERROR(IF((LEFT(TArticle[[#This Row],[شناسه]],3))="5.2",IF(TArticle[[#This Row],[کد وضعیت سند]]=1,TArticle[مبلغ],0),0),0)</f>
        <v>0</v>
      </c>
      <c r="AJ197" s="1">
        <f>IF(TArticle[[#This Row],[کد وضعیت سند]]=1,1,0)</f>
        <v>1</v>
      </c>
      <c r="AK197" s="1">
        <f>IF(AND(TArticle[[#This Row],[کد وضعیت سند]]&lt;&gt;1,TArticle[[#This Row],[مبلغ]]&lt;&gt;0),1,0)</f>
        <v>0</v>
      </c>
      <c r="AL197" s="51">
        <f>IF(TArticle[[#This Row],[کد بانک]]&gt;0,TArticle[[#This Row],[مانده بانک]]-VLOOKUP(TArticle[[#This Row],[کد بانک]],TBank[],7,FALSE),"")</f>
        <v>1200</v>
      </c>
      <c r="AM197" s="49" t="str">
        <f>LEFT(TArticle[[#This Row],[تاریخ]],7)</f>
        <v>1401-09</v>
      </c>
    </row>
    <row r="198" spans="1:39" hidden="1" x14ac:dyDescent="0.25">
      <c r="A198" s="24" t="s">
        <v>55</v>
      </c>
      <c r="B198" s="49" t="str">
        <f>VLOOKUP(TArticle[[#This Row],[شناسه]],TAccount[],2,TRUE)</f>
        <v>هزینه کلی</v>
      </c>
      <c r="C198" s="49" t="str">
        <f>VLOOKUP(TArticle[[#This Row],[تاریخ]],TDays[],7,FALSE)</f>
        <v>شنبه</v>
      </c>
      <c r="D198" s="21" t="s">
        <v>447</v>
      </c>
      <c r="E198" s="1">
        <v>-1200</v>
      </c>
      <c r="F198" s="1">
        <f>TArticle[[#This Row],[مبلغ]]+IFERROR(INT(F197),30181+3667+958)</f>
        <v>40099</v>
      </c>
      <c r="K198" s="21">
        <v>1</v>
      </c>
      <c r="L198" t="str">
        <f>IF(TArticle[[#This Row],[کد وضعیت سند]]&gt;0,VLOOKUP(TArticle[[#This Row],[کد وضعیت سند]],TDocState[],2,FALSE),"")</f>
        <v>انجام شد</v>
      </c>
      <c r="N198" t="str">
        <f>IF(TArticle[[#This Row],[کد طرف حساب]]&gt;0,VLOOKUP(TArticle[[#This Row],[کد طرف حساب]],TContact[],2,FALSE),"")</f>
        <v/>
      </c>
      <c r="O198" s="61" t="str">
        <f>IF(TArticle[[#This Row],[کد طرف حساب]]&gt;0,VLOOKUP(TArticle[[#This Row],[کد طرف حساب]],TContact[],7,FALSE)-SUMIF($M$2:M198,M198,$E$2:$E198),"")</f>
        <v/>
      </c>
      <c r="P198" s="27" t="str">
        <f>RIGHT(TArticle[[#This Row],[تاریخ]],2)</f>
        <v>05</v>
      </c>
      <c r="Q198" s="27">
        <f>VLOOKUP(TArticle[[#This Row],[تاریخ]],TDays[],16,FALSE)</f>
        <v>37</v>
      </c>
      <c r="R198" s="27" t="str">
        <f>RIGHT(LEFT(TArticle[[#This Row],[تاریخ]],7),2)</f>
        <v>09</v>
      </c>
      <c r="S198" s="27" t="str">
        <f>LEFT(TArticle[[#This Row],[تاریخ]],4)</f>
        <v>1401</v>
      </c>
      <c r="U198" s="21">
        <f>VLOOKUP(TArticle[[#This Row],[شناسه]],TAccount[],7,TRUE)</f>
        <v>364074</v>
      </c>
      <c r="W198" s="21">
        <f>IF(AND(TArticle[[#This Row],[مبلغ]]&gt;0, TArticle[[#This Row],[کد وضعیت سند]]=1),TArticle[[#This Row],[مبلغ]],0)</f>
        <v>0</v>
      </c>
      <c r="X198" s="27">
        <f>IF(AND(TArticle[[#This Row],[مبلغ]]&lt;0,TArticle[[#This Row],[کد وضعیت سند]]=1),0-TArticle[[#This Row],[مبلغ]],0)</f>
        <v>1200</v>
      </c>
      <c r="Y198" s="67">
        <v>4</v>
      </c>
      <c r="Z198" t="str">
        <f>IF(TArticle[[#This Row],[کد بانک]]&gt;0,VLOOKUP(TArticle[[#This Row],[کد بانک]],TBank[],2,FALSE),"")</f>
        <v>سپه</v>
      </c>
      <c r="AA198">
        <f>IF(AND(TArticle[[#This Row],[مبلغ]]&lt;0,TArticle[[#This Row],[کد وضعیت سند]]=1),0-TArticle[[#This Row],[مبلغ]],0)</f>
        <v>1200</v>
      </c>
      <c r="AB198">
        <f>IF(AND(TArticle[[#This Row],[مبلغ]]&gt;0, TArticle[[#This Row],[کد وضعیت سند]]=1),TArticle[[#This Row],[مبلغ]],0)</f>
        <v>0</v>
      </c>
      <c r="AC198" s="84">
        <f>IF(TArticle[[#This Row],[کد بانک]]&gt;0,VLOOKUP(TArticle[[#This Row],[کد بانک]],TBank[],9,FALSE)+SUMIF($Y$2:Y198,Y198,$E$2:$E198),"")</f>
        <v>2</v>
      </c>
      <c r="AD198" s="1">
        <f>IFERROR(IF(INT(LEFT(TArticle[[#This Row],[شناسه]]))=3,IF(TArticle[[#This Row],[کد وضعیت سند]]=1,TArticle[مبلغ],0),0),0)</f>
        <v>-1200</v>
      </c>
      <c r="AE198" s="1">
        <f>IFERROR(IF(((TArticle[[#This Row],[شناسه]]))="4.1.1",IF(TArticle[[#This Row],[کد وضعیت سند]]=1,TArticle[مبلغ],0),0),0)</f>
        <v>0</v>
      </c>
      <c r="AF198" s="1">
        <f>IFERROR(IF(((TArticle[[#This Row],[شناسه]]))="4.1.2",IF(TArticle[[#This Row],[کد وضعیت سند]]=1,TArticle[مبلغ],0),0),0)</f>
        <v>0</v>
      </c>
      <c r="AG198" s="1">
        <f>IFERROR(IF(INT(LEFT(TArticle[[#This Row],[شناسه]]))=1,IF(TArticle[[#This Row],[کد وضعیت سند]]=1,TArticle[مبلغ],0),0),0)</f>
        <v>0</v>
      </c>
      <c r="AH198" s="1">
        <f>IFERROR(IF(INT(LEFT(TArticle[[#This Row],[شناسه]]))=2,IF(TArticle[[#This Row],[کد وضعیت سند]]=1,TArticle[مبلغ],0),0),0)</f>
        <v>0</v>
      </c>
      <c r="AI198" s="1">
        <f>IFERROR(IF((LEFT(TArticle[[#This Row],[شناسه]],3))="5.2",IF(TArticle[[#This Row],[کد وضعیت سند]]=1,TArticle[مبلغ],0),0),0)</f>
        <v>0</v>
      </c>
      <c r="AJ198" s="1">
        <f>IF(TArticle[[#This Row],[کد وضعیت سند]]=1,1,0)</f>
        <v>1</v>
      </c>
      <c r="AK198" s="1">
        <f>IF(AND(TArticle[[#This Row],[کد وضعیت سند]]&lt;&gt;1,TArticle[[#This Row],[مبلغ]]&lt;&gt;0),1,0)</f>
        <v>0</v>
      </c>
      <c r="AL198" s="51">
        <f>IF(TArticle[[#This Row],[کد بانک]]&gt;0,TArticle[[#This Row],[مانده بانک]]-VLOOKUP(TArticle[[#This Row],[کد بانک]],TBank[],7,FALSE),"")</f>
        <v>0</v>
      </c>
      <c r="AM198" s="49" t="str">
        <f>LEFT(TArticle[[#This Row],[تاریخ]],7)</f>
        <v>1401-09</v>
      </c>
    </row>
    <row r="199" spans="1:39" hidden="1" x14ac:dyDescent="0.25">
      <c r="A199" s="24" t="s">
        <v>55</v>
      </c>
      <c r="B199" s="49" t="str">
        <f>VLOOKUP(TArticle[[#This Row],[شناسه]],TAccount[],2,TRUE)</f>
        <v>هزینه کلی</v>
      </c>
      <c r="C199" s="49" t="str">
        <f>VLOOKUP(TArticle[[#This Row],[تاریخ]],TDays[],7,FALSE)</f>
        <v>شنبه</v>
      </c>
      <c r="D199" s="28" t="s">
        <v>447</v>
      </c>
      <c r="E199" s="1">
        <v>-17000</v>
      </c>
      <c r="F199" s="1">
        <f>TArticle[[#This Row],[مبلغ]]+IFERROR(INT(F198),30181+3667+958)</f>
        <v>23099</v>
      </c>
      <c r="H199" s="64"/>
      <c r="K199" s="49">
        <v>1</v>
      </c>
      <c r="L199" t="str">
        <f>IF(TArticle[[#This Row],[کد وضعیت سند]]&gt;0,VLOOKUP(TArticle[[#This Row],[کد وضعیت سند]],TDocState[],2,FALSE),"")</f>
        <v>انجام شد</v>
      </c>
      <c r="M199" s="67"/>
      <c r="N199" t="str">
        <f>IF(TArticle[[#This Row],[کد طرف حساب]]&gt;0,VLOOKUP(TArticle[[#This Row],[کد طرف حساب]],TContact[],2,FALSE),"")</f>
        <v/>
      </c>
      <c r="O199" s="61" t="str">
        <f>IF(TArticle[[#This Row],[کد طرف حساب]]&gt;0,VLOOKUP(TArticle[[#This Row],[کد طرف حساب]],TContact[],7,FALSE)-SUMIF($M$2:M199,M199,$E$2:$E199),"")</f>
        <v/>
      </c>
      <c r="P199" s="27" t="str">
        <f>RIGHT(TArticle[[#This Row],[تاریخ]],2)</f>
        <v>05</v>
      </c>
      <c r="Q199" s="27">
        <f>VLOOKUP(TArticle[[#This Row],[تاریخ]],TDays[],16,FALSE)</f>
        <v>37</v>
      </c>
      <c r="R199" s="27" t="str">
        <f>RIGHT(LEFT(TArticle[[#This Row],[تاریخ]],7),2)</f>
        <v>09</v>
      </c>
      <c r="S199" s="27" t="str">
        <f>LEFT(TArticle[[#This Row],[تاریخ]],4)</f>
        <v>1401</v>
      </c>
      <c r="U199" s="21">
        <f>VLOOKUP(TArticle[[#This Row],[شناسه]],TAccount[],7,TRUE)</f>
        <v>364074</v>
      </c>
      <c r="V199" s="21" t="s">
        <v>461</v>
      </c>
      <c r="W199" s="21">
        <f>IF(AND(TArticle[[#This Row],[مبلغ]]&gt;0, TArticle[[#This Row],[کد وضعیت سند]]=1),TArticle[[#This Row],[مبلغ]],0)</f>
        <v>0</v>
      </c>
      <c r="X199" s="27">
        <f>IF(AND(TArticle[[#This Row],[مبلغ]]&lt;0,TArticle[[#This Row],[کد وضعیت سند]]=1),0-TArticle[[#This Row],[مبلغ]],0)</f>
        <v>17000</v>
      </c>
      <c r="Y199" s="27">
        <v>2</v>
      </c>
      <c r="Z199" t="str">
        <f>IF(TArticle[[#This Row],[کد بانک]]&gt;0,VLOOKUP(TArticle[[#This Row],[کد بانک]],TBank[],2,FALSE),"")</f>
        <v>ملی جاری</v>
      </c>
      <c r="AA199">
        <f>IF(AND(TArticle[[#This Row],[مبلغ]]&lt;0,TArticle[[#This Row],[کد وضعیت سند]]=1),0-TArticle[[#This Row],[مبلغ]],0)</f>
        <v>17000</v>
      </c>
      <c r="AB199">
        <f>IF(AND(TArticle[[#This Row],[مبلغ]]&gt;0, TArticle[[#This Row],[کد وضعیت سند]]=1),TArticle[[#This Row],[مبلغ]],0)</f>
        <v>0</v>
      </c>
      <c r="AC199" s="84">
        <f>IF(TArticle[[#This Row],[کد بانک]]&gt;0,VLOOKUP(TArticle[[#This Row],[کد بانک]],TBank[],9,FALSE)+SUMIF($Y$2:Y199,Y199,$E$2:$E199),"")</f>
        <v>12701</v>
      </c>
      <c r="AD199" s="1">
        <f>IFERROR(IF(INT(LEFT(TArticle[[#This Row],[شناسه]]))=3,IF(TArticle[[#This Row],[کد وضعیت سند]]=1,TArticle[مبلغ],0),0),0)</f>
        <v>-17000</v>
      </c>
      <c r="AE199" s="1">
        <f>IFERROR(IF(((TArticle[[#This Row],[شناسه]]))="4.1.1",IF(TArticle[[#This Row],[کد وضعیت سند]]=1,TArticle[مبلغ],0),0),0)</f>
        <v>0</v>
      </c>
      <c r="AF199" s="1">
        <f>IFERROR(IF(((TArticle[[#This Row],[شناسه]]))="4.1.2",IF(TArticle[[#This Row],[کد وضعیت سند]]=1,TArticle[مبلغ],0),0),0)</f>
        <v>0</v>
      </c>
      <c r="AG199" s="1">
        <f>IFERROR(IF(INT(LEFT(TArticle[[#This Row],[شناسه]]))=1,IF(TArticle[[#This Row],[کد وضعیت سند]]=1,TArticle[مبلغ],0),0),0)</f>
        <v>0</v>
      </c>
      <c r="AH199" s="1">
        <f>IFERROR(IF(INT(LEFT(TArticle[[#This Row],[شناسه]]))=2,IF(TArticle[[#This Row],[کد وضعیت سند]]=1,TArticle[مبلغ],0),0),0)</f>
        <v>0</v>
      </c>
      <c r="AI199" s="1">
        <f>IFERROR(IF((LEFT(TArticle[[#This Row],[شناسه]],3))="5.2",IF(TArticle[[#This Row],[کد وضعیت سند]]=1,TArticle[مبلغ],0),0),0)</f>
        <v>0</v>
      </c>
      <c r="AJ199" s="1">
        <f>IF(TArticle[[#This Row],[کد وضعیت سند]]=1,1,0)</f>
        <v>1</v>
      </c>
      <c r="AK199" s="1">
        <f>IF(AND(TArticle[[#This Row],[کد وضعیت سند]]&lt;&gt;1,TArticle[[#This Row],[مبلغ]]&lt;&gt;0),1,0)</f>
        <v>0</v>
      </c>
      <c r="AL199" s="51">
        <f>IF(TArticle[[#This Row],[کد بانک]]&gt;0,TArticle[[#This Row],[مانده بانک]]-VLOOKUP(TArticle[[#This Row],[کد بانک]],TBank[],7,FALSE),"")</f>
        <v>12701</v>
      </c>
      <c r="AM199" s="58" t="str">
        <f>LEFT(TArticle[[#This Row],[تاریخ]],7)</f>
        <v>1401-09</v>
      </c>
    </row>
    <row r="200" spans="1:39" hidden="1" x14ac:dyDescent="0.25">
      <c r="A200" s="24" t="s">
        <v>1110</v>
      </c>
      <c r="B200" s="49" t="str">
        <f>VLOOKUP(TArticle[[#This Row],[شناسه]],TAccount[],2,TRUE)</f>
        <v>قسط وام بانکی</v>
      </c>
      <c r="C200" s="49" t="str">
        <f>VLOOKUP(TArticle[[#This Row],[تاریخ]],TDays[],7,FALSE)</f>
        <v>دوشنبه</v>
      </c>
      <c r="D200" s="21" t="s">
        <v>449</v>
      </c>
      <c r="E200" s="1">
        <v>-1830</v>
      </c>
      <c r="F200" s="1">
        <f>TArticle[[#This Row],[مبلغ]]+IFERROR(INT(F199),30181+3667+958)</f>
        <v>21269</v>
      </c>
      <c r="G200" t="s">
        <v>1591</v>
      </c>
      <c r="H200" s="21">
        <v>17</v>
      </c>
      <c r="K200" s="21">
        <v>1</v>
      </c>
      <c r="L200" t="str">
        <f>IF(TArticle[[#This Row],[کد وضعیت سند]]&gt;0,VLOOKUP(TArticle[[#This Row],[کد وضعیت سند]],TDocState[],2,FALSE),"")</f>
        <v>انجام شد</v>
      </c>
      <c r="M200" s="27">
        <v>110</v>
      </c>
      <c r="N200" t="str">
        <f>IF(TArticle[[#This Row],[کد طرف حساب]]&gt;0,VLOOKUP(TArticle[[#This Row],[کد طرف حساب]],TContact[],2,FALSE),"")</f>
        <v>وام ملت</v>
      </c>
      <c r="O200" s="61">
        <f>IF(TArticle[[#This Row],[کد طرف حساب]]&gt;0,VLOOKUP(TArticle[[#This Row],[کد طرف حساب]],TContact[],7,FALSE)-SUMIF($M$2:M200,M200,$E$2:$E200),"")</f>
        <v>-33530</v>
      </c>
      <c r="P200" s="27" t="str">
        <f>RIGHT(TArticle[[#This Row],[تاریخ]],2)</f>
        <v>07</v>
      </c>
      <c r="Q200" s="27">
        <f>VLOOKUP(TArticle[[#This Row],[تاریخ]],TDays[],16,FALSE)</f>
        <v>37</v>
      </c>
      <c r="R200" s="27" t="str">
        <f>RIGHT(LEFT(TArticle[[#This Row],[تاریخ]],7),2)</f>
        <v>09</v>
      </c>
      <c r="S200" s="27" t="str">
        <f>LEFT(TArticle[[#This Row],[تاریخ]],4)</f>
        <v>1401</v>
      </c>
      <c r="U200" s="21">
        <f>VLOOKUP(TArticle[[#This Row],[شناسه]],TAccount[],7,TRUE)</f>
        <v>81652</v>
      </c>
      <c r="V200" s="21" t="s">
        <v>416</v>
      </c>
      <c r="W200" s="21">
        <f>IF(AND(TArticle[[#This Row],[مبلغ]]&gt;0, TArticle[[#This Row],[کد وضعیت سند]]=1),TArticle[[#This Row],[مبلغ]],0)</f>
        <v>0</v>
      </c>
      <c r="X200" s="27">
        <f>IF(AND(TArticle[[#This Row],[مبلغ]]&lt;0,TArticle[[#This Row],[کد وضعیت سند]]=1),0-TArticle[[#This Row],[مبلغ]],0)</f>
        <v>1830</v>
      </c>
      <c r="Y200" s="27">
        <v>2</v>
      </c>
      <c r="Z200" t="str">
        <f>IF(TArticle[[#This Row],[کد بانک]]&gt;0,VLOOKUP(TArticle[[#This Row],[کد بانک]],TBank[],2,FALSE),"")</f>
        <v>ملی جاری</v>
      </c>
      <c r="AA200">
        <f>IF(AND(TArticle[[#This Row],[مبلغ]]&lt;0,TArticle[[#This Row],[کد وضعیت سند]]=1),0-TArticle[[#This Row],[مبلغ]],0)</f>
        <v>1830</v>
      </c>
      <c r="AB200">
        <f>IF(AND(TArticle[[#This Row],[مبلغ]]&gt;0, TArticle[[#This Row],[کد وضعیت سند]]=1),TArticle[[#This Row],[مبلغ]],0)</f>
        <v>0</v>
      </c>
      <c r="AC200" s="84">
        <f>IF(TArticle[[#This Row],[کد بانک]]&gt;0,VLOOKUP(TArticle[[#This Row],[کد بانک]],TBank[],9,FALSE)+SUMIF($Y$2:Y200,Y200,$E$2:$E200),"")</f>
        <v>10871</v>
      </c>
      <c r="AD200" s="1">
        <f>IFERROR(IF(INT(LEFT(TArticle[[#This Row],[شناسه]]))=3,IF(TArticle[[#This Row],[کد وضعیت سند]]=1,TArticle[مبلغ],0),0),0)</f>
        <v>0</v>
      </c>
      <c r="AE200" s="1">
        <f>IFERROR(IF(((TArticle[[#This Row],[شناسه]]))="4.1.1",IF(TArticle[[#This Row],[کد وضعیت سند]]=1,TArticle[مبلغ],0),0),0)</f>
        <v>0</v>
      </c>
      <c r="AF200" s="1">
        <f>IFERROR(IF(((TArticle[[#This Row],[شناسه]]))="4.1.2",IF(TArticle[[#This Row],[کد وضعیت سند]]=1,TArticle[مبلغ],0),0),0)</f>
        <v>0</v>
      </c>
      <c r="AG200" s="1">
        <f>IFERROR(IF(INT(LEFT(TArticle[[#This Row],[شناسه]]))=1,IF(TArticle[[#This Row],[کد وضعیت سند]]=1,TArticle[مبلغ],0),0),0)</f>
        <v>-1830</v>
      </c>
      <c r="AH200" s="1">
        <f>IFERROR(IF(INT(LEFT(TArticle[[#This Row],[شناسه]]))=2,IF(TArticle[[#This Row],[کد وضعیت سند]]=1,TArticle[مبلغ],0),0),0)</f>
        <v>0</v>
      </c>
      <c r="AI200" s="1">
        <f>IFERROR(IF((LEFT(TArticle[[#This Row],[شناسه]],3))="5.2",IF(TArticle[[#This Row],[کد وضعیت سند]]=1,TArticle[مبلغ],0),0),0)</f>
        <v>0</v>
      </c>
      <c r="AJ200" s="1">
        <f>IF(TArticle[[#This Row],[کد وضعیت سند]]=1,1,0)</f>
        <v>1</v>
      </c>
      <c r="AK200" s="1">
        <f>IF(AND(TArticle[[#This Row],[کد وضعیت سند]]&lt;&gt;1,TArticle[[#This Row],[مبلغ]]&lt;&gt;0),1,0)</f>
        <v>0</v>
      </c>
      <c r="AL200" s="51">
        <f>IF(TArticle[[#This Row],[کد بانک]]&gt;0,TArticle[[#This Row],[مانده بانک]]-VLOOKUP(TArticle[[#This Row],[کد بانک]],TBank[],7,FALSE),"")</f>
        <v>10871</v>
      </c>
      <c r="AM200" s="49" t="str">
        <f>LEFT(TArticle[[#This Row],[تاریخ]],7)</f>
        <v>1401-09</v>
      </c>
    </row>
    <row r="201" spans="1:39" hidden="1" x14ac:dyDescent="0.25">
      <c r="A201" s="24" t="s">
        <v>1110</v>
      </c>
      <c r="B201" s="49" t="str">
        <f>VLOOKUP(TArticle[[#This Row],[شناسه]],TAccount[],2,TRUE)</f>
        <v>قسط وام بانکی</v>
      </c>
      <c r="C201" s="49" t="str">
        <f>VLOOKUP(TArticle[[#This Row],[تاریخ]],TDays[],7,FALSE)</f>
        <v>دوشنبه</v>
      </c>
      <c r="D201" s="21" t="s">
        <v>449</v>
      </c>
      <c r="E201" s="1">
        <v>-1830</v>
      </c>
      <c r="F201" s="1">
        <f>TArticle[[#This Row],[مبلغ]]+IFERROR(INT(F200),30181+3667+958)</f>
        <v>19439</v>
      </c>
      <c r="G201" t="s">
        <v>1591</v>
      </c>
      <c r="H201" s="21">
        <v>17</v>
      </c>
      <c r="K201" s="21">
        <v>1</v>
      </c>
      <c r="L201" t="str">
        <f>IF(TArticle[[#This Row],[کد وضعیت سند]]&gt;0,VLOOKUP(TArticle[[#This Row],[کد وضعیت سند]],TDocState[],2,FALSE),"")</f>
        <v>انجام شد</v>
      </c>
      <c r="M201" s="27">
        <v>111</v>
      </c>
      <c r="N201" t="str">
        <f>IF(TArticle[[#This Row],[کد طرف حساب]]&gt;0,VLOOKUP(TArticle[[#This Row],[کد طرف حساب]],TContact[],2,FALSE),"")</f>
        <v>وام ملت ف</v>
      </c>
      <c r="O201" s="61">
        <f>IF(TArticle[[#This Row],[کد طرف حساب]]&gt;0,VLOOKUP(TArticle[[#This Row],[کد طرف حساب]],TContact[],7,FALSE)-SUMIF($M$2:M201,M201,$E$2:$E201),"")</f>
        <v>-33530</v>
      </c>
      <c r="P201" s="27" t="str">
        <f>RIGHT(TArticle[[#This Row],[تاریخ]],2)</f>
        <v>07</v>
      </c>
      <c r="Q201" s="27">
        <f>VLOOKUP(TArticle[[#This Row],[تاریخ]],TDays[],16,FALSE)</f>
        <v>37</v>
      </c>
      <c r="R201" s="27" t="str">
        <f>RIGHT(LEFT(TArticle[[#This Row],[تاریخ]],7),2)</f>
        <v>09</v>
      </c>
      <c r="S201" s="27" t="str">
        <f>LEFT(TArticle[[#This Row],[تاریخ]],4)</f>
        <v>1401</v>
      </c>
      <c r="U201" s="21">
        <f>VLOOKUP(TArticle[[#This Row],[شناسه]],TAccount[],7,TRUE)</f>
        <v>81652</v>
      </c>
      <c r="V201" s="21" t="s">
        <v>416</v>
      </c>
      <c r="W201" s="21">
        <f>IF(AND(TArticle[[#This Row],[مبلغ]]&gt;0, TArticle[[#This Row],[کد وضعیت سند]]=1),TArticle[[#This Row],[مبلغ]],0)</f>
        <v>0</v>
      </c>
      <c r="X201" s="27">
        <f>IF(AND(TArticle[[#This Row],[مبلغ]]&lt;0,TArticle[[#This Row],[کد وضعیت سند]]=1),0-TArticle[[#This Row],[مبلغ]],0)</f>
        <v>1830</v>
      </c>
      <c r="Y201" s="27">
        <v>2</v>
      </c>
      <c r="Z201" t="str">
        <f>IF(TArticle[[#This Row],[کد بانک]]&gt;0,VLOOKUP(TArticle[[#This Row],[کد بانک]],TBank[],2,FALSE),"")</f>
        <v>ملی جاری</v>
      </c>
      <c r="AA201">
        <f>IF(AND(TArticle[[#This Row],[مبلغ]]&lt;0,TArticle[[#This Row],[کد وضعیت سند]]=1),0-TArticle[[#This Row],[مبلغ]],0)</f>
        <v>1830</v>
      </c>
      <c r="AB201">
        <f>IF(AND(TArticle[[#This Row],[مبلغ]]&gt;0, TArticle[[#This Row],[کد وضعیت سند]]=1),TArticle[[#This Row],[مبلغ]],0)</f>
        <v>0</v>
      </c>
      <c r="AC201" s="84">
        <f>IF(TArticle[[#This Row],[کد بانک]]&gt;0,VLOOKUP(TArticle[[#This Row],[کد بانک]],TBank[],9,FALSE)+SUMIF($Y$2:Y201,Y201,$E$2:$E201),"")</f>
        <v>9041</v>
      </c>
      <c r="AD201" s="1">
        <f>IFERROR(IF(INT(LEFT(TArticle[[#This Row],[شناسه]]))=3,IF(TArticle[[#This Row],[کد وضعیت سند]]=1,TArticle[مبلغ],0),0),0)</f>
        <v>0</v>
      </c>
      <c r="AE201" s="1">
        <f>IFERROR(IF(((TArticle[[#This Row],[شناسه]]))="4.1.1",IF(TArticle[[#This Row],[کد وضعیت سند]]=1,TArticle[مبلغ],0),0),0)</f>
        <v>0</v>
      </c>
      <c r="AF201" s="1">
        <f>IFERROR(IF(((TArticle[[#This Row],[شناسه]]))="4.1.2",IF(TArticle[[#This Row],[کد وضعیت سند]]=1,TArticle[مبلغ],0),0),0)</f>
        <v>0</v>
      </c>
      <c r="AG201" s="1">
        <f>IFERROR(IF(INT(LEFT(TArticle[[#This Row],[شناسه]]))=1,IF(TArticle[[#This Row],[کد وضعیت سند]]=1,TArticle[مبلغ],0),0),0)</f>
        <v>-1830</v>
      </c>
      <c r="AH201" s="1">
        <f>IFERROR(IF(INT(LEFT(TArticle[[#This Row],[شناسه]]))=2,IF(TArticle[[#This Row],[کد وضعیت سند]]=1,TArticle[مبلغ],0),0),0)</f>
        <v>0</v>
      </c>
      <c r="AI201" s="1">
        <f>IFERROR(IF((LEFT(TArticle[[#This Row],[شناسه]],3))="5.2",IF(TArticle[[#This Row],[کد وضعیت سند]]=1,TArticle[مبلغ],0),0),0)</f>
        <v>0</v>
      </c>
      <c r="AJ201" s="1">
        <f>IF(TArticle[[#This Row],[کد وضعیت سند]]=1,1,0)</f>
        <v>1</v>
      </c>
      <c r="AK201" s="1">
        <f>IF(AND(TArticle[[#This Row],[کد وضعیت سند]]&lt;&gt;1,TArticle[[#This Row],[مبلغ]]&lt;&gt;0),1,0)</f>
        <v>0</v>
      </c>
      <c r="AL201" s="51">
        <f>IF(TArticle[[#This Row],[کد بانک]]&gt;0,TArticle[[#This Row],[مانده بانک]]-VLOOKUP(TArticle[[#This Row],[کد بانک]],TBank[],7,FALSE),"")</f>
        <v>9041</v>
      </c>
      <c r="AM201" s="49" t="str">
        <f>LEFT(TArticle[[#This Row],[تاریخ]],7)</f>
        <v>1401-09</v>
      </c>
    </row>
    <row r="202" spans="1:39" hidden="1" x14ac:dyDescent="0.25">
      <c r="A202" s="24" t="s">
        <v>41</v>
      </c>
      <c r="B202" s="49" t="str">
        <f>VLOOKUP(TArticle[[#This Row],[شناسه]],TAccount[],2,TRUE)</f>
        <v>قرعه هجده (43)</v>
      </c>
      <c r="C202" s="49" t="str">
        <f>VLOOKUP(TArticle[[#This Row],[تاریخ]],TDays[],7,FALSE)</f>
        <v>دوشنبه</v>
      </c>
      <c r="D202" s="21" t="s">
        <v>66</v>
      </c>
      <c r="E202" s="1">
        <v>-350</v>
      </c>
      <c r="F202" s="1">
        <f>TArticle[[#This Row],[مبلغ]]+IFERROR(INT(F201),30181+3667+958)</f>
        <v>19089</v>
      </c>
      <c r="H202" s="21">
        <v>44</v>
      </c>
      <c r="K202" s="21">
        <v>1</v>
      </c>
      <c r="L202" t="str">
        <f>IF(TArticle[[#This Row],[کد وضعیت سند]]&gt;0,VLOOKUP(TArticle[[#This Row],[کد وضعیت سند]],TDocState[],2,FALSE),"")</f>
        <v>انجام شد</v>
      </c>
      <c r="M202" s="27">
        <v>103</v>
      </c>
      <c r="N202" t="str">
        <f>IF(TArticle[[#This Row],[کد طرف حساب]]&gt;0,VLOOKUP(TArticle[[#This Row],[کد طرف حساب]],TContact[],2,FALSE),"")</f>
        <v>قرعه 18م (43)</v>
      </c>
      <c r="O202" s="51">
        <f>IF(TArticle[[#This Row],[کد طرف حساب]]&gt;0,VLOOKUP(TArticle[[#This Row],[کد طرف حساب]],TContact[],7,FALSE)-SUMIF($M$2:M202,M202,$E$2:$E202),"")</f>
        <v>-3150</v>
      </c>
      <c r="P202" s="27" t="str">
        <f>RIGHT(TArticle[[#This Row],[تاریخ]],2)</f>
        <v>14</v>
      </c>
      <c r="Q202" s="27">
        <f>VLOOKUP(TArticle[[#This Row],[تاریخ]],TDays[],16,FALSE)</f>
        <v>38</v>
      </c>
      <c r="R202" s="27" t="str">
        <f>RIGHT(LEFT(TArticle[[#This Row],[تاریخ]],7),2)</f>
        <v>09</v>
      </c>
      <c r="S202" s="27" t="str">
        <f>LEFT(TArticle[[#This Row],[تاریخ]],4)</f>
        <v>1401</v>
      </c>
      <c r="U202" s="21">
        <f>VLOOKUP(TArticle[[#This Row],[شناسه]],TAccount[],7,TRUE)</f>
        <v>4200</v>
      </c>
      <c r="V202" s="21" t="s">
        <v>66</v>
      </c>
      <c r="W202" s="21">
        <f>IF(AND(TArticle[[#This Row],[مبلغ]]&gt;0, TArticle[[#This Row],[کد وضعیت سند]]=1),TArticle[[#This Row],[مبلغ]],0)</f>
        <v>0</v>
      </c>
      <c r="X202" s="21">
        <f>IF(AND(TArticle[[#This Row],[مبلغ]]&lt;0,TArticle[[#This Row],[کد وضعیت سند]]=1),0-TArticle[[#This Row],[مبلغ]],0)</f>
        <v>350</v>
      </c>
      <c r="Y202" s="27">
        <v>2</v>
      </c>
      <c r="Z202" t="str">
        <f>IF(TArticle[[#This Row],[کد بانک]]&gt;0,VLOOKUP(TArticle[[#This Row],[کد بانک]],TBank[],2,FALSE),"")</f>
        <v>ملی جاری</v>
      </c>
      <c r="AA202">
        <f>IF(AND(TArticle[[#This Row],[مبلغ]]&lt;0,TArticle[[#This Row],[کد وضعیت سند]]=1),0-TArticle[[#This Row],[مبلغ]],0)</f>
        <v>350</v>
      </c>
      <c r="AB202">
        <f>IF(AND(TArticle[[#This Row],[مبلغ]]&gt;0, TArticle[[#This Row],[کد وضعیت سند]]=1),TArticle[[#This Row],[مبلغ]],0)</f>
        <v>0</v>
      </c>
      <c r="AC202" s="84">
        <f>IF(TArticle[[#This Row],[کد بانک]]&gt;0,VLOOKUP(TArticle[[#This Row],[کد بانک]],TBank[],9,FALSE)+SUMIF($Y$2:Y202,Y202,$E$2:$E202),"")</f>
        <v>8691</v>
      </c>
      <c r="AD202" s="1">
        <f>IFERROR(IF(INT(LEFT(TArticle[[#This Row],[شناسه]]))=3,IF(TArticle[[#This Row],[کد وضعیت سند]]=1,TArticle[مبلغ],0),0),0)</f>
        <v>0</v>
      </c>
      <c r="AE202" s="1">
        <f>IFERROR(IF(((TArticle[[#This Row],[شناسه]]))="4.1.1",IF(TArticle[[#This Row],[کد وضعیت سند]]=1,TArticle[مبلغ],0),0),0)</f>
        <v>0</v>
      </c>
      <c r="AF202" s="1">
        <f>IFERROR(IF(((TArticle[[#This Row],[شناسه]]))="4.1.2",IF(TArticle[[#This Row],[کد وضعیت سند]]=1,TArticle[مبلغ],0),0),0)</f>
        <v>0</v>
      </c>
      <c r="AG202" s="1">
        <f>IFERROR(IF(INT(LEFT(TArticle[[#This Row],[شناسه]]))=1,IF(TArticle[[#This Row],[کد وضعیت سند]]=1,TArticle[مبلغ],0),0),0)</f>
        <v>0</v>
      </c>
      <c r="AH202" s="1">
        <f>IFERROR(IF(INT(LEFT(TArticle[[#This Row],[شناسه]]))=2,IF(TArticle[[#This Row],[کد وضعیت سند]]=1,TArticle[مبلغ],0),0),0)</f>
        <v>-350</v>
      </c>
      <c r="AI202" s="1">
        <f>IFERROR(IF((LEFT(TArticle[[#This Row],[شناسه]],3))="5.2",IF(TArticle[[#This Row],[کد وضعیت سند]]=1,TArticle[مبلغ],0),0),0)</f>
        <v>0</v>
      </c>
      <c r="AJ202" s="1">
        <f>IF(TArticle[[#This Row],[کد وضعیت سند]]=1,1,0)</f>
        <v>1</v>
      </c>
      <c r="AK202" s="1">
        <f>IF(AND(TArticle[[#This Row],[کد وضعیت سند]]&lt;&gt;1,TArticle[[#This Row],[مبلغ]]&lt;&gt;0),1,0)</f>
        <v>0</v>
      </c>
      <c r="AL202" s="51">
        <f>IF(TArticle[[#This Row],[کد بانک]]&gt;0,TArticle[[#This Row],[مانده بانک]]-VLOOKUP(TArticle[[#This Row],[کد بانک]],TBank[],7,FALSE),"")</f>
        <v>8691</v>
      </c>
      <c r="AM202" s="58" t="str">
        <f>LEFT(TArticle[[#This Row],[تاریخ]],7)</f>
        <v>1401-09</v>
      </c>
    </row>
    <row r="203" spans="1:39" hidden="1" x14ac:dyDescent="0.25">
      <c r="A203" s="24" t="s">
        <v>1013</v>
      </c>
      <c r="B203" s="49" t="str">
        <f>VLOOKUP(TArticle[[#This Row],[شناسه]],TAccount[],2,TRUE)</f>
        <v>یارانه</v>
      </c>
      <c r="C203" s="49" t="str">
        <f>VLOOKUP(TArticle[[#This Row],[تاریخ]],TDays[],7,FALSE)</f>
        <v>یکشنبه</v>
      </c>
      <c r="D203" s="21" t="s">
        <v>461</v>
      </c>
      <c r="E203" s="1">
        <v>1500</v>
      </c>
      <c r="F203" s="1">
        <f>TArticle[[#This Row],[مبلغ]]+IFERROR(INT(F202),30181+3667+958)</f>
        <v>20589</v>
      </c>
      <c r="K203" s="21">
        <v>1</v>
      </c>
      <c r="L203" t="str">
        <f>IF(TArticle[[#This Row],[کد وضعیت سند]]&gt;0,VLOOKUP(TArticle[[#This Row],[کد وضعیت سند]],TDocState[],2,FALSE),"")</f>
        <v>انجام شد</v>
      </c>
      <c r="N203" t="str">
        <f>IF(TArticle[[#This Row],[کد طرف حساب]]&gt;0,VLOOKUP(TArticle[[#This Row],[کد طرف حساب]],TContact[],2,FALSE),"")</f>
        <v/>
      </c>
      <c r="O203" s="61" t="str">
        <f>IF(TArticle[[#This Row],[کد طرف حساب]]&gt;0,VLOOKUP(TArticle[[#This Row],[کد طرف حساب]],TContact[],7,FALSE)-SUMIF($M$2:M203,M203,$E$2:$E203),"")</f>
        <v/>
      </c>
      <c r="P203" s="27" t="str">
        <f>RIGHT(TArticle[[#This Row],[تاریخ]],2)</f>
        <v>20</v>
      </c>
      <c r="Q203" s="27">
        <f>VLOOKUP(TArticle[[#This Row],[تاریخ]],TDays[],16,FALSE)</f>
        <v>39</v>
      </c>
      <c r="R203" s="27" t="str">
        <f>RIGHT(LEFT(TArticle[[#This Row],[تاریخ]],7),2)</f>
        <v>09</v>
      </c>
      <c r="S203" s="27" t="str">
        <f>LEFT(TArticle[[#This Row],[تاریخ]],4)</f>
        <v>1401</v>
      </c>
      <c r="U203" s="21">
        <f>VLOOKUP(TArticle[[#This Row],[شناسه]],TAccount[],7,TRUE)</f>
        <v>12565</v>
      </c>
      <c r="W203" s="21">
        <f>IF(AND(TArticle[[#This Row],[مبلغ]]&gt;0, TArticle[[#This Row],[کد وضعیت سند]]=1),TArticle[[#This Row],[مبلغ]],0)</f>
        <v>1500</v>
      </c>
      <c r="X203" s="27">
        <f>IF(AND(TArticle[[#This Row],[مبلغ]]&lt;0,TArticle[[#This Row],[کد وضعیت سند]]=1),0-TArticle[[#This Row],[مبلغ]],0)</f>
        <v>0</v>
      </c>
      <c r="Y203" s="27">
        <v>2</v>
      </c>
      <c r="Z203" t="str">
        <f>IF(TArticle[[#This Row],[کد بانک]]&gt;0,VLOOKUP(TArticle[[#This Row],[کد بانک]],TBank[],2,FALSE),"")</f>
        <v>ملی جاری</v>
      </c>
      <c r="AA203">
        <f>IF(AND(TArticle[[#This Row],[مبلغ]]&lt;0,TArticle[[#This Row],[کد وضعیت سند]]=1),0-TArticle[[#This Row],[مبلغ]],0)</f>
        <v>0</v>
      </c>
      <c r="AB203">
        <f>IF(AND(TArticle[[#This Row],[مبلغ]]&gt;0, TArticle[[#This Row],[کد وضعیت سند]]=1),TArticle[[#This Row],[مبلغ]],0)</f>
        <v>1500</v>
      </c>
      <c r="AC203" s="84">
        <f>IF(TArticle[[#This Row],[کد بانک]]&gt;0,VLOOKUP(TArticle[[#This Row],[کد بانک]],TBank[],9,FALSE)+SUMIF($Y$2:Y203,Y203,$E$2:$E203),"")</f>
        <v>10191</v>
      </c>
      <c r="AD203" s="1">
        <f>IFERROR(IF(INT(LEFT(TArticle[[#This Row],[شناسه]]))=3,IF(TArticle[[#This Row],[کد وضعیت سند]]=1,TArticle[مبلغ],0),0),0)</f>
        <v>0</v>
      </c>
      <c r="AE203" s="1">
        <f>IFERROR(IF(((TArticle[[#This Row],[شناسه]]))="4.1.1",IF(TArticle[[#This Row],[کد وضعیت سند]]=1,TArticle[مبلغ],0),0),0)</f>
        <v>0</v>
      </c>
      <c r="AF203" s="1">
        <f>IFERROR(IF(((TArticle[[#This Row],[شناسه]]))="4.1.2",IF(TArticle[[#This Row],[کد وضعیت سند]]=1,TArticle[مبلغ],0),0),0)</f>
        <v>0</v>
      </c>
      <c r="AG203" s="1">
        <f>IFERROR(IF(INT(LEFT(TArticle[[#This Row],[شناسه]]))=1,IF(TArticle[[#This Row],[کد وضعیت سند]]=1,TArticle[مبلغ],0),0),0)</f>
        <v>0</v>
      </c>
      <c r="AH203" s="1">
        <f>IFERROR(IF(INT(LEFT(TArticle[[#This Row],[شناسه]]))=2,IF(TArticle[[#This Row],[کد وضعیت سند]]=1,TArticle[مبلغ],0),0),0)</f>
        <v>0</v>
      </c>
      <c r="AI203" s="1">
        <f>IFERROR(IF((LEFT(TArticle[[#This Row],[شناسه]],3))="5.2",IF(TArticle[[#This Row],[کد وضعیت سند]]=1,TArticle[مبلغ],0),0),0)</f>
        <v>0</v>
      </c>
      <c r="AJ203" s="1">
        <f>IF(TArticle[[#This Row],[کد وضعیت سند]]=1,1,0)</f>
        <v>1</v>
      </c>
      <c r="AK203" s="1">
        <f>IF(AND(TArticle[[#This Row],[کد وضعیت سند]]&lt;&gt;1,TArticle[[#This Row],[مبلغ]]&lt;&gt;0),1,0)</f>
        <v>0</v>
      </c>
      <c r="AL203" s="51">
        <f>IF(TArticle[[#This Row],[کد بانک]]&gt;0,TArticle[[#This Row],[مانده بانک]]-VLOOKUP(TArticle[[#This Row],[کد بانک]],TBank[],7,FALSE),"")</f>
        <v>10191</v>
      </c>
      <c r="AM203" s="49" t="str">
        <f>LEFT(TArticle[[#This Row],[تاریخ]],7)</f>
        <v>1401-09</v>
      </c>
    </row>
    <row r="204" spans="1:39" hidden="1" x14ac:dyDescent="0.25">
      <c r="A204" s="77" t="s">
        <v>55</v>
      </c>
      <c r="B204" s="49" t="str">
        <f>VLOOKUP(TArticle[[#This Row],[شناسه]],TAccount[],2,TRUE)</f>
        <v>هزینه کلی</v>
      </c>
      <c r="C204" s="49" t="str">
        <f>VLOOKUP(TArticle[[#This Row],[تاریخ]],TDays[],7,FALSE)</f>
        <v>پنجشنبه</v>
      </c>
      <c r="D204" s="28" t="s">
        <v>472</v>
      </c>
      <c r="E204" s="1">
        <v>-5723</v>
      </c>
      <c r="F204" s="1">
        <f>TArticle[[#This Row],[مبلغ]]+IFERROR(INT(F203),30181+3667+958)</f>
        <v>14866</v>
      </c>
      <c r="H204" s="64"/>
      <c r="J204" s="65"/>
      <c r="K204" s="64">
        <v>1</v>
      </c>
      <c r="L204" s="66" t="str">
        <f>IF(TArticle[[#This Row],[کد وضعیت سند]]&gt;0,VLOOKUP(TArticle[[#This Row],[کد وضعیت سند]],TDocState[],2,FALSE),"")</f>
        <v>انجام شد</v>
      </c>
      <c r="M204" s="67"/>
      <c r="N204" t="str">
        <f>IF(TArticle[[#This Row],[کد طرف حساب]]&gt;0,VLOOKUP(TArticle[[#This Row],[کد طرف حساب]],TContact[],2,FALSE),"")</f>
        <v/>
      </c>
      <c r="O204" s="68" t="str">
        <f>IF(TArticle[[#This Row],[کد طرف حساب]]&gt;0,VLOOKUP(TArticle[[#This Row],[کد طرف حساب]],TContact[],7,FALSE)-SUMIF($M$2:M204,M204,$E$2:$E204),"")</f>
        <v/>
      </c>
      <c r="P204" s="67" t="str">
        <f>RIGHT(TArticle[[#This Row],[تاریخ]],2)</f>
        <v>01</v>
      </c>
      <c r="Q204" s="67">
        <f>VLOOKUP(TArticle[[#This Row],[تاریخ]],TDays[],16,FALSE)</f>
        <v>41</v>
      </c>
      <c r="R204" s="67" t="str">
        <f>RIGHT(LEFT(TArticle[[#This Row],[تاریخ]],7),2)</f>
        <v>10</v>
      </c>
      <c r="S204" s="67" t="str">
        <f>LEFT(TArticle[[#This Row],[تاریخ]],4)</f>
        <v>1401</v>
      </c>
      <c r="T204" s="64"/>
      <c r="U204" s="64">
        <f>VLOOKUP(TArticle[[#This Row],[شناسه]],TAccount[],7,TRUE)</f>
        <v>364074</v>
      </c>
      <c r="V204" s="28"/>
      <c r="W204" s="64">
        <f>IF(AND(TArticle[[#This Row],[مبلغ]]&gt;0, TArticle[[#This Row],[کد وضعیت سند]]=1),TArticle[[#This Row],[مبلغ]],0)</f>
        <v>0</v>
      </c>
      <c r="X204" s="67">
        <f>IF(AND(TArticle[[#This Row],[مبلغ]]&lt;0,TArticle[[#This Row],[کد وضعیت سند]]=1),0-TArticle[[#This Row],[مبلغ]],0)</f>
        <v>5723</v>
      </c>
      <c r="Y204" s="27">
        <v>22</v>
      </c>
      <c r="Z204" t="str">
        <f>IF(TArticle[[#This Row],[کد بانک]]&gt;0,VLOOKUP(TArticle[[#This Row],[کد بانک]],TBank[],2,FALSE),"")</f>
        <v>بورس</v>
      </c>
      <c r="AA204">
        <f>IF(AND(TArticle[[#This Row],[مبلغ]]&lt;0,TArticle[[#This Row],[کد وضعیت سند]]=1),0-TArticle[[#This Row],[مبلغ]],0)</f>
        <v>5723</v>
      </c>
      <c r="AB204">
        <f>IF(AND(TArticle[[#This Row],[مبلغ]]&gt;0, TArticle[[#This Row],[کد وضعیت سند]]=1),TArticle[[#This Row],[مبلغ]],0)</f>
        <v>0</v>
      </c>
      <c r="AC204" s="93">
        <f>IF(TArticle[[#This Row],[کد بانک]]&gt;0,VLOOKUP(TArticle[[#This Row],[کد بانک]],TBank[],9,FALSE)+SUMIF($Y$2:Y204,Y204,$E$2:$E204),"")</f>
        <v>0</v>
      </c>
      <c r="AD204" s="1">
        <f>IFERROR(IF(INT(LEFT(TArticle[[#This Row],[شناسه]]))=3,IF(TArticle[[#This Row],[کد وضعیت سند]]=1,TArticle[مبلغ],0),0),0)</f>
        <v>-5723</v>
      </c>
      <c r="AE204" s="1">
        <f>IFERROR(IF(((TArticle[[#This Row],[شناسه]]))="4.1.1",IF(TArticle[[#This Row],[کد وضعیت سند]]=1,TArticle[مبلغ],0),0),0)</f>
        <v>0</v>
      </c>
      <c r="AF204" s="1">
        <f>IFERROR(IF(((TArticle[[#This Row],[شناسه]]))="4.1.2",IF(TArticle[[#This Row],[کد وضعیت سند]]=1,TArticle[مبلغ],0),0),0)</f>
        <v>0</v>
      </c>
      <c r="AG204" s="1">
        <f>IFERROR(IF(INT(LEFT(TArticle[[#This Row],[شناسه]]))=1,IF(TArticle[[#This Row],[کد وضعیت سند]]=1,TArticle[مبلغ],0),0),0)</f>
        <v>0</v>
      </c>
      <c r="AH204" s="1">
        <f>IFERROR(IF(INT(LEFT(TArticle[[#This Row],[شناسه]]))=2,IF(TArticle[[#This Row],[کد وضعیت سند]]=1,TArticle[مبلغ],0),0),0)</f>
        <v>0</v>
      </c>
      <c r="AI204" s="1">
        <f>IFERROR(IF((LEFT(TArticle[[#This Row],[شناسه]],3))="5.2",IF(TArticle[[#This Row],[کد وضعیت سند]]=1,TArticle[مبلغ],0),0),0)</f>
        <v>0</v>
      </c>
      <c r="AJ204" s="1">
        <f>IF(TArticle[[#This Row],[کد وضعیت سند]]=1,1,0)</f>
        <v>1</v>
      </c>
      <c r="AK204" s="1">
        <f>IF(AND(TArticle[[#This Row],[کد وضعیت سند]]&lt;&gt;1,TArticle[[#This Row],[مبلغ]]&lt;&gt;0),1,0)</f>
        <v>0</v>
      </c>
      <c r="AL204" s="78">
        <f>IF(TArticle[[#This Row],[کد بانک]]&gt;0,TArticle[[#This Row],[مانده بانک]]-VLOOKUP(TArticle[[#This Row],[کد بانک]],TBank[],7,FALSE),"")</f>
        <v>0</v>
      </c>
      <c r="AM204" s="58" t="str">
        <f>LEFT(TArticle[[#This Row],[تاریخ]],7)</f>
        <v>1401-10</v>
      </c>
    </row>
    <row r="205" spans="1:39" hidden="1" x14ac:dyDescent="0.25">
      <c r="A205" s="24" t="s">
        <v>43</v>
      </c>
      <c r="B205" s="49" t="str">
        <f>VLOOKUP(TArticle[[#This Row],[شناسه]],TAccount[],2,TRUE)</f>
        <v>حقوق</v>
      </c>
      <c r="C205" s="49" t="str">
        <f>VLOOKUP(TArticle[[#This Row],[تاریخ]],TDays[],7,FALSE)</f>
        <v>پنجشنبه</v>
      </c>
      <c r="D205" s="21" t="s">
        <v>472</v>
      </c>
      <c r="E205" s="1">
        <v>41177</v>
      </c>
      <c r="F205" s="1">
        <f>TArticle[[#This Row],[مبلغ]]+IFERROR(INT(F204),30181+3667+958)</f>
        <v>56043</v>
      </c>
      <c r="H205" s="64"/>
      <c r="J205" s="65"/>
      <c r="K205" s="64">
        <v>1</v>
      </c>
      <c r="L205" s="66" t="str">
        <f>IF(TArticle[[#This Row],[کد وضعیت سند]]&gt;0,VLOOKUP(TArticle[[#This Row],[کد وضعیت سند]],TDocState[],2,FALSE),"")</f>
        <v>انجام شد</v>
      </c>
      <c r="M205" s="67"/>
      <c r="N205" t="str">
        <f>IF(TArticle[[#This Row],[کد طرف حساب]]&gt;0,VLOOKUP(TArticle[[#This Row],[کد طرف حساب]],TContact[],2,FALSE),"")</f>
        <v/>
      </c>
      <c r="O205" s="68" t="str">
        <f>IF(TArticle[[#This Row],[کد طرف حساب]]&gt;0,VLOOKUP(TArticle[[#This Row],[کد طرف حساب]],TContact[],7,FALSE)-SUMIF($M$2:M205,M205,$E$2:$E205),"")</f>
        <v/>
      </c>
      <c r="P205" s="67" t="str">
        <f>RIGHT(TArticle[[#This Row],[تاریخ]],2)</f>
        <v>01</v>
      </c>
      <c r="Q205" s="67">
        <f>VLOOKUP(TArticle[[#This Row],[تاریخ]],TDays[],16,FALSE)</f>
        <v>41</v>
      </c>
      <c r="R205" s="67" t="str">
        <f>RIGHT(LEFT(TArticle[[#This Row],[تاریخ]],7),2)</f>
        <v>10</v>
      </c>
      <c r="S205" s="67" t="str">
        <f>LEFT(TArticle[[#This Row],[تاریخ]],4)</f>
        <v>1401</v>
      </c>
      <c r="T205" s="64"/>
      <c r="U205" s="64">
        <f>VLOOKUP(TArticle[[#This Row],[شناسه]],TAccount[],7,TRUE)</f>
        <v>416023</v>
      </c>
      <c r="V205" s="64"/>
      <c r="W205" s="64">
        <f>IF(AND(TArticle[[#This Row],[مبلغ]]&gt;0, TArticle[[#This Row],[کد وضعیت سند]]=1),TArticle[[#This Row],[مبلغ]],0)</f>
        <v>41177</v>
      </c>
      <c r="X205" s="67">
        <f>IF(AND(TArticle[[#This Row],[مبلغ]]&lt;0,TArticle[[#This Row],[کد وضعیت سند]]=1),0-TArticle[[#This Row],[مبلغ]],0)</f>
        <v>0</v>
      </c>
      <c r="Y205" s="67">
        <v>2</v>
      </c>
      <c r="Z205" t="str">
        <f>IF(TArticle[[#This Row],[کد بانک]]&gt;0,VLOOKUP(TArticle[[#This Row],[کد بانک]],TBank[],2,FALSE),"")</f>
        <v>ملی جاری</v>
      </c>
      <c r="AA205">
        <f>IF(AND(TArticle[[#This Row],[مبلغ]]&lt;0,TArticle[[#This Row],[کد وضعیت سند]]=1),0-TArticle[[#This Row],[مبلغ]],0)</f>
        <v>0</v>
      </c>
      <c r="AB205">
        <f>IF(AND(TArticle[[#This Row],[مبلغ]]&gt;0, TArticle[[#This Row],[کد وضعیت سند]]=1),TArticle[[#This Row],[مبلغ]],0)</f>
        <v>41177</v>
      </c>
      <c r="AC205" s="93">
        <f>IF(TArticle[[#This Row],[کد بانک]]&gt;0,VLOOKUP(TArticle[[#This Row],[کد بانک]],TBank[],9,FALSE)+SUMIF($Y$2:Y205,Y205,$E$2:$E205),"")</f>
        <v>51368</v>
      </c>
      <c r="AD205" s="1">
        <f>IFERROR(IF(INT(LEFT(TArticle[[#This Row],[شناسه]]))=3,IF(TArticle[[#This Row],[کد وضعیت سند]]=1,TArticle[مبلغ],0),0),0)</f>
        <v>0</v>
      </c>
      <c r="AE205" s="1">
        <f>IFERROR(IF(((TArticle[[#This Row],[شناسه]]))="4.1.1",IF(TArticle[[#This Row],[کد وضعیت سند]]=1,TArticle[مبلغ],0),0),0)</f>
        <v>41177</v>
      </c>
      <c r="AF205" s="1">
        <f>IFERROR(IF(((TArticle[[#This Row],[شناسه]]))="4.1.2",IF(TArticle[[#This Row],[کد وضعیت سند]]=1,TArticle[مبلغ],0),0),0)</f>
        <v>0</v>
      </c>
      <c r="AG205" s="1">
        <f>IFERROR(IF(INT(LEFT(TArticle[[#This Row],[شناسه]]))=1,IF(TArticle[[#This Row],[کد وضعیت سند]]=1,TArticle[مبلغ],0),0),0)</f>
        <v>0</v>
      </c>
      <c r="AH205" s="1">
        <f>IFERROR(IF(INT(LEFT(TArticle[[#This Row],[شناسه]]))=2,IF(TArticle[[#This Row],[کد وضعیت سند]]=1,TArticle[مبلغ],0),0),0)</f>
        <v>0</v>
      </c>
      <c r="AI205" s="1">
        <f>IFERROR(IF((LEFT(TArticle[[#This Row],[شناسه]],3))="5.2",IF(TArticle[[#This Row],[کد وضعیت سند]]=1,TArticle[مبلغ],0),0),0)</f>
        <v>0</v>
      </c>
      <c r="AJ205" s="1">
        <f>IF(TArticle[[#This Row],[کد وضعیت سند]]=1,1,0)</f>
        <v>1</v>
      </c>
      <c r="AK205" s="1">
        <f>IF(AND(TArticle[[#This Row],[کد وضعیت سند]]&lt;&gt;1,TArticle[[#This Row],[مبلغ]]&lt;&gt;0),1,0)</f>
        <v>0</v>
      </c>
      <c r="AL205" s="78">
        <f>IF(TArticle[[#This Row],[کد بانک]]&gt;0,TArticle[[#This Row],[مانده بانک]]-VLOOKUP(TArticle[[#This Row],[کد بانک]],TBank[],7,FALSE),"")</f>
        <v>51368</v>
      </c>
      <c r="AM205" s="58" t="str">
        <f>LEFT(TArticle[[#This Row],[تاریخ]],7)</f>
        <v>1401-10</v>
      </c>
    </row>
    <row r="206" spans="1:39" hidden="1" x14ac:dyDescent="0.25">
      <c r="A206" s="24" t="s">
        <v>55</v>
      </c>
      <c r="B206" s="49" t="str">
        <f>VLOOKUP(TArticle[[#This Row],[شناسه]],TAccount[],2,TRUE)</f>
        <v>هزینه کلی</v>
      </c>
      <c r="C206" s="49" t="str">
        <f>VLOOKUP(TArticle[[#This Row],[تاریخ]],TDays[],7,FALSE)</f>
        <v>جمعه</v>
      </c>
      <c r="D206" s="21" t="s">
        <v>473</v>
      </c>
      <c r="E206" s="1">
        <v>-2480</v>
      </c>
      <c r="F206" s="1">
        <f>TArticle[[#This Row],[مبلغ]]+IFERROR(INT(F205),30181+3667+958)</f>
        <v>53563</v>
      </c>
      <c r="G206" t="s">
        <v>1671</v>
      </c>
      <c r="K206" s="21">
        <v>1</v>
      </c>
      <c r="L206" t="str">
        <f>IF(TArticle[[#This Row],[کد وضعیت سند]]&gt;0,VLOOKUP(TArticle[[#This Row],[کد وضعیت سند]],TDocState[],2,FALSE),"")</f>
        <v>انجام شد</v>
      </c>
      <c r="N206" t="str">
        <f>IF(TArticle[[#This Row],[کد طرف حساب]]&gt;0,VLOOKUP(TArticle[[#This Row],[کد طرف حساب]],TContact[],2,FALSE),"")</f>
        <v/>
      </c>
      <c r="O206" s="61" t="str">
        <f>IF(TArticle[[#This Row],[کد طرف حساب]]&gt;0,VLOOKUP(TArticle[[#This Row],[کد طرف حساب]],TContact[],7,FALSE)-SUMIF($M$2:M206,M206,$E$2:$E206),"")</f>
        <v/>
      </c>
      <c r="P206" s="27" t="str">
        <f>RIGHT(TArticle[[#This Row],[تاریخ]],2)</f>
        <v>02</v>
      </c>
      <c r="Q206" s="27">
        <f>VLOOKUP(TArticle[[#This Row],[تاریخ]],TDays[],16,FALSE)</f>
        <v>41</v>
      </c>
      <c r="R206" s="27" t="str">
        <f>RIGHT(LEFT(TArticle[[#This Row],[تاریخ]],7),2)</f>
        <v>10</v>
      </c>
      <c r="S206" s="27" t="str">
        <f>LEFT(TArticle[[#This Row],[تاریخ]],4)</f>
        <v>1401</v>
      </c>
      <c r="U206" s="21">
        <f>VLOOKUP(TArticle[[#This Row],[شناسه]],TAccount[],7,TRUE)</f>
        <v>364074</v>
      </c>
      <c r="W206" s="21">
        <f>IF(AND(TArticle[[#This Row],[مبلغ]]&gt;0, TArticle[[#This Row],[کد وضعیت سند]]=1),TArticle[[#This Row],[مبلغ]],0)</f>
        <v>0</v>
      </c>
      <c r="X206" s="27">
        <f>IF(AND(TArticle[[#This Row],[مبلغ]]&lt;0,TArticle[[#This Row],[کد وضعیت سند]]=1),0-TArticle[[#This Row],[مبلغ]],0)</f>
        <v>2480</v>
      </c>
      <c r="Y206" s="27">
        <v>2</v>
      </c>
      <c r="Z206" t="str">
        <f>IF(TArticle[[#This Row],[کد بانک]]&gt;0,VLOOKUP(TArticle[[#This Row],[کد بانک]],TBank[],2,FALSE),"")</f>
        <v>ملی جاری</v>
      </c>
      <c r="AA206">
        <f>IF(AND(TArticle[[#This Row],[مبلغ]]&lt;0,TArticle[[#This Row],[کد وضعیت سند]]=1),0-TArticle[[#This Row],[مبلغ]],0)</f>
        <v>2480</v>
      </c>
      <c r="AB206">
        <f>IF(AND(TArticle[[#This Row],[مبلغ]]&gt;0, TArticle[[#This Row],[کد وضعیت سند]]=1),TArticle[[#This Row],[مبلغ]],0)</f>
        <v>0</v>
      </c>
      <c r="AC206" s="84">
        <f>IF(TArticle[[#This Row],[کد بانک]]&gt;0,VLOOKUP(TArticle[[#This Row],[کد بانک]],TBank[],9,FALSE)+SUMIF($Y$2:Y206,Y206,$E$2:$E206),"")</f>
        <v>48888</v>
      </c>
      <c r="AD206" s="1">
        <f>IFERROR(IF(INT(LEFT(TArticle[[#This Row],[شناسه]]))=3,IF(TArticle[[#This Row],[کد وضعیت سند]]=1,TArticle[مبلغ],0),0),0)</f>
        <v>-2480</v>
      </c>
      <c r="AE206" s="1">
        <f>IFERROR(IF(((TArticle[[#This Row],[شناسه]]))="4.1.1",IF(TArticle[[#This Row],[کد وضعیت سند]]=1,TArticle[مبلغ],0),0),0)</f>
        <v>0</v>
      </c>
      <c r="AF206" s="1">
        <f>IFERROR(IF(((TArticle[[#This Row],[شناسه]]))="4.1.2",IF(TArticle[[#This Row],[کد وضعیت سند]]=1,TArticle[مبلغ],0),0),0)</f>
        <v>0</v>
      </c>
      <c r="AG206" s="1">
        <f>IFERROR(IF(INT(LEFT(TArticle[[#This Row],[شناسه]]))=1,IF(TArticle[[#This Row],[کد وضعیت سند]]=1,TArticle[مبلغ],0),0),0)</f>
        <v>0</v>
      </c>
      <c r="AH206" s="1">
        <f>IFERROR(IF(INT(LEFT(TArticle[[#This Row],[شناسه]]))=2,IF(TArticle[[#This Row],[کد وضعیت سند]]=1,TArticle[مبلغ],0),0),0)</f>
        <v>0</v>
      </c>
      <c r="AI206" s="1">
        <f>IFERROR(IF((LEFT(TArticle[[#This Row],[شناسه]],3))="5.2",IF(TArticle[[#This Row],[کد وضعیت سند]]=1,TArticle[مبلغ],0),0),0)</f>
        <v>0</v>
      </c>
      <c r="AJ206" s="1">
        <f>IF(TArticle[[#This Row],[کد وضعیت سند]]=1,1,0)</f>
        <v>1</v>
      </c>
      <c r="AK206" s="1">
        <f>IF(AND(TArticle[[#This Row],[کد وضعیت سند]]&lt;&gt;1,TArticle[[#This Row],[مبلغ]]&lt;&gt;0),1,0)</f>
        <v>0</v>
      </c>
      <c r="AL206" s="51">
        <f>IF(TArticle[[#This Row],[کد بانک]]&gt;0,TArticle[[#This Row],[مانده بانک]]-VLOOKUP(TArticle[[#This Row],[کد بانک]],TBank[],7,FALSE),"")</f>
        <v>48888</v>
      </c>
      <c r="AM206" s="49" t="str">
        <f>LEFT(TArticle[[#This Row],[تاریخ]],7)</f>
        <v>1401-10</v>
      </c>
    </row>
    <row r="207" spans="1:39" hidden="1" x14ac:dyDescent="0.25">
      <c r="A207" s="24" t="s">
        <v>55</v>
      </c>
      <c r="B207" s="49" t="str">
        <f>VLOOKUP(TArticle[[#This Row],[شناسه]],TAccount[],2,TRUE)</f>
        <v>هزینه کلی</v>
      </c>
      <c r="C207" s="49" t="str">
        <f>VLOOKUP(TArticle[[#This Row],[تاریخ]],TDays[],7,FALSE)</f>
        <v>جمعه</v>
      </c>
      <c r="D207" s="21" t="s">
        <v>473</v>
      </c>
      <c r="E207" s="1">
        <v>-2500</v>
      </c>
      <c r="F207" s="1">
        <f>TArticle[[#This Row],[مبلغ]]+IFERROR(INT(F206),30181+3667+958)</f>
        <v>51063</v>
      </c>
      <c r="K207" s="21">
        <v>1</v>
      </c>
      <c r="L207" t="str">
        <f>IF(TArticle[[#This Row],[کد وضعیت سند]]&gt;0,VLOOKUP(TArticle[[#This Row],[کد وضعیت سند]],TDocState[],2,FALSE),"")</f>
        <v>انجام شد</v>
      </c>
      <c r="N207" t="str">
        <f>IF(TArticle[[#This Row],[کد طرف حساب]]&gt;0,VLOOKUP(TArticle[[#This Row],[کد طرف حساب]],TContact[],2,FALSE),"")</f>
        <v/>
      </c>
      <c r="O207" s="51" t="str">
        <f>IF(TArticle[[#This Row],[کد طرف حساب]]&gt;0,VLOOKUP(TArticle[[#This Row],[کد طرف حساب]],TContact[],7,FALSE)-SUMIF($M$2:M207,M207,$E$2:$E207),"")</f>
        <v/>
      </c>
      <c r="P207" s="27" t="str">
        <f>RIGHT(TArticle[[#This Row],[تاریخ]],2)</f>
        <v>02</v>
      </c>
      <c r="Q207" s="27">
        <f>VLOOKUP(TArticle[[#This Row],[تاریخ]],TDays[],16,FALSE)</f>
        <v>41</v>
      </c>
      <c r="R207" s="27" t="str">
        <f>RIGHT(LEFT(TArticle[[#This Row],[تاریخ]],7),2)</f>
        <v>10</v>
      </c>
      <c r="S207" s="27" t="str">
        <f>LEFT(TArticle[[#This Row],[تاریخ]],4)</f>
        <v>1401</v>
      </c>
      <c r="U207" s="21">
        <f>VLOOKUP(TArticle[[#This Row],[شناسه]],TAccount[],7,TRUE)</f>
        <v>364074</v>
      </c>
      <c r="W207" s="21">
        <f>IF(AND(TArticle[[#This Row],[مبلغ]]&gt;0, TArticle[[#This Row],[کد وضعیت سند]]=1),TArticle[[#This Row],[مبلغ]],0)</f>
        <v>0</v>
      </c>
      <c r="X207" s="27">
        <f>IF(AND(TArticle[[#This Row],[مبلغ]]&lt;0,TArticle[[#This Row],[کد وضعیت سند]]=1),0-TArticle[[#This Row],[مبلغ]],0)</f>
        <v>2500</v>
      </c>
      <c r="Y207" s="67">
        <v>2</v>
      </c>
      <c r="Z207" t="str">
        <f>IF(TArticle[[#This Row],[کد بانک]]&gt;0,VLOOKUP(TArticle[[#This Row],[کد بانک]],TBank[],2,FALSE),"")</f>
        <v>ملی جاری</v>
      </c>
      <c r="AA207">
        <f>IF(AND(TArticle[[#This Row],[مبلغ]]&lt;0,TArticle[[#This Row],[کد وضعیت سند]]=1),0-TArticle[[#This Row],[مبلغ]],0)</f>
        <v>2500</v>
      </c>
      <c r="AB207">
        <f>IF(AND(TArticle[[#This Row],[مبلغ]]&gt;0, TArticle[[#This Row],[کد وضعیت سند]]=1),TArticle[[#This Row],[مبلغ]],0)</f>
        <v>0</v>
      </c>
      <c r="AC207" s="84">
        <f>IF(TArticle[[#This Row],[کد بانک]]&gt;0,VLOOKUP(TArticle[[#This Row],[کد بانک]],TBank[],9,FALSE)+SUMIF($Y$2:Y207,Y207,$E$2:$E207),"")</f>
        <v>46388</v>
      </c>
      <c r="AD207" s="1">
        <f>IFERROR(IF(INT(LEFT(TArticle[[#This Row],[شناسه]]))=3,IF(TArticle[[#This Row],[کد وضعیت سند]]=1,TArticle[مبلغ],0),0),0)</f>
        <v>-2500</v>
      </c>
      <c r="AE207" s="1">
        <f>IFERROR(IF(((TArticle[[#This Row],[شناسه]]))="4.1.1",IF(TArticle[[#This Row],[کد وضعیت سند]]=1,TArticle[مبلغ],0),0),0)</f>
        <v>0</v>
      </c>
      <c r="AF207" s="1">
        <f>IFERROR(IF(((TArticle[[#This Row],[شناسه]]))="4.1.2",IF(TArticle[[#This Row],[کد وضعیت سند]]=1,TArticle[مبلغ],0),0),0)</f>
        <v>0</v>
      </c>
      <c r="AG207" s="1">
        <f>IFERROR(IF(INT(LEFT(TArticle[[#This Row],[شناسه]]))=1,IF(TArticle[[#This Row],[کد وضعیت سند]]=1,TArticle[مبلغ],0),0),0)</f>
        <v>0</v>
      </c>
      <c r="AH207" s="1">
        <f>IFERROR(IF(INT(LEFT(TArticle[[#This Row],[شناسه]]))=2,IF(TArticle[[#This Row],[کد وضعیت سند]]=1,TArticle[مبلغ],0),0),0)</f>
        <v>0</v>
      </c>
      <c r="AI207" s="1">
        <f>IFERROR(IF((LEFT(TArticle[[#This Row],[شناسه]],3))="5.2",IF(TArticle[[#This Row],[کد وضعیت سند]]=1,TArticle[مبلغ],0),0),0)</f>
        <v>0</v>
      </c>
      <c r="AJ207" s="1">
        <f>IF(TArticle[[#This Row],[کد وضعیت سند]]=1,1,0)</f>
        <v>1</v>
      </c>
      <c r="AK207" s="1">
        <f>IF(AND(TArticle[[#This Row],[کد وضعیت سند]]&lt;&gt;1,TArticle[[#This Row],[مبلغ]]&lt;&gt;0),1,0)</f>
        <v>0</v>
      </c>
      <c r="AL207" s="51">
        <f>IF(TArticle[[#This Row],[کد بانک]]&gt;0,TArticle[[#This Row],[مانده بانک]]-VLOOKUP(TArticle[[#This Row],[کد بانک]],TBank[],7,FALSE),"")</f>
        <v>46388</v>
      </c>
      <c r="AM207" s="49" t="str">
        <f>LEFT(TArticle[[#This Row],[تاریخ]],7)</f>
        <v>1401-10</v>
      </c>
    </row>
    <row r="208" spans="1:39" hidden="1" x14ac:dyDescent="0.25">
      <c r="A208" s="24" t="s">
        <v>55</v>
      </c>
      <c r="B208" s="49" t="str">
        <f>VLOOKUP(TArticle[[#This Row],[شناسه]],TAccount[],2,TRUE)</f>
        <v>هزینه کلی</v>
      </c>
      <c r="C208" s="49" t="str">
        <f>VLOOKUP(TArticle[[#This Row],[تاریخ]],TDays[],7,FALSE)</f>
        <v>جمعه</v>
      </c>
      <c r="D208" s="21" t="s">
        <v>473</v>
      </c>
      <c r="E208" s="163">
        <v>-100000</v>
      </c>
      <c r="F208" s="1">
        <f>TArticle[[#This Row],[مبلغ]]+IFERROR(INT(F207),30181+3667+958)</f>
        <v>-48937</v>
      </c>
      <c r="H208" s="64"/>
      <c r="J208" s="51"/>
      <c r="K208" s="49">
        <v>1</v>
      </c>
      <c r="L208" t="str">
        <f>IF(TArticle[[#This Row],[کد وضعیت سند]]&gt;0,VLOOKUP(TArticle[[#This Row],[کد وضعیت سند]],TDocState[],2,FALSE),"")</f>
        <v>انجام شد</v>
      </c>
      <c r="M208" s="67"/>
      <c r="N208" t="str">
        <f>IF(TArticle[[#This Row],[کد طرف حساب]]&gt;0,VLOOKUP(TArticle[[#This Row],[کد طرف حساب]],TContact[],2,FALSE),"")</f>
        <v/>
      </c>
      <c r="O208" s="60" t="str">
        <f>IF(TArticle[[#This Row],[کد طرف حساب]]&gt;0,VLOOKUP(TArticle[[#This Row],[کد طرف حساب]],TContact[],7,FALSE)-SUMIF($M$2:M208,M208,$E$2:$E208),"")</f>
        <v/>
      </c>
      <c r="P208" s="27" t="str">
        <f>RIGHT(TArticle[[#This Row],[تاریخ]],2)</f>
        <v>02</v>
      </c>
      <c r="Q208" s="27">
        <f>VLOOKUP(TArticle[[#This Row],[تاریخ]],TDays[],16,FALSE)</f>
        <v>41</v>
      </c>
      <c r="R208" s="27" t="str">
        <f>RIGHT(LEFT(TArticle[[#This Row],[تاریخ]],7),2)</f>
        <v>10</v>
      </c>
      <c r="S208" s="27" t="str">
        <f>LEFT(TArticle[[#This Row],[تاریخ]],4)</f>
        <v>1401</v>
      </c>
      <c r="U208" s="21">
        <f>VLOOKUP(TArticle[[#This Row],[شناسه]],TAccount[],7,TRUE)</f>
        <v>364074</v>
      </c>
      <c r="V208" s="21" t="s">
        <v>576</v>
      </c>
      <c r="W208" s="21">
        <f>IF(AND(TArticle[[#This Row],[مبلغ]]&gt;0, TArticle[[#This Row],[کد وضعیت سند]]=1),TArticle[[#This Row],[مبلغ]],0)</f>
        <v>0</v>
      </c>
      <c r="X208" s="27">
        <f>IF(AND(TArticle[[#This Row],[مبلغ]]&lt;0,TArticle[[#This Row],[کد وضعیت سند]]=1),0-TArticle[[#This Row],[مبلغ]],0)</f>
        <v>100000</v>
      </c>
      <c r="Y208" s="27">
        <v>10</v>
      </c>
      <c r="Z208" t="str">
        <f>IF(TArticle[[#This Row],[کد بانک]]&gt;0,VLOOKUP(TArticle[[#This Row],[کد بانک]],TBank[],2,FALSE),"")</f>
        <v>نیابتی</v>
      </c>
      <c r="AA208">
        <f>IF(AND(TArticle[[#This Row],[مبلغ]]&lt;0,TArticle[[#This Row],[کد وضعیت سند]]=1),0-TArticle[[#This Row],[مبلغ]],0)</f>
        <v>100000</v>
      </c>
      <c r="AB208">
        <f>IF(AND(TArticle[[#This Row],[مبلغ]]&gt;0, TArticle[[#This Row],[کد وضعیت سند]]=1),TArticle[[#This Row],[مبلغ]],0)</f>
        <v>0</v>
      </c>
      <c r="AC208" s="92">
        <f>IF(TArticle[[#This Row],[کد بانک]]&gt;0,VLOOKUP(TArticle[[#This Row],[کد بانک]],TBank[],9,FALSE)+SUMIF($Y$2:Y208,Y208,$E$2:$E208),"")</f>
        <v>-100000</v>
      </c>
      <c r="AD208" s="1">
        <f>IFERROR(IF(INT(LEFT(TArticle[[#This Row],[شناسه]]))=3,IF(TArticle[[#This Row],[کد وضعیت سند]]=1,TArticle[مبلغ],0),0),0)</f>
        <v>-100000</v>
      </c>
      <c r="AE208" s="1">
        <f>IFERROR(IF(((TArticle[[#This Row],[شناسه]]))="4.1.1",IF(TArticle[[#This Row],[کد وضعیت سند]]=1,TArticle[مبلغ],0),0),0)</f>
        <v>0</v>
      </c>
      <c r="AF208" s="1">
        <f>IFERROR(IF(((TArticle[[#This Row],[شناسه]]))="4.1.2",IF(TArticle[[#This Row],[کد وضعیت سند]]=1,TArticle[مبلغ],0),0),0)</f>
        <v>0</v>
      </c>
      <c r="AG208" s="1">
        <f>IFERROR(IF(INT(LEFT(TArticle[[#This Row],[شناسه]]))=1,IF(TArticle[[#This Row],[کد وضعیت سند]]=1,TArticle[مبلغ],0),0),0)</f>
        <v>0</v>
      </c>
      <c r="AH208" s="1">
        <f>IFERROR(IF(INT(LEFT(TArticle[[#This Row],[شناسه]]))=2,IF(TArticle[[#This Row],[کد وضعیت سند]]=1,TArticle[مبلغ],0),0),0)</f>
        <v>0</v>
      </c>
      <c r="AI208" s="1">
        <f>IFERROR(IF((LEFT(TArticle[[#This Row],[شناسه]],3))="5.2",IF(TArticle[[#This Row],[کد وضعیت سند]]=1,TArticle[مبلغ],0),0),0)</f>
        <v>0</v>
      </c>
      <c r="AJ208" s="1">
        <f>IF(TArticle[[#This Row],[کد وضعیت سند]]=1,1,0)</f>
        <v>1</v>
      </c>
      <c r="AK208" s="1">
        <f>IF(AND(TArticle[[#This Row],[کد وضعیت سند]]&lt;&gt;1,TArticle[[#This Row],[مبلغ]]&lt;&gt;0),1,0)</f>
        <v>0</v>
      </c>
      <c r="AL208" s="51">
        <f>IF(TArticle[[#This Row],[کد بانک]]&gt;0,TArticle[[#This Row],[مانده بانک]]-VLOOKUP(TArticle[[#This Row],[کد بانک]],TBank[],7,FALSE),"")</f>
        <v>-100000</v>
      </c>
      <c r="AM208" s="58" t="str">
        <f>LEFT(TArticle[[#This Row],[تاریخ]],7)</f>
        <v>1401-10</v>
      </c>
    </row>
    <row r="209" spans="1:39" hidden="1" x14ac:dyDescent="0.25">
      <c r="A209" s="77" t="s">
        <v>112</v>
      </c>
      <c r="B209" s="49" t="str">
        <f>VLOOKUP(TArticle[[#This Row],[شناسه]],TAccount[],2,TRUE)</f>
        <v>رسید دریافت/واریز</v>
      </c>
      <c r="C209" s="49" t="str">
        <f>VLOOKUP(TArticle[[#This Row],[تاریخ]],TDays[],7,FALSE)</f>
        <v>جمعه</v>
      </c>
      <c r="D209" s="21" t="s">
        <v>473</v>
      </c>
      <c r="E209" s="163">
        <v>100000</v>
      </c>
      <c r="F209" s="1">
        <f>TArticle[[#This Row],[مبلغ]]+IFERROR(INT(F208),30181+3667+958)</f>
        <v>51063</v>
      </c>
      <c r="H209" s="64"/>
      <c r="J209" s="65"/>
      <c r="K209" s="64">
        <v>1</v>
      </c>
      <c r="L209" s="66" t="str">
        <f>IF(TArticle[[#This Row],[کد وضعیت سند]]&gt;0,VLOOKUP(TArticle[[#This Row],[کد وضعیت سند]],TDocState[],2,FALSE),"")</f>
        <v>انجام شد</v>
      </c>
      <c r="M209" s="67">
        <v>4</v>
      </c>
      <c r="N209" t="str">
        <f>IF(TArticle[[#This Row],[کد طرف حساب]]&gt;0,VLOOKUP(TArticle[[#This Row],[کد طرف حساب]],TContact[],2,FALSE),"")</f>
        <v>سامان دریایی</v>
      </c>
      <c r="O209" s="68">
        <f>IF(TArticle[[#This Row],[کد طرف حساب]]&gt;0,VLOOKUP(TArticle[[#This Row],[کد طرف حساب]],TContact[],7,FALSE)-SUMIF($M$2:M209,M209,$E$2:$E209),"")</f>
        <v>-100000</v>
      </c>
      <c r="P209" s="67" t="str">
        <f>RIGHT(TArticle[[#This Row],[تاریخ]],2)</f>
        <v>02</v>
      </c>
      <c r="Q209" s="67">
        <f>VLOOKUP(TArticle[[#This Row],[تاریخ]],TDays[],16,FALSE)</f>
        <v>41</v>
      </c>
      <c r="R209" s="67" t="str">
        <f>RIGHT(LEFT(TArticle[[#This Row],[تاریخ]],7),2)</f>
        <v>10</v>
      </c>
      <c r="S209" s="67" t="str">
        <f>LEFT(TArticle[[#This Row],[تاریخ]],4)</f>
        <v>1401</v>
      </c>
      <c r="T209" s="64"/>
      <c r="U209" s="64">
        <f>VLOOKUP(TArticle[[#This Row],[شناسه]],TAccount[],7,TRUE)</f>
        <v>257767</v>
      </c>
      <c r="V209" s="28" t="s">
        <v>576</v>
      </c>
      <c r="W209" s="64">
        <f>IF(AND(TArticle[[#This Row],[مبلغ]]&gt;0, TArticle[[#This Row],[کد وضعیت سند]]=1),TArticle[[#This Row],[مبلغ]],0)</f>
        <v>100000</v>
      </c>
      <c r="X209" s="67">
        <f>IF(AND(TArticle[[#This Row],[مبلغ]]&lt;0,TArticle[[#This Row],[کد وضعیت سند]]=1),0-TArticle[[#This Row],[مبلغ]],0)</f>
        <v>0</v>
      </c>
      <c r="Y209" s="27">
        <v>10</v>
      </c>
      <c r="Z209" t="str">
        <f>IF(TArticle[[#This Row],[کد بانک]]&gt;0,VLOOKUP(TArticle[[#This Row],[کد بانک]],TBank[],2,FALSE),"")</f>
        <v>نیابتی</v>
      </c>
      <c r="AA209">
        <f>IF(AND(TArticle[[#This Row],[مبلغ]]&lt;0,TArticle[[#This Row],[کد وضعیت سند]]=1),0-TArticle[[#This Row],[مبلغ]],0)</f>
        <v>0</v>
      </c>
      <c r="AB209">
        <f>IF(AND(TArticle[[#This Row],[مبلغ]]&gt;0, TArticle[[#This Row],[کد وضعیت سند]]=1),TArticle[[#This Row],[مبلغ]],0)</f>
        <v>100000</v>
      </c>
      <c r="AC209" s="93">
        <f>IF(TArticle[[#This Row],[کد بانک]]&gt;0,VLOOKUP(TArticle[[#This Row],[کد بانک]],TBank[],9,FALSE)+SUMIF($Y$2:Y209,Y209,$E$2:$E209),"")</f>
        <v>0</v>
      </c>
      <c r="AD209" s="1">
        <f>IFERROR(IF(INT(LEFT(TArticle[[#This Row],[شناسه]]))=3,IF(TArticle[[#This Row],[کد وضعیت سند]]=1,TArticle[مبلغ],0),0),0)</f>
        <v>0</v>
      </c>
      <c r="AE209" s="1">
        <f>IFERROR(IF(((TArticle[[#This Row],[شناسه]]))="4.1.1",IF(TArticle[[#This Row],[کد وضعیت سند]]=1,TArticle[مبلغ],0),0),0)</f>
        <v>0</v>
      </c>
      <c r="AF209" s="1">
        <f>IFERROR(IF(((TArticle[[#This Row],[شناسه]]))="4.1.2",IF(TArticle[[#This Row],[کد وضعیت سند]]=1,TArticle[مبلغ],0),0),0)</f>
        <v>0</v>
      </c>
      <c r="AG209" s="1">
        <f>IFERROR(IF(INT(LEFT(TArticle[[#This Row],[شناسه]]))=1,IF(TArticle[[#This Row],[کد وضعیت سند]]=1,TArticle[مبلغ],0),0),0)</f>
        <v>0</v>
      </c>
      <c r="AH209" s="1">
        <f>IFERROR(IF(INT(LEFT(TArticle[[#This Row],[شناسه]]))=2,IF(TArticle[[#This Row],[کد وضعیت سند]]=1,TArticle[مبلغ],0),0),0)</f>
        <v>0</v>
      </c>
      <c r="AI209" s="1">
        <f>IFERROR(IF((LEFT(TArticle[[#This Row],[شناسه]],3))="5.2",IF(TArticle[[#This Row],[کد وضعیت سند]]=1,TArticle[مبلغ],0),0),0)</f>
        <v>0</v>
      </c>
      <c r="AJ209" s="1">
        <f>IF(TArticle[[#This Row],[کد وضعیت سند]]=1,1,0)</f>
        <v>1</v>
      </c>
      <c r="AK209" s="1">
        <f>IF(AND(TArticle[[#This Row],[کد وضعیت سند]]&lt;&gt;1,TArticle[[#This Row],[مبلغ]]&lt;&gt;0),1,0)</f>
        <v>0</v>
      </c>
      <c r="AL209" s="78">
        <f>IF(TArticle[[#This Row],[کد بانک]]&gt;0,TArticle[[#This Row],[مانده بانک]]-VLOOKUP(TArticle[[#This Row],[کد بانک]],TBank[],7,FALSE),"")</f>
        <v>0</v>
      </c>
      <c r="AM209" s="58" t="str">
        <f>LEFT(TArticle[[#This Row],[تاریخ]],7)</f>
        <v>1401-10</v>
      </c>
    </row>
    <row r="210" spans="1:39" hidden="1" x14ac:dyDescent="0.25">
      <c r="A210" s="24" t="s">
        <v>1110</v>
      </c>
      <c r="B210" s="49" t="str">
        <f>VLOOKUP(TArticle[[#This Row],[شناسه]],TAccount[],2,TRUE)</f>
        <v>قسط وام بانکی</v>
      </c>
      <c r="C210" s="49" t="str">
        <f>VLOOKUP(TArticle[[#This Row],[تاریخ]],TDays[],7,FALSE)</f>
        <v>شنبه</v>
      </c>
      <c r="D210" s="21" t="s">
        <v>474</v>
      </c>
      <c r="E210" s="1">
        <v>-1830</v>
      </c>
      <c r="F210" s="1">
        <f>TArticle[[#This Row],[مبلغ]]+IFERROR(INT(F209),30181+3667+958)</f>
        <v>49233</v>
      </c>
      <c r="G210" t="s">
        <v>1591</v>
      </c>
      <c r="H210" s="21">
        <v>18</v>
      </c>
      <c r="K210" s="21">
        <v>1</v>
      </c>
      <c r="L210" t="str">
        <f>IF(TArticle[[#This Row],[کد وضعیت سند]]&gt;0,VLOOKUP(TArticle[[#This Row],[کد وضعیت سند]],TDocState[],2,FALSE),"")</f>
        <v>انجام شد</v>
      </c>
      <c r="M210" s="27">
        <v>110</v>
      </c>
      <c r="N210" t="str">
        <f>IF(TArticle[[#This Row],[کد طرف حساب]]&gt;0,VLOOKUP(TArticle[[#This Row],[کد طرف حساب]],TContact[],2,FALSE),"")</f>
        <v>وام ملت</v>
      </c>
      <c r="O210" s="61">
        <f>IF(TArticle[[#This Row],[کد طرف حساب]]&gt;0,VLOOKUP(TArticle[[#This Row],[کد طرف حساب]],TContact[],7,FALSE)-SUMIF($M$2:M210,M210,$E$2:$E210),"")</f>
        <v>-31700</v>
      </c>
      <c r="P210" s="27" t="str">
        <f>RIGHT(TArticle[[#This Row],[تاریخ]],2)</f>
        <v>03</v>
      </c>
      <c r="Q210" s="27">
        <f>VLOOKUP(TArticle[[#This Row],[تاریخ]],TDays[],16,FALSE)</f>
        <v>41</v>
      </c>
      <c r="R210" s="27" t="str">
        <f>RIGHT(LEFT(TArticle[[#This Row],[تاریخ]],7),2)</f>
        <v>10</v>
      </c>
      <c r="S210" s="27" t="str">
        <f>LEFT(TArticle[[#This Row],[تاریخ]],4)</f>
        <v>1401</v>
      </c>
      <c r="U210" s="21">
        <f>VLOOKUP(TArticle[[#This Row],[شناسه]],TAccount[],7,TRUE)</f>
        <v>81652</v>
      </c>
      <c r="V210" s="21" t="s">
        <v>445</v>
      </c>
      <c r="W210" s="21">
        <f>IF(AND(TArticle[[#This Row],[مبلغ]]&gt;0, TArticle[[#This Row],[کد وضعیت سند]]=1),TArticle[[#This Row],[مبلغ]],0)</f>
        <v>0</v>
      </c>
      <c r="X210" s="27">
        <f>IF(AND(TArticle[[#This Row],[مبلغ]]&lt;0,TArticle[[#This Row],[کد وضعیت سند]]=1),0-TArticle[[#This Row],[مبلغ]],0)</f>
        <v>1830</v>
      </c>
      <c r="Y210" s="27">
        <v>2</v>
      </c>
      <c r="Z210" t="str">
        <f>IF(TArticle[[#This Row],[کد بانک]]&gt;0,VLOOKUP(TArticle[[#This Row],[کد بانک]],TBank[],2,FALSE),"")</f>
        <v>ملی جاری</v>
      </c>
      <c r="AA210">
        <f>IF(AND(TArticle[[#This Row],[مبلغ]]&lt;0,TArticle[[#This Row],[کد وضعیت سند]]=1),0-TArticle[[#This Row],[مبلغ]],0)</f>
        <v>1830</v>
      </c>
      <c r="AB210">
        <f>IF(AND(TArticle[[#This Row],[مبلغ]]&gt;0, TArticle[[#This Row],[کد وضعیت سند]]=1),TArticle[[#This Row],[مبلغ]],0)</f>
        <v>0</v>
      </c>
      <c r="AC210" s="84">
        <f>IF(TArticle[[#This Row],[کد بانک]]&gt;0,VLOOKUP(TArticle[[#This Row],[کد بانک]],TBank[],9,FALSE)+SUMIF($Y$2:Y210,Y210,$E$2:$E210),"")</f>
        <v>44558</v>
      </c>
      <c r="AD210" s="1">
        <f>IFERROR(IF(INT(LEFT(TArticle[[#This Row],[شناسه]]))=3,IF(TArticle[[#This Row],[کد وضعیت سند]]=1,TArticle[مبلغ],0),0),0)</f>
        <v>0</v>
      </c>
      <c r="AE210" s="1">
        <f>IFERROR(IF(((TArticle[[#This Row],[شناسه]]))="4.1.1",IF(TArticle[[#This Row],[کد وضعیت سند]]=1,TArticle[مبلغ],0),0),0)</f>
        <v>0</v>
      </c>
      <c r="AF210" s="1">
        <f>IFERROR(IF(((TArticle[[#This Row],[شناسه]]))="4.1.2",IF(TArticle[[#This Row],[کد وضعیت سند]]=1,TArticle[مبلغ],0),0),0)</f>
        <v>0</v>
      </c>
      <c r="AG210" s="1">
        <f>IFERROR(IF(INT(LEFT(TArticle[[#This Row],[شناسه]]))=1,IF(TArticle[[#This Row],[کد وضعیت سند]]=1,TArticle[مبلغ],0),0),0)</f>
        <v>-1830</v>
      </c>
      <c r="AH210" s="1">
        <f>IFERROR(IF(INT(LEFT(TArticle[[#This Row],[شناسه]]))=2,IF(TArticle[[#This Row],[کد وضعیت سند]]=1,TArticle[مبلغ],0),0),0)</f>
        <v>0</v>
      </c>
      <c r="AI210" s="1">
        <f>IFERROR(IF((LEFT(TArticle[[#This Row],[شناسه]],3))="5.2",IF(TArticle[[#This Row],[کد وضعیت سند]]=1,TArticle[مبلغ],0),0),0)</f>
        <v>0</v>
      </c>
      <c r="AJ210" s="1">
        <f>IF(TArticle[[#This Row],[کد وضعیت سند]]=1,1,0)</f>
        <v>1</v>
      </c>
      <c r="AK210" s="1">
        <f>IF(AND(TArticle[[#This Row],[کد وضعیت سند]]&lt;&gt;1,TArticle[[#This Row],[مبلغ]]&lt;&gt;0),1,0)</f>
        <v>0</v>
      </c>
      <c r="AL210" s="51">
        <f>IF(TArticle[[#This Row],[کد بانک]]&gt;0,TArticle[[#This Row],[مانده بانک]]-VLOOKUP(TArticle[[#This Row],[کد بانک]],TBank[],7,FALSE),"")</f>
        <v>44558</v>
      </c>
      <c r="AM210" s="49" t="str">
        <f>LEFT(TArticle[[#This Row],[تاریخ]],7)</f>
        <v>1401-10</v>
      </c>
    </row>
    <row r="211" spans="1:39" hidden="1" x14ac:dyDescent="0.25">
      <c r="A211" s="24" t="s">
        <v>1110</v>
      </c>
      <c r="B211" s="49" t="str">
        <f>VLOOKUP(TArticle[[#This Row],[شناسه]],TAccount[],2,TRUE)</f>
        <v>قسط وام بانکی</v>
      </c>
      <c r="C211" s="49" t="str">
        <f>VLOOKUP(TArticle[[#This Row],[تاریخ]],TDays[],7,FALSE)</f>
        <v>شنبه</v>
      </c>
      <c r="D211" s="21" t="s">
        <v>474</v>
      </c>
      <c r="E211" s="1">
        <v>-1830</v>
      </c>
      <c r="F211" s="1">
        <f>TArticle[[#This Row],[مبلغ]]+IFERROR(INT(F210),30181+3667+958)</f>
        <v>47403</v>
      </c>
      <c r="G211" t="s">
        <v>1591</v>
      </c>
      <c r="H211" s="21">
        <v>18</v>
      </c>
      <c r="K211" s="21">
        <v>1</v>
      </c>
      <c r="L211" t="str">
        <f>IF(TArticle[[#This Row],[کد وضعیت سند]]&gt;0,VLOOKUP(TArticle[[#This Row],[کد وضعیت سند]],TDocState[],2,FALSE),"")</f>
        <v>انجام شد</v>
      </c>
      <c r="M211" s="27">
        <v>111</v>
      </c>
      <c r="N211" t="str">
        <f>IF(TArticle[[#This Row],[کد طرف حساب]]&gt;0,VLOOKUP(TArticle[[#This Row],[کد طرف حساب]],TContact[],2,FALSE),"")</f>
        <v>وام ملت ف</v>
      </c>
      <c r="O211" s="61">
        <f>IF(TArticle[[#This Row],[کد طرف حساب]]&gt;0,VLOOKUP(TArticle[[#This Row],[کد طرف حساب]],TContact[],7,FALSE)-SUMIF($M$2:M211,M211,$E$2:$E211),"")</f>
        <v>-31700</v>
      </c>
      <c r="P211" s="27" t="str">
        <f>RIGHT(TArticle[[#This Row],[تاریخ]],2)</f>
        <v>03</v>
      </c>
      <c r="Q211" s="27">
        <f>VLOOKUP(TArticle[[#This Row],[تاریخ]],TDays[],16,FALSE)</f>
        <v>41</v>
      </c>
      <c r="R211" s="27" t="str">
        <f>RIGHT(LEFT(TArticle[[#This Row],[تاریخ]],7),2)</f>
        <v>10</v>
      </c>
      <c r="S211" s="27" t="str">
        <f>LEFT(TArticle[[#This Row],[تاریخ]],4)</f>
        <v>1401</v>
      </c>
      <c r="U211" s="21">
        <f>VLOOKUP(TArticle[[#This Row],[شناسه]],TAccount[],7,TRUE)</f>
        <v>81652</v>
      </c>
      <c r="V211" s="21" t="s">
        <v>445</v>
      </c>
      <c r="W211" s="21">
        <f>IF(AND(TArticle[[#This Row],[مبلغ]]&gt;0, TArticle[[#This Row],[کد وضعیت سند]]=1),TArticle[[#This Row],[مبلغ]],0)</f>
        <v>0</v>
      </c>
      <c r="X211" s="27">
        <f>IF(AND(TArticle[[#This Row],[مبلغ]]&lt;0,TArticle[[#This Row],[کد وضعیت سند]]=1),0-TArticle[[#This Row],[مبلغ]],0)</f>
        <v>1830</v>
      </c>
      <c r="Y211" s="27">
        <v>2</v>
      </c>
      <c r="Z211" t="str">
        <f>IF(TArticle[[#This Row],[کد بانک]]&gt;0,VLOOKUP(TArticle[[#This Row],[کد بانک]],TBank[],2,FALSE),"")</f>
        <v>ملی جاری</v>
      </c>
      <c r="AA211">
        <f>IF(AND(TArticle[[#This Row],[مبلغ]]&lt;0,TArticle[[#This Row],[کد وضعیت سند]]=1),0-TArticle[[#This Row],[مبلغ]],0)</f>
        <v>1830</v>
      </c>
      <c r="AB211">
        <f>IF(AND(TArticle[[#This Row],[مبلغ]]&gt;0, TArticle[[#This Row],[کد وضعیت سند]]=1),TArticle[[#This Row],[مبلغ]],0)</f>
        <v>0</v>
      </c>
      <c r="AC211" s="84">
        <f>IF(TArticle[[#This Row],[کد بانک]]&gt;0,VLOOKUP(TArticle[[#This Row],[کد بانک]],TBank[],9,FALSE)+SUMIF($Y$2:Y211,Y211,$E$2:$E211),"")</f>
        <v>42728</v>
      </c>
      <c r="AD211" s="1">
        <f>IFERROR(IF(INT(LEFT(TArticle[[#This Row],[شناسه]]))=3,IF(TArticle[[#This Row],[کد وضعیت سند]]=1,TArticle[مبلغ],0),0),0)</f>
        <v>0</v>
      </c>
      <c r="AE211" s="1">
        <f>IFERROR(IF(((TArticle[[#This Row],[شناسه]]))="4.1.1",IF(TArticle[[#This Row],[کد وضعیت سند]]=1,TArticle[مبلغ],0),0),0)</f>
        <v>0</v>
      </c>
      <c r="AF211" s="1">
        <f>IFERROR(IF(((TArticle[[#This Row],[شناسه]]))="4.1.2",IF(TArticle[[#This Row],[کد وضعیت سند]]=1,TArticle[مبلغ],0),0),0)</f>
        <v>0</v>
      </c>
      <c r="AG211" s="1">
        <f>IFERROR(IF(INT(LEFT(TArticle[[#This Row],[شناسه]]))=1,IF(TArticle[[#This Row],[کد وضعیت سند]]=1,TArticle[مبلغ],0),0),0)</f>
        <v>-1830</v>
      </c>
      <c r="AH211" s="1">
        <f>IFERROR(IF(INT(LEFT(TArticle[[#This Row],[شناسه]]))=2,IF(TArticle[[#This Row],[کد وضعیت سند]]=1,TArticle[مبلغ],0),0),0)</f>
        <v>0</v>
      </c>
      <c r="AI211" s="1">
        <f>IFERROR(IF((LEFT(TArticle[[#This Row],[شناسه]],3))="5.2",IF(TArticle[[#This Row],[کد وضعیت سند]]=1,TArticle[مبلغ],0),0),0)</f>
        <v>0</v>
      </c>
      <c r="AJ211" s="1">
        <f>IF(TArticle[[#This Row],[کد وضعیت سند]]=1,1,0)</f>
        <v>1</v>
      </c>
      <c r="AK211" s="1">
        <f>IF(AND(TArticle[[#This Row],[کد وضعیت سند]]&lt;&gt;1,TArticle[[#This Row],[مبلغ]]&lt;&gt;0),1,0)</f>
        <v>0</v>
      </c>
      <c r="AL211" s="51">
        <f>IF(TArticle[[#This Row],[کد بانک]]&gt;0,TArticle[[#This Row],[مانده بانک]]-VLOOKUP(TArticle[[#This Row],[کد بانک]],TBank[],7,FALSE),"")</f>
        <v>42728</v>
      </c>
      <c r="AM211" s="49" t="str">
        <f>LEFT(TArticle[[#This Row],[تاریخ]],7)</f>
        <v>1401-10</v>
      </c>
    </row>
    <row r="212" spans="1:39" hidden="1" x14ac:dyDescent="0.25">
      <c r="A212" s="24" t="s">
        <v>1110</v>
      </c>
      <c r="B212" s="49" t="str">
        <f>VLOOKUP(TArticle[[#This Row],[شناسه]],TAccount[],2,TRUE)</f>
        <v>قسط وام بانکی</v>
      </c>
      <c r="C212" s="49" t="str">
        <f>VLOOKUP(TArticle[[#This Row],[تاریخ]],TDays[],7,FALSE)</f>
        <v>شنبه</v>
      </c>
      <c r="D212" s="21" t="s">
        <v>474</v>
      </c>
      <c r="E212" s="1">
        <v>-1830</v>
      </c>
      <c r="F212" s="1">
        <f>TArticle[[#This Row],[مبلغ]]+IFERROR(INT(F211),30181+3667+958)</f>
        <v>45573</v>
      </c>
      <c r="G212" t="s">
        <v>1591</v>
      </c>
      <c r="H212" s="21">
        <v>19</v>
      </c>
      <c r="K212" s="21">
        <v>1</v>
      </c>
      <c r="L212" t="str">
        <f>IF(TArticle[[#This Row],[کد وضعیت سند]]&gt;0,VLOOKUP(TArticle[[#This Row],[کد وضعیت سند]],TDocState[],2,FALSE),"")</f>
        <v>انجام شد</v>
      </c>
      <c r="M212" s="27">
        <v>110</v>
      </c>
      <c r="N212" t="str">
        <f>IF(TArticle[[#This Row],[کد طرف حساب]]&gt;0,VLOOKUP(TArticle[[#This Row],[کد طرف حساب]],TContact[],2,FALSE),"")</f>
        <v>وام ملت</v>
      </c>
      <c r="O212" s="61">
        <f>IF(TArticle[[#This Row],[کد طرف حساب]]&gt;0,VLOOKUP(TArticle[[#This Row],[کد طرف حساب]],TContact[],7,FALSE)-SUMIF($M$2:M212,M212,$E$2:$E212),"")</f>
        <v>-29870</v>
      </c>
      <c r="P212" s="27" t="str">
        <f>RIGHT(TArticle[[#This Row],[تاریخ]],2)</f>
        <v>03</v>
      </c>
      <c r="Q212" s="27">
        <f>VLOOKUP(TArticle[[#This Row],[تاریخ]],TDays[],16,FALSE)</f>
        <v>41</v>
      </c>
      <c r="R212" s="27" t="str">
        <f>RIGHT(LEFT(TArticle[[#This Row],[تاریخ]],7),2)</f>
        <v>10</v>
      </c>
      <c r="S212" s="27" t="str">
        <f>LEFT(TArticle[[#This Row],[تاریخ]],4)</f>
        <v>1401</v>
      </c>
      <c r="U212" s="21">
        <f>VLOOKUP(TArticle[[#This Row],[شناسه]],TAccount[],7,TRUE)</f>
        <v>81652</v>
      </c>
      <c r="V212" s="21" t="s">
        <v>474</v>
      </c>
      <c r="W212" s="21">
        <f>IF(AND(TArticle[[#This Row],[مبلغ]]&gt;0, TArticle[[#This Row],[کد وضعیت سند]]=1),TArticle[[#This Row],[مبلغ]],0)</f>
        <v>0</v>
      </c>
      <c r="X212" s="27">
        <f>IF(AND(TArticle[[#This Row],[مبلغ]]&lt;0,TArticle[[#This Row],[کد وضعیت سند]]=1),0-TArticle[[#This Row],[مبلغ]],0)</f>
        <v>1830</v>
      </c>
      <c r="Y212" s="27">
        <v>2</v>
      </c>
      <c r="Z212" t="str">
        <f>IF(TArticle[[#This Row],[کد بانک]]&gt;0,VLOOKUP(TArticle[[#This Row],[کد بانک]],TBank[],2,FALSE),"")</f>
        <v>ملی جاری</v>
      </c>
      <c r="AA212">
        <f>IF(AND(TArticle[[#This Row],[مبلغ]]&lt;0,TArticle[[#This Row],[کد وضعیت سند]]=1),0-TArticle[[#This Row],[مبلغ]],0)</f>
        <v>1830</v>
      </c>
      <c r="AB212">
        <f>IF(AND(TArticle[[#This Row],[مبلغ]]&gt;0, TArticle[[#This Row],[کد وضعیت سند]]=1),TArticle[[#This Row],[مبلغ]],0)</f>
        <v>0</v>
      </c>
      <c r="AC212" s="84">
        <f>IF(TArticle[[#This Row],[کد بانک]]&gt;0,VLOOKUP(TArticle[[#This Row],[کد بانک]],TBank[],9,FALSE)+SUMIF($Y$2:Y212,Y212,$E$2:$E212),"")</f>
        <v>40898</v>
      </c>
      <c r="AD212" s="1">
        <f>IFERROR(IF(INT(LEFT(TArticle[[#This Row],[شناسه]]))=3,IF(TArticle[[#This Row],[کد وضعیت سند]]=1,TArticle[مبلغ],0),0),0)</f>
        <v>0</v>
      </c>
      <c r="AE212" s="1">
        <f>IFERROR(IF(((TArticle[[#This Row],[شناسه]]))="4.1.1",IF(TArticle[[#This Row],[کد وضعیت سند]]=1,TArticle[مبلغ],0),0),0)</f>
        <v>0</v>
      </c>
      <c r="AF212" s="1">
        <f>IFERROR(IF(((TArticle[[#This Row],[شناسه]]))="4.1.2",IF(TArticle[[#This Row],[کد وضعیت سند]]=1,TArticle[مبلغ],0),0),0)</f>
        <v>0</v>
      </c>
      <c r="AG212" s="1">
        <f>IFERROR(IF(INT(LEFT(TArticle[[#This Row],[شناسه]]))=1,IF(TArticle[[#This Row],[کد وضعیت سند]]=1,TArticle[مبلغ],0),0),0)</f>
        <v>-1830</v>
      </c>
      <c r="AH212" s="1">
        <f>IFERROR(IF(INT(LEFT(TArticle[[#This Row],[شناسه]]))=2,IF(TArticle[[#This Row],[کد وضعیت سند]]=1,TArticle[مبلغ],0),0),0)</f>
        <v>0</v>
      </c>
      <c r="AI212" s="1">
        <f>IFERROR(IF((LEFT(TArticle[[#This Row],[شناسه]],3))="5.2",IF(TArticle[[#This Row],[کد وضعیت سند]]=1,TArticle[مبلغ],0),0),0)</f>
        <v>0</v>
      </c>
      <c r="AJ212" s="1">
        <f>IF(TArticle[[#This Row],[کد وضعیت سند]]=1,1,0)</f>
        <v>1</v>
      </c>
      <c r="AK212" s="1">
        <f>IF(AND(TArticle[[#This Row],[کد وضعیت سند]]&lt;&gt;1,TArticle[[#This Row],[مبلغ]]&lt;&gt;0),1,0)</f>
        <v>0</v>
      </c>
      <c r="AL212" s="51">
        <f>IF(TArticle[[#This Row],[کد بانک]]&gt;0,TArticle[[#This Row],[مانده بانک]]-VLOOKUP(TArticle[[#This Row],[کد بانک]],TBank[],7,FALSE),"")</f>
        <v>40898</v>
      </c>
      <c r="AM212" s="49" t="str">
        <f>LEFT(TArticle[[#This Row],[تاریخ]],7)</f>
        <v>1401-10</v>
      </c>
    </row>
    <row r="213" spans="1:39" hidden="1" x14ac:dyDescent="0.25">
      <c r="A213" s="24" t="s">
        <v>1110</v>
      </c>
      <c r="B213" s="49" t="str">
        <f>VLOOKUP(TArticle[[#This Row],[شناسه]],TAccount[],2,TRUE)</f>
        <v>قسط وام بانکی</v>
      </c>
      <c r="C213" s="49" t="str">
        <f>VLOOKUP(TArticle[[#This Row],[تاریخ]],TDays[],7,FALSE)</f>
        <v>شنبه</v>
      </c>
      <c r="D213" s="21" t="s">
        <v>474</v>
      </c>
      <c r="E213" s="1">
        <v>-1830</v>
      </c>
      <c r="F213" s="1">
        <f>TArticle[[#This Row],[مبلغ]]+IFERROR(INT(F212),30181+3667+958)</f>
        <v>43743</v>
      </c>
      <c r="G213" t="s">
        <v>1591</v>
      </c>
      <c r="H213" s="21">
        <v>19</v>
      </c>
      <c r="K213" s="21">
        <v>1</v>
      </c>
      <c r="L213" t="str">
        <f>IF(TArticle[[#This Row],[کد وضعیت سند]]&gt;0,VLOOKUP(TArticle[[#This Row],[کد وضعیت سند]],TDocState[],2,FALSE),"")</f>
        <v>انجام شد</v>
      </c>
      <c r="M213" s="27">
        <v>111</v>
      </c>
      <c r="N213" t="str">
        <f>IF(TArticle[[#This Row],[کد طرف حساب]]&gt;0,VLOOKUP(TArticle[[#This Row],[کد طرف حساب]],TContact[],2,FALSE),"")</f>
        <v>وام ملت ف</v>
      </c>
      <c r="O213" s="61">
        <f>IF(TArticle[[#This Row],[کد طرف حساب]]&gt;0,VLOOKUP(TArticle[[#This Row],[کد طرف حساب]],TContact[],7,FALSE)-SUMIF($M$2:M213,M213,$E$2:$E213),"")</f>
        <v>-29870</v>
      </c>
      <c r="P213" s="27" t="str">
        <f>RIGHT(TArticle[[#This Row],[تاریخ]],2)</f>
        <v>03</v>
      </c>
      <c r="Q213" s="27">
        <f>VLOOKUP(TArticle[[#This Row],[تاریخ]],TDays[],16,FALSE)</f>
        <v>41</v>
      </c>
      <c r="R213" s="27" t="str">
        <f>RIGHT(LEFT(TArticle[[#This Row],[تاریخ]],7),2)</f>
        <v>10</v>
      </c>
      <c r="S213" s="27" t="str">
        <f>LEFT(TArticle[[#This Row],[تاریخ]],4)</f>
        <v>1401</v>
      </c>
      <c r="U213" s="21">
        <f>VLOOKUP(TArticle[[#This Row],[شناسه]],TAccount[],7,TRUE)</f>
        <v>81652</v>
      </c>
      <c r="V213" s="21" t="s">
        <v>474</v>
      </c>
      <c r="W213" s="21">
        <f>IF(AND(TArticle[[#This Row],[مبلغ]]&gt;0, TArticle[[#This Row],[کد وضعیت سند]]=1),TArticle[[#This Row],[مبلغ]],0)</f>
        <v>0</v>
      </c>
      <c r="X213" s="27">
        <f>IF(AND(TArticle[[#This Row],[مبلغ]]&lt;0,TArticle[[#This Row],[کد وضعیت سند]]=1),0-TArticle[[#This Row],[مبلغ]],0)</f>
        <v>1830</v>
      </c>
      <c r="Y213" s="27">
        <v>2</v>
      </c>
      <c r="Z213" t="str">
        <f>IF(TArticle[[#This Row],[کد بانک]]&gt;0,VLOOKUP(TArticle[[#This Row],[کد بانک]],TBank[],2,FALSE),"")</f>
        <v>ملی جاری</v>
      </c>
      <c r="AA213">
        <f>IF(AND(TArticle[[#This Row],[مبلغ]]&lt;0,TArticle[[#This Row],[کد وضعیت سند]]=1),0-TArticle[[#This Row],[مبلغ]],0)</f>
        <v>1830</v>
      </c>
      <c r="AB213">
        <f>IF(AND(TArticle[[#This Row],[مبلغ]]&gt;0, TArticle[[#This Row],[کد وضعیت سند]]=1),TArticle[[#This Row],[مبلغ]],0)</f>
        <v>0</v>
      </c>
      <c r="AC213" s="84">
        <f>IF(TArticle[[#This Row],[کد بانک]]&gt;0,VLOOKUP(TArticle[[#This Row],[کد بانک]],TBank[],9,FALSE)+SUMIF($Y$2:Y213,Y213,$E$2:$E213),"")</f>
        <v>39068</v>
      </c>
      <c r="AD213" s="1">
        <f>IFERROR(IF(INT(LEFT(TArticle[[#This Row],[شناسه]]))=3,IF(TArticle[[#This Row],[کد وضعیت سند]]=1,TArticle[مبلغ],0),0),0)</f>
        <v>0</v>
      </c>
      <c r="AE213" s="1">
        <f>IFERROR(IF(((TArticle[[#This Row],[شناسه]]))="4.1.1",IF(TArticle[[#This Row],[کد وضعیت سند]]=1,TArticle[مبلغ],0),0),0)</f>
        <v>0</v>
      </c>
      <c r="AF213" s="1">
        <f>IFERROR(IF(((TArticle[[#This Row],[شناسه]]))="4.1.2",IF(TArticle[[#This Row],[کد وضعیت سند]]=1,TArticle[مبلغ],0),0),0)</f>
        <v>0</v>
      </c>
      <c r="AG213" s="1">
        <f>IFERROR(IF(INT(LEFT(TArticle[[#This Row],[شناسه]]))=1,IF(TArticle[[#This Row],[کد وضعیت سند]]=1,TArticle[مبلغ],0),0),0)</f>
        <v>-1830</v>
      </c>
      <c r="AH213" s="1">
        <f>IFERROR(IF(INT(LEFT(TArticle[[#This Row],[شناسه]]))=2,IF(TArticle[[#This Row],[کد وضعیت سند]]=1,TArticle[مبلغ],0),0),0)</f>
        <v>0</v>
      </c>
      <c r="AI213" s="1">
        <f>IFERROR(IF((LEFT(TArticle[[#This Row],[شناسه]],3))="5.2",IF(TArticle[[#This Row],[کد وضعیت سند]]=1,TArticle[مبلغ],0),0),0)</f>
        <v>0</v>
      </c>
      <c r="AJ213" s="1">
        <f>IF(TArticle[[#This Row],[کد وضعیت سند]]=1,1,0)</f>
        <v>1</v>
      </c>
      <c r="AK213" s="1">
        <f>IF(AND(TArticle[[#This Row],[کد وضعیت سند]]&lt;&gt;1,TArticle[[#This Row],[مبلغ]]&lt;&gt;0),1,0)</f>
        <v>0</v>
      </c>
      <c r="AL213" s="51">
        <f>IF(TArticle[[#This Row],[کد بانک]]&gt;0,TArticle[[#This Row],[مانده بانک]]-VLOOKUP(TArticle[[#This Row],[کد بانک]],TBank[],7,FALSE),"")</f>
        <v>39068</v>
      </c>
      <c r="AM213" s="49" t="str">
        <f>LEFT(TArticle[[#This Row],[تاریخ]],7)</f>
        <v>1401-10</v>
      </c>
    </row>
    <row r="214" spans="1:39" hidden="1" x14ac:dyDescent="0.25">
      <c r="A214" s="24" t="s">
        <v>1110</v>
      </c>
      <c r="B214" s="49" t="str">
        <f>VLOOKUP(TArticle[[#This Row],[شناسه]],TAccount[],2,TRUE)</f>
        <v>قسط وام بانکی</v>
      </c>
      <c r="C214" s="49" t="str">
        <f>VLOOKUP(TArticle[[#This Row],[تاریخ]],TDays[],7,FALSE)</f>
        <v>شنبه</v>
      </c>
      <c r="D214" s="21" t="s">
        <v>474</v>
      </c>
      <c r="E214" s="1">
        <v>-1808</v>
      </c>
      <c r="F214" s="1">
        <f>TArticle[[#This Row],[مبلغ]]+IFERROR(INT(F213),30181+3667+958)</f>
        <v>41935</v>
      </c>
      <c r="G214" t="s">
        <v>1597</v>
      </c>
      <c r="H214" s="64">
        <v>14</v>
      </c>
      <c r="J214" s="65"/>
      <c r="K214" s="21">
        <v>1</v>
      </c>
      <c r="L214" s="66" t="str">
        <f>IF(TArticle[[#This Row],[کد وضعیت سند]]&gt;0,VLOOKUP(TArticle[[#This Row],[کد وضعیت سند]],TDocState[],2,FALSE),"")</f>
        <v>انجام شد</v>
      </c>
      <c r="M214" s="67">
        <v>112</v>
      </c>
      <c r="N214" t="str">
        <f>IF(TArticle[[#This Row],[کد طرف حساب]]&gt;0,VLOOKUP(TArticle[[#This Row],[کد طرف حساب]],TContact[],2,FALSE),"")</f>
        <v>وام ملی</v>
      </c>
      <c r="O214" s="68">
        <f>IF(TArticle[[#This Row],[کد طرف حساب]]&gt;0,VLOOKUP(TArticle[[#This Row],[کد طرف حساب]],TContact[],7,FALSE)-SUMIF($M$2:M214,M214,$E$2:$E214),"")</f>
        <v>-37344</v>
      </c>
      <c r="P214" s="67" t="str">
        <f>RIGHT(TArticle[[#This Row],[تاریخ]],2)</f>
        <v>03</v>
      </c>
      <c r="Q214" s="67">
        <f>VLOOKUP(TArticle[[#This Row],[تاریخ]],TDays[],16,FALSE)</f>
        <v>41</v>
      </c>
      <c r="R214" s="67" t="str">
        <f>RIGHT(LEFT(TArticle[[#This Row],[تاریخ]],7),2)</f>
        <v>10</v>
      </c>
      <c r="S214" s="67" t="str">
        <f>LEFT(TArticle[[#This Row],[تاریخ]],4)</f>
        <v>1401</v>
      </c>
      <c r="T214" s="64"/>
      <c r="U214" s="64">
        <f>VLOOKUP(TArticle[[#This Row],[شناسه]],TAccount[],7,TRUE)</f>
        <v>81652</v>
      </c>
      <c r="V214" s="21" t="s">
        <v>469</v>
      </c>
      <c r="W214" s="64">
        <f>IF(AND(TArticle[[#This Row],[مبلغ]]&gt;0, TArticle[[#This Row],[کد وضعیت سند]]=1),TArticle[[#This Row],[مبلغ]],0)</f>
        <v>0</v>
      </c>
      <c r="X214" s="67">
        <f>IF(AND(TArticle[[#This Row],[مبلغ]]&lt;0,TArticle[[#This Row],[کد وضعیت سند]]=1),0-TArticle[[#This Row],[مبلغ]],0)</f>
        <v>1808</v>
      </c>
      <c r="Y214" s="67">
        <v>2</v>
      </c>
      <c r="Z214" t="str">
        <f>IF(TArticle[[#This Row],[کد بانک]]&gt;0,VLOOKUP(TArticle[[#This Row],[کد بانک]],TBank[],2,FALSE),"")</f>
        <v>ملی جاری</v>
      </c>
      <c r="AA214">
        <f>IF(AND(TArticle[[#This Row],[مبلغ]]&lt;0,TArticle[[#This Row],[کد وضعیت سند]]=1),0-TArticle[[#This Row],[مبلغ]],0)</f>
        <v>1808</v>
      </c>
      <c r="AB214">
        <f>IF(AND(TArticle[[#This Row],[مبلغ]]&gt;0, TArticle[[#This Row],[کد وضعیت سند]]=1),TArticle[[#This Row],[مبلغ]],0)</f>
        <v>0</v>
      </c>
      <c r="AC214" s="93">
        <f>IF(TArticle[[#This Row],[کد بانک]]&gt;0,VLOOKUP(TArticle[[#This Row],[کد بانک]],TBank[],9,FALSE)+SUMIF($Y$2:Y214,Y214,$E$2:$E214),"")</f>
        <v>37260</v>
      </c>
      <c r="AD214" s="1">
        <f>IFERROR(IF(INT(LEFT(TArticle[[#This Row],[شناسه]]))=3,IF(TArticle[[#This Row],[کد وضعیت سند]]=1,TArticle[مبلغ],0),0),0)</f>
        <v>0</v>
      </c>
      <c r="AE214" s="1">
        <f>IFERROR(IF(((TArticle[[#This Row],[شناسه]]))="4.1.1",IF(TArticle[[#This Row],[کد وضعیت سند]]=1,TArticle[مبلغ],0),0),0)</f>
        <v>0</v>
      </c>
      <c r="AF214" s="1">
        <f>IFERROR(IF(((TArticle[[#This Row],[شناسه]]))="4.1.2",IF(TArticle[[#This Row],[کد وضعیت سند]]=1,TArticle[مبلغ],0),0),0)</f>
        <v>0</v>
      </c>
      <c r="AG214" s="1">
        <f>IFERROR(IF(INT(LEFT(TArticle[[#This Row],[شناسه]]))=1,IF(TArticle[[#This Row],[کد وضعیت سند]]=1,TArticle[مبلغ],0),0),0)</f>
        <v>-1808</v>
      </c>
      <c r="AH214" s="1">
        <f>IFERROR(IF(INT(LEFT(TArticle[[#This Row],[شناسه]]))=2,IF(TArticle[[#This Row],[کد وضعیت سند]]=1,TArticle[مبلغ],0),0),0)</f>
        <v>0</v>
      </c>
      <c r="AI214" s="1">
        <f>IFERROR(IF((LEFT(TArticle[[#This Row],[شناسه]],3))="5.2",IF(TArticle[[#This Row],[کد وضعیت سند]]=1,TArticle[مبلغ],0),0),0)</f>
        <v>0</v>
      </c>
      <c r="AJ214" s="1">
        <f>IF(TArticle[[#This Row],[کد وضعیت سند]]=1,1,0)</f>
        <v>1</v>
      </c>
      <c r="AK214" s="1">
        <f>IF(AND(TArticle[[#This Row],[کد وضعیت سند]]&lt;&gt;1,TArticle[[#This Row],[مبلغ]]&lt;&gt;0),1,0)</f>
        <v>0</v>
      </c>
      <c r="AL214" s="78">
        <f>IF(TArticle[[#This Row],[کد بانک]]&gt;0,TArticle[[#This Row],[مانده بانک]]-VLOOKUP(TArticle[[#This Row],[کد بانک]],TBank[],7,FALSE),"")</f>
        <v>37260</v>
      </c>
      <c r="AM214" s="58" t="str">
        <f>LEFT(TArticle[[#This Row],[تاریخ]],7)</f>
        <v>1401-10</v>
      </c>
    </row>
    <row r="215" spans="1:39" hidden="1" x14ac:dyDescent="0.25">
      <c r="A215" s="24" t="s">
        <v>55</v>
      </c>
      <c r="B215" s="49" t="str">
        <f>VLOOKUP(TArticle[[#This Row],[شناسه]],TAccount[],2,TRUE)</f>
        <v>هزینه کلی</v>
      </c>
      <c r="C215" s="49" t="str">
        <f>VLOOKUP(TArticle[[#This Row],[تاریخ]],TDays[],7,FALSE)</f>
        <v>شنبه</v>
      </c>
      <c r="D215" s="21" t="s">
        <v>474</v>
      </c>
      <c r="E215" s="1">
        <f>36641-37260</f>
        <v>-619</v>
      </c>
      <c r="F215" s="1">
        <f>TArticle[[#This Row],[مبلغ]]+IFERROR(INT(F214),30181+3667+958)</f>
        <v>41316</v>
      </c>
      <c r="K215" s="21">
        <v>1</v>
      </c>
      <c r="L215" t="str">
        <f>IF(TArticle[[#This Row],[کد وضعیت سند]]&gt;0,VLOOKUP(TArticle[[#This Row],[کد وضعیت سند]],TDocState[],2,FALSE),"")</f>
        <v>انجام شد</v>
      </c>
      <c r="N215" t="str">
        <f>IF(TArticle[[#This Row],[کد طرف حساب]]&gt;0,VLOOKUP(TArticle[[#This Row],[کد طرف حساب]],TContact[],2,FALSE),"")</f>
        <v/>
      </c>
      <c r="O215" s="61" t="str">
        <f>IF(TArticle[[#This Row],[کد طرف حساب]]&gt;0,VLOOKUP(TArticle[[#This Row],[کد طرف حساب]],TContact[],7,FALSE)-SUMIF($M$2:M215,M215,$E$2:$E215),"")</f>
        <v/>
      </c>
      <c r="P215" s="27" t="str">
        <f>RIGHT(TArticle[[#This Row],[تاریخ]],2)</f>
        <v>03</v>
      </c>
      <c r="Q215" s="27">
        <f>VLOOKUP(TArticle[[#This Row],[تاریخ]],TDays[],16,FALSE)</f>
        <v>41</v>
      </c>
      <c r="R215" s="27" t="str">
        <f>RIGHT(LEFT(TArticle[[#This Row],[تاریخ]],7),2)</f>
        <v>10</v>
      </c>
      <c r="S215" s="27" t="str">
        <f>LEFT(TArticle[[#This Row],[تاریخ]],4)</f>
        <v>1401</v>
      </c>
      <c r="U215" s="21">
        <f>VLOOKUP(TArticle[[#This Row],[شناسه]],TAccount[],7,TRUE)</f>
        <v>364074</v>
      </c>
      <c r="W215" s="21">
        <f>IF(AND(TArticle[[#This Row],[مبلغ]]&gt;0, TArticle[[#This Row],[کد وضعیت سند]]=1),TArticle[[#This Row],[مبلغ]],0)</f>
        <v>0</v>
      </c>
      <c r="X215" s="27">
        <f>IF(AND(TArticle[[#This Row],[مبلغ]]&lt;0,TArticle[[#This Row],[کد وضعیت سند]]=1),0-TArticle[[#This Row],[مبلغ]],0)</f>
        <v>619</v>
      </c>
      <c r="Y215" s="27">
        <v>2</v>
      </c>
      <c r="Z215" t="str">
        <f>IF(TArticle[[#This Row],[کد بانک]]&gt;0,VLOOKUP(TArticle[[#This Row],[کد بانک]],TBank[],2,FALSE),"")</f>
        <v>ملی جاری</v>
      </c>
      <c r="AA215">
        <f>IF(AND(TArticle[[#This Row],[مبلغ]]&lt;0,TArticle[[#This Row],[کد وضعیت سند]]=1),0-TArticle[[#This Row],[مبلغ]],0)</f>
        <v>619</v>
      </c>
      <c r="AB215">
        <f>IF(AND(TArticle[[#This Row],[مبلغ]]&gt;0, TArticle[[#This Row],[کد وضعیت سند]]=1),TArticle[[#This Row],[مبلغ]],0)</f>
        <v>0</v>
      </c>
      <c r="AC215" s="84">
        <f>IF(TArticle[[#This Row],[کد بانک]]&gt;0,VLOOKUP(TArticle[[#This Row],[کد بانک]],TBank[],9,FALSE)+SUMIF($Y$2:Y215,Y215,$E$2:$E215),"")</f>
        <v>36641</v>
      </c>
      <c r="AD215" s="1">
        <f>IFERROR(IF(INT(LEFT(TArticle[[#This Row],[شناسه]]))=3,IF(TArticle[[#This Row],[کد وضعیت سند]]=1,TArticle[مبلغ],0),0),0)</f>
        <v>-619</v>
      </c>
      <c r="AE215" s="1">
        <f>IFERROR(IF(((TArticle[[#This Row],[شناسه]]))="4.1.1",IF(TArticle[[#This Row],[کد وضعیت سند]]=1,TArticle[مبلغ],0),0),0)</f>
        <v>0</v>
      </c>
      <c r="AF215" s="1">
        <f>IFERROR(IF(((TArticle[[#This Row],[شناسه]]))="4.1.2",IF(TArticle[[#This Row],[کد وضعیت سند]]=1,TArticle[مبلغ],0),0),0)</f>
        <v>0</v>
      </c>
      <c r="AG215" s="1">
        <f>IFERROR(IF(INT(LEFT(TArticle[[#This Row],[شناسه]]))=1,IF(TArticle[[#This Row],[کد وضعیت سند]]=1,TArticle[مبلغ],0),0),0)</f>
        <v>0</v>
      </c>
      <c r="AH215" s="1">
        <f>IFERROR(IF(INT(LEFT(TArticle[[#This Row],[شناسه]]))=2,IF(TArticle[[#This Row],[کد وضعیت سند]]=1,TArticle[مبلغ],0),0),0)</f>
        <v>0</v>
      </c>
      <c r="AI215" s="1">
        <f>IFERROR(IF((LEFT(TArticle[[#This Row],[شناسه]],3))="5.2",IF(TArticle[[#This Row],[کد وضعیت سند]]=1,TArticle[مبلغ],0),0),0)</f>
        <v>0</v>
      </c>
      <c r="AJ215" s="1">
        <f>IF(TArticle[[#This Row],[کد وضعیت سند]]=1,1,0)</f>
        <v>1</v>
      </c>
      <c r="AK215" s="1">
        <f>IF(AND(TArticle[[#This Row],[کد وضعیت سند]]&lt;&gt;1,TArticle[[#This Row],[مبلغ]]&lt;&gt;0),1,0)</f>
        <v>0</v>
      </c>
      <c r="AL215" s="51">
        <f>IF(TArticle[[#This Row],[کد بانک]]&gt;0,TArticle[[#This Row],[مانده بانک]]-VLOOKUP(TArticle[[#This Row],[کد بانک]],TBank[],7,FALSE),"")</f>
        <v>36641</v>
      </c>
      <c r="AM215" s="49" t="str">
        <f>LEFT(TArticle[[#This Row],[تاریخ]],7)</f>
        <v>1401-10</v>
      </c>
    </row>
    <row r="216" spans="1:39" hidden="1" x14ac:dyDescent="0.25">
      <c r="A216" s="24" t="s">
        <v>55</v>
      </c>
      <c r="B216" s="49" t="str">
        <f>VLOOKUP(TArticle[[#This Row],[شناسه]],TAccount[],2,TRUE)</f>
        <v>هزینه کلی</v>
      </c>
      <c r="C216" s="49" t="str">
        <f>VLOOKUP(TArticle[[#This Row],[تاریخ]],TDays[],7,FALSE)</f>
        <v>شنبه</v>
      </c>
      <c r="D216" s="21" t="s">
        <v>474</v>
      </c>
      <c r="E216" s="1">
        <f>-4475+30</f>
        <v>-4445</v>
      </c>
      <c r="F216" s="1">
        <f>TArticle[[#This Row],[مبلغ]]+IFERROR(INT(F215),30181+3667+958)</f>
        <v>36871</v>
      </c>
      <c r="H216" s="64"/>
      <c r="J216" s="65"/>
      <c r="K216" s="49">
        <v>1</v>
      </c>
      <c r="L216" s="66" t="str">
        <f>IF(TArticle[[#This Row],[کد وضعیت سند]]&gt;0,VLOOKUP(TArticle[[#This Row],[کد وضعیت سند]],TDocState[],2,FALSE),"")</f>
        <v>انجام شد</v>
      </c>
      <c r="M216" s="67"/>
      <c r="N216" t="str">
        <f>IF(TArticle[[#This Row],[کد طرف حساب]]&gt;0,VLOOKUP(TArticle[[#This Row],[کد طرف حساب]],TContact[],2,FALSE),"")</f>
        <v/>
      </c>
      <c r="O216" s="68" t="str">
        <f>IF(TArticle[[#This Row],[کد طرف حساب]]&gt;0,VLOOKUP(TArticle[[#This Row],[کد طرف حساب]],TContact[],7,FALSE)-SUMIF($M$2:M216,M216,$E$2:$E216),"")</f>
        <v/>
      </c>
      <c r="P216" s="67" t="str">
        <f>RIGHT(TArticle[[#This Row],[تاریخ]],2)</f>
        <v>03</v>
      </c>
      <c r="Q216" s="67">
        <f>VLOOKUP(TArticle[[#This Row],[تاریخ]],TDays[],16,FALSE)</f>
        <v>41</v>
      </c>
      <c r="R216" s="67" t="str">
        <f>RIGHT(LEFT(TArticle[[#This Row],[تاریخ]],7),2)</f>
        <v>10</v>
      </c>
      <c r="S216" s="67" t="str">
        <f>LEFT(TArticle[[#This Row],[تاریخ]],4)</f>
        <v>1401</v>
      </c>
      <c r="T216" s="64"/>
      <c r="U216" s="64">
        <f>VLOOKUP(TArticle[[#This Row],[شناسه]],TAccount[],7,TRUE)</f>
        <v>364074</v>
      </c>
      <c r="V216" s="64"/>
      <c r="W216" s="64">
        <f>IF(AND(TArticle[[#This Row],[مبلغ]]&gt;0, TArticle[[#This Row],[کد وضعیت سند]]=1),TArticle[[#This Row],[مبلغ]],0)</f>
        <v>0</v>
      </c>
      <c r="X216" s="67">
        <f>IF(AND(TArticle[[#This Row],[مبلغ]]&lt;0,TArticle[[#This Row],[کد وضعیت سند]]=1),0-TArticle[[#This Row],[مبلغ]],0)</f>
        <v>4445</v>
      </c>
      <c r="Y216" s="27">
        <v>16</v>
      </c>
      <c r="Z216" t="str">
        <f>IF(TArticle[[#This Row],[کد بانک]]&gt;0,VLOOKUP(TArticle[[#This Row],[کد بانک]],TBank[],2,FALSE),"")</f>
        <v>مهرایران</v>
      </c>
      <c r="AA216">
        <f>IF(AND(TArticle[[#This Row],[مبلغ]]&lt;0,TArticle[[#This Row],[کد وضعیت سند]]=1),0-TArticle[[#This Row],[مبلغ]],0)</f>
        <v>4445</v>
      </c>
      <c r="AB216">
        <f>IF(AND(TArticle[[#This Row],[مبلغ]]&gt;0, TArticle[[#This Row],[کد وضعیت سند]]=1),TArticle[[#This Row],[مبلغ]],0)</f>
        <v>0</v>
      </c>
      <c r="AC216" s="93">
        <f>IF(TArticle[[#This Row],[کد بانک]]&gt;0,VLOOKUP(TArticle[[#This Row],[کد بانک]],TBank[],9,FALSE)+SUMIF($Y$2:Y216,Y216,$E$2:$E216),"")</f>
        <v>30</v>
      </c>
      <c r="AD216" s="1">
        <f>IFERROR(IF(INT(LEFT(TArticle[[#This Row],[شناسه]]))=3,IF(TArticle[[#This Row],[کد وضعیت سند]]=1,TArticle[مبلغ],0),0),0)</f>
        <v>-4445</v>
      </c>
      <c r="AE216" s="1">
        <f>IFERROR(IF(((TArticle[[#This Row],[شناسه]]))="4.1.1",IF(TArticle[[#This Row],[کد وضعیت سند]]=1,TArticle[مبلغ],0),0),0)</f>
        <v>0</v>
      </c>
      <c r="AF216" s="1">
        <f>IFERROR(IF(((TArticle[[#This Row],[شناسه]]))="4.1.2",IF(TArticle[[#This Row],[کد وضعیت سند]]=1,TArticle[مبلغ],0),0),0)</f>
        <v>0</v>
      </c>
      <c r="AG216" s="1">
        <f>IFERROR(IF(INT(LEFT(TArticle[[#This Row],[شناسه]]))=1,IF(TArticle[[#This Row],[کد وضعیت سند]]=1,TArticle[مبلغ],0),0),0)</f>
        <v>0</v>
      </c>
      <c r="AH216" s="1">
        <f>IFERROR(IF(INT(LEFT(TArticle[[#This Row],[شناسه]]))=2,IF(TArticle[[#This Row],[کد وضعیت سند]]=1,TArticle[مبلغ],0),0),0)</f>
        <v>0</v>
      </c>
      <c r="AI216" s="1">
        <f>IFERROR(IF((LEFT(TArticle[[#This Row],[شناسه]],3))="5.2",IF(TArticle[[#This Row],[کد وضعیت سند]]=1,TArticle[مبلغ],0),0),0)</f>
        <v>0</v>
      </c>
      <c r="AJ216" s="1">
        <f>IF(TArticle[[#This Row],[کد وضعیت سند]]=1,1,0)</f>
        <v>1</v>
      </c>
      <c r="AK216" s="1">
        <f>IF(AND(TArticle[[#This Row],[کد وضعیت سند]]&lt;&gt;1,TArticle[[#This Row],[مبلغ]]&lt;&gt;0),1,0)</f>
        <v>0</v>
      </c>
      <c r="AL216" s="78">
        <f>IF(TArticle[[#This Row],[کد بانک]]&gt;0,TArticle[[#This Row],[مانده بانک]]-VLOOKUP(TArticle[[#This Row],[کد بانک]],TBank[],7,FALSE),"")</f>
        <v>0</v>
      </c>
      <c r="AM216" s="58" t="str">
        <f>LEFT(TArticle[[#This Row],[تاریخ]],7)</f>
        <v>1401-10</v>
      </c>
    </row>
    <row r="217" spans="1:39" hidden="1" x14ac:dyDescent="0.25">
      <c r="A217" s="24" t="s">
        <v>1008</v>
      </c>
      <c r="B217" s="49" t="str">
        <f>VLOOKUP(TArticle[[#This Row],[شناسه]],TAccount[],2,TRUE)</f>
        <v>حواله پرداخت/برداشت</v>
      </c>
      <c r="C217" s="49" t="str">
        <f>VLOOKUP(TArticle[[#This Row],[تاریخ]],TDays[],7,FALSE)</f>
        <v>یکشنبه</v>
      </c>
      <c r="D217" s="21" t="s">
        <v>475</v>
      </c>
      <c r="E217" s="1">
        <v>-4000</v>
      </c>
      <c r="F217" s="1">
        <f>TArticle[[#This Row],[مبلغ]]+IFERROR(INT(F216),30181+3667+958)</f>
        <v>32871</v>
      </c>
      <c r="H217" s="64"/>
      <c r="J217" s="51"/>
      <c r="K217" s="49">
        <v>1</v>
      </c>
      <c r="L217" t="str">
        <f>IF(TArticle[[#This Row],[کد وضعیت سند]]&gt;0,VLOOKUP(TArticle[[#This Row],[کد وضعیت سند]],TDocState[],2,FALSE),"")</f>
        <v>انجام شد</v>
      </c>
      <c r="M217" s="67"/>
      <c r="N217" t="str">
        <f>IF(TArticle[[#This Row],[کد طرف حساب]]&gt;0,VLOOKUP(TArticle[[#This Row],[کد طرف حساب]],TContact[],2,FALSE),"")</f>
        <v/>
      </c>
      <c r="O217" s="60" t="str">
        <f>IF(TArticle[[#This Row],[کد طرف حساب]]&gt;0,VLOOKUP(TArticle[[#This Row],[کد طرف حساب]],TContact[],7,FALSE)-SUMIF($M$2:M217,M217,$E$2:$E217),"")</f>
        <v/>
      </c>
      <c r="P217" s="27" t="str">
        <f>RIGHT(TArticle[[#This Row],[تاریخ]],2)</f>
        <v>04</v>
      </c>
      <c r="Q217" s="27">
        <f>VLOOKUP(TArticle[[#This Row],[تاریخ]],TDays[],16,FALSE)</f>
        <v>41</v>
      </c>
      <c r="R217" s="27" t="str">
        <f>RIGHT(LEFT(TArticle[[#This Row],[تاریخ]],7),2)</f>
        <v>10</v>
      </c>
      <c r="S217" s="27" t="str">
        <f>LEFT(TArticle[[#This Row],[تاریخ]],4)</f>
        <v>1401</v>
      </c>
      <c r="U217" s="21">
        <f>VLOOKUP(TArticle[[#This Row],[شناسه]],TAccount[],7,TRUE)</f>
        <v>179525</v>
      </c>
      <c r="W217" s="21">
        <f>IF(AND(TArticle[[#This Row],[مبلغ]]&gt;0, TArticle[[#This Row],[کد وضعیت سند]]=1),TArticle[[#This Row],[مبلغ]],0)</f>
        <v>0</v>
      </c>
      <c r="X217" s="27">
        <f>IF(AND(TArticle[[#This Row],[مبلغ]]&lt;0,TArticle[[#This Row],[کد وضعیت سند]]=1),0-TArticle[[#This Row],[مبلغ]],0)</f>
        <v>4000</v>
      </c>
      <c r="Y217" s="27">
        <v>2</v>
      </c>
      <c r="Z217" t="str">
        <f>IF(TArticle[[#This Row],[کد بانک]]&gt;0,VLOOKUP(TArticle[[#This Row],[کد بانک]],TBank[],2,FALSE),"")</f>
        <v>ملی جاری</v>
      </c>
      <c r="AA217">
        <f>IF(AND(TArticle[[#This Row],[مبلغ]]&lt;0,TArticle[[#This Row],[کد وضعیت سند]]=1),0-TArticle[[#This Row],[مبلغ]],0)</f>
        <v>4000</v>
      </c>
      <c r="AB217">
        <f>IF(AND(TArticle[[#This Row],[مبلغ]]&gt;0, TArticle[[#This Row],[کد وضعیت سند]]=1),TArticle[[#This Row],[مبلغ]],0)</f>
        <v>0</v>
      </c>
      <c r="AC217" s="92">
        <f>IF(TArticle[[#This Row],[کد بانک]]&gt;0,VLOOKUP(TArticle[[#This Row],[کد بانک]],TBank[],9,FALSE)+SUMIF($Y$2:Y217,Y217,$E$2:$E217),"")</f>
        <v>32641</v>
      </c>
      <c r="AD217" s="1">
        <f>IFERROR(IF(INT(LEFT(TArticle[[#This Row],[شناسه]]))=3,IF(TArticle[[#This Row],[کد وضعیت سند]]=1,TArticle[مبلغ],0),0),0)</f>
        <v>0</v>
      </c>
      <c r="AE217" s="1">
        <f>IFERROR(IF(((TArticle[[#This Row],[شناسه]]))="4.1.1",IF(TArticle[[#This Row],[کد وضعیت سند]]=1,TArticle[مبلغ],0),0),0)</f>
        <v>0</v>
      </c>
      <c r="AF217" s="1">
        <f>IFERROR(IF(((TArticle[[#This Row],[شناسه]]))="4.1.2",IF(TArticle[[#This Row],[کد وضعیت سند]]=1,TArticle[مبلغ],0),0),0)</f>
        <v>0</v>
      </c>
      <c r="AG217" s="1">
        <f>IFERROR(IF(INT(LEFT(TArticle[[#This Row],[شناسه]]))=1,IF(TArticle[[#This Row],[کد وضعیت سند]]=1,TArticle[مبلغ],0),0),0)</f>
        <v>0</v>
      </c>
      <c r="AH217" s="1">
        <f>IFERROR(IF(INT(LEFT(TArticle[[#This Row],[شناسه]]))=2,IF(TArticle[[#This Row],[کد وضعیت سند]]=1,TArticle[مبلغ],0),0),0)</f>
        <v>0</v>
      </c>
      <c r="AI217" s="1">
        <f>IFERROR(IF((LEFT(TArticle[[#This Row],[شناسه]],3))="5.2",IF(TArticle[[#This Row],[کد وضعیت سند]]=1,TArticle[مبلغ],0),0),0)</f>
        <v>0</v>
      </c>
      <c r="AJ217" s="1">
        <f>IF(TArticle[[#This Row],[کد وضعیت سند]]=1,1,0)</f>
        <v>1</v>
      </c>
      <c r="AK217" s="1">
        <f>IF(AND(TArticle[[#This Row],[کد وضعیت سند]]&lt;&gt;1,TArticle[[#This Row],[مبلغ]]&lt;&gt;0),1,0)</f>
        <v>0</v>
      </c>
      <c r="AL217" s="51">
        <f>IF(TArticle[[#This Row],[کد بانک]]&gt;0,TArticle[[#This Row],[مانده بانک]]-VLOOKUP(TArticle[[#This Row],[کد بانک]],TBank[],7,FALSE),"")</f>
        <v>32641</v>
      </c>
      <c r="AM217" s="58" t="str">
        <f>LEFT(TArticle[[#This Row],[تاریخ]],7)</f>
        <v>1401-10</v>
      </c>
    </row>
    <row r="218" spans="1:39" hidden="1" x14ac:dyDescent="0.25">
      <c r="A218" s="24" t="s">
        <v>112</v>
      </c>
      <c r="B218" s="49" t="str">
        <f>VLOOKUP(TArticle[[#This Row],[شناسه]],TAccount[],2,TRUE)</f>
        <v>رسید دریافت/واریز</v>
      </c>
      <c r="C218" s="49" t="str">
        <f>VLOOKUP(TArticle[[#This Row],[تاریخ]],TDays[],7,FALSE)</f>
        <v>یکشنبه</v>
      </c>
      <c r="D218" s="28" t="s">
        <v>475</v>
      </c>
      <c r="E218" s="1">
        <v>4000</v>
      </c>
      <c r="F218" s="1">
        <f>TArticle[[#This Row],[مبلغ]]+IFERROR(INT(F217),30181+3667+958)</f>
        <v>36871</v>
      </c>
      <c r="H218" s="64"/>
      <c r="J218" s="51"/>
      <c r="K218" s="49">
        <v>1</v>
      </c>
      <c r="L218" t="str">
        <f>IF(TArticle[[#This Row],[کد وضعیت سند]]&gt;0,VLOOKUP(TArticle[[#This Row],[کد وضعیت سند]],TDocState[],2,FALSE),"")</f>
        <v>انجام شد</v>
      </c>
      <c r="M218" s="67"/>
      <c r="N218" t="str">
        <f>IF(TArticle[[#This Row],[کد طرف حساب]]&gt;0,VLOOKUP(TArticle[[#This Row],[کد طرف حساب]],TContact[],2,FALSE),"")</f>
        <v/>
      </c>
      <c r="O218" s="60" t="str">
        <f>IF(TArticle[[#This Row],[کد طرف حساب]]&gt;0,VLOOKUP(TArticle[[#This Row],[کد طرف حساب]],TContact[],7,FALSE)-SUMIF($M$2:M218,M218,$E$2:$E218),"")</f>
        <v/>
      </c>
      <c r="P218" s="27" t="str">
        <f>RIGHT(TArticle[[#This Row],[تاریخ]],2)</f>
        <v>04</v>
      </c>
      <c r="Q218" s="27">
        <f>VLOOKUP(TArticle[[#This Row],[تاریخ]],TDays[],16,FALSE)</f>
        <v>41</v>
      </c>
      <c r="R218" s="27" t="str">
        <f>RIGHT(LEFT(TArticle[[#This Row],[تاریخ]],7),2)</f>
        <v>10</v>
      </c>
      <c r="S218" s="27" t="str">
        <f>LEFT(TArticle[[#This Row],[تاریخ]],4)</f>
        <v>1401</v>
      </c>
      <c r="U218" s="21">
        <f>VLOOKUP(TArticle[[#This Row],[شناسه]],TAccount[],7,TRUE)</f>
        <v>257767</v>
      </c>
      <c r="V218" s="21" t="s">
        <v>490</v>
      </c>
      <c r="W218" s="21">
        <f>IF(AND(TArticle[[#This Row],[مبلغ]]&gt;0, TArticle[[#This Row],[کد وضعیت سند]]=1),TArticle[[#This Row],[مبلغ]],0)</f>
        <v>4000</v>
      </c>
      <c r="X218" s="27">
        <f>IF(AND(TArticle[[#This Row],[مبلغ]]&lt;0,TArticle[[#This Row],[کد وضعیت سند]]=1),0-TArticle[[#This Row],[مبلغ]],0)</f>
        <v>0</v>
      </c>
      <c r="Y218" s="27">
        <v>4</v>
      </c>
      <c r="Z218" t="str">
        <f>IF(TArticle[[#This Row],[کد بانک]]&gt;0,VLOOKUP(TArticle[[#This Row],[کد بانک]],TBank[],2,FALSE),"")</f>
        <v>سپه</v>
      </c>
      <c r="AA218">
        <f>IF(AND(TArticle[[#This Row],[مبلغ]]&lt;0,TArticle[[#This Row],[کد وضعیت سند]]=1),0-TArticle[[#This Row],[مبلغ]],0)</f>
        <v>0</v>
      </c>
      <c r="AB218">
        <f>IF(AND(TArticle[[#This Row],[مبلغ]]&gt;0, TArticle[[#This Row],[کد وضعیت سند]]=1),TArticle[[#This Row],[مبلغ]],0)</f>
        <v>4000</v>
      </c>
      <c r="AC218" s="92">
        <f>IF(TArticle[[#This Row],[کد بانک]]&gt;0,VLOOKUP(TArticle[[#This Row],[کد بانک]],TBank[],9,FALSE)+SUMIF($Y$2:Y218,Y218,$E$2:$E218),"")</f>
        <v>4002</v>
      </c>
      <c r="AD218" s="1">
        <f>IFERROR(IF(INT(LEFT(TArticle[[#This Row],[شناسه]]))=3,IF(TArticle[[#This Row],[کد وضعیت سند]]=1,TArticle[مبلغ],0),0),0)</f>
        <v>0</v>
      </c>
      <c r="AE218" s="1">
        <f>IFERROR(IF(((TArticle[[#This Row],[شناسه]]))="4.1.1",IF(TArticle[[#This Row],[کد وضعیت سند]]=1,TArticle[مبلغ],0),0),0)</f>
        <v>0</v>
      </c>
      <c r="AF218" s="1">
        <f>IFERROR(IF(((TArticle[[#This Row],[شناسه]]))="4.1.2",IF(TArticle[[#This Row],[کد وضعیت سند]]=1,TArticle[مبلغ],0),0),0)</f>
        <v>0</v>
      </c>
      <c r="AG218" s="1">
        <f>IFERROR(IF(INT(LEFT(TArticle[[#This Row],[شناسه]]))=1,IF(TArticle[[#This Row],[کد وضعیت سند]]=1,TArticle[مبلغ],0),0),0)</f>
        <v>0</v>
      </c>
      <c r="AH218" s="1">
        <f>IFERROR(IF(INT(LEFT(TArticle[[#This Row],[شناسه]]))=2,IF(TArticle[[#This Row],[کد وضعیت سند]]=1,TArticle[مبلغ],0),0),0)</f>
        <v>0</v>
      </c>
      <c r="AI218" s="1">
        <f>IFERROR(IF((LEFT(TArticle[[#This Row],[شناسه]],3))="5.2",IF(TArticle[[#This Row],[کد وضعیت سند]]=1,TArticle[مبلغ],0),0),0)</f>
        <v>0</v>
      </c>
      <c r="AJ218" s="1">
        <f>IF(TArticle[[#This Row],[کد وضعیت سند]]=1,1,0)</f>
        <v>1</v>
      </c>
      <c r="AK218" s="1">
        <f>IF(AND(TArticle[[#This Row],[کد وضعیت سند]]&lt;&gt;1,TArticle[[#This Row],[مبلغ]]&lt;&gt;0),1,0)</f>
        <v>0</v>
      </c>
      <c r="AL218" s="51">
        <f>IF(TArticle[[#This Row],[کد بانک]]&gt;0,TArticle[[#This Row],[مانده بانک]]-VLOOKUP(TArticle[[#This Row],[کد بانک]],TBank[],7,FALSE),"")</f>
        <v>4000</v>
      </c>
      <c r="AM218" s="58" t="str">
        <f>LEFT(TArticle[[#This Row],[تاریخ]],7)</f>
        <v>1401-10</v>
      </c>
    </row>
    <row r="219" spans="1:39" hidden="1" x14ac:dyDescent="0.25">
      <c r="A219" s="24" t="s">
        <v>78</v>
      </c>
      <c r="B219" s="49" t="str">
        <f>VLOOKUP(TArticle[[#This Row],[شناسه]],TAccount[],2,TRUE)</f>
        <v>چک</v>
      </c>
      <c r="C219" s="49" t="str">
        <f>VLOOKUP(TArticle[[#This Row],[تاریخ]],TDays[],7,FALSE)</f>
        <v>دوشنبه</v>
      </c>
      <c r="D219" s="21" t="s">
        <v>476</v>
      </c>
      <c r="E219" s="1">
        <v>-4000</v>
      </c>
      <c r="F219" s="1">
        <f>TArticle[[#This Row],[مبلغ]]+IFERROR(INT(F218),30181+3667+958)</f>
        <v>32871</v>
      </c>
      <c r="G219" t="s">
        <v>1674</v>
      </c>
      <c r="H219" s="21">
        <v>1</v>
      </c>
      <c r="K219" s="21">
        <v>1</v>
      </c>
      <c r="L219" t="str">
        <f>IF(TArticle[[#This Row],[کد وضعیت سند]]&gt;0,VLOOKUP(TArticle[[#This Row],[کد وضعیت سند]],TDocState[],2,FALSE),"")</f>
        <v>انجام شد</v>
      </c>
      <c r="N219" t="str">
        <f>IF(TArticle[[#This Row],[کد طرف حساب]]&gt;0,VLOOKUP(TArticle[[#This Row],[کد طرف حساب]],TContact[],2,FALSE),"")</f>
        <v/>
      </c>
      <c r="O219" s="61" t="str">
        <f>IF(TArticle[[#This Row],[کد طرف حساب]]&gt;0,VLOOKUP(TArticle[[#This Row],[کد طرف حساب]],TContact[],7,FALSE)-SUMIF($M$2:M219,M219,$E$2:$E219),"")</f>
        <v/>
      </c>
      <c r="P219" s="27" t="str">
        <f>RIGHT(TArticle[[#This Row],[تاریخ]],2)</f>
        <v>05</v>
      </c>
      <c r="Q219" s="27">
        <f>VLOOKUP(TArticle[[#This Row],[تاریخ]],TDays[],16,FALSE)</f>
        <v>41</v>
      </c>
      <c r="R219" s="27" t="str">
        <f>RIGHT(LEFT(TArticle[[#This Row],[تاریخ]],7),2)</f>
        <v>10</v>
      </c>
      <c r="S219" s="27" t="str">
        <f>LEFT(TArticle[[#This Row],[تاریخ]],4)</f>
        <v>1401</v>
      </c>
      <c r="U219" s="21">
        <f>VLOOKUP(TArticle[[#This Row],[شناسه]],TAccount[],7,TRUE)</f>
        <v>57000</v>
      </c>
      <c r="W219" s="21">
        <f>IF(AND(TArticle[[#This Row],[مبلغ]]&gt;0, TArticle[[#This Row],[کد وضعیت سند]]=1),TArticle[[#This Row],[مبلغ]],0)</f>
        <v>0</v>
      </c>
      <c r="X219" s="27">
        <f>IF(AND(TArticle[[#This Row],[مبلغ]]&lt;0,TArticle[[#This Row],[کد وضعیت سند]]=1),0-TArticle[[#This Row],[مبلغ]],0)</f>
        <v>4000</v>
      </c>
      <c r="Y219" s="27">
        <v>4</v>
      </c>
      <c r="Z219" t="str">
        <f>IF(TArticle[[#This Row],[کد بانک]]&gt;0,VLOOKUP(TArticle[[#This Row],[کد بانک]],TBank[],2,FALSE),"")</f>
        <v>سپه</v>
      </c>
      <c r="AA219">
        <f>IF(AND(TArticle[[#This Row],[مبلغ]]&lt;0,TArticle[[#This Row],[کد وضعیت سند]]=1),0-TArticle[[#This Row],[مبلغ]],0)</f>
        <v>4000</v>
      </c>
      <c r="AB219">
        <f>IF(AND(TArticle[[#This Row],[مبلغ]]&gt;0, TArticle[[#This Row],[کد وضعیت سند]]=1),TArticle[[#This Row],[مبلغ]],0)</f>
        <v>0</v>
      </c>
      <c r="AC219" s="84">
        <f>IF(TArticle[[#This Row],[کد بانک]]&gt;0,VLOOKUP(TArticle[[#This Row],[کد بانک]],TBank[],9,FALSE)+SUMIF($Y$2:Y219,Y219,$E$2:$E219),"")</f>
        <v>2</v>
      </c>
      <c r="AD219" s="1">
        <f>IFERROR(IF(INT(LEFT(TArticle[[#This Row],[شناسه]]))=3,IF(TArticle[[#This Row],[کد وضعیت سند]]=1,TArticle[مبلغ],0),0),0)</f>
        <v>0</v>
      </c>
      <c r="AE219" s="1">
        <f>IFERROR(IF(((TArticle[[#This Row],[شناسه]]))="4.1.1",IF(TArticle[[#This Row],[کد وضعیت سند]]=1,TArticle[مبلغ],0),0),0)</f>
        <v>0</v>
      </c>
      <c r="AF219" s="1">
        <f>IFERROR(IF(((TArticle[[#This Row],[شناسه]]))="4.1.2",IF(TArticle[[#This Row],[کد وضعیت سند]]=1,TArticle[مبلغ],0),0),0)</f>
        <v>0</v>
      </c>
      <c r="AG219" s="1">
        <f>IFERROR(IF(INT(LEFT(TArticle[[#This Row],[شناسه]]))=1,IF(TArticle[[#This Row],[کد وضعیت سند]]=1,TArticle[مبلغ],0),0),0)</f>
        <v>-4000</v>
      </c>
      <c r="AH219" s="1">
        <f>IFERROR(IF(INT(LEFT(TArticle[[#This Row],[شناسه]]))=2,IF(TArticle[[#This Row],[کد وضعیت سند]]=1,TArticle[مبلغ],0),0),0)</f>
        <v>0</v>
      </c>
      <c r="AI219" s="1">
        <f>IFERROR(IF((LEFT(TArticle[[#This Row],[شناسه]],3))="5.2",IF(TArticle[[#This Row],[کد وضعیت سند]]=1,TArticle[مبلغ],0),0),0)</f>
        <v>0</v>
      </c>
      <c r="AJ219" s="1">
        <f>IF(TArticle[[#This Row],[کد وضعیت سند]]=1,1,0)</f>
        <v>1</v>
      </c>
      <c r="AK219" s="1">
        <f>IF(AND(TArticle[[#This Row],[کد وضعیت سند]]&lt;&gt;1,TArticle[[#This Row],[مبلغ]]&lt;&gt;0),1,0)</f>
        <v>0</v>
      </c>
      <c r="AL219" s="51">
        <f>IF(TArticle[[#This Row],[کد بانک]]&gt;0,TArticle[[#This Row],[مانده بانک]]-VLOOKUP(TArticle[[#This Row],[کد بانک]],TBank[],7,FALSE),"")</f>
        <v>0</v>
      </c>
      <c r="AM219" s="49" t="str">
        <f>LEFT(TArticle[[#This Row],[تاریخ]],7)</f>
        <v>1401-10</v>
      </c>
    </row>
    <row r="220" spans="1:39" hidden="1" x14ac:dyDescent="0.25">
      <c r="A220" s="24" t="s">
        <v>41</v>
      </c>
      <c r="B220" s="49" t="str">
        <f>VLOOKUP(TArticle[[#This Row],[شناسه]],TAccount[],2,TRUE)</f>
        <v>قرعه هجده (43)</v>
      </c>
      <c r="C220" s="49" t="str">
        <f>VLOOKUP(TArticle[[#This Row],[تاریخ]],TDays[],7,FALSE)</f>
        <v>چهارشنبه</v>
      </c>
      <c r="D220" s="21" t="s">
        <v>67</v>
      </c>
      <c r="E220" s="1">
        <v>-350</v>
      </c>
      <c r="F220" s="1">
        <f>TArticle[[#This Row],[مبلغ]]+IFERROR(INT(F219),30181+3667+958)</f>
        <v>32521</v>
      </c>
      <c r="H220" s="21">
        <v>45</v>
      </c>
      <c r="K220" s="21">
        <v>1</v>
      </c>
      <c r="L220" t="str">
        <f>IF(TArticle[[#This Row],[کد وضعیت سند]]&gt;0,VLOOKUP(TArticle[[#This Row],[کد وضعیت سند]],TDocState[],2,FALSE),"")</f>
        <v>انجام شد</v>
      </c>
      <c r="M220" s="27">
        <v>103</v>
      </c>
      <c r="N220" t="str">
        <f>IF(TArticle[[#This Row],[کد طرف حساب]]&gt;0,VLOOKUP(TArticle[[#This Row],[کد طرف حساب]],TContact[],2,FALSE),"")</f>
        <v>قرعه 18م (43)</v>
      </c>
      <c r="O220" s="51">
        <f>IF(TArticle[[#This Row],[کد طرف حساب]]&gt;0,VLOOKUP(TArticle[[#This Row],[کد طرف حساب]],TContact[],7,FALSE)-SUMIF($M$2:M220,M220,$E$2:$E220),"")</f>
        <v>-2800</v>
      </c>
      <c r="P220" s="27" t="str">
        <f>RIGHT(TArticle[[#This Row],[تاریخ]],2)</f>
        <v>14</v>
      </c>
      <c r="Q220" s="27">
        <f>VLOOKUP(TArticle[[#This Row],[تاریخ]],TDays[],16,FALSE)</f>
        <v>43</v>
      </c>
      <c r="R220" s="27" t="str">
        <f>RIGHT(LEFT(TArticle[[#This Row],[تاریخ]],7),2)</f>
        <v>10</v>
      </c>
      <c r="S220" s="27" t="str">
        <f>LEFT(TArticle[[#This Row],[تاریخ]],4)</f>
        <v>1401</v>
      </c>
      <c r="U220" s="21">
        <f>VLOOKUP(TArticle[[#This Row],[شناسه]],TAccount[],7,TRUE)</f>
        <v>4200</v>
      </c>
      <c r="V220" s="21" t="s">
        <v>67</v>
      </c>
      <c r="W220" s="21">
        <f>IF(AND(TArticle[[#This Row],[مبلغ]]&gt;0, TArticle[[#This Row],[کد وضعیت سند]]=1),TArticle[[#This Row],[مبلغ]],0)</f>
        <v>0</v>
      </c>
      <c r="X220" s="21">
        <f>IF(AND(TArticle[[#This Row],[مبلغ]]&lt;0,TArticle[[#This Row],[کد وضعیت سند]]=1),0-TArticle[[#This Row],[مبلغ]],0)</f>
        <v>350</v>
      </c>
      <c r="Y220" s="27">
        <v>2</v>
      </c>
      <c r="Z220" t="str">
        <f>IF(TArticle[[#This Row],[کد بانک]]&gt;0,VLOOKUP(TArticle[[#This Row],[کد بانک]],TBank[],2,FALSE),"")</f>
        <v>ملی جاری</v>
      </c>
      <c r="AA220">
        <f>IF(AND(TArticle[[#This Row],[مبلغ]]&lt;0,TArticle[[#This Row],[کد وضعیت سند]]=1),0-TArticle[[#This Row],[مبلغ]],0)</f>
        <v>350</v>
      </c>
      <c r="AB220">
        <f>IF(AND(TArticle[[#This Row],[مبلغ]]&gt;0, TArticle[[#This Row],[کد وضعیت سند]]=1),TArticle[[#This Row],[مبلغ]],0)</f>
        <v>0</v>
      </c>
      <c r="AC220" s="84">
        <f>IF(TArticle[[#This Row],[کد بانک]]&gt;0,VLOOKUP(TArticle[[#This Row],[کد بانک]],TBank[],9,FALSE)+SUMIF($Y$2:Y220,Y220,$E$2:$E220),"")</f>
        <v>32291</v>
      </c>
      <c r="AD220" s="1">
        <f>IFERROR(IF(INT(LEFT(TArticle[[#This Row],[شناسه]]))=3,IF(TArticle[[#This Row],[کد وضعیت سند]]=1,TArticle[مبلغ],0),0),0)</f>
        <v>0</v>
      </c>
      <c r="AE220" s="1">
        <f>IFERROR(IF(((TArticle[[#This Row],[شناسه]]))="4.1.1",IF(TArticle[[#This Row],[کد وضعیت سند]]=1,TArticle[مبلغ],0),0),0)</f>
        <v>0</v>
      </c>
      <c r="AF220" s="1">
        <f>IFERROR(IF(((TArticle[[#This Row],[شناسه]]))="4.1.2",IF(TArticle[[#This Row],[کد وضعیت سند]]=1,TArticle[مبلغ],0),0),0)</f>
        <v>0</v>
      </c>
      <c r="AG220" s="1">
        <f>IFERROR(IF(INT(LEFT(TArticle[[#This Row],[شناسه]]))=1,IF(TArticle[[#This Row],[کد وضعیت سند]]=1,TArticle[مبلغ],0),0),0)</f>
        <v>0</v>
      </c>
      <c r="AH220" s="1">
        <f>IFERROR(IF(INT(LEFT(TArticle[[#This Row],[شناسه]]))=2,IF(TArticle[[#This Row],[کد وضعیت سند]]=1,TArticle[مبلغ],0),0),0)</f>
        <v>-350</v>
      </c>
      <c r="AI220" s="1">
        <f>IFERROR(IF((LEFT(TArticle[[#This Row],[شناسه]],3))="5.2",IF(TArticle[[#This Row],[کد وضعیت سند]]=1,TArticle[مبلغ],0),0),0)</f>
        <v>0</v>
      </c>
      <c r="AJ220" s="1">
        <f>IF(TArticle[[#This Row],[کد وضعیت سند]]=1,1,0)</f>
        <v>1</v>
      </c>
      <c r="AK220" s="1">
        <f>IF(AND(TArticle[[#This Row],[کد وضعیت سند]]&lt;&gt;1,TArticle[[#This Row],[مبلغ]]&lt;&gt;0),1,0)</f>
        <v>0</v>
      </c>
      <c r="AL220" s="51">
        <f>IF(TArticle[[#This Row],[کد بانک]]&gt;0,TArticle[[#This Row],[مانده بانک]]-VLOOKUP(TArticle[[#This Row],[کد بانک]],TBank[],7,FALSE),"")</f>
        <v>32291</v>
      </c>
      <c r="AM220" s="58" t="str">
        <f>LEFT(TArticle[[#This Row],[تاریخ]],7)</f>
        <v>1401-10</v>
      </c>
    </row>
    <row r="221" spans="1:39" hidden="1" x14ac:dyDescent="0.25">
      <c r="A221" s="24" t="s">
        <v>1013</v>
      </c>
      <c r="B221" s="49" t="str">
        <f>VLOOKUP(TArticle[[#This Row],[شناسه]],TAccount[],2,TRUE)</f>
        <v>یارانه</v>
      </c>
      <c r="C221" s="49" t="str">
        <f>VLOOKUP(TArticle[[#This Row],[تاریخ]],TDays[],7,FALSE)</f>
        <v>سه شنبه</v>
      </c>
      <c r="D221" s="21" t="s">
        <v>490</v>
      </c>
      <c r="E221" s="1">
        <v>1500</v>
      </c>
      <c r="F221" s="1">
        <f>TArticle[[#This Row],[مبلغ]]+IFERROR(INT(F220),30181+3667+958)</f>
        <v>34021</v>
      </c>
      <c r="K221" s="21">
        <v>1</v>
      </c>
      <c r="L221" t="str">
        <f>IF(TArticle[[#This Row],[کد وضعیت سند]]&gt;0,VLOOKUP(TArticle[[#This Row],[کد وضعیت سند]],TDocState[],2,FALSE),"")</f>
        <v>انجام شد</v>
      </c>
      <c r="N221" t="str">
        <f>IF(TArticle[[#This Row],[کد طرف حساب]]&gt;0,VLOOKUP(TArticle[[#This Row],[کد طرف حساب]],TContact[],2,FALSE),"")</f>
        <v/>
      </c>
      <c r="O221" s="61" t="str">
        <f>IF(TArticle[[#This Row],[کد طرف حساب]]&gt;0,VLOOKUP(TArticle[[#This Row],[کد طرف حساب]],TContact[],7,FALSE)-SUMIF($M$2:M221,M221,$E$2:$E221),"")</f>
        <v/>
      </c>
      <c r="P221" s="27" t="str">
        <f>RIGHT(TArticle[[#This Row],[تاریخ]],2)</f>
        <v>20</v>
      </c>
      <c r="Q221" s="27">
        <f>VLOOKUP(TArticle[[#This Row],[تاریخ]],TDays[],16,FALSE)</f>
        <v>43</v>
      </c>
      <c r="R221" s="27" t="str">
        <f>RIGHT(LEFT(TArticle[[#This Row],[تاریخ]],7),2)</f>
        <v>10</v>
      </c>
      <c r="S221" s="27" t="str">
        <f>LEFT(TArticle[[#This Row],[تاریخ]],4)</f>
        <v>1401</v>
      </c>
      <c r="U221" s="21">
        <f>VLOOKUP(TArticle[[#This Row],[شناسه]],TAccount[],7,TRUE)</f>
        <v>12565</v>
      </c>
      <c r="W221" s="21">
        <f>IF(AND(TArticle[[#This Row],[مبلغ]]&gt;0, TArticle[[#This Row],[کد وضعیت سند]]=1),TArticle[[#This Row],[مبلغ]],0)</f>
        <v>1500</v>
      </c>
      <c r="X221" s="27">
        <f>IF(AND(TArticle[[#This Row],[مبلغ]]&lt;0,TArticle[[#This Row],[کد وضعیت سند]]=1),0-TArticle[[#This Row],[مبلغ]],0)</f>
        <v>0</v>
      </c>
      <c r="Y221" s="27">
        <v>2</v>
      </c>
      <c r="Z221" t="str">
        <f>IF(TArticle[[#This Row],[کد بانک]]&gt;0,VLOOKUP(TArticle[[#This Row],[کد بانک]],TBank[],2,FALSE),"")</f>
        <v>ملی جاری</v>
      </c>
      <c r="AA221">
        <f>IF(AND(TArticle[[#This Row],[مبلغ]]&lt;0,TArticle[[#This Row],[کد وضعیت سند]]=1),0-TArticle[[#This Row],[مبلغ]],0)</f>
        <v>0</v>
      </c>
      <c r="AB221">
        <f>IF(AND(TArticle[[#This Row],[مبلغ]]&gt;0, TArticle[[#This Row],[کد وضعیت سند]]=1),TArticle[[#This Row],[مبلغ]],0)</f>
        <v>1500</v>
      </c>
      <c r="AC221" s="84">
        <f>IF(TArticle[[#This Row],[کد بانک]]&gt;0,VLOOKUP(TArticle[[#This Row],[کد بانک]],TBank[],9,FALSE)+SUMIF($Y$2:Y221,Y221,$E$2:$E221),"")</f>
        <v>33791</v>
      </c>
      <c r="AD221" s="1">
        <f>IFERROR(IF(INT(LEFT(TArticle[[#This Row],[شناسه]]))=3,IF(TArticle[[#This Row],[کد وضعیت سند]]=1,TArticle[مبلغ],0),0),0)</f>
        <v>0</v>
      </c>
      <c r="AE221" s="1">
        <f>IFERROR(IF(((TArticle[[#This Row],[شناسه]]))="4.1.1",IF(TArticle[[#This Row],[کد وضعیت سند]]=1,TArticle[مبلغ],0),0),0)</f>
        <v>0</v>
      </c>
      <c r="AF221" s="1">
        <f>IFERROR(IF(((TArticle[[#This Row],[شناسه]]))="4.1.2",IF(TArticle[[#This Row],[کد وضعیت سند]]=1,TArticle[مبلغ],0),0),0)</f>
        <v>0</v>
      </c>
      <c r="AG221" s="1">
        <f>IFERROR(IF(INT(LEFT(TArticle[[#This Row],[شناسه]]))=1,IF(TArticle[[#This Row],[کد وضعیت سند]]=1,TArticle[مبلغ],0),0),0)</f>
        <v>0</v>
      </c>
      <c r="AH221" s="1">
        <f>IFERROR(IF(INT(LEFT(TArticle[[#This Row],[شناسه]]))=2,IF(TArticle[[#This Row],[کد وضعیت سند]]=1,TArticle[مبلغ],0),0),0)</f>
        <v>0</v>
      </c>
      <c r="AI221" s="1">
        <f>IFERROR(IF((LEFT(TArticle[[#This Row],[شناسه]],3))="5.2",IF(TArticle[[#This Row],[کد وضعیت سند]]=1,TArticle[مبلغ],0),0),0)</f>
        <v>0</v>
      </c>
      <c r="AJ221" s="1">
        <f>IF(TArticle[[#This Row],[کد وضعیت سند]]=1,1,0)</f>
        <v>1</v>
      </c>
      <c r="AK221" s="1">
        <f>IF(AND(TArticle[[#This Row],[کد وضعیت سند]]&lt;&gt;1,TArticle[[#This Row],[مبلغ]]&lt;&gt;0),1,0)</f>
        <v>0</v>
      </c>
      <c r="AL221" s="51">
        <f>IF(TArticle[[#This Row],[کد بانک]]&gt;0,TArticle[[#This Row],[مانده بانک]]-VLOOKUP(TArticle[[#This Row],[کد بانک]],TBank[],7,FALSE),"")</f>
        <v>33791</v>
      </c>
      <c r="AM221" s="49" t="str">
        <f>LEFT(TArticle[[#This Row],[تاریخ]],7)</f>
        <v>1401-10</v>
      </c>
    </row>
    <row r="222" spans="1:39" hidden="1" x14ac:dyDescent="0.25">
      <c r="A222" s="24" t="s">
        <v>55</v>
      </c>
      <c r="B222" s="49" t="str">
        <f>VLOOKUP(TArticle[[#This Row],[شناسه]],TAccount[],2,TRUE)</f>
        <v>هزینه کلی</v>
      </c>
      <c r="C222" s="49" t="str">
        <f>VLOOKUP(TArticle[[#This Row],[تاریخ]],TDays[],7,FALSE)</f>
        <v>جمعه</v>
      </c>
      <c r="D222" s="21" t="s">
        <v>500</v>
      </c>
      <c r="E222" s="1">
        <f>22274-59280+4000</f>
        <v>-33006</v>
      </c>
      <c r="F222" s="1">
        <f>TArticle[[#This Row],[مبلغ]]+IFERROR(INT(F221),30181+3667+958)</f>
        <v>1015</v>
      </c>
      <c r="H222" s="64"/>
      <c r="J222" s="51"/>
      <c r="K222" s="49">
        <v>1</v>
      </c>
      <c r="L222" t="str">
        <f>IF(TArticle[[#This Row],[کد وضعیت سند]]&gt;0,VLOOKUP(TArticle[[#This Row],[کد وضعیت سند]],TDocState[],2,FALSE),"")</f>
        <v>انجام شد</v>
      </c>
      <c r="M222" s="67"/>
      <c r="N222" t="str">
        <f>IF(TArticle[[#This Row],[کد طرف حساب]]&gt;0,VLOOKUP(TArticle[[#This Row],[کد طرف حساب]],TContact[],2,FALSE),"")</f>
        <v/>
      </c>
      <c r="O222" s="60" t="str">
        <f>IF(TArticle[[#This Row],[کد طرف حساب]]&gt;0,VLOOKUP(TArticle[[#This Row],[کد طرف حساب]],TContact[],7,FALSE)-SUMIF($M$2:M222,M222,$E$2:$E222),"")</f>
        <v/>
      </c>
      <c r="P222" s="27" t="str">
        <f>RIGHT(TArticle[[#This Row],[تاریخ]],2)</f>
        <v>30</v>
      </c>
      <c r="Q222" s="27">
        <f>VLOOKUP(TArticle[[#This Row],[تاریخ]],TDays[],16,FALSE)</f>
        <v>45</v>
      </c>
      <c r="R222" s="27" t="str">
        <f>RIGHT(LEFT(TArticle[[#This Row],[تاریخ]],7),2)</f>
        <v>10</v>
      </c>
      <c r="S222" s="27" t="str">
        <f>LEFT(TArticle[[#This Row],[تاریخ]],4)</f>
        <v>1401</v>
      </c>
      <c r="U222" s="21">
        <f>VLOOKUP(TArticle[[#This Row],[شناسه]],TAccount[],7,TRUE)</f>
        <v>364074</v>
      </c>
      <c r="V222" s="21" t="s">
        <v>606</v>
      </c>
      <c r="W222" s="21">
        <f>IF(AND(TArticle[[#This Row],[مبلغ]]&gt;0, TArticle[[#This Row],[کد وضعیت سند]]=1),TArticle[[#This Row],[مبلغ]],0)</f>
        <v>0</v>
      </c>
      <c r="X222" s="27">
        <f>IF(AND(TArticle[[#This Row],[مبلغ]]&lt;0,TArticle[[#This Row],[کد وضعیت سند]]=1),0-TArticle[[#This Row],[مبلغ]],0)</f>
        <v>33006</v>
      </c>
      <c r="Y222" s="27">
        <v>2</v>
      </c>
      <c r="Z222" t="str">
        <f>IF(TArticle[[#This Row],[کد بانک]]&gt;0,VLOOKUP(TArticle[[#This Row],[کد بانک]],TBank[],2,FALSE),"")</f>
        <v>ملی جاری</v>
      </c>
      <c r="AA222">
        <f>IF(AND(TArticle[[#This Row],[مبلغ]]&lt;0,TArticle[[#This Row],[کد وضعیت سند]]=1),0-TArticle[[#This Row],[مبلغ]],0)</f>
        <v>33006</v>
      </c>
      <c r="AB222">
        <f>IF(AND(TArticle[[#This Row],[مبلغ]]&gt;0, TArticle[[#This Row],[کد وضعیت سند]]=1),TArticle[[#This Row],[مبلغ]],0)</f>
        <v>0</v>
      </c>
      <c r="AC222" s="92">
        <f>IF(TArticle[[#This Row],[کد بانک]]&gt;0,VLOOKUP(TArticle[[#This Row],[کد بانک]],TBank[],9,FALSE)+SUMIF($Y$2:Y222,Y222,$E$2:$E222),"")</f>
        <v>785</v>
      </c>
      <c r="AD222" s="1">
        <f>IFERROR(IF(INT(LEFT(TArticle[[#This Row],[شناسه]]))=3,IF(TArticle[[#This Row],[کد وضعیت سند]]=1,TArticle[مبلغ],0),0),0)</f>
        <v>-33006</v>
      </c>
      <c r="AE222" s="1">
        <f>IFERROR(IF(((TArticle[[#This Row],[شناسه]]))="4.1.1",IF(TArticle[[#This Row],[کد وضعیت سند]]=1,TArticle[مبلغ],0),0),0)</f>
        <v>0</v>
      </c>
      <c r="AF222" s="1">
        <f>IFERROR(IF(((TArticle[[#This Row],[شناسه]]))="4.1.2",IF(TArticle[[#This Row],[کد وضعیت سند]]=1,TArticle[مبلغ],0),0),0)</f>
        <v>0</v>
      </c>
      <c r="AG222" s="1">
        <f>IFERROR(IF(INT(LEFT(TArticle[[#This Row],[شناسه]]))=1,IF(TArticle[[#This Row],[کد وضعیت سند]]=1,TArticle[مبلغ],0),0),0)</f>
        <v>0</v>
      </c>
      <c r="AH222" s="1">
        <f>IFERROR(IF(INT(LEFT(TArticle[[#This Row],[شناسه]]))=2,IF(TArticle[[#This Row],[کد وضعیت سند]]=1,TArticle[مبلغ],0),0),0)</f>
        <v>0</v>
      </c>
      <c r="AI222" s="1">
        <f>IFERROR(IF((LEFT(TArticle[[#This Row],[شناسه]],3))="5.2",IF(TArticle[[#This Row],[کد وضعیت سند]]=1,TArticle[مبلغ],0),0),0)</f>
        <v>0</v>
      </c>
      <c r="AJ222" s="1">
        <f>IF(TArticle[[#This Row],[کد وضعیت سند]]=1,1,0)</f>
        <v>1</v>
      </c>
      <c r="AK222" s="1">
        <f>IF(AND(TArticle[[#This Row],[کد وضعیت سند]]&lt;&gt;1,TArticle[[#This Row],[مبلغ]]&lt;&gt;0),1,0)</f>
        <v>0</v>
      </c>
      <c r="AL222" s="51">
        <f>IF(TArticle[[#This Row],[کد بانک]]&gt;0,TArticle[[#This Row],[مانده بانک]]-VLOOKUP(TArticle[[#This Row],[کد بانک]],TBank[],7,FALSE),"")</f>
        <v>785</v>
      </c>
      <c r="AM222" s="58" t="str">
        <f>LEFT(TArticle[[#This Row],[تاریخ]],7)</f>
        <v>1401-10</v>
      </c>
    </row>
    <row r="223" spans="1:39" hidden="1" x14ac:dyDescent="0.25">
      <c r="A223" s="24" t="s">
        <v>43</v>
      </c>
      <c r="B223" s="49" t="str">
        <f>VLOOKUP(TArticle[[#This Row],[شناسه]],TAccount[],2,TRUE)</f>
        <v>حقوق</v>
      </c>
      <c r="C223" s="49" t="str">
        <f>VLOOKUP(TArticle[[#This Row],[تاریخ]],TDays[],7,FALSE)</f>
        <v>شنبه</v>
      </c>
      <c r="D223" s="21" t="s">
        <v>501</v>
      </c>
      <c r="E223" s="1">
        <v>30489</v>
      </c>
      <c r="F223" s="1">
        <f>TArticle[[#This Row],[مبلغ]]+IFERROR(INT(F222),30181+3667+958)</f>
        <v>31504</v>
      </c>
      <c r="H223" s="64"/>
      <c r="J223" s="65"/>
      <c r="K223" s="64">
        <v>1</v>
      </c>
      <c r="L223" s="66" t="str">
        <f>IF(TArticle[[#This Row],[کد وضعیت سند]]&gt;0,VLOOKUP(TArticle[[#This Row],[کد وضعیت سند]],TDocState[],2,FALSE),"")</f>
        <v>انجام شد</v>
      </c>
      <c r="M223" s="67"/>
      <c r="N223" t="str">
        <f>IF(TArticle[[#This Row],[کد طرف حساب]]&gt;0,VLOOKUP(TArticle[[#This Row],[کد طرف حساب]],TContact[],2,FALSE),"")</f>
        <v/>
      </c>
      <c r="O223" s="68" t="str">
        <f>IF(TArticle[[#This Row],[کد طرف حساب]]&gt;0,VLOOKUP(TArticle[[#This Row],[کد طرف حساب]],TContact[],7,FALSE)-SUMIF($M$2:M223,M223,$E$2:$E223),"")</f>
        <v/>
      </c>
      <c r="P223" s="67" t="str">
        <f>RIGHT(TArticle[[#This Row],[تاریخ]],2)</f>
        <v>01</v>
      </c>
      <c r="Q223" s="67">
        <f>VLOOKUP(TArticle[[#This Row],[تاریخ]],TDays[],16,FALSE)</f>
        <v>45</v>
      </c>
      <c r="R223" s="67" t="str">
        <f>RIGHT(LEFT(TArticle[[#This Row],[تاریخ]],7),2)</f>
        <v>11</v>
      </c>
      <c r="S223" s="67" t="str">
        <f>LEFT(TArticle[[#This Row],[تاریخ]],4)</f>
        <v>1401</v>
      </c>
      <c r="T223" s="64"/>
      <c r="U223" s="64">
        <f>VLOOKUP(TArticle[[#This Row],[شناسه]],TAccount[],7,TRUE)</f>
        <v>416023</v>
      </c>
      <c r="V223" s="64"/>
      <c r="W223" s="64">
        <f>IF(AND(TArticle[[#This Row],[مبلغ]]&gt;0, TArticle[[#This Row],[کد وضعیت سند]]=1),TArticle[[#This Row],[مبلغ]],0)</f>
        <v>30489</v>
      </c>
      <c r="X223" s="67">
        <f>IF(AND(TArticle[[#This Row],[مبلغ]]&lt;0,TArticle[[#This Row],[کد وضعیت سند]]=1),0-TArticle[[#This Row],[مبلغ]],0)</f>
        <v>0</v>
      </c>
      <c r="Y223" s="67">
        <v>2</v>
      </c>
      <c r="Z223" t="str">
        <f>IF(TArticle[[#This Row],[کد بانک]]&gt;0,VLOOKUP(TArticle[[#This Row],[کد بانک]],TBank[],2,FALSE),"")</f>
        <v>ملی جاری</v>
      </c>
      <c r="AA223">
        <f>IF(AND(TArticle[[#This Row],[مبلغ]]&lt;0,TArticle[[#This Row],[کد وضعیت سند]]=1),0-TArticle[[#This Row],[مبلغ]],0)</f>
        <v>0</v>
      </c>
      <c r="AB223">
        <f>IF(AND(TArticle[[#This Row],[مبلغ]]&gt;0, TArticle[[#This Row],[کد وضعیت سند]]=1),TArticle[[#This Row],[مبلغ]],0)</f>
        <v>30489</v>
      </c>
      <c r="AC223" s="93">
        <f>IF(TArticle[[#This Row],[کد بانک]]&gt;0,VLOOKUP(TArticle[[#This Row],[کد بانک]],TBank[],9,FALSE)+SUMIF($Y$2:Y223,Y223,$E$2:$E223),"")</f>
        <v>31274</v>
      </c>
      <c r="AD223" s="1">
        <f>IFERROR(IF(INT(LEFT(TArticle[[#This Row],[شناسه]]))=3,IF(TArticle[[#This Row],[کد وضعیت سند]]=1,TArticle[مبلغ],0),0),0)</f>
        <v>0</v>
      </c>
      <c r="AE223" s="1">
        <f>IFERROR(IF(((TArticle[[#This Row],[شناسه]]))="4.1.1",IF(TArticle[[#This Row],[کد وضعیت سند]]=1,TArticle[مبلغ],0),0),0)</f>
        <v>30489</v>
      </c>
      <c r="AF223" s="1">
        <f>IFERROR(IF(((TArticle[[#This Row],[شناسه]]))="4.1.2",IF(TArticle[[#This Row],[کد وضعیت سند]]=1,TArticle[مبلغ],0),0),0)</f>
        <v>0</v>
      </c>
      <c r="AG223" s="1">
        <f>IFERROR(IF(INT(LEFT(TArticle[[#This Row],[شناسه]]))=1,IF(TArticle[[#This Row],[کد وضعیت سند]]=1,TArticle[مبلغ],0),0),0)</f>
        <v>0</v>
      </c>
      <c r="AH223" s="1">
        <f>IFERROR(IF(INT(LEFT(TArticle[[#This Row],[شناسه]]))=2,IF(TArticle[[#This Row],[کد وضعیت سند]]=1,TArticle[مبلغ],0),0),0)</f>
        <v>0</v>
      </c>
      <c r="AI223" s="1">
        <f>IFERROR(IF((LEFT(TArticle[[#This Row],[شناسه]],3))="5.2",IF(TArticle[[#This Row],[کد وضعیت سند]]=1,TArticle[مبلغ],0),0),0)</f>
        <v>0</v>
      </c>
      <c r="AJ223" s="1">
        <f>IF(TArticle[[#This Row],[کد وضعیت سند]]=1,1,0)</f>
        <v>1</v>
      </c>
      <c r="AK223" s="1">
        <f>IF(AND(TArticle[[#This Row],[کد وضعیت سند]]&lt;&gt;1,TArticle[[#This Row],[مبلغ]]&lt;&gt;0),1,0)</f>
        <v>0</v>
      </c>
      <c r="AL223" s="78">
        <f>IF(TArticle[[#This Row],[کد بانک]]&gt;0,TArticle[[#This Row],[مانده بانک]]-VLOOKUP(TArticle[[#This Row],[کد بانک]],TBank[],7,FALSE),"")</f>
        <v>31274</v>
      </c>
      <c r="AM223" s="58" t="str">
        <f>LEFT(TArticle[[#This Row],[تاریخ]],7)</f>
        <v>1401-11</v>
      </c>
    </row>
    <row r="224" spans="1:39" hidden="1" x14ac:dyDescent="0.25">
      <c r="A224" s="24" t="s">
        <v>76</v>
      </c>
      <c r="B224" s="49" t="str">
        <f>VLOOKUP(TArticle[[#This Row],[شناسه]],TAccount[],2,TRUE)</f>
        <v>قسط</v>
      </c>
      <c r="C224" s="49" t="str">
        <f>VLOOKUP(TArticle[[#This Row],[تاریخ]],TDays[],7,FALSE)</f>
        <v>شنبه</v>
      </c>
      <c r="D224" s="21" t="s">
        <v>501</v>
      </c>
      <c r="E224" s="1">
        <f>-5000-4000</f>
        <v>-9000</v>
      </c>
      <c r="F224" s="1">
        <f>TArticle[[#This Row],[مبلغ]]+IFERROR(INT(F223),30181+3667+958)</f>
        <v>22504</v>
      </c>
      <c r="G224" t="s">
        <v>1675</v>
      </c>
      <c r="H224" s="64"/>
      <c r="J224" s="51"/>
      <c r="K224" s="49">
        <v>1</v>
      </c>
      <c r="L224" t="str">
        <f>IF(TArticle[[#This Row],[کد وضعیت سند]]&gt;0,VLOOKUP(TArticle[[#This Row],[کد وضعیت سند]],TDocState[],2,FALSE),"")</f>
        <v>انجام شد</v>
      </c>
      <c r="M224" s="67"/>
      <c r="N224" t="str">
        <f>IF(TArticle[[#This Row],[کد طرف حساب]]&gt;0,VLOOKUP(TArticle[[#This Row],[کد طرف حساب]],TContact[],2,FALSE),"")</f>
        <v/>
      </c>
      <c r="O224" s="60" t="str">
        <f>IF(TArticle[[#This Row],[کد طرف حساب]]&gt;0,VLOOKUP(TArticle[[#This Row],[کد طرف حساب]],TContact[],7,FALSE)-SUMIF($M$2:M224,M224,$E$2:$E224),"")</f>
        <v/>
      </c>
      <c r="P224" s="27" t="str">
        <f>RIGHT(TArticle[[#This Row],[تاریخ]],2)</f>
        <v>01</v>
      </c>
      <c r="Q224" s="27">
        <f>VLOOKUP(TArticle[[#This Row],[تاریخ]],TDays[],16,FALSE)</f>
        <v>45</v>
      </c>
      <c r="R224" s="27" t="str">
        <f>RIGHT(LEFT(TArticle[[#This Row],[تاریخ]],7),2)</f>
        <v>11</v>
      </c>
      <c r="S224" s="27" t="str">
        <f>LEFT(TArticle[[#This Row],[تاریخ]],4)</f>
        <v>1401</v>
      </c>
      <c r="U224" s="21">
        <f>VLOOKUP(TArticle[[#This Row],[شناسه]],TAccount[],7,TRUE)</f>
        <v>36266</v>
      </c>
      <c r="W224" s="21">
        <f>IF(AND(TArticle[[#This Row],[مبلغ]]&gt;0, TArticle[[#This Row],[کد وضعیت سند]]=1),TArticle[[#This Row],[مبلغ]],0)</f>
        <v>0</v>
      </c>
      <c r="X224" s="27">
        <f>IF(AND(TArticle[[#This Row],[مبلغ]]&lt;0,TArticle[[#This Row],[کد وضعیت سند]]=1),0-TArticle[[#This Row],[مبلغ]],0)</f>
        <v>9000</v>
      </c>
      <c r="Y224" s="27">
        <v>2</v>
      </c>
      <c r="Z224" t="str">
        <f>IF(TArticle[[#This Row],[کد بانک]]&gt;0,VLOOKUP(TArticle[[#This Row],[کد بانک]],TBank[],2,FALSE),"")</f>
        <v>ملی جاری</v>
      </c>
      <c r="AA224">
        <f>IF(AND(TArticle[[#This Row],[مبلغ]]&lt;0,TArticle[[#This Row],[کد وضعیت سند]]=1),0-TArticle[[#This Row],[مبلغ]],0)</f>
        <v>9000</v>
      </c>
      <c r="AB224">
        <f>IF(AND(TArticle[[#This Row],[مبلغ]]&gt;0, TArticle[[#This Row],[کد وضعیت سند]]=1),TArticle[[#This Row],[مبلغ]],0)</f>
        <v>0</v>
      </c>
      <c r="AC224" s="92">
        <f>IF(TArticle[[#This Row],[کد بانک]]&gt;0,VLOOKUP(TArticle[[#This Row],[کد بانک]],TBank[],9,FALSE)+SUMIF($Y$2:Y224,Y224,$E$2:$E224),"")</f>
        <v>22274</v>
      </c>
      <c r="AD224" s="1">
        <f>IFERROR(IF(INT(LEFT(TArticle[[#This Row],[شناسه]]))=3,IF(TArticle[[#This Row],[کد وضعیت سند]]=1,TArticle[مبلغ],0),0),0)</f>
        <v>0</v>
      </c>
      <c r="AE224" s="1">
        <f>IFERROR(IF(((TArticle[[#This Row],[شناسه]]))="4.1.1",IF(TArticle[[#This Row],[کد وضعیت سند]]=1,TArticle[مبلغ],0),0),0)</f>
        <v>0</v>
      </c>
      <c r="AF224" s="1">
        <f>IFERROR(IF(((TArticle[[#This Row],[شناسه]]))="4.1.2",IF(TArticle[[#This Row],[کد وضعیت سند]]=1,TArticle[مبلغ],0),0),0)</f>
        <v>0</v>
      </c>
      <c r="AG224" s="1">
        <f>IFERROR(IF(INT(LEFT(TArticle[[#This Row],[شناسه]]))=1,IF(TArticle[[#This Row],[کد وضعیت سند]]=1,TArticle[مبلغ],0),0),0)</f>
        <v>-9000</v>
      </c>
      <c r="AH224" s="1">
        <f>IFERROR(IF(INT(LEFT(TArticle[[#This Row],[شناسه]]))=2,IF(TArticle[[#This Row],[کد وضعیت سند]]=1,TArticle[مبلغ],0),0),0)</f>
        <v>0</v>
      </c>
      <c r="AI224" s="1">
        <f>IFERROR(IF((LEFT(TArticle[[#This Row],[شناسه]],3))="5.2",IF(TArticle[[#This Row],[کد وضعیت سند]]=1,TArticle[مبلغ],0),0),0)</f>
        <v>0</v>
      </c>
      <c r="AJ224" s="1">
        <f>IF(TArticle[[#This Row],[کد وضعیت سند]]=1,1,0)</f>
        <v>1</v>
      </c>
      <c r="AK224" s="1">
        <f>IF(AND(TArticle[[#This Row],[کد وضعیت سند]]&lt;&gt;1,TArticle[[#This Row],[مبلغ]]&lt;&gt;0),1,0)</f>
        <v>0</v>
      </c>
      <c r="AL224" s="51">
        <f>IF(TArticle[[#This Row],[کد بانک]]&gt;0,TArticle[[#This Row],[مانده بانک]]-VLOOKUP(TArticle[[#This Row],[کد بانک]],TBank[],7,FALSE),"")</f>
        <v>22274</v>
      </c>
      <c r="AM224" s="58" t="str">
        <f>LEFT(TArticle[[#This Row],[تاریخ]],7)</f>
        <v>1401-11</v>
      </c>
    </row>
    <row r="225" spans="1:39" hidden="1" x14ac:dyDescent="0.25">
      <c r="A225" s="24" t="s">
        <v>1110</v>
      </c>
      <c r="B225" s="49" t="str">
        <f>VLOOKUP(TArticle[[#This Row],[شناسه]],TAccount[],2,TRUE)</f>
        <v>قسط وام بانکی</v>
      </c>
      <c r="C225" s="49" t="str">
        <f>VLOOKUP(TArticle[[#This Row],[تاریخ]],TDays[],7,FALSE)</f>
        <v>شنبه</v>
      </c>
      <c r="D225" s="21" t="s">
        <v>501</v>
      </c>
      <c r="E225" s="1">
        <v>-1808</v>
      </c>
      <c r="F225" s="1">
        <f>TArticle[[#This Row],[مبلغ]]+IFERROR(INT(F224),30181+3667+958)</f>
        <v>20696</v>
      </c>
      <c r="G225" t="s">
        <v>1597</v>
      </c>
      <c r="H225" s="64">
        <v>15</v>
      </c>
      <c r="J225" s="65"/>
      <c r="K225" s="21">
        <v>1</v>
      </c>
      <c r="L225" s="66" t="str">
        <f>IF(TArticle[[#This Row],[کد وضعیت سند]]&gt;0,VLOOKUP(TArticle[[#This Row],[کد وضعیت سند]],TDocState[],2,FALSE),"")</f>
        <v>انجام شد</v>
      </c>
      <c r="M225" s="67">
        <v>112</v>
      </c>
      <c r="N225" t="str">
        <f>IF(TArticle[[#This Row],[کد طرف حساب]]&gt;0,VLOOKUP(TArticle[[#This Row],[کد طرف حساب]],TContact[],2,FALSE),"")</f>
        <v>وام ملی</v>
      </c>
      <c r="O225" s="68">
        <f>IF(TArticle[[#This Row],[کد طرف حساب]]&gt;0,VLOOKUP(TArticle[[#This Row],[کد طرف حساب]],TContact[],7,FALSE)-SUMIF($M$2:M225,M225,$E$2:$E225),"")</f>
        <v>-35536</v>
      </c>
      <c r="P225" s="67" t="str">
        <f>RIGHT(TArticle[[#This Row],[تاریخ]],2)</f>
        <v>01</v>
      </c>
      <c r="Q225" s="67">
        <f>VLOOKUP(TArticle[[#This Row],[تاریخ]],TDays[],16,FALSE)</f>
        <v>45</v>
      </c>
      <c r="R225" s="67" t="str">
        <f>RIGHT(LEFT(TArticle[[#This Row],[تاریخ]],7),2)</f>
        <v>11</v>
      </c>
      <c r="S225" s="67" t="str">
        <f>LEFT(TArticle[[#This Row],[تاریخ]],4)</f>
        <v>1401</v>
      </c>
      <c r="T225" s="64"/>
      <c r="U225" s="64">
        <f>VLOOKUP(TArticle[[#This Row],[شناسه]],TAccount[],7,TRUE)</f>
        <v>81652</v>
      </c>
      <c r="V225" s="21" t="s">
        <v>498</v>
      </c>
      <c r="W225" s="64">
        <f>IF(AND(TArticle[[#This Row],[مبلغ]]&gt;0, TArticle[[#This Row],[کد وضعیت سند]]=1),TArticle[[#This Row],[مبلغ]],0)</f>
        <v>0</v>
      </c>
      <c r="X225" s="67">
        <f>IF(AND(TArticle[[#This Row],[مبلغ]]&lt;0,TArticle[[#This Row],[کد وضعیت سند]]=1),0-TArticle[[#This Row],[مبلغ]],0)</f>
        <v>1808</v>
      </c>
      <c r="Y225" s="67">
        <v>2</v>
      </c>
      <c r="Z225" t="str">
        <f>IF(TArticle[[#This Row],[کد بانک]]&gt;0,VLOOKUP(TArticle[[#This Row],[کد بانک]],TBank[],2,FALSE),"")</f>
        <v>ملی جاری</v>
      </c>
      <c r="AA225">
        <f>IF(AND(TArticle[[#This Row],[مبلغ]]&lt;0,TArticle[[#This Row],[کد وضعیت سند]]=1),0-TArticle[[#This Row],[مبلغ]],0)</f>
        <v>1808</v>
      </c>
      <c r="AB225">
        <f>IF(AND(TArticle[[#This Row],[مبلغ]]&gt;0, TArticle[[#This Row],[کد وضعیت سند]]=1),TArticle[[#This Row],[مبلغ]],0)</f>
        <v>0</v>
      </c>
      <c r="AC225" s="93">
        <f>IF(TArticle[[#This Row],[کد بانک]]&gt;0,VLOOKUP(TArticle[[#This Row],[کد بانک]],TBank[],9,FALSE)+SUMIF($Y$2:Y225,Y225,$E$2:$E225),"")</f>
        <v>20466</v>
      </c>
      <c r="AD225" s="1">
        <f>IFERROR(IF(INT(LEFT(TArticle[[#This Row],[شناسه]]))=3,IF(TArticle[[#This Row],[کد وضعیت سند]]=1,TArticle[مبلغ],0),0),0)</f>
        <v>0</v>
      </c>
      <c r="AE225" s="1">
        <f>IFERROR(IF(((TArticle[[#This Row],[شناسه]]))="4.1.1",IF(TArticle[[#This Row],[کد وضعیت سند]]=1,TArticle[مبلغ],0),0),0)</f>
        <v>0</v>
      </c>
      <c r="AF225" s="1">
        <f>IFERROR(IF(((TArticle[[#This Row],[شناسه]]))="4.1.2",IF(TArticle[[#This Row],[کد وضعیت سند]]=1,TArticle[مبلغ],0),0),0)</f>
        <v>0</v>
      </c>
      <c r="AG225" s="1">
        <f>IFERROR(IF(INT(LEFT(TArticle[[#This Row],[شناسه]]))=1,IF(TArticle[[#This Row],[کد وضعیت سند]]=1,TArticle[مبلغ],0),0),0)</f>
        <v>-1808</v>
      </c>
      <c r="AH225" s="1">
        <f>IFERROR(IF(INT(LEFT(TArticle[[#This Row],[شناسه]]))=2,IF(TArticle[[#This Row],[کد وضعیت سند]]=1,TArticle[مبلغ],0),0),0)</f>
        <v>0</v>
      </c>
      <c r="AI225" s="1">
        <f>IFERROR(IF((LEFT(TArticle[[#This Row],[شناسه]],3))="5.2",IF(TArticle[[#This Row],[کد وضعیت سند]]=1,TArticle[مبلغ],0),0),0)</f>
        <v>0</v>
      </c>
      <c r="AJ225" s="1">
        <f>IF(TArticle[[#This Row],[کد وضعیت سند]]=1,1,0)</f>
        <v>1</v>
      </c>
      <c r="AK225" s="1">
        <f>IF(AND(TArticle[[#This Row],[کد وضعیت سند]]&lt;&gt;1,TArticle[[#This Row],[مبلغ]]&lt;&gt;0),1,0)</f>
        <v>0</v>
      </c>
      <c r="AL225" s="78">
        <f>IF(TArticle[[#This Row],[کد بانک]]&gt;0,TArticle[[#This Row],[مانده بانک]]-VLOOKUP(TArticle[[#This Row],[کد بانک]],TBank[],7,FALSE),"")</f>
        <v>20466</v>
      </c>
      <c r="AM225" s="58" t="str">
        <f>LEFT(TArticle[[#This Row],[تاریخ]],7)</f>
        <v>1401-11</v>
      </c>
    </row>
    <row r="226" spans="1:39" hidden="1" x14ac:dyDescent="0.25">
      <c r="A226" s="24" t="s">
        <v>1008</v>
      </c>
      <c r="B226" s="49" t="str">
        <f>VLOOKUP(TArticle[[#This Row],[شناسه]],TAccount[],2,TRUE)</f>
        <v>حواله پرداخت/برداشت</v>
      </c>
      <c r="C226" s="49" t="str">
        <f>VLOOKUP(TArticle[[#This Row],[تاریخ]],TDays[],7,FALSE)</f>
        <v>شنبه</v>
      </c>
      <c r="D226" s="21" t="s">
        <v>501</v>
      </c>
      <c r="E226" s="1">
        <v>-4000</v>
      </c>
      <c r="F226" s="1">
        <f>TArticle[[#This Row],[مبلغ]]+IFERROR(INT(F225),30181+3667+958)</f>
        <v>16696</v>
      </c>
      <c r="K226" s="21">
        <v>1</v>
      </c>
      <c r="L226" t="str">
        <f>IF(TArticle[[#This Row],[کد وضعیت سند]]&gt;0,VLOOKUP(TArticle[[#This Row],[کد وضعیت سند]],TDocState[],2,FALSE),"")</f>
        <v>انجام شد</v>
      </c>
      <c r="N226" t="str">
        <f>IF(TArticle[[#This Row],[کد طرف حساب]]&gt;0,VLOOKUP(TArticle[[#This Row],[کد طرف حساب]],TContact[],2,FALSE),"")</f>
        <v/>
      </c>
      <c r="O226" s="51" t="str">
        <f>IF(TArticle[[#This Row],[کد طرف حساب]]&gt;0,VLOOKUP(TArticle[[#This Row],[کد طرف حساب]],TContact[],7,FALSE)-SUMIF($M$2:M226,M226,$E$2:$E226),"")</f>
        <v/>
      </c>
      <c r="P226" s="27" t="str">
        <f>RIGHT(TArticle[[#This Row],[تاریخ]],2)</f>
        <v>01</v>
      </c>
      <c r="Q226" s="27">
        <f>VLOOKUP(TArticle[[#This Row],[تاریخ]],TDays[],16,FALSE)</f>
        <v>45</v>
      </c>
      <c r="R226" s="27" t="str">
        <f>RIGHT(LEFT(TArticle[[#This Row],[تاریخ]],7),2)</f>
        <v>11</v>
      </c>
      <c r="S226" s="27" t="str">
        <f>LEFT(TArticle[[#This Row],[تاریخ]],4)</f>
        <v>1401</v>
      </c>
      <c r="U226" s="21">
        <f>VLOOKUP(TArticle[[#This Row],[شناسه]],TAccount[],7,TRUE)</f>
        <v>179525</v>
      </c>
      <c r="W226" s="21">
        <f>IF(AND(TArticle[[#This Row],[مبلغ]]&gt;0, TArticle[[#This Row],[کد وضعیت سند]]=1),TArticle[[#This Row],[مبلغ]],0)</f>
        <v>0</v>
      </c>
      <c r="X226" s="27">
        <f>IF(AND(TArticle[[#This Row],[مبلغ]]&lt;0,TArticle[[#This Row],[کد وضعیت سند]]=1),0-TArticle[[#This Row],[مبلغ]],0)</f>
        <v>4000</v>
      </c>
      <c r="Y226" s="27">
        <v>2</v>
      </c>
      <c r="Z226" t="str">
        <f>IF(TArticle[[#This Row],[کد بانک]]&gt;0,VLOOKUP(TArticle[[#This Row],[کد بانک]],TBank[],2,FALSE),"")</f>
        <v>ملی جاری</v>
      </c>
      <c r="AA226">
        <f>IF(AND(TArticle[[#This Row],[مبلغ]]&lt;0,TArticle[[#This Row],[کد وضعیت سند]]=1),0-TArticle[[#This Row],[مبلغ]],0)</f>
        <v>4000</v>
      </c>
      <c r="AB226">
        <f>IF(AND(TArticle[[#This Row],[مبلغ]]&gt;0, TArticle[[#This Row],[کد وضعیت سند]]=1),TArticle[[#This Row],[مبلغ]],0)</f>
        <v>0</v>
      </c>
      <c r="AC226" s="84">
        <f>IF(TArticle[[#This Row],[کد بانک]]&gt;0,VLOOKUP(TArticle[[#This Row],[کد بانک]],TBank[],9,FALSE)+SUMIF($Y$2:Y226,Y226,$E$2:$E226),"")</f>
        <v>16466</v>
      </c>
      <c r="AD226" s="1">
        <f>IFERROR(IF(INT(LEFT(TArticle[[#This Row],[شناسه]]))=3,IF(TArticle[[#This Row],[کد وضعیت سند]]=1,TArticle[مبلغ],0),0),0)</f>
        <v>0</v>
      </c>
      <c r="AE226" s="1">
        <f>IFERROR(IF(((TArticle[[#This Row],[شناسه]]))="4.1.1",IF(TArticle[[#This Row],[کد وضعیت سند]]=1,TArticle[مبلغ],0),0),0)</f>
        <v>0</v>
      </c>
      <c r="AF226" s="1">
        <f>IFERROR(IF(((TArticle[[#This Row],[شناسه]]))="4.1.2",IF(TArticle[[#This Row],[کد وضعیت سند]]=1,TArticle[مبلغ],0),0),0)</f>
        <v>0</v>
      </c>
      <c r="AG226" s="1">
        <f>IFERROR(IF(INT(LEFT(TArticle[[#This Row],[شناسه]]))=1,IF(TArticle[[#This Row],[کد وضعیت سند]]=1,TArticle[مبلغ],0),0),0)</f>
        <v>0</v>
      </c>
      <c r="AH226" s="1">
        <f>IFERROR(IF(INT(LEFT(TArticle[[#This Row],[شناسه]]))=2,IF(TArticle[[#This Row],[کد وضعیت سند]]=1,TArticle[مبلغ],0),0),0)</f>
        <v>0</v>
      </c>
      <c r="AI226" s="1">
        <f>IFERROR(IF((LEFT(TArticle[[#This Row],[شناسه]],3))="5.2",IF(TArticle[[#This Row],[کد وضعیت سند]]=1,TArticle[مبلغ],0),0),0)</f>
        <v>0</v>
      </c>
      <c r="AJ226" s="1">
        <f>IF(TArticle[[#This Row],[کد وضعیت سند]]=1,1,0)</f>
        <v>1</v>
      </c>
      <c r="AK226" s="1">
        <f>IF(AND(TArticle[[#This Row],[کد وضعیت سند]]&lt;&gt;1,TArticle[[#This Row],[مبلغ]]&lt;&gt;0),1,0)</f>
        <v>0</v>
      </c>
      <c r="AL226" s="51">
        <f>IF(TArticle[[#This Row],[کد بانک]]&gt;0,TArticle[[#This Row],[مانده بانک]]-VLOOKUP(TArticle[[#This Row],[کد بانک]],TBank[],7,FALSE),"")</f>
        <v>16466</v>
      </c>
      <c r="AM226" s="49" t="str">
        <f>LEFT(TArticle[[#This Row],[تاریخ]],7)</f>
        <v>1401-11</v>
      </c>
    </row>
    <row r="227" spans="1:39" hidden="1" x14ac:dyDescent="0.25">
      <c r="A227" s="24" t="s">
        <v>112</v>
      </c>
      <c r="B227" s="49" t="str">
        <f>VLOOKUP(TArticle[[#This Row],[شناسه]],TAccount[],2,TRUE)</f>
        <v>رسید دریافت/واریز</v>
      </c>
      <c r="C227" s="49" t="str">
        <f>VLOOKUP(TArticle[[#This Row],[تاریخ]],TDays[],7,FALSE)</f>
        <v>شنبه</v>
      </c>
      <c r="D227" s="21" t="s">
        <v>501</v>
      </c>
      <c r="E227" s="1">
        <v>4000</v>
      </c>
      <c r="F227" s="1">
        <f>TArticle[[#This Row],[مبلغ]]+IFERROR(INT(F226),30181+3667+958)</f>
        <v>20696</v>
      </c>
      <c r="K227" s="21">
        <v>1</v>
      </c>
      <c r="L227" t="str">
        <f>IF(TArticle[[#This Row],[کد وضعیت سند]]&gt;0,VLOOKUP(TArticle[[#This Row],[کد وضعیت سند]],TDocState[],2,FALSE),"")</f>
        <v>انجام شد</v>
      </c>
      <c r="N227" t="str">
        <f>IF(TArticle[[#This Row],[کد طرف حساب]]&gt;0,VLOOKUP(TArticle[[#This Row],[کد طرف حساب]],TContact[],2,FALSE),"")</f>
        <v/>
      </c>
      <c r="O227" s="51" t="str">
        <f>IF(TArticle[[#This Row],[کد طرف حساب]]&gt;0,VLOOKUP(TArticle[[#This Row],[کد طرف حساب]],TContact[],7,FALSE)-SUMIF($M$2:M227,M227,$E$2:$E227),"")</f>
        <v/>
      </c>
      <c r="P227" s="27" t="str">
        <f>RIGHT(TArticle[[#This Row],[تاریخ]],2)</f>
        <v>01</v>
      </c>
      <c r="Q227" s="27">
        <f>VLOOKUP(TArticle[[#This Row],[تاریخ]],TDays[],16,FALSE)</f>
        <v>45</v>
      </c>
      <c r="R227" s="27" t="str">
        <f>RIGHT(LEFT(TArticle[[#This Row],[تاریخ]],7),2)</f>
        <v>11</v>
      </c>
      <c r="S227" s="27" t="str">
        <f>LEFT(TArticle[[#This Row],[تاریخ]],4)</f>
        <v>1401</v>
      </c>
      <c r="U227" s="21">
        <f>VLOOKUP(TArticle[[#This Row],[شناسه]],TAccount[],7,TRUE)</f>
        <v>257767</v>
      </c>
      <c r="W227" s="21">
        <f>IF(AND(TArticle[[#This Row],[مبلغ]]&gt;0, TArticle[[#This Row],[کد وضعیت سند]]=1),TArticle[[#This Row],[مبلغ]],0)</f>
        <v>4000</v>
      </c>
      <c r="X227" s="27">
        <f>IF(AND(TArticle[[#This Row],[مبلغ]]&lt;0,TArticle[[#This Row],[کد وضعیت سند]]=1),0-TArticle[[#This Row],[مبلغ]],0)</f>
        <v>0</v>
      </c>
      <c r="Y227" s="27">
        <v>2</v>
      </c>
      <c r="Z227" t="str">
        <f>IF(TArticle[[#This Row],[کد بانک]]&gt;0,VLOOKUP(TArticle[[#This Row],[کد بانک]],TBank[],2,FALSE),"")</f>
        <v>ملی جاری</v>
      </c>
      <c r="AA227">
        <f>IF(AND(TArticle[[#This Row],[مبلغ]]&lt;0,TArticle[[#This Row],[کد وضعیت سند]]=1),0-TArticle[[#This Row],[مبلغ]],0)</f>
        <v>0</v>
      </c>
      <c r="AB227">
        <f>IF(AND(TArticle[[#This Row],[مبلغ]]&gt;0, TArticle[[#This Row],[کد وضعیت سند]]=1),TArticle[[#This Row],[مبلغ]],0)</f>
        <v>4000</v>
      </c>
      <c r="AC227" s="84">
        <f>IF(TArticle[[#This Row],[کد بانک]]&gt;0,VLOOKUP(TArticle[[#This Row],[کد بانک]],TBank[],9,FALSE)+SUMIF($Y$2:Y227,Y227,$E$2:$E227),"")</f>
        <v>20466</v>
      </c>
      <c r="AD227" s="1">
        <f>IFERROR(IF(INT(LEFT(TArticle[[#This Row],[شناسه]]))=3,IF(TArticle[[#This Row],[کد وضعیت سند]]=1,TArticle[مبلغ],0),0),0)</f>
        <v>0</v>
      </c>
      <c r="AE227" s="1">
        <f>IFERROR(IF(((TArticle[[#This Row],[شناسه]]))="4.1.1",IF(TArticle[[#This Row],[کد وضعیت سند]]=1,TArticle[مبلغ],0),0),0)</f>
        <v>0</v>
      </c>
      <c r="AF227" s="1">
        <f>IFERROR(IF(((TArticle[[#This Row],[شناسه]]))="4.1.2",IF(TArticle[[#This Row],[کد وضعیت سند]]=1,TArticle[مبلغ],0),0),0)</f>
        <v>0</v>
      </c>
      <c r="AG227" s="1">
        <f>IFERROR(IF(INT(LEFT(TArticle[[#This Row],[شناسه]]))=1,IF(TArticle[[#This Row],[کد وضعیت سند]]=1,TArticle[مبلغ],0),0),0)</f>
        <v>0</v>
      </c>
      <c r="AH227" s="1">
        <f>IFERROR(IF(INT(LEFT(TArticle[[#This Row],[شناسه]]))=2,IF(TArticle[[#This Row],[کد وضعیت سند]]=1,TArticle[مبلغ],0),0),0)</f>
        <v>0</v>
      </c>
      <c r="AI227" s="1">
        <f>IFERROR(IF((LEFT(TArticle[[#This Row],[شناسه]],3))="5.2",IF(TArticle[[#This Row],[کد وضعیت سند]]=1,TArticle[مبلغ],0),0),0)</f>
        <v>0</v>
      </c>
      <c r="AJ227" s="1">
        <f>IF(TArticle[[#This Row],[کد وضعیت سند]]=1,1,0)</f>
        <v>1</v>
      </c>
      <c r="AK227" s="1">
        <f>IF(AND(TArticle[[#This Row],[کد وضعیت سند]]&lt;&gt;1,TArticle[[#This Row],[مبلغ]]&lt;&gt;0),1,0)</f>
        <v>0</v>
      </c>
      <c r="AL227" s="51">
        <f>IF(TArticle[[#This Row],[کد بانک]]&gt;0,TArticle[[#This Row],[مانده بانک]]-VLOOKUP(TArticle[[#This Row],[کد بانک]],TBank[],7,FALSE),"")</f>
        <v>20466</v>
      </c>
      <c r="AM227" s="49" t="str">
        <f>LEFT(TArticle[[#This Row],[تاریخ]],7)</f>
        <v>1401-11</v>
      </c>
    </row>
    <row r="228" spans="1:39" hidden="1" x14ac:dyDescent="0.25">
      <c r="A228" s="24" t="s">
        <v>1612</v>
      </c>
      <c r="B228" s="49" t="str">
        <f>VLOOKUP(TArticle[[#This Row],[شناسه]],TAccount[],2,TRUE)</f>
        <v>تجهیز آپارتمان</v>
      </c>
      <c r="C228" s="49" t="str">
        <f>VLOOKUP(TArticle[[#This Row],[تاریخ]],TDays[],7,FALSE)</f>
        <v>یکشنبه</v>
      </c>
      <c r="D228" s="21" t="s">
        <v>502</v>
      </c>
      <c r="E228" s="1">
        <v>-4000</v>
      </c>
      <c r="F228" s="1">
        <f>TArticle[[#This Row],[مبلغ]]+IFERROR(INT(F227),30181+3667+958)</f>
        <v>16696</v>
      </c>
      <c r="G228" t="s">
        <v>1669</v>
      </c>
      <c r="K228" s="21">
        <v>1</v>
      </c>
      <c r="L228" t="str">
        <f>IF(TArticle[[#This Row],[کد وضعیت سند]]&gt;0,VLOOKUP(TArticle[[#This Row],[کد وضعیت سند]],TDocState[],2,FALSE),"")</f>
        <v>انجام شد</v>
      </c>
      <c r="N228" t="str">
        <f>IF(TArticle[[#This Row],[کد طرف حساب]]&gt;0,VLOOKUP(TArticle[[#This Row],[کد طرف حساب]],TContact[],2,FALSE),"")</f>
        <v/>
      </c>
      <c r="O228" s="61" t="str">
        <f>IF(TArticle[[#This Row],[کد طرف حساب]]&gt;0,VLOOKUP(TArticle[[#This Row],[کد طرف حساب]],TContact[],7,FALSE)-SUMIF($M$2:M228,M228,$E$2:$E228),"")</f>
        <v/>
      </c>
      <c r="P228" s="27" t="str">
        <f>RIGHT(TArticle[[#This Row],[تاریخ]],2)</f>
        <v>02</v>
      </c>
      <c r="Q228" s="27">
        <f>VLOOKUP(TArticle[[#This Row],[تاریخ]],TDays[],16,FALSE)</f>
        <v>45</v>
      </c>
      <c r="R228" s="27" t="str">
        <f>RIGHT(LEFT(TArticle[[#This Row],[تاریخ]],7),2)</f>
        <v>11</v>
      </c>
      <c r="S228" s="27" t="str">
        <f>LEFT(TArticle[[#This Row],[تاریخ]],4)</f>
        <v>1401</v>
      </c>
      <c r="U228" s="21">
        <f>VLOOKUP(TArticle[[#This Row],[شناسه]],TAccount[],7,TRUE)</f>
        <v>97700</v>
      </c>
      <c r="W228" s="21">
        <f>IF(AND(TArticle[[#This Row],[مبلغ]]&gt;0, TArticle[[#This Row],[کد وضعیت سند]]=1),TArticle[[#This Row],[مبلغ]],0)</f>
        <v>0</v>
      </c>
      <c r="X228" s="27">
        <f>IF(AND(TArticle[[#This Row],[مبلغ]]&lt;0,TArticle[[#This Row],[کد وضعیت سند]]=1),0-TArticle[[#This Row],[مبلغ]],0)</f>
        <v>4000</v>
      </c>
      <c r="Y228" s="27">
        <v>2</v>
      </c>
      <c r="Z228" t="str">
        <f>IF(TArticle[[#This Row],[کد بانک]]&gt;0,VLOOKUP(TArticle[[#This Row],[کد بانک]],TBank[],2,FALSE),"")</f>
        <v>ملی جاری</v>
      </c>
      <c r="AA228">
        <f>IF(AND(TArticle[[#This Row],[مبلغ]]&lt;0,TArticle[[#This Row],[کد وضعیت سند]]=1),0-TArticle[[#This Row],[مبلغ]],0)</f>
        <v>4000</v>
      </c>
      <c r="AB228">
        <f>IF(AND(TArticle[[#This Row],[مبلغ]]&gt;0, TArticle[[#This Row],[کد وضعیت سند]]=1),TArticle[[#This Row],[مبلغ]],0)</f>
        <v>0</v>
      </c>
      <c r="AC228" s="84">
        <f>IF(TArticle[[#This Row],[کد بانک]]&gt;0,VLOOKUP(TArticle[[#This Row],[کد بانک]],TBank[],9,FALSE)+SUMIF($Y$2:Y228,Y228,$E$2:$E228),"")</f>
        <v>16466</v>
      </c>
      <c r="AD228" s="1">
        <f>IFERROR(IF(INT(LEFT(TArticle[[#This Row],[شناسه]]))=3,IF(TArticle[[#This Row],[کد وضعیت سند]]=1,TArticle[مبلغ],0),0),0)</f>
        <v>-4000</v>
      </c>
      <c r="AE228" s="1">
        <f>IFERROR(IF(((TArticle[[#This Row],[شناسه]]))="4.1.1",IF(TArticle[[#This Row],[کد وضعیت سند]]=1,TArticle[مبلغ],0),0),0)</f>
        <v>0</v>
      </c>
      <c r="AF228" s="1">
        <f>IFERROR(IF(((TArticle[[#This Row],[شناسه]]))="4.1.2",IF(TArticle[[#This Row],[کد وضعیت سند]]=1,TArticle[مبلغ],0),0),0)</f>
        <v>0</v>
      </c>
      <c r="AG228" s="1">
        <f>IFERROR(IF(INT(LEFT(TArticle[[#This Row],[شناسه]]))=1,IF(TArticle[[#This Row],[کد وضعیت سند]]=1,TArticle[مبلغ],0),0),0)</f>
        <v>0</v>
      </c>
      <c r="AH228" s="1">
        <f>IFERROR(IF(INT(LEFT(TArticle[[#This Row],[شناسه]]))=2,IF(TArticle[[#This Row],[کد وضعیت سند]]=1,TArticle[مبلغ],0),0),0)</f>
        <v>0</v>
      </c>
      <c r="AI228" s="1">
        <f>IFERROR(IF((LEFT(TArticle[[#This Row],[شناسه]],3))="5.2",IF(TArticle[[#This Row],[کد وضعیت سند]]=1,TArticle[مبلغ],0),0),0)</f>
        <v>0</v>
      </c>
      <c r="AJ228" s="1">
        <f>IF(TArticle[[#This Row],[کد وضعیت سند]]=1,1,0)</f>
        <v>1</v>
      </c>
      <c r="AK228" s="1">
        <f>IF(AND(TArticle[[#This Row],[کد وضعیت سند]]&lt;&gt;1,TArticle[[#This Row],[مبلغ]]&lt;&gt;0),1,0)</f>
        <v>0</v>
      </c>
      <c r="AL228" s="51">
        <f>IF(TArticle[[#This Row],[کد بانک]]&gt;0,TArticle[[#This Row],[مانده بانک]]-VLOOKUP(TArticle[[#This Row],[کد بانک]],TBank[],7,FALSE),"")</f>
        <v>16466</v>
      </c>
      <c r="AM228" s="49" t="str">
        <f>LEFT(TArticle[[#This Row],[تاریخ]],7)</f>
        <v>1401-11</v>
      </c>
    </row>
    <row r="229" spans="1:39" hidden="1" x14ac:dyDescent="0.25">
      <c r="A229" s="24" t="s">
        <v>1008</v>
      </c>
      <c r="B229" s="49" t="str">
        <f>VLOOKUP(TArticle[[#This Row],[شناسه]],TAccount[],2,TRUE)</f>
        <v>حواله پرداخت/برداشت</v>
      </c>
      <c r="C229" s="49" t="str">
        <f>VLOOKUP(TArticle[[#This Row],[تاریخ]],TDays[],7,FALSE)</f>
        <v>چهارشنبه</v>
      </c>
      <c r="D229" s="21" t="s">
        <v>505</v>
      </c>
      <c r="E229" s="1">
        <v>-4000</v>
      </c>
      <c r="F229" s="1">
        <f>TArticle[[#This Row],[مبلغ]]+IFERROR(INT(F228),30181+3667+958)</f>
        <v>12696</v>
      </c>
      <c r="K229" s="21">
        <v>1</v>
      </c>
      <c r="L229" t="str">
        <f>IF(TArticle[[#This Row],[کد وضعیت سند]]&gt;0,VLOOKUP(TArticle[[#This Row],[کد وضعیت سند]],TDocState[],2,FALSE),"")</f>
        <v>انجام شد</v>
      </c>
      <c r="N229" t="str">
        <f>IF(TArticle[[#This Row],[کد طرف حساب]]&gt;0,VLOOKUP(TArticle[[#This Row],[کد طرف حساب]],TContact[],2,FALSE),"")</f>
        <v/>
      </c>
      <c r="O229" s="51" t="str">
        <f>IF(TArticle[[#This Row],[کد طرف حساب]]&gt;0,VLOOKUP(TArticle[[#This Row],[کد طرف حساب]],TContact[],7,FALSE)-SUMIF($M$2:M229,M229,$E$2:$E229),"")</f>
        <v/>
      </c>
      <c r="P229" s="27" t="str">
        <f>RIGHT(TArticle[[#This Row],[تاریخ]],2)</f>
        <v>05</v>
      </c>
      <c r="Q229" s="27">
        <f>VLOOKUP(TArticle[[#This Row],[تاریخ]],TDays[],16,FALSE)</f>
        <v>46</v>
      </c>
      <c r="R229" s="27" t="str">
        <f>RIGHT(LEFT(TArticle[[#This Row],[تاریخ]],7),2)</f>
        <v>11</v>
      </c>
      <c r="S229" s="27" t="str">
        <f>LEFT(TArticle[[#This Row],[تاریخ]],4)</f>
        <v>1401</v>
      </c>
      <c r="U229" s="21">
        <f>VLOOKUP(TArticle[[#This Row],[شناسه]],TAccount[],7,TRUE)</f>
        <v>179525</v>
      </c>
      <c r="W229" s="21">
        <f>IF(AND(TArticle[[#This Row],[مبلغ]]&gt;0, TArticle[[#This Row],[کد وضعیت سند]]=1),TArticle[[#This Row],[مبلغ]],0)</f>
        <v>0</v>
      </c>
      <c r="X229" s="27">
        <f>IF(AND(TArticle[[#This Row],[مبلغ]]&lt;0,TArticle[[#This Row],[کد وضعیت سند]]=1),0-TArticle[[#This Row],[مبلغ]],0)</f>
        <v>4000</v>
      </c>
      <c r="Y229" s="27">
        <v>2</v>
      </c>
      <c r="Z229" t="str">
        <f>IF(TArticle[[#This Row],[کد بانک]]&gt;0,VLOOKUP(TArticle[[#This Row],[کد بانک]],TBank[],2,FALSE),"")</f>
        <v>ملی جاری</v>
      </c>
      <c r="AA229">
        <f>IF(AND(TArticle[[#This Row],[مبلغ]]&lt;0,TArticle[[#This Row],[کد وضعیت سند]]=1),0-TArticle[[#This Row],[مبلغ]],0)</f>
        <v>4000</v>
      </c>
      <c r="AB229">
        <f>IF(AND(TArticle[[#This Row],[مبلغ]]&gt;0, TArticle[[#This Row],[کد وضعیت سند]]=1),TArticle[[#This Row],[مبلغ]],0)</f>
        <v>0</v>
      </c>
      <c r="AC229" s="84">
        <f>IF(TArticle[[#This Row],[کد بانک]]&gt;0,VLOOKUP(TArticle[[#This Row],[کد بانک]],TBank[],9,FALSE)+SUMIF($Y$2:Y229,Y229,$E$2:$E229),"")</f>
        <v>12466</v>
      </c>
      <c r="AD229" s="1">
        <f>IFERROR(IF(INT(LEFT(TArticle[[#This Row],[شناسه]]))=3,IF(TArticle[[#This Row],[کد وضعیت سند]]=1,TArticle[مبلغ],0),0),0)</f>
        <v>0</v>
      </c>
      <c r="AE229" s="1">
        <f>IFERROR(IF(((TArticle[[#This Row],[شناسه]]))="4.1.1",IF(TArticle[[#This Row],[کد وضعیت سند]]=1,TArticle[مبلغ],0),0),0)</f>
        <v>0</v>
      </c>
      <c r="AF229" s="1">
        <f>IFERROR(IF(((TArticle[[#This Row],[شناسه]]))="4.1.2",IF(TArticle[[#This Row],[کد وضعیت سند]]=1,TArticle[مبلغ],0),0),0)</f>
        <v>0</v>
      </c>
      <c r="AG229" s="1">
        <f>IFERROR(IF(INT(LEFT(TArticle[[#This Row],[شناسه]]))=1,IF(TArticle[[#This Row],[کد وضعیت سند]]=1,TArticle[مبلغ],0),0),0)</f>
        <v>0</v>
      </c>
      <c r="AH229" s="1">
        <f>IFERROR(IF(INT(LEFT(TArticle[[#This Row],[شناسه]]))=2,IF(TArticle[[#This Row],[کد وضعیت سند]]=1,TArticle[مبلغ],0),0),0)</f>
        <v>0</v>
      </c>
      <c r="AI229" s="1">
        <f>IFERROR(IF((LEFT(TArticle[[#This Row],[شناسه]],3))="5.2",IF(TArticle[[#This Row],[کد وضعیت سند]]=1,TArticle[مبلغ],0),0),0)</f>
        <v>0</v>
      </c>
      <c r="AJ229" s="1">
        <f>IF(TArticle[[#This Row],[کد وضعیت سند]]=1,1,0)</f>
        <v>1</v>
      </c>
      <c r="AK229" s="1">
        <f>IF(AND(TArticle[[#This Row],[کد وضعیت سند]]&lt;&gt;1,TArticle[[#This Row],[مبلغ]]&lt;&gt;0),1,0)</f>
        <v>0</v>
      </c>
      <c r="AL229" s="51">
        <f>IF(TArticle[[#This Row],[کد بانک]]&gt;0,TArticle[[#This Row],[مانده بانک]]-VLOOKUP(TArticle[[#This Row],[کد بانک]],TBank[],7,FALSE),"")</f>
        <v>12466</v>
      </c>
      <c r="AM229" s="49" t="str">
        <f>LEFT(TArticle[[#This Row],[تاریخ]],7)</f>
        <v>1401-11</v>
      </c>
    </row>
    <row r="230" spans="1:39" hidden="1" x14ac:dyDescent="0.25">
      <c r="A230" s="24" t="s">
        <v>112</v>
      </c>
      <c r="B230" s="49" t="str">
        <f>VLOOKUP(TArticle[[#This Row],[شناسه]],TAccount[],2,TRUE)</f>
        <v>رسید دریافت/واریز</v>
      </c>
      <c r="C230" s="49" t="str">
        <f>VLOOKUP(TArticle[[#This Row],[تاریخ]],TDays[],7,FALSE)</f>
        <v>چهارشنبه</v>
      </c>
      <c r="D230" s="21" t="s">
        <v>505</v>
      </c>
      <c r="E230" s="1">
        <v>4000</v>
      </c>
      <c r="F230" s="1">
        <f>TArticle[[#This Row],[مبلغ]]+IFERROR(INT(F229),30181+3667+958)</f>
        <v>16696</v>
      </c>
      <c r="K230" s="21">
        <v>1</v>
      </c>
      <c r="L230" t="str">
        <f>IF(TArticle[[#This Row],[کد وضعیت سند]]&gt;0,VLOOKUP(TArticle[[#This Row],[کد وضعیت سند]],TDocState[],2,FALSE),"")</f>
        <v>انجام شد</v>
      </c>
      <c r="N230" t="str">
        <f>IF(TArticle[[#This Row],[کد طرف حساب]]&gt;0,VLOOKUP(TArticle[[#This Row],[کد طرف حساب]],TContact[],2,FALSE),"")</f>
        <v/>
      </c>
      <c r="O230" s="51" t="str">
        <f>IF(TArticle[[#This Row],[کد طرف حساب]]&gt;0,VLOOKUP(TArticle[[#This Row],[کد طرف حساب]],TContact[],7,FALSE)-SUMIF($M$2:M230,M230,$E$2:$E230),"")</f>
        <v/>
      </c>
      <c r="P230" s="27" t="str">
        <f>RIGHT(TArticle[[#This Row],[تاریخ]],2)</f>
        <v>05</v>
      </c>
      <c r="Q230" s="27">
        <f>VLOOKUP(TArticle[[#This Row],[تاریخ]],TDays[],16,FALSE)</f>
        <v>46</v>
      </c>
      <c r="R230" s="27" t="str">
        <f>RIGHT(LEFT(TArticle[[#This Row],[تاریخ]],7),2)</f>
        <v>11</v>
      </c>
      <c r="S230" s="27" t="str">
        <f>LEFT(TArticle[[#This Row],[تاریخ]],4)</f>
        <v>1401</v>
      </c>
      <c r="U230" s="21">
        <f>VLOOKUP(TArticle[[#This Row],[شناسه]],TAccount[],7,TRUE)</f>
        <v>257767</v>
      </c>
      <c r="W230" s="21">
        <f>IF(AND(TArticle[[#This Row],[مبلغ]]&gt;0, TArticle[[#This Row],[کد وضعیت سند]]=1),TArticle[[#This Row],[مبلغ]],0)</f>
        <v>4000</v>
      </c>
      <c r="X230" s="27">
        <f>IF(AND(TArticle[[#This Row],[مبلغ]]&lt;0,TArticle[[#This Row],[کد وضعیت سند]]=1),0-TArticle[[#This Row],[مبلغ]],0)</f>
        <v>0</v>
      </c>
      <c r="Y230" s="27">
        <v>4</v>
      </c>
      <c r="Z230" t="str">
        <f>IF(TArticle[[#This Row],[کد بانک]]&gt;0,VLOOKUP(TArticle[[#This Row],[کد بانک]],TBank[],2,FALSE),"")</f>
        <v>سپه</v>
      </c>
      <c r="AA230">
        <f>IF(AND(TArticle[[#This Row],[مبلغ]]&lt;0,TArticle[[#This Row],[کد وضعیت سند]]=1),0-TArticle[[#This Row],[مبلغ]],0)</f>
        <v>0</v>
      </c>
      <c r="AB230">
        <f>IF(AND(TArticle[[#This Row],[مبلغ]]&gt;0, TArticle[[#This Row],[کد وضعیت سند]]=1),TArticle[[#This Row],[مبلغ]],0)</f>
        <v>4000</v>
      </c>
      <c r="AC230" s="84">
        <f>IF(TArticle[[#This Row],[کد بانک]]&gt;0,VLOOKUP(TArticle[[#This Row],[کد بانک]],TBank[],9,FALSE)+SUMIF($Y$2:Y230,Y230,$E$2:$E230),"")</f>
        <v>4002</v>
      </c>
      <c r="AD230" s="1">
        <f>IFERROR(IF(INT(LEFT(TArticle[[#This Row],[شناسه]]))=3,IF(TArticle[[#This Row],[کد وضعیت سند]]=1,TArticle[مبلغ],0),0),0)</f>
        <v>0</v>
      </c>
      <c r="AE230" s="1">
        <f>IFERROR(IF(((TArticle[[#This Row],[شناسه]]))="4.1.1",IF(TArticle[[#This Row],[کد وضعیت سند]]=1,TArticle[مبلغ],0),0),0)</f>
        <v>0</v>
      </c>
      <c r="AF230" s="1">
        <f>IFERROR(IF(((TArticle[[#This Row],[شناسه]]))="4.1.2",IF(TArticle[[#This Row],[کد وضعیت سند]]=1,TArticle[مبلغ],0),0),0)</f>
        <v>0</v>
      </c>
      <c r="AG230" s="1">
        <f>IFERROR(IF(INT(LEFT(TArticle[[#This Row],[شناسه]]))=1,IF(TArticle[[#This Row],[کد وضعیت سند]]=1,TArticle[مبلغ],0),0),0)</f>
        <v>0</v>
      </c>
      <c r="AH230" s="1">
        <f>IFERROR(IF(INT(LEFT(TArticle[[#This Row],[شناسه]]))=2,IF(TArticle[[#This Row],[کد وضعیت سند]]=1,TArticle[مبلغ],0),0),0)</f>
        <v>0</v>
      </c>
      <c r="AI230" s="1">
        <f>IFERROR(IF((LEFT(TArticle[[#This Row],[شناسه]],3))="5.2",IF(TArticle[[#This Row],[کد وضعیت سند]]=1,TArticle[مبلغ],0),0),0)</f>
        <v>0</v>
      </c>
      <c r="AJ230" s="1">
        <f>IF(TArticle[[#This Row],[کد وضعیت سند]]=1,1,0)</f>
        <v>1</v>
      </c>
      <c r="AK230" s="1">
        <f>IF(AND(TArticle[[#This Row],[کد وضعیت سند]]&lt;&gt;1,TArticle[[#This Row],[مبلغ]]&lt;&gt;0),1,0)</f>
        <v>0</v>
      </c>
      <c r="AL230" s="51">
        <f>IF(TArticle[[#This Row],[کد بانک]]&gt;0,TArticle[[#This Row],[مانده بانک]]-VLOOKUP(TArticle[[#This Row],[کد بانک]],TBank[],7,FALSE),"")</f>
        <v>4000</v>
      </c>
      <c r="AM230" s="49" t="str">
        <f>LEFT(TArticle[[#This Row],[تاریخ]],7)</f>
        <v>1401-11</v>
      </c>
    </row>
    <row r="231" spans="1:39" hidden="1" x14ac:dyDescent="0.25">
      <c r="A231" s="24" t="s">
        <v>78</v>
      </c>
      <c r="B231" s="49" t="str">
        <f>VLOOKUP(TArticle[[#This Row],[شناسه]],TAccount[],2,TRUE)</f>
        <v>چک</v>
      </c>
      <c r="C231" s="49" t="str">
        <f>VLOOKUP(TArticle[[#This Row],[تاریخ]],TDays[],7,FALSE)</f>
        <v>چهارشنبه</v>
      </c>
      <c r="D231" s="21" t="s">
        <v>505</v>
      </c>
      <c r="E231" s="1">
        <v>-4000</v>
      </c>
      <c r="F231" s="1">
        <f>TArticle[[#This Row],[مبلغ]]+IFERROR(INT(F230),30181+3667+958)</f>
        <v>12696</v>
      </c>
      <c r="G231" t="s">
        <v>1674</v>
      </c>
      <c r="H231" s="21">
        <v>2</v>
      </c>
      <c r="K231" s="21">
        <v>1</v>
      </c>
      <c r="L231" t="str">
        <f>IF(TArticle[[#This Row],[کد وضعیت سند]]&gt;0,VLOOKUP(TArticle[[#This Row],[کد وضعیت سند]],TDocState[],2,FALSE),"")</f>
        <v>انجام شد</v>
      </c>
      <c r="N231" t="str">
        <f>IF(TArticle[[#This Row],[کد طرف حساب]]&gt;0,VLOOKUP(TArticle[[#This Row],[کد طرف حساب]],TContact[],2,FALSE),"")</f>
        <v/>
      </c>
      <c r="O231" s="61" t="str">
        <f>IF(TArticle[[#This Row],[کد طرف حساب]]&gt;0,VLOOKUP(TArticle[[#This Row],[کد طرف حساب]],TContact[],7,FALSE)-SUMIF($M$2:M231,M231,$E$2:$E231),"")</f>
        <v/>
      </c>
      <c r="P231" s="27" t="str">
        <f>RIGHT(TArticle[[#This Row],[تاریخ]],2)</f>
        <v>05</v>
      </c>
      <c r="Q231" s="27">
        <f>VLOOKUP(TArticle[[#This Row],[تاریخ]],TDays[],16,FALSE)</f>
        <v>46</v>
      </c>
      <c r="R231" s="27" t="str">
        <f>RIGHT(LEFT(TArticle[[#This Row],[تاریخ]],7),2)</f>
        <v>11</v>
      </c>
      <c r="S231" s="27" t="str">
        <f>LEFT(TArticle[[#This Row],[تاریخ]],4)</f>
        <v>1401</v>
      </c>
      <c r="U231" s="21">
        <f>VLOOKUP(TArticle[[#This Row],[شناسه]],TAccount[],7,TRUE)</f>
        <v>57000</v>
      </c>
      <c r="W231" s="21">
        <f>IF(AND(TArticle[[#This Row],[مبلغ]]&gt;0, TArticle[[#This Row],[کد وضعیت سند]]=1),TArticle[[#This Row],[مبلغ]],0)</f>
        <v>0</v>
      </c>
      <c r="X231" s="27">
        <f>IF(AND(TArticle[[#This Row],[مبلغ]]&lt;0,TArticle[[#This Row],[کد وضعیت سند]]=1),0-TArticle[[#This Row],[مبلغ]],0)</f>
        <v>4000</v>
      </c>
      <c r="Y231" s="27">
        <v>4</v>
      </c>
      <c r="Z231" t="str">
        <f>IF(TArticle[[#This Row],[کد بانک]]&gt;0,VLOOKUP(TArticle[[#This Row],[کد بانک]],TBank[],2,FALSE),"")</f>
        <v>سپه</v>
      </c>
      <c r="AA231">
        <f>IF(AND(TArticle[[#This Row],[مبلغ]]&lt;0,TArticle[[#This Row],[کد وضعیت سند]]=1),0-TArticle[[#This Row],[مبلغ]],0)</f>
        <v>4000</v>
      </c>
      <c r="AB231">
        <f>IF(AND(TArticle[[#This Row],[مبلغ]]&gt;0, TArticle[[#This Row],[کد وضعیت سند]]=1),TArticle[[#This Row],[مبلغ]],0)</f>
        <v>0</v>
      </c>
      <c r="AC231" s="84">
        <f>IF(TArticle[[#This Row],[کد بانک]]&gt;0,VLOOKUP(TArticle[[#This Row],[کد بانک]],TBank[],9,FALSE)+SUMIF($Y$2:Y231,Y231,$E$2:$E231),"")</f>
        <v>2</v>
      </c>
      <c r="AD231" s="1">
        <f>IFERROR(IF(INT(LEFT(TArticle[[#This Row],[شناسه]]))=3,IF(TArticle[[#This Row],[کد وضعیت سند]]=1,TArticle[مبلغ],0),0),0)</f>
        <v>0</v>
      </c>
      <c r="AE231" s="1">
        <f>IFERROR(IF(((TArticle[[#This Row],[شناسه]]))="4.1.1",IF(TArticle[[#This Row],[کد وضعیت سند]]=1,TArticle[مبلغ],0),0),0)</f>
        <v>0</v>
      </c>
      <c r="AF231" s="1">
        <f>IFERROR(IF(((TArticle[[#This Row],[شناسه]]))="4.1.2",IF(TArticle[[#This Row],[کد وضعیت سند]]=1,TArticle[مبلغ],0),0),0)</f>
        <v>0</v>
      </c>
      <c r="AG231" s="1">
        <f>IFERROR(IF(INT(LEFT(TArticle[[#This Row],[شناسه]]))=1,IF(TArticle[[#This Row],[کد وضعیت سند]]=1,TArticle[مبلغ],0),0),0)</f>
        <v>-4000</v>
      </c>
      <c r="AH231" s="1">
        <f>IFERROR(IF(INT(LEFT(TArticle[[#This Row],[شناسه]]))=2,IF(TArticle[[#This Row],[کد وضعیت سند]]=1,TArticle[مبلغ],0),0),0)</f>
        <v>0</v>
      </c>
      <c r="AI231" s="1">
        <f>IFERROR(IF((LEFT(TArticle[[#This Row],[شناسه]],3))="5.2",IF(TArticle[[#This Row],[کد وضعیت سند]]=1,TArticle[مبلغ],0),0),0)</f>
        <v>0</v>
      </c>
      <c r="AJ231" s="1">
        <f>IF(TArticle[[#This Row],[کد وضعیت سند]]=1,1,0)</f>
        <v>1</v>
      </c>
      <c r="AK231" s="1">
        <f>IF(AND(TArticle[[#This Row],[کد وضعیت سند]]&lt;&gt;1,TArticle[[#This Row],[مبلغ]]&lt;&gt;0),1,0)</f>
        <v>0</v>
      </c>
      <c r="AL231" s="51">
        <f>IF(TArticle[[#This Row],[کد بانک]]&gt;0,TArticle[[#This Row],[مانده بانک]]-VLOOKUP(TArticle[[#This Row],[کد بانک]],TBank[],7,FALSE),"")</f>
        <v>0</v>
      </c>
      <c r="AM231" s="49" t="str">
        <f>LEFT(TArticle[[#This Row],[تاریخ]],7)</f>
        <v>1401-11</v>
      </c>
    </row>
    <row r="232" spans="1:39" hidden="1" x14ac:dyDescent="0.25">
      <c r="A232" s="24" t="s">
        <v>41</v>
      </c>
      <c r="B232" s="49" t="str">
        <f>VLOOKUP(TArticle[[#This Row],[شناسه]],TAccount[],2,TRUE)</f>
        <v>قرعه هجده (43)</v>
      </c>
      <c r="C232" s="49" t="str">
        <f>VLOOKUP(TArticle[[#This Row],[تاریخ]],TDays[],7,FALSE)</f>
        <v>جمعه</v>
      </c>
      <c r="D232" s="21" t="s">
        <v>68</v>
      </c>
      <c r="E232" s="1">
        <v>-350</v>
      </c>
      <c r="F232" s="1">
        <f>TArticle[[#This Row],[مبلغ]]+IFERROR(INT(F231),30181+3667+958)</f>
        <v>12346</v>
      </c>
      <c r="H232" s="21">
        <v>46</v>
      </c>
      <c r="K232" s="21">
        <v>1</v>
      </c>
      <c r="L232" t="str">
        <f>IF(TArticle[[#This Row],[کد وضعیت سند]]&gt;0,VLOOKUP(TArticle[[#This Row],[کد وضعیت سند]],TDocState[],2,FALSE),"")</f>
        <v>انجام شد</v>
      </c>
      <c r="M232" s="27">
        <v>103</v>
      </c>
      <c r="N232" t="str">
        <f>IF(TArticle[[#This Row],[کد طرف حساب]]&gt;0,VLOOKUP(TArticle[[#This Row],[کد طرف حساب]],TContact[],2,FALSE),"")</f>
        <v>قرعه 18م (43)</v>
      </c>
      <c r="O232" s="51">
        <f>IF(TArticle[[#This Row],[کد طرف حساب]]&gt;0,VLOOKUP(TArticle[[#This Row],[کد طرف حساب]],TContact[],7,FALSE)-SUMIF($M$2:M232,M232,$E$2:$E232),"")</f>
        <v>-2450</v>
      </c>
      <c r="P232" s="27" t="str">
        <f>RIGHT(TArticle[[#This Row],[تاریخ]],2)</f>
        <v>14</v>
      </c>
      <c r="Q232" s="27">
        <f>VLOOKUP(TArticle[[#This Row],[تاریخ]],TDays[],16,FALSE)</f>
        <v>47</v>
      </c>
      <c r="R232" s="27" t="str">
        <f>RIGHT(LEFT(TArticle[[#This Row],[تاریخ]],7),2)</f>
        <v>11</v>
      </c>
      <c r="S232" s="27" t="str">
        <f>LEFT(TArticle[[#This Row],[تاریخ]],4)</f>
        <v>1401</v>
      </c>
      <c r="U232" s="21">
        <f>VLOOKUP(TArticle[[#This Row],[شناسه]],TAccount[],7,TRUE)</f>
        <v>4200</v>
      </c>
      <c r="V232" s="21" t="s">
        <v>68</v>
      </c>
      <c r="W232" s="21">
        <f>IF(AND(TArticle[[#This Row],[مبلغ]]&gt;0, TArticle[[#This Row],[کد وضعیت سند]]=1),TArticle[[#This Row],[مبلغ]],0)</f>
        <v>0</v>
      </c>
      <c r="X232" s="21">
        <f>IF(AND(TArticle[[#This Row],[مبلغ]]&lt;0,TArticle[[#This Row],[کد وضعیت سند]]=1),0-TArticle[[#This Row],[مبلغ]],0)</f>
        <v>350</v>
      </c>
      <c r="Y232" s="27">
        <v>2</v>
      </c>
      <c r="Z232" t="str">
        <f>IF(TArticle[[#This Row],[کد بانک]]&gt;0,VLOOKUP(TArticle[[#This Row],[کد بانک]],TBank[],2,FALSE),"")</f>
        <v>ملی جاری</v>
      </c>
      <c r="AA232">
        <f>IF(AND(TArticle[[#This Row],[مبلغ]]&lt;0,TArticle[[#This Row],[کد وضعیت سند]]=1),0-TArticle[[#This Row],[مبلغ]],0)</f>
        <v>350</v>
      </c>
      <c r="AB232">
        <f>IF(AND(TArticle[[#This Row],[مبلغ]]&gt;0, TArticle[[#This Row],[کد وضعیت سند]]=1),TArticle[[#This Row],[مبلغ]],0)</f>
        <v>0</v>
      </c>
      <c r="AC232" s="84">
        <f>IF(TArticle[[#This Row],[کد بانک]]&gt;0,VLOOKUP(TArticle[[#This Row],[کد بانک]],TBank[],9,FALSE)+SUMIF($Y$2:Y232,Y232,$E$2:$E232),"")</f>
        <v>12116</v>
      </c>
      <c r="AD232" s="1">
        <f>IFERROR(IF(INT(LEFT(TArticle[[#This Row],[شناسه]]))=3,IF(TArticle[[#This Row],[کد وضعیت سند]]=1,TArticle[مبلغ],0),0),0)</f>
        <v>0</v>
      </c>
      <c r="AE232" s="1">
        <f>IFERROR(IF(((TArticle[[#This Row],[شناسه]]))="4.1.1",IF(TArticle[[#This Row],[کد وضعیت سند]]=1,TArticle[مبلغ],0),0),0)</f>
        <v>0</v>
      </c>
      <c r="AF232" s="1">
        <f>IFERROR(IF(((TArticle[[#This Row],[شناسه]]))="4.1.2",IF(TArticle[[#This Row],[کد وضعیت سند]]=1,TArticle[مبلغ],0),0),0)</f>
        <v>0</v>
      </c>
      <c r="AG232" s="1">
        <f>IFERROR(IF(INT(LEFT(TArticle[[#This Row],[شناسه]]))=1,IF(TArticle[[#This Row],[کد وضعیت سند]]=1,TArticle[مبلغ],0),0),0)</f>
        <v>0</v>
      </c>
      <c r="AH232" s="1">
        <f>IFERROR(IF(INT(LEFT(TArticle[[#This Row],[شناسه]]))=2,IF(TArticle[[#This Row],[کد وضعیت سند]]=1,TArticle[مبلغ],0),0),0)</f>
        <v>-350</v>
      </c>
      <c r="AI232" s="1">
        <f>IFERROR(IF((LEFT(TArticle[[#This Row],[شناسه]],3))="5.2",IF(TArticle[[#This Row],[کد وضعیت سند]]=1,TArticle[مبلغ],0),0),0)</f>
        <v>0</v>
      </c>
      <c r="AJ232" s="1">
        <f>IF(TArticle[[#This Row],[کد وضعیت سند]]=1,1,0)</f>
        <v>1</v>
      </c>
      <c r="AK232" s="1">
        <f>IF(AND(TArticle[[#This Row],[کد وضعیت سند]]&lt;&gt;1,TArticle[[#This Row],[مبلغ]]&lt;&gt;0),1,0)</f>
        <v>0</v>
      </c>
      <c r="AL232" s="51">
        <f>IF(TArticle[[#This Row],[کد بانک]]&gt;0,TArticle[[#This Row],[مانده بانک]]-VLOOKUP(TArticle[[#This Row],[کد بانک]],TBank[],7,FALSE),"")</f>
        <v>12116</v>
      </c>
      <c r="AM232" s="58" t="str">
        <f>LEFT(TArticle[[#This Row],[تاریخ]],7)</f>
        <v>1401-11</v>
      </c>
    </row>
    <row r="233" spans="1:39" hidden="1" x14ac:dyDescent="0.25">
      <c r="A233" s="24" t="s">
        <v>1013</v>
      </c>
      <c r="B233" s="49" t="str">
        <f>VLOOKUP(TArticle[[#This Row],[شناسه]],TAccount[],2,TRUE)</f>
        <v>یارانه</v>
      </c>
      <c r="C233" s="49" t="str">
        <f>VLOOKUP(TArticle[[#This Row],[تاریخ]],TDays[],7,FALSE)</f>
        <v>پنجشنبه</v>
      </c>
      <c r="D233" s="21" t="s">
        <v>519</v>
      </c>
      <c r="E233" s="1">
        <v>1500</v>
      </c>
      <c r="F233" s="1">
        <f>TArticle[[#This Row],[مبلغ]]+IFERROR(INT(F232),30181+3667+958)</f>
        <v>13846</v>
      </c>
      <c r="K233" s="21">
        <v>1</v>
      </c>
      <c r="L233" t="str">
        <f>IF(TArticle[[#This Row],[کد وضعیت سند]]&gt;0,VLOOKUP(TArticle[[#This Row],[کد وضعیت سند]],TDocState[],2,FALSE),"")</f>
        <v>انجام شد</v>
      </c>
      <c r="N233" t="str">
        <f>IF(TArticle[[#This Row],[کد طرف حساب]]&gt;0,VLOOKUP(TArticle[[#This Row],[کد طرف حساب]],TContact[],2,FALSE),"")</f>
        <v/>
      </c>
      <c r="O233" s="61" t="str">
        <f>IF(TArticle[[#This Row],[کد طرف حساب]]&gt;0,VLOOKUP(TArticle[[#This Row],[کد طرف حساب]],TContact[],7,FALSE)-SUMIF($M$2:M233,M233,$E$2:$E233),"")</f>
        <v/>
      </c>
      <c r="P233" s="27" t="str">
        <f>RIGHT(TArticle[[#This Row],[تاریخ]],2)</f>
        <v>20</v>
      </c>
      <c r="Q233" s="27">
        <f>VLOOKUP(TArticle[[#This Row],[تاریخ]],TDays[],16,FALSE)</f>
        <v>48</v>
      </c>
      <c r="R233" s="27" t="str">
        <f>RIGHT(LEFT(TArticle[[#This Row],[تاریخ]],7),2)</f>
        <v>11</v>
      </c>
      <c r="S233" s="27" t="str">
        <f>LEFT(TArticle[[#This Row],[تاریخ]],4)</f>
        <v>1401</v>
      </c>
      <c r="U233" s="21">
        <f>VLOOKUP(TArticle[[#This Row],[شناسه]],TAccount[],7,TRUE)</f>
        <v>12565</v>
      </c>
      <c r="W233" s="21">
        <f>IF(AND(TArticle[[#This Row],[مبلغ]]&gt;0, TArticle[[#This Row],[کد وضعیت سند]]=1),TArticle[[#This Row],[مبلغ]],0)</f>
        <v>1500</v>
      </c>
      <c r="X233" s="27">
        <f>IF(AND(TArticle[[#This Row],[مبلغ]]&lt;0,TArticle[[#This Row],[کد وضعیت سند]]=1),0-TArticle[[#This Row],[مبلغ]],0)</f>
        <v>0</v>
      </c>
      <c r="Y233" s="27">
        <v>2</v>
      </c>
      <c r="Z233" t="str">
        <f>IF(TArticle[[#This Row],[کد بانک]]&gt;0,VLOOKUP(TArticle[[#This Row],[کد بانک]],TBank[],2,FALSE),"")</f>
        <v>ملی جاری</v>
      </c>
      <c r="AA233">
        <f>IF(AND(TArticle[[#This Row],[مبلغ]]&lt;0,TArticle[[#This Row],[کد وضعیت سند]]=1),0-TArticle[[#This Row],[مبلغ]],0)</f>
        <v>0</v>
      </c>
      <c r="AB233">
        <f>IF(AND(TArticle[[#This Row],[مبلغ]]&gt;0, TArticle[[#This Row],[کد وضعیت سند]]=1),TArticle[[#This Row],[مبلغ]],0)</f>
        <v>1500</v>
      </c>
      <c r="AC233" s="84">
        <f>IF(TArticle[[#This Row],[کد بانک]]&gt;0,VLOOKUP(TArticle[[#This Row],[کد بانک]],TBank[],9,FALSE)+SUMIF($Y$2:Y233,Y233,$E$2:$E233),"")</f>
        <v>13616</v>
      </c>
      <c r="AD233" s="1">
        <f>IFERROR(IF(INT(LEFT(TArticle[[#This Row],[شناسه]]))=3,IF(TArticle[[#This Row],[کد وضعیت سند]]=1,TArticle[مبلغ],0),0),0)</f>
        <v>0</v>
      </c>
      <c r="AE233" s="1">
        <f>IFERROR(IF(((TArticle[[#This Row],[شناسه]]))="4.1.1",IF(TArticle[[#This Row],[کد وضعیت سند]]=1,TArticle[مبلغ],0),0),0)</f>
        <v>0</v>
      </c>
      <c r="AF233" s="1">
        <f>IFERROR(IF(((TArticle[[#This Row],[شناسه]]))="4.1.2",IF(TArticle[[#This Row],[کد وضعیت سند]]=1,TArticle[مبلغ],0),0),0)</f>
        <v>0</v>
      </c>
      <c r="AG233" s="1">
        <f>IFERROR(IF(INT(LEFT(TArticle[[#This Row],[شناسه]]))=1,IF(TArticle[[#This Row],[کد وضعیت سند]]=1,TArticle[مبلغ],0),0),0)</f>
        <v>0</v>
      </c>
      <c r="AH233" s="1">
        <f>IFERROR(IF(INT(LEFT(TArticle[[#This Row],[شناسه]]))=2,IF(TArticle[[#This Row],[کد وضعیت سند]]=1,TArticle[مبلغ],0),0),0)</f>
        <v>0</v>
      </c>
      <c r="AI233" s="1">
        <f>IFERROR(IF((LEFT(TArticle[[#This Row],[شناسه]],3))="5.2",IF(TArticle[[#This Row],[کد وضعیت سند]]=1,TArticle[مبلغ],0),0),0)</f>
        <v>0</v>
      </c>
      <c r="AJ233" s="1">
        <f>IF(TArticle[[#This Row],[کد وضعیت سند]]=1,1,0)</f>
        <v>1</v>
      </c>
      <c r="AK233" s="1">
        <f>IF(AND(TArticle[[#This Row],[کد وضعیت سند]]&lt;&gt;1,TArticle[[#This Row],[مبلغ]]&lt;&gt;0),1,0)</f>
        <v>0</v>
      </c>
      <c r="AL233" s="51">
        <f>IF(TArticle[[#This Row],[کد بانک]]&gt;0,TArticle[[#This Row],[مانده بانک]]-VLOOKUP(TArticle[[#This Row],[کد بانک]],TBank[],7,FALSE),"")</f>
        <v>13616</v>
      </c>
      <c r="AM233" s="49" t="str">
        <f>LEFT(TArticle[[#This Row],[تاریخ]],7)</f>
        <v>1401-11</v>
      </c>
    </row>
    <row r="234" spans="1:39" hidden="1" x14ac:dyDescent="0.25">
      <c r="A234" s="24" t="s">
        <v>55</v>
      </c>
      <c r="B234" s="49" t="str">
        <f>VLOOKUP(TArticle[[#This Row],[شناسه]],TAccount[],2,TRUE)</f>
        <v>هزینه کلی</v>
      </c>
      <c r="C234" s="49" t="str">
        <f>VLOOKUP(TArticle[[#This Row],[تاریخ]],TDays[],7,FALSE)</f>
        <v>شنبه</v>
      </c>
      <c r="D234" s="28" t="s">
        <v>528</v>
      </c>
      <c r="E234" s="1">
        <f>-13538-32+78-58</f>
        <v>-13550</v>
      </c>
      <c r="F234" s="1">
        <f>TArticle[[#This Row],[مبلغ]]+IFERROR(INT(F233),30181+3667+958)</f>
        <v>296</v>
      </c>
      <c r="G234" t="s">
        <v>1677</v>
      </c>
      <c r="H234" s="64"/>
      <c r="J234" s="51"/>
      <c r="K234" s="49">
        <v>1</v>
      </c>
      <c r="L234" t="str">
        <f>IF(TArticle[[#This Row],[کد وضعیت سند]]&gt;0,VLOOKUP(TArticle[[#This Row],[کد وضعیت سند]],TDocState[],2,FALSE),"")</f>
        <v>انجام شد</v>
      </c>
      <c r="M234" s="67"/>
      <c r="N234" t="str">
        <f>IF(TArticle[[#This Row],[کد طرف حساب]]&gt;0,VLOOKUP(TArticle[[#This Row],[کد طرف حساب]],TContact[],2,FALSE),"")</f>
        <v/>
      </c>
      <c r="O234" s="60" t="str">
        <f>IF(TArticle[[#This Row],[کد طرف حساب]]&gt;0,VLOOKUP(TArticle[[#This Row],[کد طرف حساب]],TContact[],7,FALSE)-SUMIF($M$2:M234,M234,$E$2:$E234),"")</f>
        <v/>
      </c>
      <c r="P234" s="27" t="str">
        <f>RIGHT(TArticle[[#This Row],[تاریخ]],2)</f>
        <v>29</v>
      </c>
      <c r="Q234" s="27">
        <f>VLOOKUP(TArticle[[#This Row],[تاریخ]],TDays[],16,FALSE)</f>
        <v>49</v>
      </c>
      <c r="R234" s="27" t="str">
        <f>RIGHT(LEFT(TArticle[[#This Row],[تاریخ]],7),2)</f>
        <v>11</v>
      </c>
      <c r="S234" s="27" t="str">
        <f>LEFT(TArticle[[#This Row],[تاریخ]],4)</f>
        <v>1401</v>
      </c>
      <c r="U234" s="21">
        <f>VLOOKUP(TArticle[[#This Row],[شناسه]],TAccount[],7,TRUE)</f>
        <v>364074</v>
      </c>
      <c r="W234" s="21">
        <f>IF(AND(TArticle[[#This Row],[مبلغ]]&gt;0, TArticle[[#This Row],[کد وضعیت سند]]=1),TArticle[[#This Row],[مبلغ]],0)</f>
        <v>0</v>
      </c>
      <c r="X234" s="27">
        <f>IF(AND(TArticle[[#This Row],[مبلغ]]&lt;0,TArticle[[#This Row],[کد وضعیت سند]]=1),0-TArticle[[#This Row],[مبلغ]],0)</f>
        <v>13550</v>
      </c>
      <c r="Y234" s="27">
        <v>2</v>
      </c>
      <c r="Z234" t="str">
        <f>IF(TArticle[[#This Row],[کد بانک]]&gt;0,VLOOKUP(TArticle[[#This Row],[کد بانک]],TBank[],2,FALSE),"")</f>
        <v>ملی جاری</v>
      </c>
      <c r="AA234">
        <f>IF(AND(TArticle[[#This Row],[مبلغ]]&lt;0,TArticle[[#This Row],[کد وضعیت سند]]=1),0-TArticle[[#This Row],[مبلغ]],0)</f>
        <v>13550</v>
      </c>
      <c r="AB234">
        <f>IF(AND(TArticle[[#This Row],[مبلغ]]&gt;0, TArticle[[#This Row],[کد وضعیت سند]]=1),TArticle[[#This Row],[مبلغ]],0)</f>
        <v>0</v>
      </c>
      <c r="AC234" s="92">
        <f>IF(TArticle[[#This Row],[کد بانک]]&gt;0,VLOOKUP(TArticle[[#This Row],[کد بانک]],TBank[],9,FALSE)+SUMIF($Y$2:Y234,Y234,$E$2:$E234),"")</f>
        <v>66</v>
      </c>
      <c r="AD234" s="1">
        <f>IFERROR(IF(INT(LEFT(TArticle[[#This Row],[شناسه]]))=3,IF(TArticle[[#This Row],[کد وضعیت سند]]=1,TArticle[مبلغ],0),0),0)</f>
        <v>-13550</v>
      </c>
      <c r="AE234" s="1">
        <f>IFERROR(IF(((TArticle[[#This Row],[شناسه]]))="4.1.1",IF(TArticle[[#This Row],[کد وضعیت سند]]=1,TArticle[مبلغ],0),0),0)</f>
        <v>0</v>
      </c>
      <c r="AF234" s="1">
        <f>IFERROR(IF(((TArticle[[#This Row],[شناسه]]))="4.1.2",IF(TArticle[[#This Row],[کد وضعیت سند]]=1,TArticle[مبلغ],0),0),0)</f>
        <v>0</v>
      </c>
      <c r="AG234" s="1">
        <f>IFERROR(IF(INT(LEFT(TArticle[[#This Row],[شناسه]]))=1,IF(TArticle[[#This Row],[کد وضعیت سند]]=1,TArticle[مبلغ],0),0),0)</f>
        <v>0</v>
      </c>
      <c r="AH234" s="1">
        <f>IFERROR(IF(INT(LEFT(TArticle[[#This Row],[شناسه]]))=2,IF(TArticle[[#This Row],[کد وضعیت سند]]=1,TArticle[مبلغ],0),0),0)</f>
        <v>0</v>
      </c>
      <c r="AI234" s="1">
        <f>IFERROR(IF((LEFT(TArticle[[#This Row],[شناسه]],3))="5.2",IF(TArticle[[#This Row],[کد وضعیت سند]]=1,TArticle[مبلغ],0),0),0)</f>
        <v>0</v>
      </c>
      <c r="AJ234" s="1">
        <f>IF(TArticle[[#This Row],[کد وضعیت سند]]=1,1,0)</f>
        <v>1</v>
      </c>
      <c r="AK234" s="1">
        <f>IF(AND(TArticle[[#This Row],[کد وضعیت سند]]&lt;&gt;1,TArticle[[#This Row],[مبلغ]]&lt;&gt;0),1,0)</f>
        <v>0</v>
      </c>
      <c r="AL234" s="51">
        <f>IF(TArticle[[#This Row],[کد بانک]]&gt;0,TArticle[[#This Row],[مانده بانک]]-VLOOKUP(TArticle[[#This Row],[کد بانک]],TBank[],7,FALSE),"")</f>
        <v>66</v>
      </c>
      <c r="AM234" s="58" t="str">
        <f>LEFT(TArticle[[#This Row],[تاریخ]],7)</f>
        <v>1401-11</v>
      </c>
    </row>
    <row r="235" spans="1:39" hidden="1" x14ac:dyDescent="0.25">
      <c r="A235" s="77" t="s">
        <v>1014</v>
      </c>
      <c r="B235" s="49" t="str">
        <f>VLOOKUP(TArticle[[#This Row],[شناسه]],TAccount[],2,TRUE)</f>
        <v>دریافت سود بانکی</v>
      </c>
      <c r="C235" s="49" t="str">
        <f>VLOOKUP(TArticle[[#This Row],[تاریخ]],TDays[],7,FALSE)</f>
        <v>یکشنبه</v>
      </c>
      <c r="D235" s="28" t="s">
        <v>529</v>
      </c>
      <c r="E235" s="1">
        <v>612</v>
      </c>
      <c r="F235" s="1">
        <f>TArticle[[#This Row],[مبلغ]]+IFERROR(INT(F234),30181+3667+958)</f>
        <v>908</v>
      </c>
      <c r="H235" s="64"/>
      <c r="J235" s="65"/>
      <c r="K235" s="64">
        <v>1</v>
      </c>
      <c r="L235" s="66" t="str">
        <f>IF(TArticle[[#This Row],[کد وضعیت سند]]&gt;0,VLOOKUP(TArticle[[#This Row],[کد وضعیت سند]],TDocState[],2,FALSE),"")</f>
        <v>انجام شد</v>
      </c>
      <c r="M235" s="67"/>
      <c r="N235" t="str">
        <f>IF(TArticle[[#This Row],[کد طرف حساب]]&gt;0,VLOOKUP(TArticle[[#This Row],[کد طرف حساب]],TContact[],2,FALSE),"")</f>
        <v/>
      </c>
      <c r="O235" s="68" t="str">
        <f>IF(TArticle[[#This Row],[کد طرف حساب]]&gt;0,VLOOKUP(TArticle[[#This Row],[کد طرف حساب]],TContact[],7,FALSE)-SUMIF($M$2:M235,M235,$E$2:$E235),"")</f>
        <v/>
      </c>
      <c r="P235" s="67" t="str">
        <f>RIGHT(TArticle[[#This Row],[تاریخ]],2)</f>
        <v>30</v>
      </c>
      <c r="Q235" s="67">
        <f>VLOOKUP(TArticle[[#This Row],[تاریخ]],TDays[],16,FALSE)</f>
        <v>49</v>
      </c>
      <c r="R235" s="67" t="str">
        <f>RIGHT(LEFT(TArticle[[#This Row],[تاریخ]],7),2)</f>
        <v>11</v>
      </c>
      <c r="S235" s="67" t="str">
        <f>LEFT(TArticle[[#This Row],[تاریخ]],4)</f>
        <v>1401</v>
      </c>
      <c r="T235" s="64"/>
      <c r="U235" s="64">
        <f>VLOOKUP(TArticle[[#This Row],[شناسه]],TAccount[],7,TRUE)</f>
        <v>612</v>
      </c>
      <c r="V235" s="28"/>
      <c r="W235" s="64">
        <f>IF(AND(TArticle[[#This Row],[مبلغ]]&gt;0, TArticle[[#This Row],[کد وضعیت سند]]=1),TArticle[[#This Row],[مبلغ]],0)</f>
        <v>612</v>
      </c>
      <c r="X235" s="67">
        <f>IF(AND(TArticle[[#This Row],[مبلغ]]&lt;0,TArticle[[#This Row],[کد وضعیت سند]]=1),0-TArticle[[#This Row],[مبلغ]],0)</f>
        <v>0</v>
      </c>
      <c r="Y235" s="27">
        <v>12</v>
      </c>
      <c r="Z235" t="str">
        <f>IF(TArticle[[#This Row],[کد بانک]]&gt;0,VLOOKUP(TArticle[[#This Row],[کد بانک]],TBank[],2,FALSE),"")</f>
        <v>ملی سپرده</v>
      </c>
      <c r="AA235">
        <f>IF(AND(TArticle[[#This Row],[مبلغ]]&lt;0,TArticle[[#This Row],[کد وضعیت سند]]=1),0-TArticle[[#This Row],[مبلغ]],0)</f>
        <v>0</v>
      </c>
      <c r="AB235">
        <f>IF(AND(TArticle[[#This Row],[مبلغ]]&gt;0, TArticle[[#This Row],[کد وضعیت سند]]=1),TArticle[[#This Row],[مبلغ]],0)</f>
        <v>612</v>
      </c>
      <c r="AC235" s="93">
        <f>IF(TArticle[[#This Row],[کد بانک]]&gt;0,VLOOKUP(TArticle[[#This Row],[کد بانک]],TBank[],9,FALSE)+SUMIF($Y$2:Y235,Y235,$E$2:$E235),"")</f>
        <v>612</v>
      </c>
      <c r="AD235" s="1">
        <f>IFERROR(IF(INT(LEFT(TArticle[[#This Row],[شناسه]]))=3,IF(TArticle[[#This Row],[کد وضعیت سند]]=1,TArticle[مبلغ],0),0),0)</f>
        <v>0</v>
      </c>
      <c r="AE235" s="1">
        <f>IFERROR(IF(((TArticle[[#This Row],[شناسه]]))="4.1.1",IF(TArticle[[#This Row],[کد وضعیت سند]]=1,TArticle[مبلغ],0),0),0)</f>
        <v>0</v>
      </c>
      <c r="AF235" s="1">
        <f>IFERROR(IF(((TArticle[[#This Row],[شناسه]]))="4.1.2",IF(TArticle[[#This Row],[کد وضعیت سند]]=1,TArticle[مبلغ],0),0),0)</f>
        <v>0</v>
      </c>
      <c r="AG235" s="1">
        <f>IFERROR(IF(INT(LEFT(TArticle[[#This Row],[شناسه]]))=1,IF(TArticle[[#This Row],[کد وضعیت سند]]=1,TArticle[مبلغ],0),0),0)</f>
        <v>0</v>
      </c>
      <c r="AH235" s="1">
        <f>IFERROR(IF(INT(LEFT(TArticle[[#This Row],[شناسه]]))=2,IF(TArticle[[#This Row],[کد وضعیت سند]]=1,TArticle[مبلغ],0),0),0)</f>
        <v>0</v>
      </c>
      <c r="AI235" s="1">
        <f>IFERROR(IF((LEFT(TArticle[[#This Row],[شناسه]],3))="5.2",IF(TArticle[[#This Row],[کد وضعیت سند]]=1,TArticle[مبلغ],0),0),0)</f>
        <v>0</v>
      </c>
      <c r="AJ235" s="1">
        <f>IF(TArticle[[#This Row],[کد وضعیت سند]]=1,1,0)</f>
        <v>1</v>
      </c>
      <c r="AK235" s="1">
        <f>IF(AND(TArticle[[#This Row],[کد وضعیت سند]]&lt;&gt;1,TArticle[[#This Row],[مبلغ]]&lt;&gt;0),1,0)</f>
        <v>0</v>
      </c>
      <c r="AL235" s="78">
        <f>IF(TArticle[[#This Row],[کد بانک]]&gt;0,TArticle[[#This Row],[مانده بانک]]-VLOOKUP(TArticle[[#This Row],[کد بانک]],TBank[],7,FALSE),"")</f>
        <v>612</v>
      </c>
      <c r="AM235" s="58" t="str">
        <f>LEFT(TArticle[[#This Row],[تاریخ]],7)</f>
        <v>1401-11</v>
      </c>
    </row>
    <row r="236" spans="1:39" hidden="1" x14ac:dyDescent="0.25">
      <c r="A236" s="24" t="s">
        <v>1210</v>
      </c>
      <c r="B236" s="49" t="str">
        <f>VLOOKUP(TArticle[[#This Row],[شناسه]],TAccount[],2,TRUE)</f>
        <v>حقوق مناسبت</v>
      </c>
      <c r="C236" s="49" t="str">
        <f>VLOOKUP(TArticle[[#This Row],[تاریخ]],TDays[],7,FALSE)</f>
        <v>چهارشنبه</v>
      </c>
      <c r="D236" s="21" t="s">
        <v>525</v>
      </c>
      <c r="E236" s="1">
        <v>800</v>
      </c>
      <c r="F236" s="1">
        <f>TArticle[[#This Row],[مبلغ]]+IFERROR(INT(F235),30181+3667+958)</f>
        <v>1708</v>
      </c>
      <c r="G236" s="49" t="s">
        <v>2827</v>
      </c>
      <c r="H236" s="64"/>
      <c r="J236" s="65"/>
      <c r="K236" s="64">
        <v>1</v>
      </c>
      <c r="L236" s="66" t="str">
        <f>IF(TArticle[[#This Row],[کد وضعیت سند]]&gt;0,VLOOKUP(TArticle[[#This Row],[کد وضعیت سند]],TDocState[],2,FALSE),"")</f>
        <v>انجام شد</v>
      </c>
      <c r="M236" s="67"/>
      <c r="N236" t="str">
        <f>IF(TArticle[[#This Row],[کد طرف حساب]]&gt;0,VLOOKUP(TArticle[[#This Row],[کد طرف حساب]],TContact[],2,FALSE),"")</f>
        <v/>
      </c>
      <c r="O236" s="68" t="str">
        <f>IF(TArticle[[#This Row],[کد طرف حساب]]&gt;0,VLOOKUP(TArticle[[#This Row],[کد طرف حساب]],TContact[],7,FALSE)-SUMIF($M$2:M236,M236,$E$2:$E236),"")</f>
        <v/>
      </c>
      <c r="P236" s="67" t="str">
        <f>RIGHT(TArticle[[#This Row],[تاریخ]],2)</f>
        <v>26</v>
      </c>
      <c r="Q236" s="67">
        <f>VLOOKUP(TArticle[[#This Row],[تاریخ]],TDays[],16,FALSE)</f>
        <v>49</v>
      </c>
      <c r="R236" s="67" t="str">
        <f>RIGHT(LEFT(TArticle[[#This Row],[تاریخ]],7),2)</f>
        <v>11</v>
      </c>
      <c r="S236" s="67" t="str">
        <f>LEFT(TArticle[[#This Row],[تاریخ]],4)</f>
        <v>1401</v>
      </c>
      <c r="T236" s="64"/>
      <c r="U236" s="64">
        <f>VLOOKUP(TArticle[[#This Row],[شناسه]],TAccount[],7,TRUE)</f>
        <v>18339</v>
      </c>
      <c r="V236" s="64"/>
      <c r="W236" s="64">
        <f>IF(AND(TArticle[[#This Row],[مبلغ]]&gt;0, TArticle[[#This Row],[کد وضعیت سند]]=1),TArticle[[#This Row],[مبلغ]],0)</f>
        <v>800</v>
      </c>
      <c r="X236" s="67">
        <f>IF(AND(TArticle[[#This Row],[مبلغ]]&lt;0,TArticle[[#This Row],[کد وضعیت سند]]=1),0-TArticle[[#This Row],[مبلغ]],0)</f>
        <v>0</v>
      </c>
      <c r="Y236" s="27">
        <v>30</v>
      </c>
      <c r="Z236" t="str">
        <f>IF(TArticle[[#This Row],[کد بانک]]&gt;0,VLOOKUP(TArticle[[#This Row],[کد بانک]],TBank[],2,FALSE),"")</f>
        <v>بن کارت</v>
      </c>
      <c r="AA236">
        <f>IF(AND(TArticle[[#This Row],[مبلغ]]&lt;0,TArticle[[#This Row],[کد وضعیت سند]]=1),0-TArticle[[#This Row],[مبلغ]],0)</f>
        <v>0</v>
      </c>
      <c r="AB236">
        <f>IF(AND(TArticle[[#This Row],[مبلغ]]&gt;0, TArticle[[#This Row],[کد وضعیت سند]]=1),TArticle[[#This Row],[مبلغ]],0)</f>
        <v>800</v>
      </c>
      <c r="AC236" s="93">
        <f>IF(TArticle[[#This Row],[کد بانک]]&gt;0,VLOOKUP(TArticle[[#This Row],[کد بانک]],TBank[],9,FALSE)+SUMIF($Y$2:Y236,Y236,$E$2:$E236),"")</f>
        <v>800</v>
      </c>
      <c r="AD236" s="1">
        <f>IFERROR(IF(INT(LEFT(TArticle[[#This Row],[شناسه]]))=3,IF(TArticle[[#This Row],[کد وضعیت سند]]=1,TArticle[مبلغ],0),0),0)</f>
        <v>0</v>
      </c>
      <c r="AE236" s="1">
        <f>IFERROR(IF(((TArticle[[#This Row],[شناسه]]))="4.1.1",IF(TArticle[[#This Row],[کد وضعیت سند]]=1,TArticle[مبلغ],0),0),0)</f>
        <v>0</v>
      </c>
      <c r="AF236" s="1">
        <f>IFERROR(IF(((TArticle[[#This Row],[شناسه]]))="4.1.2",IF(TArticle[[#This Row],[کد وضعیت سند]]=1,TArticle[مبلغ],0),0),0)</f>
        <v>0</v>
      </c>
      <c r="AG236" s="1">
        <f>IFERROR(IF(INT(LEFT(TArticle[[#This Row],[شناسه]]))=1,IF(TArticle[[#This Row],[کد وضعیت سند]]=1,TArticle[مبلغ],0),0),0)</f>
        <v>0</v>
      </c>
      <c r="AH236" s="1">
        <f>IFERROR(IF(INT(LEFT(TArticle[[#This Row],[شناسه]]))=2,IF(TArticle[[#This Row],[کد وضعیت سند]]=1,TArticle[مبلغ],0),0),0)</f>
        <v>0</v>
      </c>
      <c r="AI236" s="1">
        <f>IFERROR(IF((LEFT(TArticle[[#This Row],[شناسه]],3))="5.2",IF(TArticle[[#This Row],[کد وضعیت سند]]=1,TArticle[مبلغ],0),0),0)</f>
        <v>0</v>
      </c>
      <c r="AJ236" s="1">
        <f>IF(TArticle[[#This Row],[کد وضعیت سند]]=1,1,0)</f>
        <v>1</v>
      </c>
      <c r="AK236" s="1">
        <f>IF(AND(TArticle[[#This Row],[کد وضعیت سند]]&lt;&gt;1,TArticle[[#This Row],[مبلغ]]&lt;&gt;0),1,0)</f>
        <v>0</v>
      </c>
      <c r="AL236" s="78">
        <f>IF(TArticle[[#This Row],[کد بانک]]&gt;0,TArticle[[#This Row],[مانده بانک]]-VLOOKUP(TArticle[[#This Row],[کد بانک]],TBank[],7,FALSE),"")</f>
        <v>800</v>
      </c>
      <c r="AM236" s="69" t="str">
        <f>LEFT(TArticle[[#This Row],[تاریخ]],7)</f>
        <v>1401-11</v>
      </c>
    </row>
    <row r="237" spans="1:39" hidden="1" x14ac:dyDescent="0.25">
      <c r="A237" s="24" t="s">
        <v>43</v>
      </c>
      <c r="B237" s="49" t="str">
        <f>VLOOKUP(TArticle[[#This Row],[شناسه]],TAccount[],2,TRUE)</f>
        <v>حقوق</v>
      </c>
      <c r="C237" s="49" t="str">
        <f>VLOOKUP(TArticle[[#This Row],[تاریخ]],TDays[],7,FALSE)</f>
        <v>دوشنبه</v>
      </c>
      <c r="D237" s="21" t="s">
        <v>530</v>
      </c>
      <c r="E237" s="1">
        <v>30263</v>
      </c>
      <c r="F237" s="1">
        <f>TArticle[[#This Row],[مبلغ]]+IFERROR(INT(F236),30181+3667+958)</f>
        <v>31971</v>
      </c>
      <c r="G237" s="49"/>
      <c r="H237" s="64"/>
      <c r="J237" s="65"/>
      <c r="K237" s="64">
        <v>1</v>
      </c>
      <c r="L237" s="171" t="str">
        <f>IF(TArticle[[#This Row],[کد وضعیت سند]]&gt;0,VLOOKUP(TArticle[[#This Row],[کد وضعیت سند]],TDocState[],2,FALSE),"")</f>
        <v>انجام شد</v>
      </c>
      <c r="M237" s="67"/>
      <c r="N237" s="171" t="str">
        <f>IF(TArticle[[#This Row],[کد طرف حساب]]&gt;0,VLOOKUP(TArticle[[#This Row],[کد طرف حساب]],TContact[],2,FALSE),"")</f>
        <v/>
      </c>
      <c r="O237" s="68" t="str">
        <f>IF(TArticle[[#This Row],[کد طرف حساب]]&gt;0,VLOOKUP(TArticle[[#This Row],[کد طرف حساب]],TContact[],7,FALSE)-SUMIF($M$2:M237,M237,$E$2:$E237),"")</f>
        <v/>
      </c>
      <c r="P237" s="67" t="str">
        <f>RIGHT(TArticle[[#This Row],[تاریخ]],2)</f>
        <v>01</v>
      </c>
      <c r="Q237" s="67">
        <f>VLOOKUP(TArticle[[#This Row],[تاریخ]],TDays[],16,FALSE)</f>
        <v>50</v>
      </c>
      <c r="R237" s="67" t="str">
        <f>RIGHT(LEFT(TArticle[[#This Row],[تاریخ]],7),2)</f>
        <v>12</v>
      </c>
      <c r="S237" s="67" t="str">
        <f>LEFT(TArticle[[#This Row],[تاریخ]],4)</f>
        <v>1401</v>
      </c>
      <c r="T237" s="64"/>
      <c r="U237" s="64">
        <f>VLOOKUP(TArticle[[#This Row],[شناسه]],TAccount[],7,TRUE)</f>
        <v>416023</v>
      </c>
      <c r="V237" s="64"/>
      <c r="W237" s="64">
        <f>IF(AND(TArticle[[#This Row],[مبلغ]]&gt;0, TArticle[[#This Row],[کد وضعیت سند]]=1),TArticle[[#This Row],[مبلغ]],0)</f>
        <v>30263</v>
      </c>
      <c r="X237" s="67">
        <f>IF(AND(TArticle[[#This Row],[مبلغ]]&lt;0,TArticle[[#This Row],[کد وضعیت سند]]=1),0-TArticle[[#This Row],[مبلغ]],0)</f>
        <v>0</v>
      </c>
      <c r="Y237" s="67">
        <v>2</v>
      </c>
      <c r="Z237" s="171" t="str">
        <f>IF(TArticle[[#This Row],[کد بانک]]&gt;0,VLOOKUP(TArticle[[#This Row],[کد بانک]],TBank[],2,FALSE),"")</f>
        <v>ملی جاری</v>
      </c>
      <c r="AA237">
        <f>IF(AND(TArticle[[#This Row],[مبلغ]]&lt;0,TArticle[[#This Row],[کد وضعیت سند]]=1),0-TArticle[[#This Row],[مبلغ]],0)</f>
        <v>0</v>
      </c>
      <c r="AB237">
        <f>IF(AND(TArticle[[#This Row],[مبلغ]]&gt;0, TArticle[[#This Row],[کد وضعیت سند]]=1),TArticle[[#This Row],[مبلغ]],0)</f>
        <v>30263</v>
      </c>
      <c r="AC237" s="93">
        <f>IF(TArticle[[#This Row],[کد بانک]]&gt;0,VLOOKUP(TArticle[[#This Row],[کد بانک]],TBank[],9,FALSE)+SUMIF($Y$2:Y237,Y237,$E$2:$E237),"")</f>
        <v>30329</v>
      </c>
      <c r="AD237" s="1">
        <f>IFERROR(IF(INT(LEFT(TArticle[[#This Row],[شناسه]]))=3,IF(TArticle[[#This Row],[کد وضعیت سند]]=1,TArticle[مبلغ],0),0),0)</f>
        <v>0</v>
      </c>
      <c r="AE237" s="1">
        <f>IFERROR(IF(((TArticle[[#This Row],[شناسه]]))="4.1.1",IF(TArticle[[#This Row],[کد وضعیت سند]]=1,TArticle[مبلغ],0),0),0)</f>
        <v>30263</v>
      </c>
      <c r="AF237" s="1">
        <f>IFERROR(IF(((TArticle[[#This Row],[شناسه]]))="4.1.2",IF(TArticle[[#This Row],[کد وضعیت سند]]=1,TArticle[مبلغ],0),0),0)</f>
        <v>0</v>
      </c>
      <c r="AG237" s="1">
        <f>IFERROR(IF(INT(LEFT(TArticle[[#This Row],[شناسه]]))=1,IF(TArticle[[#This Row],[کد وضعیت سند]]=1,TArticle[مبلغ],0),0),0)</f>
        <v>0</v>
      </c>
      <c r="AH237" s="1">
        <f>IFERROR(IF(INT(LEFT(TArticle[[#This Row],[شناسه]]))=2,IF(TArticle[[#This Row],[کد وضعیت سند]]=1,TArticle[مبلغ],0),0),0)</f>
        <v>0</v>
      </c>
      <c r="AI237" s="1">
        <f>IFERROR(IF((LEFT(TArticle[[#This Row],[شناسه]],3))="5.2",IF(TArticle[[#This Row],[کد وضعیت سند]]=1,TArticle[مبلغ],0),0),0)</f>
        <v>0</v>
      </c>
      <c r="AJ237" s="1">
        <f>IF(TArticle[[#This Row],[کد وضعیت سند]]=1,1,0)</f>
        <v>1</v>
      </c>
      <c r="AK237" s="1">
        <f>IF(AND(TArticle[[#This Row],[کد وضعیت سند]]&lt;&gt;1,TArticle[[#This Row],[مبلغ]]&lt;&gt;0),1,0)</f>
        <v>0</v>
      </c>
      <c r="AL237" s="78">
        <f>IF(TArticle[[#This Row],[کد بانک]]&gt;0,TArticle[[#This Row],[مانده بانک]]-VLOOKUP(TArticle[[#This Row],[کد بانک]],TBank[],7,FALSE),"")</f>
        <v>30329</v>
      </c>
      <c r="AM237" s="58" t="str">
        <f>LEFT(TArticle[[#This Row],[تاریخ]],7)</f>
        <v>1401-12</v>
      </c>
    </row>
    <row r="238" spans="1:39" hidden="1" x14ac:dyDescent="0.25">
      <c r="A238" s="24" t="s">
        <v>55</v>
      </c>
      <c r="B238" s="49" t="str">
        <f>VLOOKUP(TArticle[[#This Row],[شناسه]],TAccount[],2,TRUE)</f>
        <v>هزینه کلی</v>
      </c>
      <c r="C238" s="49" t="str">
        <f>VLOOKUP(TArticle[[#This Row],[تاریخ]],TDays[],7,FALSE)</f>
        <v>دوشنبه</v>
      </c>
      <c r="D238" s="21" t="s">
        <v>530</v>
      </c>
      <c r="E238" s="1">
        <f>856-1338</f>
        <v>-482</v>
      </c>
      <c r="F238" s="1">
        <f>TArticle[[#This Row],[مبلغ]]+IFERROR(INT(F237),30181+3667+958)</f>
        <v>31489</v>
      </c>
      <c r="G238" s="49"/>
      <c r="H238" s="64"/>
      <c r="J238" s="65"/>
      <c r="K238" s="64">
        <v>1</v>
      </c>
      <c r="L238" s="171" t="str">
        <f>IF(TArticle[[#This Row],[کد وضعیت سند]]&gt;0,VLOOKUP(TArticle[[#This Row],[کد وضعیت سند]],TDocState[],2,FALSE),"")</f>
        <v>انجام شد</v>
      </c>
      <c r="M238" s="67"/>
      <c r="N238" s="171" t="str">
        <f>IF(TArticle[[#This Row],[کد طرف حساب]]&gt;0,VLOOKUP(TArticle[[#This Row],[کد طرف حساب]],TContact[],2,FALSE),"")</f>
        <v/>
      </c>
      <c r="O238" s="68" t="str">
        <f>IF(TArticle[[#This Row],[کد طرف حساب]]&gt;0,VLOOKUP(TArticle[[#This Row],[کد طرف حساب]],TContact[],7,FALSE)-SUMIF($M$2:M238,M238,$E$2:$E238),"")</f>
        <v/>
      </c>
      <c r="P238" s="67" t="str">
        <f>RIGHT(TArticle[[#This Row],[تاریخ]],2)</f>
        <v>01</v>
      </c>
      <c r="Q238" s="67">
        <f>VLOOKUP(TArticle[[#This Row],[تاریخ]],TDays[],16,FALSE)</f>
        <v>50</v>
      </c>
      <c r="R238" s="67" t="str">
        <f>RIGHT(LEFT(TArticle[[#This Row],[تاریخ]],7),2)</f>
        <v>12</v>
      </c>
      <c r="S238" s="67" t="str">
        <f>LEFT(TArticle[[#This Row],[تاریخ]],4)</f>
        <v>1401</v>
      </c>
      <c r="T238" s="64"/>
      <c r="U238" s="64">
        <f>VLOOKUP(TArticle[[#This Row],[شناسه]],TAccount[],7,TRUE)</f>
        <v>364074</v>
      </c>
      <c r="V238" s="64"/>
      <c r="W238" s="64">
        <f>IF(AND(TArticle[[#This Row],[مبلغ]]&gt;0, TArticle[[#This Row],[کد وضعیت سند]]=1),TArticle[[#This Row],[مبلغ]],0)</f>
        <v>0</v>
      </c>
      <c r="X238" s="67">
        <f>IF(AND(TArticle[[#This Row],[مبلغ]]&lt;0,TArticle[[#This Row],[کد وضعیت سند]]=1),0-TArticle[[#This Row],[مبلغ]],0)</f>
        <v>482</v>
      </c>
      <c r="Y238" s="27">
        <v>30</v>
      </c>
      <c r="Z238" s="171" t="str">
        <f>IF(TArticle[[#This Row],[کد بانک]]&gt;0,VLOOKUP(TArticle[[#This Row],[کد بانک]],TBank[],2,FALSE),"")</f>
        <v>بن کارت</v>
      </c>
      <c r="AA238">
        <f>IF(AND(TArticle[[#This Row],[مبلغ]]&lt;0,TArticle[[#This Row],[کد وضعیت سند]]=1),0-TArticle[[#This Row],[مبلغ]],0)</f>
        <v>482</v>
      </c>
      <c r="AB238">
        <f>IF(AND(TArticle[[#This Row],[مبلغ]]&gt;0, TArticle[[#This Row],[کد وضعیت سند]]=1),TArticle[[#This Row],[مبلغ]],0)</f>
        <v>0</v>
      </c>
      <c r="AC238" s="93">
        <f>IF(TArticle[[#This Row],[کد بانک]]&gt;0,VLOOKUP(TArticle[[#This Row],[کد بانک]],TBank[],9,FALSE)+SUMIF($Y$2:Y238,Y238,$E$2:$E238),"")</f>
        <v>318</v>
      </c>
      <c r="AD238" s="1">
        <f>IFERROR(IF(INT(LEFT(TArticle[[#This Row],[شناسه]]))=3,IF(TArticle[[#This Row],[کد وضعیت سند]]=1,TArticle[مبلغ],0),0),0)</f>
        <v>-482</v>
      </c>
      <c r="AE238" s="1">
        <f>IFERROR(IF(((TArticle[[#This Row],[شناسه]]))="4.1.1",IF(TArticle[[#This Row],[کد وضعیت سند]]=1,TArticle[مبلغ],0),0),0)</f>
        <v>0</v>
      </c>
      <c r="AF238" s="1">
        <f>IFERROR(IF(((TArticle[[#This Row],[شناسه]]))="4.1.2",IF(TArticle[[#This Row],[کد وضعیت سند]]=1,TArticle[مبلغ],0),0),0)</f>
        <v>0</v>
      </c>
      <c r="AG238" s="1">
        <f>IFERROR(IF(INT(LEFT(TArticle[[#This Row],[شناسه]]))=1,IF(TArticle[[#This Row],[کد وضعیت سند]]=1,TArticle[مبلغ],0),0),0)</f>
        <v>0</v>
      </c>
      <c r="AH238" s="1">
        <f>IFERROR(IF(INT(LEFT(TArticle[[#This Row],[شناسه]]))=2,IF(TArticle[[#This Row],[کد وضعیت سند]]=1,TArticle[مبلغ],0),0),0)</f>
        <v>0</v>
      </c>
      <c r="AI238" s="1">
        <f>IFERROR(IF((LEFT(TArticle[[#This Row],[شناسه]],3))="5.2",IF(TArticle[[#This Row],[کد وضعیت سند]]=1,TArticle[مبلغ],0),0),0)</f>
        <v>0</v>
      </c>
      <c r="AJ238" s="1">
        <f>IF(TArticle[[#This Row],[کد وضعیت سند]]=1,1,0)</f>
        <v>1</v>
      </c>
      <c r="AK238" s="1">
        <f>IF(AND(TArticle[[#This Row],[کد وضعیت سند]]&lt;&gt;1,TArticle[[#This Row],[مبلغ]]&lt;&gt;0),1,0)</f>
        <v>0</v>
      </c>
      <c r="AL238" s="78">
        <f>IF(TArticle[[#This Row],[کد بانک]]&gt;0,TArticle[[#This Row],[مانده بانک]]-VLOOKUP(TArticle[[#This Row],[کد بانک]],TBank[],7,FALSE),"")</f>
        <v>318</v>
      </c>
      <c r="AM238" s="69" t="str">
        <f>LEFT(TArticle[[#This Row],[تاریخ]],7)</f>
        <v>1401-12</v>
      </c>
    </row>
    <row r="239" spans="1:39" hidden="1" x14ac:dyDescent="0.25">
      <c r="A239" s="24" t="s">
        <v>1110</v>
      </c>
      <c r="B239" s="49" t="str">
        <f>VLOOKUP(TArticle[[#This Row],[شناسه]],TAccount[],2,TRUE)</f>
        <v>قسط وام بانکی</v>
      </c>
      <c r="C239" s="49" t="str">
        <f>VLOOKUP(TArticle[[#This Row],[تاریخ]],TDays[],7,FALSE)</f>
        <v>سه شنبه</v>
      </c>
      <c r="D239" s="21" t="s">
        <v>531</v>
      </c>
      <c r="E239" s="1">
        <v>-1808</v>
      </c>
      <c r="F239" s="1">
        <f>TArticle[[#This Row],[مبلغ]]+IFERROR(INT(F238),30181+3667+958)</f>
        <v>29681</v>
      </c>
      <c r="G239" s="49" t="s">
        <v>1597</v>
      </c>
      <c r="H239" s="64">
        <v>16</v>
      </c>
      <c r="J239" s="65"/>
      <c r="K239" s="21">
        <v>1</v>
      </c>
      <c r="L239" s="171" t="str">
        <f>IF(TArticle[[#This Row],[کد وضعیت سند]]&gt;0,VLOOKUP(TArticle[[#This Row],[کد وضعیت سند]],TDocState[],2,FALSE),"")</f>
        <v>انجام شد</v>
      </c>
      <c r="M239" s="67">
        <v>112</v>
      </c>
      <c r="N239" s="171" t="str">
        <f>IF(TArticle[[#This Row],[کد طرف حساب]]&gt;0,VLOOKUP(TArticle[[#This Row],[کد طرف حساب]],TContact[],2,FALSE),"")</f>
        <v>وام ملی</v>
      </c>
      <c r="O239" s="68">
        <f>IF(TArticle[[#This Row],[کد طرف حساب]]&gt;0,VLOOKUP(TArticle[[#This Row],[کد طرف حساب]],TContact[],7,FALSE)-SUMIF($M$2:M239,M239,$E$2:$E239),"")</f>
        <v>-33728</v>
      </c>
      <c r="P239" s="67" t="str">
        <f>RIGHT(TArticle[[#This Row],[تاریخ]],2)</f>
        <v>02</v>
      </c>
      <c r="Q239" s="67">
        <f>VLOOKUP(TArticle[[#This Row],[تاریخ]],TDays[],16,FALSE)</f>
        <v>50</v>
      </c>
      <c r="R239" s="67" t="str">
        <f>RIGHT(LEFT(TArticle[[#This Row],[تاریخ]],7),2)</f>
        <v>12</v>
      </c>
      <c r="S239" s="67" t="str">
        <f>LEFT(TArticle[[#This Row],[تاریخ]],4)</f>
        <v>1401</v>
      </c>
      <c r="T239" s="64"/>
      <c r="U239" s="64">
        <f>VLOOKUP(TArticle[[#This Row],[شناسه]],TAccount[],7,TRUE)</f>
        <v>81652</v>
      </c>
      <c r="V239" s="21" t="s">
        <v>527</v>
      </c>
      <c r="W239" s="64">
        <f>IF(AND(TArticle[[#This Row],[مبلغ]]&gt;0, TArticle[[#This Row],[کد وضعیت سند]]=1),TArticle[[#This Row],[مبلغ]],0)</f>
        <v>0</v>
      </c>
      <c r="X239" s="67">
        <f>IF(AND(TArticle[[#This Row],[مبلغ]]&lt;0,TArticle[[#This Row],[کد وضعیت سند]]=1),0-TArticle[[#This Row],[مبلغ]],0)</f>
        <v>1808</v>
      </c>
      <c r="Y239" s="67">
        <v>2</v>
      </c>
      <c r="Z239" s="171" t="str">
        <f>IF(TArticle[[#This Row],[کد بانک]]&gt;0,VLOOKUP(TArticle[[#This Row],[کد بانک]],TBank[],2,FALSE),"")</f>
        <v>ملی جاری</v>
      </c>
      <c r="AA239">
        <f>IF(AND(TArticle[[#This Row],[مبلغ]]&lt;0,TArticle[[#This Row],[کد وضعیت سند]]=1),0-TArticle[[#This Row],[مبلغ]],0)</f>
        <v>1808</v>
      </c>
      <c r="AB239">
        <f>IF(AND(TArticle[[#This Row],[مبلغ]]&gt;0, TArticle[[#This Row],[کد وضعیت سند]]=1),TArticle[[#This Row],[مبلغ]],0)</f>
        <v>0</v>
      </c>
      <c r="AC239" s="93">
        <f>IF(TArticle[[#This Row],[کد بانک]]&gt;0,VLOOKUP(TArticle[[#This Row],[کد بانک]],TBank[],9,FALSE)+SUMIF($Y$2:Y239,Y239,$E$2:$E239),"")</f>
        <v>28521</v>
      </c>
      <c r="AD239" s="1">
        <f>IFERROR(IF(INT(LEFT(TArticle[[#This Row],[شناسه]]))=3,IF(TArticle[[#This Row],[کد وضعیت سند]]=1,TArticle[مبلغ],0),0),0)</f>
        <v>0</v>
      </c>
      <c r="AE239" s="1">
        <f>IFERROR(IF(((TArticle[[#This Row],[شناسه]]))="4.1.1",IF(TArticle[[#This Row],[کد وضعیت سند]]=1,TArticle[مبلغ],0),0),0)</f>
        <v>0</v>
      </c>
      <c r="AF239" s="1">
        <f>IFERROR(IF(((TArticle[[#This Row],[شناسه]]))="4.1.2",IF(TArticle[[#This Row],[کد وضعیت سند]]=1,TArticle[مبلغ],0),0),0)</f>
        <v>0</v>
      </c>
      <c r="AG239" s="1">
        <f>IFERROR(IF(INT(LEFT(TArticle[[#This Row],[شناسه]]))=1,IF(TArticle[[#This Row],[کد وضعیت سند]]=1,TArticle[مبلغ],0),0),0)</f>
        <v>-1808</v>
      </c>
      <c r="AH239" s="1">
        <f>IFERROR(IF(INT(LEFT(TArticle[[#This Row],[شناسه]]))=2,IF(TArticle[[#This Row],[کد وضعیت سند]]=1,TArticle[مبلغ],0),0),0)</f>
        <v>0</v>
      </c>
      <c r="AI239" s="1">
        <f>IFERROR(IF((LEFT(TArticle[[#This Row],[شناسه]],3))="5.2",IF(TArticle[[#This Row],[کد وضعیت سند]]=1,TArticle[مبلغ],0),0),0)</f>
        <v>0</v>
      </c>
      <c r="AJ239" s="1">
        <f>IF(TArticle[[#This Row],[کد وضعیت سند]]=1,1,0)</f>
        <v>1</v>
      </c>
      <c r="AK239" s="1">
        <f>IF(AND(TArticle[[#This Row],[کد وضعیت سند]]&lt;&gt;1,TArticle[[#This Row],[مبلغ]]&lt;&gt;0),1,0)</f>
        <v>0</v>
      </c>
      <c r="AL239" s="78">
        <f>IF(TArticle[[#This Row],[کد بانک]]&gt;0,TArticle[[#This Row],[مانده بانک]]-VLOOKUP(TArticle[[#This Row],[کد بانک]],TBank[],7,FALSE),"")</f>
        <v>28521</v>
      </c>
      <c r="AM239" s="58" t="str">
        <f>LEFT(TArticle[[#This Row],[تاریخ]],7)</f>
        <v>1401-12</v>
      </c>
    </row>
    <row r="240" spans="1:39" hidden="1" x14ac:dyDescent="0.25">
      <c r="A240" s="24" t="s">
        <v>1008</v>
      </c>
      <c r="B240" s="49" t="str">
        <f>VLOOKUP(TArticle[[#This Row],[شناسه]],TAccount[],2,TRUE)</f>
        <v>حواله پرداخت/برداشت</v>
      </c>
      <c r="C240" s="49" t="str">
        <f>VLOOKUP(TArticle[[#This Row],[تاریخ]],TDays[],7,FALSE)</f>
        <v>سه شنبه</v>
      </c>
      <c r="D240" s="21" t="s">
        <v>531</v>
      </c>
      <c r="E240" s="1">
        <v>-4000</v>
      </c>
      <c r="F240" s="1">
        <f>TArticle[[#This Row],[مبلغ]]+IFERROR(INT(F239),30181+3667+958)</f>
        <v>25681</v>
      </c>
      <c r="G240" s="49"/>
      <c r="H240" s="64"/>
      <c r="J240" s="65"/>
      <c r="K240" s="64">
        <v>1</v>
      </c>
      <c r="L240" s="171" t="str">
        <f>IF(TArticle[[#This Row],[کد وضعیت سند]]&gt;0,VLOOKUP(TArticle[[#This Row],[کد وضعیت سند]],TDocState[],2,FALSE),"")</f>
        <v>انجام شد</v>
      </c>
      <c r="M240" s="67"/>
      <c r="N240" s="171" t="str">
        <f>IF(TArticle[[#This Row],[کد طرف حساب]]&gt;0,VLOOKUP(TArticle[[#This Row],[کد طرف حساب]],TContact[],2,FALSE),"")</f>
        <v/>
      </c>
      <c r="O240" s="68" t="str">
        <f>IF(TArticle[[#This Row],[کد طرف حساب]]&gt;0,VLOOKUP(TArticle[[#This Row],[کد طرف حساب]],TContact[],7,FALSE)-SUMIF($M$2:M240,M240,$E$2:$E240),"")</f>
        <v/>
      </c>
      <c r="P240" s="67" t="str">
        <f>RIGHT(TArticle[[#This Row],[تاریخ]],2)</f>
        <v>02</v>
      </c>
      <c r="Q240" s="67">
        <f>VLOOKUP(TArticle[[#This Row],[تاریخ]],TDays[],16,FALSE)</f>
        <v>50</v>
      </c>
      <c r="R240" s="67" t="str">
        <f>RIGHT(LEFT(TArticle[[#This Row],[تاریخ]],7),2)</f>
        <v>12</v>
      </c>
      <c r="S240" s="67" t="str">
        <f>LEFT(TArticle[[#This Row],[تاریخ]],4)</f>
        <v>1401</v>
      </c>
      <c r="T240" s="64"/>
      <c r="U240" s="64">
        <f>VLOOKUP(TArticle[[#This Row],[شناسه]],TAccount[],7,TRUE)</f>
        <v>179525</v>
      </c>
      <c r="V240" s="64"/>
      <c r="W240" s="64">
        <f>IF(AND(TArticle[[#This Row],[مبلغ]]&gt;0, TArticle[[#This Row],[کد وضعیت سند]]=1),TArticle[[#This Row],[مبلغ]],0)</f>
        <v>0</v>
      </c>
      <c r="X240" s="67">
        <f>IF(AND(TArticle[[#This Row],[مبلغ]]&lt;0,TArticle[[#This Row],[کد وضعیت سند]]=1),0-TArticle[[#This Row],[مبلغ]],0)</f>
        <v>4000</v>
      </c>
      <c r="Y240" s="27">
        <v>2</v>
      </c>
      <c r="Z240" s="171" t="str">
        <f>IF(TArticle[[#This Row],[کد بانک]]&gt;0,VLOOKUP(TArticle[[#This Row],[کد بانک]],TBank[],2,FALSE),"")</f>
        <v>ملی جاری</v>
      </c>
      <c r="AA240">
        <f>IF(AND(TArticle[[#This Row],[مبلغ]]&lt;0,TArticle[[#This Row],[کد وضعیت سند]]=1),0-TArticle[[#This Row],[مبلغ]],0)</f>
        <v>4000</v>
      </c>
      <c r="AB240">
        <f>IF(AND(TArticle[[#This Row],[مبلغ]]&gt;0, TArticle[[#This Row],[کد وضعیت سند]]=1),TArticle[[#This Row],[مبلغ]],0)</f>
        <v>0</v>
      </c>
      <c r="AC240" s="93">
        <f>IF(TArticle[[#This Row],[کد بانک]]&gt;0,VLOOKUP(TArticle[[#This Row],[کد بانک]],TBank[],9,FALSE)+SUMIF($Y$2:Y240,Y240,$E$2:$E240),"")</f>
        <v>24521</v>
      </c>
      <c r="AD240" s="1">
        <f>IFERROR(IF(INT(LEFT(TArticle[[#This Row],[شناسه]]))=3,IF(TArticle[[#This Row],[کد وضعیت سند]]=1,TArticle[مبلغ],0),0),0)</f>
        <v>0</v>
      </c>
      <c r="AE240" s="1">
        <f>IFERROR(IF(((TArticle[[#This Row],[شناسه]]))="4.1.1",IF(TArticle[[#This Row],[کد وضعیت سند]]=1,TArticle[مبلغ],0),0),0)</f>
        <v>0</v>
      </c>
      <c r="AF240" s="1">
        <f>IFERROR(IF(((TArticle[[#This Row],[شناسه]]))="4.1.2",IF(TArticle[[#This Row],[کد وضعیت سند]]=1,TArticle[مبلغ],0),0),0)</f>
        <v>0</v>
      </c>
      <c r="AG240" s="1">
        <f>IFERROR(IF(INT(LEFT(TArticle[[#This Row],[شناسه]]))=1,IF(TArticle[[#This Row],[کد وضعیت سند]]=1,TArticle[مبلغ],0),0),0)</f>
        <v>0</v>
      </c>
      <c r="AH240" s="1">
        <f>IFERROR(IF(INT(LEFT(TArticle[[#This Row],[شناسه]]))=2,IF(TArticle[[#This Row],[کد وضعیت سند]]=1,TArticle[مبلغ],0),0),0)</f>
        <v>0</v>
      </c>
      <c r="AI240" s="1">
        <f>IFERROR(IF((LEFT(TArticle[[#This Row],[شناسه]],3))="5.2",IF(TArticle[[#This Row],[کد وضعیت سند]]=1,TArticle[مبلغ],0),0),0)</f>
        <v>0</v>
      </c>
      <c r="AJ240" s="1">
        <f>IF(TArticle[[#This Row],[کد وضعیت سند]]=1,1,0)</f>
        <v>1</v>
      </c>
      <c r="AK240" s="1">
        <f>IF(AND(TArticle[[#This Row],[کد وضعیت سند]]&lt;&gt;1,TArticle[[#This Row],[مبلغ]]&lt;&gt;0),1,0)</f>
        <v>0</v>
      </c>
      <c r="AL240" s="78">
        <f>IF(TArticle[[#This Row],[کد بانک]]&gt;0,TArticle[[#This Row],[مانده بانک]]-VLOOKUP(TArticle[[#This Row],[کد بانک]],TBank[],7,FALSE),"")</f>
        <v>24521</v>
      </c>
      <c r="AM240" s="69" t="str">
        <f>LEFT(TArticle[[#This Row],[تاریخ]],7)</f>
        <v>1401-12</v>
      </c>
    </row>
    <row r="241" spans="1:39" hidden="1" x14ac:dyDescent="0.25">
      <c r="A241" s="24" t="s">
        <v>112</v>
      </c>
      <c r="B241" s="49" t="str">
        <f>VLOOKUP(TArticle[[#This Row],[شناسه]],TAccount[],2,TRUE)</f>
        <v>رسید دریافت/واریز</v>
      </c>
      <c r="C241" s="49" t="str">
        <f>VLOOKUP(TArticle[[#This Row],[تاریخ]],TDays[],7,FALSE)</f>
        <v>سه شنبه</v>
      </c>
      <c r="D241" s="21" t="s">
        <v>531</v>
      </c>
      <c r="E241" s="1">
        <v>4000</v>
      </c>
      <c r="F241" s="1">
        <f>TArticle[[#This Row],[مبلغ]]+IFERROR(INT(F240),30181+3667+958)</f>
        <v>29681</v>
      </c>
      <c r="G241" s="166"/>
      <c r="J241" s="51"/>
      <c r="K241" s="49">
        <v>1</v>
      </c>
      <c r="L241" s="171" t="str">
        <f>IF(TArticle[[#This Row],[کد وضعیت سند]]&gt;0,VLOOKUP(TArticle[[#This Row],[کد وضعیت سند]],TDocState[],2,FALSE),"")</f>
        <v>انجام شد</v>
      </c>
      <c r="N241" s="171" t="str">
        <f>IF(TArticle[[#This Row],[کد طرف حساب]]&gt;0,VLOOKUP(TArticle[[#This Row],[کد طرف حساب]],TContact[],2,FALSE),"")</f>
        <v/>
      </c>
      <c r="O241" s="60" t="str">
        <f>IF(TArticle[[#This Row],[کد طرف حساب]]&gt;0,VLOOKUP(TArticle[[#This Row],[کد طرف حساب]],TContact[],7,FALSE)-SUMIF($M$2:M241,M241,$E$2:$E241),"")</f>
        <v/>
      </c>
      <c r="P241" s="27" t="str">
        <f>RIGHT(TArticle[[#This Row],[تاریخ]],2)</f>
        <v>02</v>
      </c>
      <c r="Q241" s="27">
        <f>VLOOKUP(TArticle[[#This Row],[تاریخ]],TDays[],16,FALSE)</f>
        <v>50</v>
      </c>
      <c r="R241" s="27" t="str">
        <f>RIGHT(LEFT(TArticle[[#This Row],[تاریخ]],7),2)</f>
        <v>12</v>
      </c>
      <c r="S241" s="27" t="str">
        <f>LEFT(TArticle[[#This Row],[تاریخ]],4)</f>
        <v>1401</v>
      </c>
      <c r="U241" s="21">
        <f>VLOOKUP(TArticle[[#This Row],[شناسه]],TAccount[],7,TRUE)</f>
        <v>257767</v>
      </c>
      <c r="W241" s="21">
        <f>IF(AND(TArticle[[#This Row],[مبلغ]]&gt;0, TArticle[[#This Row],[کد وضعیت سند]]=1),TArticle[[#This Row],[مبلغ]],0)</f>
        <v>4000</v>
      </c>
      <c r="X241" s="27">
        <f>IF(AND(TArticle[[#This Row],[مبلغ]]&lt;0,TArticle[[#This Row],[کد وضعیت سند]]=1),0-TArticle[[#This Row],[مبلغ]],0)</f>
        <v>0</v>
      </c>
      <c r="Y241" s="27">
        <v>4</v>
      </c>
      <c r="Z241" s="171" t="str">
        <f>IF(TArticle[[#This Row],[کد بانک]]&gt;0,VLOOKUP(TArticle[[#This Row],[کد بانک]],TBank[],2,FALSE),"")</f>
        <v>سپه</v>
      </c>
      <c r="AA241">
        <f>IF(AND(TArticle[[#This Row],[مبلغ]]&lt;0,TArticle[[#This Row],[کد وضعیت سند]]=1),0-TArticle[[#This Row],[مبلغ]],0)</f>
        <v>0</v>
      </c>
      <c r="AB241">
        <f>IF(AND(TArticle[[#This Row],[مبلغ]]&gt;0, TArticle[[#This Row],[کد وضعیت سند]]=1),TArticle[[#This Row],[مبلغ]],0)</f>
        <v>4000</v>
      </c>
      <c r="AC241" s="92">
        <f>IF(TArticle[[#This Row],[کد بانک]]&gt;0,VLOOKUP(TArticle[[#This Row],[کد بانک]],TBank[],9,FALSE)+SUMIF($Y$2:Y241,Y241,$E$2:$E241),"")</f>
        <v>4002</v>
      </c>
      <c r="AD241" s="1">
        <f>IFERROR(IF(INT(LEFT(TArticle[[#This Row],[شناسه]]))=3,IF(TArticle[[#This Row],[کد وضعیت سند]]=1,TArticle[مبلغ],0),0),0)</f>
        <v>0</v>
      </c>
      <c r="AE241" s="1">
        <f>IFERROR(IF(((TArticle[[#This Row],[شناسه]]))="4.1.1",IF(TArticle[[#This Row],[کد وضعیت سند]]=1,TArticle[مبلغ],0),0),0)</f>
        <v>0</v>
      </c>
      <c r="AF241" s="1">
        <f>IFERROR(IF(((TArticle[[#This Row],[شناسه]]))="4.1.2",IF(TArticle[[#This Row],[کد وضعیت سند]]=1,TArticle[مبلغ],0),0),0)</f>
        <v>0</v>
      </c>
      <c r="AG241" s="1">
        <f>IFERROR(IF(INT(LEFT(TArticle[[#This Row],[شناسه]]))=1,IF(TArticle[[#This Row],[کد وضعیت سند]]=1,TArticle[مبلغ],0),0),0)</f>
        <v>0</v>
      </c>
      <c r="AH241" s="1">
        <f>IFERROR(IF(INT(LEFT(TArticle[[#This Row],[شناسه]]))=2,IF(TArticle[[#This Row],[کد وضعیت سند]]=1,TArticle[مبلغ],0),0),0)</f>
        <v>0</v>
      </c>
      <c r="AI241" s="1">
        <f>IFERROR(IF((LEFT(TArticle[[#This Row],[شناسه]],3))="5.2",IF(TArticle[[#This Row],[کد وضعیت سند]]=1,TArticle[مبلغ],0),0),0)</f>
        <v>0</v>
      </c>
      <c r="AJ241" s="1">
        <f>IF(TArticle[[#This Row],[کد وضعیت سند]]=1,1,0)</f>
        <v>1</v>
      </c>
      <c r="AK241" s="1">
        <f>IF(AND(TArticle[[#This Row],[کد وضعیت سند]]&lt;&gt;1,TArticle[[#This Row],[مبلغ]]&lt;&gt;0),1,0)</f>
        <v>0</v>
      </c>
      <c r="AL241" s="51">
        <f>IF(TArticle[[#This Row],[کد بانک]]&gt;0,TArticle[[#This Row],[مانده بانک]]-VLOOKUP(TArticle[[#This Row],[کد بانک]],TBank[],7,FALSE),"")</f>
        <v>4000</v>
      </c>
      <c r="AM241" s="58" t="str">
        <f>LEFT(TArticle[[#This Row],[تاریخ]],7)</f>
        <v>1401-12</v>
      </c>
    </row>
    <row r="242" spans="1:39" hidden="1" x14ac:dyDescent="0.25">
      <c r="A242" s="24" t="s">
        <v>1110</v>
      </c>
      <c r="B242" s="49" t="str">
        <f>VLOOKUP(TArticle[[#This Row],[شناسه]],TAccount[],2,TRUE)</f>
        <v>قسط وام بانکی</v>
      </c>
      <c r="C242" s="49" t="str">
        <f>VLOOKUP(TArticle[[#This Row],[تاریخ]],TDays[],7,FALSE)</f>
        <v>سه شنبه</v>
      </c>
      <c r="D242" s="21" t="s">
        <v>531</v>
      </c>
      <c r="E242" s="1">
        <v>-1830</v>
      </c>
      <c r="F242" s="1">
        <f>TArticle[[#This Row],[مبلغ]]+IFERROR(INT(F241),30181+3667+958)</f>
        <v>27851</v>
      </c>
      <c r="G242" s="49" t="s">
        <v>1591</v>
      </c>
      <c r="H242" s="21">
        <v>20</v>
      </c>
      <c r="K242" s="21">
        <v>1</v>
      </c>
      <c r="L242" s="171" t="str">
        <f>IF(TArticle[[#This Row],[کد وضعیت سند]]&gt;0,VLOOKUP(TArticle[[#This Row],[کد وضعیت سند]],TDocState[],2,FALSE),"")</f>
        <v>انجام شد</v>
      </c>
      <c r="M242" s="27">
        <v>110</v>
      </c>
      <c r="N242" s="171" t="str">
        <f>IF(TArticle[[#This Row],[کد طرف حساب]]&gt;0,VLOOKUP(TArticle[[#This Row],[کد طرف حساب]],TContact[],2,FALSE),"")</f>
        <v>وام ملت</v>
      </c>
      <c r="O242" s="61">
        <f>IF(TArticle[[#This Row],[کد طرف حساب]]&gt;0,VLOOKUP(TArticle[[#This Row],[کد طرف حساب]],TContact[],7,FALSE)-SUMIF($M$2:M242,M242,$E$2:$E242),"")</f>
        <v>-28040</v>
      </c>
      <c r="P242" s="27" t="str">
        <f>RIGHT(TArticle[[#This Row],[تاریخ]],2)</f>
        <v>02</v>
      </c>
      <c r="Q242" s="27">
        <f>VLOOKUP(TArticle[[#This Row],[تاریخ]],TDays[],16,FALSE)</f>
        <v>50</v>
      </c>
      <c r="R242" s="27" t="str">
        <f>RIGHT(LEFT(TArticle[[#This Row],[تاریخ]],7),2)</f>
        <v>12</v>
      </c>
      <c r="S242" s="27" t="str">
        <f>LEFT(TArticle[[#This Row],[تاریخ]],4)</f>
        <v>1401</v>
      </c>
      <c r="U242" s="21">
        <f>VLOOKUP(TArticle[[#This Row],[شناسه]],TAccount[],7,TRUE)</f>
        <v>81652</v>
      </c>
      <c r="V242" s="21" t="s">
        <v>503</v>
      </c>
      <c r="W242" s="21">
        <f>IF(AND(TArticle[[#This Row],[مبلغ]]&gt;0, TArticle[[#This Row],[کد وضعیت سند]]=1),TArticle[[#This Row],[مبلغ]],0)</f>
        <v>0</v>
      </c>
      <c r="X242" s="27">
        <f>IF(AND(TArticle[[#This Row],[مبلغ]]&lt;0,TArticle[[#This Row],[کد وضعیت سند]]=1),0-TArticle[[#This Row],[مبلغ]],0)</f>
        <v>1830</v>
      </c>
      <c r="Y242" s="27">
        <v>2</v>
      </c>
      <c r="Z242" s="171" t="str">
        <f>IF(TArticle[[#This Row],[کد بانک]]&gt;0,VLOOKUP(TArticle[[#This Row],[کد بانک]],TBank[],2,FALSE),"")</f>
        <v>ملی جاری</v>
      </c>
      <c r="AA242">
        <f>IF(AND(TArticle[[#This Row],[مبلغ]]&lt;0,TArticle[[#This Row],[کد وضعیت سند]]=1),0-TArticle[[#This Row],[مبلغ]],0)</f>
        <v>1830</v>
      </c>
      <c r="AB242">
        <f>IF(AND(TArticle[[#This Row],[مبلغ]]&gt;0, TArticle[[#This Row],[کد وضعیت سند]]=1),TArticle[[#This Row],[مبلغ]],0)</f>
        <v>0</v>
      </c>
      <c r="AC242" s="84">
        <f>IF(TArticle[[#This Row],[کد بانک]]&gt;0,VLOOKUP(TArticle[[#This Row],[کد بانک]],TBank[],9,FALSE)+SUMIF($Y$2:Y242,Y242,$E$2:$E242),"")</f>
        <v>22691</v>
      </c>
      <c r="AD242" s="1">
        <f>IFERROR(IF(INT(LEFT(TArticle[[#This Row],[شناسه]]))=3,IF(TArticle[[#This Row],[کد وضعیت سند]]=1,TArticle[مبلغ],0),0),0)</f>
        <v>0</v>
      </c>
      <c r="AE242" s="1">
        <f>IFERROR(IF(((TArticle[[#This Row],[شناسه]]))="4.1.1",IF(TArticle[[#This Row],[کد وضعیت سند]]=1,TArticle[مبلغ],0),0),0)</f>
        <v>0</v>
      </c>
      <c r="AF242" s="1">
        <f>IFERROR(IF(((TArticle[[#This Row],[شناسه]]))="4.1.2",IF(TArticle[[#This Row],[کد وضعیت سند]]=1,TArticle[مبلغ],0),0),0)</f>
        <v>0</v>
      </c>
      <c r="AG242" s="1">
        <f>IFERROR(IF(INT(LEFT(TArticle[[#This Row],[شناسه]]))=1,IF(TArticle[[#This Row],[کد وضعیت سند]]=1,TArticle[مبلغ],0),0),0)</f>
        <v>-1830</v>
      </c>
      <c r="AH242" s="1">
        <f>IFERROR(IF(INT(LEFT(TArticle[[#This Row],[شناسه]]))=2,IF(TArticle[[#This Row],[کد وضعیت سند]]=1,TArticle[مبلغ],0),0),0)</f>
        <v>0</v>
      </c>
      <c r="AI242" s="1">
        <f>IFERROR(IF((LEFT(TArticle[[#This Row],[شناسه]],3))="5.2",IF(TArticle[[#This Row],[کد وضعیت سند]]=1,TArticle[مبلغ],0),0),0)</f>
        <v>0</v>
      </c>
      <c r="AJ242" s="1">
        <f>IF(TArticle[[#This Row],[کد وضعیت سند]]=1,1,0)</f>
        <v>1</v>
      </c>
      <c r="AK242" s="1">
        <f>IF(AND(TArticle[[#This Row],[کد وضعیت سند]]&lt;&gt;1,TArticle[[#This Row],[مبلغ]]&lt;&gt;0),1,0)</f>
        <v>0</v>
      </c>
      <c r="AL242" s="51">
        <f>IF(TArticle[[#This Row],[کد بانک]]&gt;0,TArticle[[#This Row],[مانده بانک]]-VLOOKUP(TArticle[[#This Row],[کد بانک]],TBank[],7,FALSE),"")</f>
        <v>22691</v>
      </c>
      <c r="AM242" s="49" t="str">
        <f>LEFT(TArticle[[#This Row],[تاریخ]],7)</f>
        <v>1401-12</v>
      </c>
    </row>
    <row r="243" spans="1:39" hidden="1" x14ac:dyDescent="0.25">
      <c r="A243" s="24" t="s">
        <v>1110</v>
      </c>
      <c r="B243" s="49" t="str">
        <f>VLOOKUP(TArticle[[#This Row],[شناسه]],TAccount[],2,TRUE)</f>
        <v>قسط وام بانکی</v>
      </c>
      <c r="C243" s="49" t="str">
        <f>VLOOKUP(TArticle[[#This Row],[تاریخ]],TDays[],7,FALSE)</f>
        <v>سه شنبه</v>
      </c>
      <c r="D243" s="21" t="s">
        <v>531</v>
      </c>
      <c r="E243" s="1">
        <v>-1830</v>
      </c>
      <c r="F243" s="1">
        <f>TArticle[[#This Row],[مبلغ]]+IFERROR(INT(F242),30181+3667+958)</f>
        <v>26021</v>
      </c>
      <c r="G243" s="49" t="s">
        <v>1591</v>
      </c>
      <c r="H243" s="21">
        <v>20</v>
      </c>
      <c r="K243" s="21">
        <v>1</v>
      </c>
      <c r="L243" s="171" t="str">
        <f>IF(TArticle[[#This Row],[کد وضعیت سند]]&gt;0,VLOOKUP(TArticle[[#This Row],[کد وضعیت سند]],TDocState[],2,FALSE),"")</f>
        <v>انجام شد</v>
      </c>
      <c r="M243" s="27">
        <v>111</v>
      </c>
      <c r="N243" s="171" t="str">
        <f>IF(TArticle[[#This Row],[کد طرف حساب]]&gt;0,VLOOKUP(TArticle[[#This Row],[کد طرف حساب]],TContact[],2,FALSE),"")</f>
        <v>وام ملت ف</v>
      </c>
      <c r="O243" s="61">
        <f>IF(TArticle[[#This Row],[کد طرف حساب]]&gt;0,VLOOKUP(TArticle[[#This Row],[کد طرف حساب]],TContact[],7,FALSE)-SUMIF($M$2:M243,M243,$E$2:$E243),"")</f>
        <v>-28040</v>
      </c>
      <c r="P243" s="27" t="str">
        <f>RIGHT(TArticle[[#This Row],[تاریخ]],2)</f>
        <v>02</v>
      </c>
      <c r="Q243" s="27">
        <f>VLOOKUP(TArticle[[#This Row],[تاریخ]],TDays[],16,FALSE)</f>
        <v>50</v>
      </c>
      <c r="R243" s="27" t="str">
        <f>RIGHT(LEFT(TArticle[[#This Row],[تاریخ]],7),2)</f>
        <v>12</v>
      </c>
      <c r="S243" s="27" t="str">
        <f>LEFT(TArticle[[#This Row],[تاریخ]],4)</f>
        <v>1401</v>
      </c>
      <c r="U243" s="21">
        <f>VLOOKUP(TArticle[[#This Row],[شناسه]],TAccount[],7,TRUE)</f>
        <v>81652</v>
      </c>
      <c r="V243" s="21" t="s">
        <v>503</v>
      </c>
      <c r="W243" s="21">
        <f>IF(AND(TArticle[[#This Row],[مبلغ]]&gt;0, TArticle[[#This Row],[کد وضعیت سند]]=1),TArticle[[#This Row],[مبلغ]],0)</f>
        <v>0</v>
      </c>
      <c r="X243" s="27">
        <f>IF(AND(TArticle[[#This Row],[مبلغ]]&lt;0,TArticle[[#This Row],[کد وضعیت سند]]=1),0-TArticle[[#This Row],[مبلغ]],0)</f>
        <v>1830</v>
      </c>
      <c r="Y243" s="27">
        <v>2</v>
      </c>
      <c r="Z243" s="171" t="str">
        <f>IF(TArticle[[#This Row],[کد بانک]]&gt;0,VLOOKUP(TArticle[[#This Row],[کد بانک]],TBank[],2,FALSE),"")</f>
        <v>ملی جاری</v>
      </c>
      <c r="AA243">
        <f>IF(AND(TArticle[[#This Row],[مبلغ]]&lt;0,TArticle[[#This Row],[کد وضعیت سند]]=1),0-TArticle[[#This Row],[مبلغ]],0)</f>
        <v>1830</v>
      </c>
      <c r="AB243">
        <f>IF(AND(TArticle[[#This Row],[مبلغ]]&gt;0, TArticle[[#This Row],[کد وضعیت سند]]=1),TArticle[[#This Row],[مبلغ]],0)</f>
        <v>0</v>
      </c>
      <c r="AC243" s="84">
        <f>IF(TArticle[[#This Row],[کد بانک]]&gt;0,VLOOKUP(TArticle[[#This Row],[کد بانک]],TBank[],9,FALSE)+SUMIF($Y$2:Y243,Y243,$E$2:$E243),"")</f>
        <v>20861</v>
      </c>
      <c r="AD243" s="1">
        <f>IFERROR(IF(INT(LEFT(TArticle[[#This Row],[شناسه]]))=3,IF(TArticle[[#This Row],[کد وضعیت سند]]=1,TArticle[مبلغ],0),0),0)</f>
        <v>0</v>
      </c>
      <c r="AE243" s="1">
        <f>IFERROR(IF(((TArticle[[#This Row],[شناسه]]))="4.1.1",IF(TArticle[[#This Row],[کد وضعیت سند]]=1,TArticle[مبلغ],0),0),0)</f>
        <v>0</v>
      </c>
      <c r="AF243" s="1">
        <f>IFERROR(IF(((TArticle[[#This Row],[شناسه]]))="4.1.2",IF(TArticle[[#This Row],[کد وضعیت سند]]=1,TArticle[مبلغ],0),0),0)</f>
        <v>0</v>
      </c>
      <c r="AG243" s="1">
        <f>IFERROR(IF(INT(LEFT(TArticle[[#This Row],[شناسه]]))=1,IF(TArticle[[#This Row],[کد وضعیت سند]]=1,TArticle[مبلغ],0),0),0)</f>
        <v>-1830</v>
      </c>
      <c r="AH243" s="1">
        <f>IFERROR(IF(INT(LEFT(TArticle[[#This Row],[شناسه]]))=2,IF(TArticle[[#This Row],[کد وضعیت سند]]=1,TArticle[مبلغ],0),0),0)</f>
        <v>0</v>
      </c>
      <c r="AI243" s="1">
        <f>IFERROR(IF((LEFT(TArticle[[#This Row],[شناسه]],3))="5.2",IF(TArticle[[#This Row],[کد وضعیت سند]]=1,TArticle[مبلغ],0),0),0)</f>
        <v>0</v>
      </c>
      <c r="AJ243" s="1">
        <f>IF(TArticle[[#This Row],[کد وضعیت سند]]=1,1,0)</f>
        <v>1</v>
      </c>
      <c r="AK243" s="1">
        <f>IF(AND(TArticle[[#This Row],[کد وضعیت سند]]&lt;&gt;1,TArticle[[#This Row],[مبلغ]]&lt;&gt;0),1,0)</f>
        <v>0</v>
      </c>
      <c r="AL243" s="51">
        <f>IF(TArticle[[#This Row],[کد بانک]]&gt;0,TArticle[[#This Row],[مانده بانک]]-VLOOKUP(TArticle[[#This Row],[کد بانک]],TBank[],7,FALSE),"")</f>
        <v>20861</v>
      </c>
      <c r="AM243" s="49" t="str">
        <f>LEFT(TArticle[[#This Row],[تاریخ]],7)</f>
        <v>1401-12</v>
      </c>
    </row>
    <row r="244" spans="1:39" hidden="1" x14ac:dyDescent="0.25">
      <c r="A244" s="24" t="s">
        <v>1110</v>
      </c>
      <c r="B244" s="49" t="str">
        <f>VLOOKUP(TArticle[[#This Row],[شناسه]],TAccount[],2,TRUE)</f>
        <v>قسط وام بانکی</v>
      </c>
      <c r="C244" s="49" t="str">
        <f>VLOOKUP(TArticle[[#This Row],[تاریخ]],TDays[],7,FALSE)</f>
        <v>سه شنبه</v>
      </c>
      <c r="D244" s="21" t="s">
        <v>531</v>
      </c>
      <c r="E244" s="1">
        <v>-1830</v>
      </c>
      <c r="F244" s="1">
        <f>TArticle[[#This Row],[مبلغ]]+IFERROR(INT(F243),30181+3667+958)</f>
        <v>24191</v>
      </c>
      <c r="G244" s="49" t="s">
        <v>1591</v>
      </c>
      <c r="H244" s="21">
        <v>21</v>
      </c>
      <c r="K244" s="21">
        <v>1</v>
      </c>
      <c r="L244" s="171" t="str">
        <f>IF(TArticle[[#This Row],[کد وضعیت سند]]&gt;0,VLOOKUP(TArticle[[#This Row],[کد وضعیت سند]],TDocState[],2,FALSE),"")</f>
        <v>انجام شد</v>
      </c>
      <c r="M244" s="27">
        <v>110</v>
      </c>
      <c r="N244" s="171" t="str">
        <f>IF(TArticle[[#This Row],[کد طرف حساب]]&gt;0,VLOOKUP(TArticle[[#This Row],[کد طرف حساب]],TContact[],2,FALSE),"")</f>
        <v>وام ملت</v>
      </c>
      <c r="O244" s="61">
        <f>IF(TArticle[[#This Row],[کد طرف حساب]]&gt;0,VLOOKUP(TArticle[[#This Row],[کد طرف حساب]],TContact[],7,FALSE)-SUMIF($M$2:M244,M244,$E$2:$E244),"")</f>
        <v>-26210</v>
      </c>
      <c r="P244" s="27" t="str">
        <f>RIGHT(TArticle[[#This Row],[تاریخ]],2)</f>
        <v>02</v>
      </c>
      <c r="Q244" s="27">
        <f>VLOOKUP(TArticle[[#This Row],[تاریخ]],TDays[],16,FALSE)</f>
        <v>50</v>
      </c>
      <c r="R244" s="27" t="str">
        <f>RIGHT(LEFT(TArticle[[#This Row],[تاریخ]],7),2)</f>
        <v>12</v>
      </c>
      <c r="S244" s="27" t="str">
        <f>LEFT(TArticle[[#This Row],[تاریخ]],4)</f>
        <v>1401</v>
      </c>
      <c r="U244" s="21">
        <f>VLOOKUP(TArticle[[#This Row],[شناسه]],TAccount[],7,TRUE)</f>
        <v>81652</v>
      </c>
      <c r="V244" s="21" t="s">
        <v>532</v>
      </c>
      <c r="W244" s="21">
        <f>IF(AND(TArticle[[#This Row],[مبلغ]]&gt;0, TArticle[[#This Row],[کد وضعیت سند]]=1),TArticle[[#This Row],[مبلغ]],0)</f>
        <v>0</v>
      </c>
      <c r="X244" s="27">
        <f>IF(AND(TArticle[[#This Row],[مبلغ]]&lt;0,TArticle[[#This Row],[کد وضعیت سند]]=1),0-TArticle[[#This Row],[مبلغ]],0)</f>
        <v>1830</v>
      </c>
      <c r="Y244" s="27">
        <v>2</v>
      </c>
      <c r="Z244" s="171" t="str">
        <f>IF(TArticle[[#This Row],[کد بانک]]&gt;0,VLOOKUP(TArticle[[#This Row],[کد بانک]],TBank[],2,FALSE),"")</f>
        <v>ملی جاری</v>
      </c>
      <c r="AA244">
        <f>IF(AND(TArticle[[#This Row],[مبلغ]]&lt;0,TArticle[[#This Row],[کد وضعیت سند]]=1),0-TArticle[[#This Row],[مبلغ]],0)</f>
        <v>1830</v>
      </c>
      <c r="AB244">
        <f>IF(AND(TArticle[[#This Row],[مبلغ]]&gt;0, TArticle[[#This Row],[کد وضعیت سند]]=1),TArticle[[#This Row],[مبلغ]],0)</f>
        <v>0</v>
      </c>
      <c r="AC244" s="84">
        <f>IF(TArticle[[#This Row],[کد بانک]]&gt;0,VLOOKUP(TArticle[[#This Row],[کد بانک]],TBank[],9,FALSE)+SUMIF($Y$2:Y244,Y244,$E$2:$E244),"")</f>
        <v>19031</v>
      </c>
      <c r="AD244" s="1">
        <f>IFERROR(IF(INT(LEFT(TArticle[[#This Row],[شناسه]]))=3,IF(TArticle[[#This Row],[کد وضعیت سند]]=1,TArticle[مبلغ],0),0),0)</f>
        <v>0</v>
      </c>
      <c r="AE244" s="1">
        <f>IFERROR(IF(((TArticle[[#This Row],[شناسه]]))="4.1.1",IF(TArticle[[#This Row],[کد وضعیت سند]]=1,TArticle[مبلغ],0),0),0)</f>
        <v>0</v>
      </c>
      <c r="AF244" s="1">
        <f>IFERROR(IF(((TArticle[[#This Row],[شناسه]]))="4.1.2",IF(TArticle[[#This Row],[کد وضعیت سند]]=1,TArticle[مبلغ],0),0),0)</f>
        <v>0</v>
      </c>
      <c r="AG244" s="1">
        <f>IFERROR(IF(INT(LEFT(TArticle[[#This Row],[شناسه]]))=1,IF(TArticle[[#This Row],[کد وضعیت سند]]=1,TArticle[مبلغ],0),0),0)</f>
        <v>-1830</v>
      </c>
      <c r="AH244" s="1">
        <f>IFERROR(IF(INT(LEFT(TArticle[[#This Row],[شناسه]]))=2,IF(TArticle[[#This Row],[کد وضعیت سند]]=1,TArticle[مبلغ],0),0),0)</f>
        <v>0</v>
      </c>
      <c r="AI244" s="1">
        <f>IFERROR(IF((LEFT(TArticle[[#This Row],[شناسه]],3))="5.2",IF(TArticle[[#This Row],[کد وضعیت سند]]=1,TArticle[مبلغ],0),0),0)</f>
        <v>0</v>
      </c>
      <c r="AJ244" s="1">
        <f>IF(TArticle[[#This Row],[کد وضعیت سند]]=1,1,0)</f>
        <v>1</v>
      </c>
      <c r="AK244" s="1">
        <f>IF(AND(TArticle[[#This Row],[کد وضعیت سند]]&lt;&gt;1,TArticle[[#This Row],[مبلغ]]&lt;&gt;0),1,0)</f>
        <v>0</v>
      </c>
      <c r="AL244" s="51">
        <f>IF(TArticle[[#This Row],[کد بانک]]&gt;0,TArticle[[#This Row],[مانده بانک]]-VLOOKUP(TArticle[[#This Row],[کد بانک]],TBank[],7,FALSE),"")</f>
        <v>19031</v>
      </c>
      <c r="AM244" s="49" t="str">
        <f>LEFT(TArticle[[#This Row],[تاریخ]],7)</f>
        <v>1401-12</v>
      </c>
    </row>
    <row r="245" spans="1:39" hidden="1" x14ac:dyDescent="0.25">
      <c r="A245" s="24" t="s">
        <v>1110</v>
      </c>
      <c r="B245" s="49" t="str">
        <f>VLOOKUP(TArticle[[#This Row],[شناسه]],TAccount[],2,TRUE)</f>
        <v>قسط وام بانکی</v>
      </c>
      <c r="C245" s="49" t="str">
        <f>VLOOKUP(TArticle[[#This Row],[تاریخ]],TDays[],7,FALSE)</f>
        <v>سه شنبه</v>
      </c>
      <c r="D245" s="21" t="s">
        <v>531</v>
      </c>
      <c r="E245" s="1">
        <v>-1830</v>
      </c>
      <c r="F245" s="1">
        <f>TArticle[[#This Row],[مبلغ]]+IFERROR(INT(F244),30181+3667+958)</f>
        <v>22361</v>
      </c>
      <c r="G245" s="49" t="s">
        <v>1591</v>
      </c>
      <c r="H245" s="21">
        <v>21</v>
      </c>
      <c r="K245" s="21">
        <v>1</v>
      </c>
      <c r="L245" s="171" t="str">
        <f>IF(TArticle[[#This Row],[کد وضعیت سند]]&gt;0,VLOOKUP(TArticle[[#This Row],[کد وضعیت سند]],TDocState[],2,FALSE),"")</f>
        <v>انجام شد</v>
      </c>
      <c r="M245" s="27">
        <v>111</v>
      </c>
      <c r="N245" s="171" t="str">
        <f>IF(TArticle[[#This Row],[کد طرف حساب]]&gt;0,VLOOKUP(TArticle[[#This Row],[کد طرف حساب]],TContact[],2,FALSE),"")</f>
        <v>وام ملت ف</v>
      </c>
      <c r="O245" s="61">
        <f>IF(TArticle[[#This Row],[کد طرف حساب]]&gt;0,VLOOKUP(TArticle[[#This Row],[کد طرف حساب]],TContact[],7,FALSE)-SUMIF($M$2:M245,M245,$E$2:$E245),"")</f>
        <v>-26210</v>
      </c>
      <c r="P245" s="27" t="str">
        <f>RIGHT(TArticle[[#This Row],[تاریخ]],2)</f>
        <v>02</v>
      </c>
      <c r="Q245" s="27">
        <f>VLOOKUP(TArticle[[#This Row],[تاریخ]],TDays[],16,FALSE)</f>
        <v>50</v>
      </c>
      <c r="R245" s="27" t="str">
        <f>RIGHT(LEFT(TArticle[[#This Row],[تاریخ]],7),2)</f>
        <v>12</v>
      </c>
      <c r="S245" s="27" t="str">
        <f>LEFT(TArticle[[#This Row],[تاریخ]],4)</f>
        <v>1401</v>
      </c>
      <c r="U245" s="21">
        <f>VLOOKUP(TArticle[[#This Row],[شناسه]],TAccount[],7,TRUE)</f>
        <v>81652</v>
      </c>
      <c r="V245" s="21" t="s">
        <v>532</v>
      </c>
      <c r="W245" s="21">
        <f>IF(AND(TArticle[[#This Row],[مبلغ]]&gt;0, TArticle[[#This Row],[کد وضعیت سند]]=1),TArticle[[#This Row],[مبلغ]],0)</f>
        <v>0</v>
      </c>
      <c r="X245" s="27">
        <f>IF(AND(TArticle[[#This Row],[مبلغ]]&lt;0,TArticle[[#This Row],[کد وضعیت سند]]=1),0-TArticle[[#This Row],[مبلغ]],0)</f>
        <v>1830</v>
      </c>
      <c r="Y245" s="27">
        <v>2</v>
      </c>
      <c r="Z245" s="171" t="str">
        <f>IF(TArticle[[#This Row],[کد بانک]]&gt;0,VLOOKUP(TArticle[[#This Row],[کد بانک]],TBank[],2,FALSE),"")</f>
        <v>ملی جاری</v>
      </c>
      <c r="AA245">
        <f>IF(AND(TArticle[[#This Row],[مبلغ]]&lt;0,TArticle[[#This Row],[کد وضعیت سند]]=1),0-TArticle[[#This Row],[مبلغ]],0)</f>
        <v>1830</v>
      </c>
      <c r="AB245">
        <f>IF(AND(TArticle[[#This Row],[مبلغ]]&gt;0, TArticle[[#This Row],[کد وضعیت سند]]=1),TArticle[[#This Row],[مبلغ]],0)</f>
        <v>0</v>
      </c>
      <c r="AC245" s="84">
        <f>IF(TArticle[[#This Row],[کد بانک]]&gt;0,VLOOKUP(TArticle[[#This Row],[کد بانک]],TBank[],9,FALSE)+SUMIF($Y$2:Y245,Y245,$E$2:$E245),"")</f>
        <v>17201</v>
      </c>
      <c r="AD245" s="1">
        <f>IFERROR(IF(INT(LEFT(TArticle[[#This Row],[شناسه]]))=3,IF(TArticle[[#This Row],[کد وضعیت سند]]=1,TArticle[مبلغ],0),0),0)</f>
        <v>0</v>
      </c>
      <c r="AE245" s="1">
        <f>IFERROR(IF(((TArticle[[#This Row],[شناسه]]))="4.1.1",IF(TArticle[[#This Row],[کد وضعیت سند]]=1,TArticle[مبلغ],0),0),0)</f>
        <v>0</v>
      </c>
      <c r="AF245" s="1">
        <f>IFERROR(IF(((TArticle[[#This Row],[شناسه]]))="4.1.2",IF(TArticle[[#This Row],[کد وضعیت سند]]=1,TArticle[مبلغ],0),0),0)</f>
        <v>0</v>
      </c>
      <c r="AG245" s="1">
        <f>IFERROR(IF(INT(LEFT(TArticle[[#This Row],[شناسه]]))=1,IF(TArticle[[#This Row],[کد وضعیت سند]]=1,TArticle[مبلغ],0),0),0)</f>
        <v>-1830</v>
      </c>
      <c r="AH245" s="1">
        <f>IFERROR(IF(INT(LEFT(TArticle[[#This Row],[شناسه]]))=2,IF(TArticle[[#This Row],[کد وضعیت سند]]=1,TArticle[مبلغ],0),0),0)</f>
        <v>0</v>
      </c>
      <c r="AI245" s="1">
        <f>IFERROR(IF((LEFT(TArticle[[#This Row],[شناسه]],3))="5.2",IF(TArticle[[#This Row],[کد وضعیت سند]]=1,TArticle[مبلغ],0),0),0)</f>
        <v>0</v>
      </c>
      <c r="AJ245" s="1">
        <f>IF(TArticle[[#This Row],[کد وضعیت سند]]=1,1,0)</f>
        <v>1</v>
      </c>
      <c r="AK245" s="1">
        <f>IF(AND(TArticle[[#This Row],[کد وضعیت سند]]&lt;&gt;1,TArticle[[#This Row],[مبلغ]]&lt;&gt;0),1,0)</f>
        <v>0</v>
      </c>
      <c r="AL245" s="51">
        <f>IF(TArticle[[#This Row],[کد بانک]]&gt;0,TArticle[[#This Row],[مانده بانک]]-VLOOKUP(TArticle[[#This Row],[کد بانک]],TBank[],7,FALSE),"")</f>
        <v>17201</v>
      </c>
      <c r="AM245" s="49" t="str">
        <f>LEFT(TArticle[[#This Row],[تاریخ]],7)</f>
        <v>1401-12</v>
      </c>
    </row>
    <row r="246" spans="1:39" hidden="1" x14ac:dyDescent="0.25">
      <c r="A246" s="24" t="s">
        <v>1031</v>
      </c>
      <c r="B246" s="49" t="str">
        <f>VLOOKUP(TArticle[[#This Row],[شناسه]],TAccount[],2,TRUE)</f>
        <v>وام گرفتن</v>
      </c>
      <c r="C246" s="49" t="str">
        <f>VLOOKUP(TArticle[[#This Row],[تاریخ]],TDays[],7,FALSE)</f>
        <v>چهارشنبه</v>
      </c>
      <c r="D246" s="21" t="s">
        <v>532</v>
      </c>
      <c r="E246" s="1">
        <v>60000</v>
      </c>
      <c r="F246" s="1">
        <f>TArticle[[#This Row],[مبلغ]]+IFERROR(INT(F245),30181+3667+958)</f>
        <v>82361</v>
      </c>
      <c r="G246" s="49"/>
      <c r="K246" s="21">
        <v>1</v>
      </c>
      <c r="L246" s="171" t="str">
        <f>IF(TArticle[[#This Row],[کد وضعیت سند]]&gt;0,VLOOKUP(TArticle[[#This Row],[کد وضعیت سند]],TDocState[],2,FALSE),"")</f>
        <v>انجام شد</v>
      </c>
      <c r="M246" s="27">
        <v>115</v>
      </c>
      <c r="N246" s="171" t="str">
        <f>IF(TArticle[[#This Row],[کد طرف حساب]]&gt;0,VLOOKUP(TArticle[[#This Row],[کد طرف حساب]],TContact[],2,FALSE),"")</f>
        <v>وام فرزند مهر</v>
      </c>
      <c r="O246" s="61">
        <f>IF(TArticle[[#This Row],[کد طرف حساب]]&gt;0,VLOOKUP(TArticle[[#This Row],[کد طرف حساب]],TContact[],7,FALSE)-SUMIF($M$2:M246,M246,$E$2:$E246),"")</f>
        <v>-60000</v>
      </c>
      <c r="P246" s="27" t="str">
        <f>RIGHT(TArticle[[#This Row],[تاریخ]],2)</f>
        <v>03</v>
      </c>
      <c r="Q246" s="27">
        <f>VLOOKUP(TArticle[[#This Row],[تاریخ]],TDays[],16,FALSE)</f>
        <v>50</v>
      </c>
      <c r="R246" s="27" t="str">
        <f>RIGHT(LEFT(TArticle[[#This Row],[تاریخ]],7),2)</f>
        <v>12</v>
      </c>
      <c r="S246" s="27" t="str">
        <f>LEFT(TArticle[[#This Row],[تاریخ]],4)</f>
        <v>1401</v>
      </c>
      <c r="U246" s="21">
        <f>VLOOKUP(TArticle[[#This Row],[شناسه]],TAccount[],7,TRUE)</f>
        <v>90600</v>
      </c>
      <c r="W246" s="21">
        <f>IF(AND(TArticle[[#This Row],[مبلغ]]&gt;0, TArticle[[#This Row],[کد وضعیت سند]]=1),TArticle[[#This Row],[مبلغ]],0)</f>
        <v>60000</v>
      </c>
      <c r="X246" s="27">
        <f>IF(AND(TArticle[[#This Row],[مبلغ]]&lt;0,TArticle[[#This Row],[کد وضعیت سند]]=1),0-TArticle[[#This Row],[مبلغ]],0)</f>
        <v>0</v>
      </c>
      <c r="Y246" s="27">
        <v>2</v>
      </c>
      <c r="Z246" s="171" t="str">
        <f>IF(TArticle[[#This Row],[کد بانک]]&gt;0,VLOOKUP(TArticle[[#This Row],[کد بانک]],TBank[],2,FALSE),"")</f>
        <v>ملی جاری</v>
      </c>
      <c r="AA246">
        <f>IF(AND(TArticle[[#This Row],[مبلغ]]&lt;0,TArticle[[#This Row],[کد وضعیت سند]]=1),0-TArticle[[#This Row],[مبلغ]],0)</f>
        <v>0</v>
      </c>
      <c r="AB246">
        <f>IF(AND(TArticle[[#This Row],[مبلغ]]&gt;0, TArticle[[#This Row],[کد وضعیت سند]]=1),TArticle[[#This Row],[مبلغ]],0)</f>
        <v>60000</v>
      </c>
      <c r="AC246" s="84">
        <f>IF(TArticle[[#This Row],[کد بانک]]&gt;0,VLOOKUP(TArticle[[#This Row],[کد بانک]],TBank[],9,FALSE)+SUMIF($Y$2:Y246,Y246,$E$2:$E246),"")</f>
        <v>77201</v>
      </c>
      <c r="AD246" s="1">
        <f>IFERROR(IF(INT(LEFT(TArticle[[#This Row],[شناسه]]))=3,IF(TArticle[[#This Row],[کد وضعیت سند]]=1,TArticle[مبلغ],0),0),0)</f>
        <v>0</v>
      </c>
      <c r="AE246" s="1">
        <f>IFERROR(IF(((TArticle[[#This Row],[شناسه]]))="4.1.1",IF(TArticle[[#This Row],[کد وضعیت سند]]=1,TArticle[مبلغ],0),0),0)</f>
        <v>0</v>
      </c>
      <c r="AF246" s="1">
        <f>IFERROR(IF(((TArticle[[#This Row],[شناسه]]))="4.1.2",IF(TArticle[[#This Row],[کد وضعیت سند]]=1,TArticle[مبلغ],0),0),0)</f>
        <v>0</v>
      </c>
      <c r="AG246" s="1">
        <f>IFERROR(IF(INT(LEFT(TArticle[[#This Row],[شناسه]]))=1,IF(TArticle[[#This Row],[کد وضعیت سند]]=1,TArticle[مبلغ],0),0),0)</f>
        <v>0</v>
      </c>
      <c r="AH246" s="1">
        <f>IFERROR(IF(INT(LEFT(TArticle[[#This Row],[شناسه]]))=2,IF(TArticle[[#This Row],[کد وضعیت سند]]=1,TArticle[مبلغ],0),0),0)</f>
        <v>0</v>
      </c>
      <c r="AI246" s="1">
        <f>IFERROR(IF((LEFT(TArticle[[#This Row],[شناسه]],3))="5.2",IF(TArticle[[#This Row],[کد وضعیت سند]]=1,TArticle[مبلغ],0),0),0)</f>
        <v>60000</v>
      </c>
      <c r="AJ246" s="1">
        <f>IF(TArticle[[#This Row],[کد وضعیت سند]]=1,1,0)</f>
        <v>1</v>
      </c>
      <c r="AK246" s="1">
        <f>IF(AND(TArticle[[#This Row],[کد وضعیت سند]]&lt;&gt;1,TArticle[[#This Row],[مبلغ]]&lt;&gt;0),1,0)</f>
        <v>0</v>
      </c>
      <c r="AL246" s="51">
        <f>IF(TArticle[[#This Row],[کد بانک]]&gt;0,TArticle[[#This Row],[مانده بانک]]-VLOOKUP(TArticle[[#This Row],[کد بانک]],TBank[],7,FALSE),"")</f>
        <v>77201</v>
      </c>
      <c r="AM246" s="58" t="str">
        <f>LEFT(TArticle[[#This Row],[تاریخ]],7)</f>
        <v>1401-12</v>
      </c>
    </row>
    <row r="247" spans="1:39" hidden="1" x14ac:dyDescent="0.25">
      <c r="A247" s="24" t="s">
        <v>2437</v>
      </c>
      <c r="B247" s="49" t="str">
        <f>VLOOKUP(TArticle[[#This Row],[شناسه]],TAccount[],2,TRUE)</f>
        <v>سود وام گرفته شده</v>
      </c>
      <c r="C247" s="49" t="str">
        <f>VLOOKUP(TArticle[[#This Row],[تاریخ]],TDays[],7,FALSE)</f>
        <v>چهارشنبه</v>
      </c>
      <c r="D247" s="21" t="s">
        <v>532</v>
      </c>
      <c r="E247" s="1">
        <v>7702</v>
      </c>
      <c r="F247" s="1">
        <f>TArticle[[#This Row],[مبلغ]]+IFERROR(INT(F246),30181+3667+958)</f>
        <v>90063</v>
      </c>
      <c r="G247" s="49"/>
      <c r="K247" s="21">
        <v>1</v>
      </c>
      <c r="L247" s="171" t="str">
        <f>IF(TArticle[[#This Row],[کد وضعیت سند]]&gt;0,VLOOKUP(TArticle[[#This Row],[کد وضعیت سند]],TDocState[],2,FALSE),"")</f>
        <v>انجام شد</v>
      </c>
      <c r="M247" s="27">
        <v>115.1</v>
      </c>
      <c r="N247" s="171" t="str">
        <f>IF(TArticle[[#This Row],[کد طرف حساب]]&gt;0,VLOOKUP(TArticle[[#This Row],[کد طرف حساب]],TContact[],2,FALSE),"")</f>
        <v>سود فرزند مهر</v>
      </c>
      <c r="O247" s="61">
        <f>IF(TArticle[[#This Row],[کد طرف حساب]]&gt;0,VLOOKUP(TArticle[[#This Row],[کد طرف حساب]],TContact[],7,FALSE)-SUMIF($M$2:M247,M247,$E$2:$E247),"")</f>
        <v>-7702</v>
      </c>
      <c r="P247" s="27" t="str">
        <f>RIGHT(TArticle[[#This Row],[تاریخ]],2)</f>
        <v>03</v>
      </c>
      <c r="Q247" s="27">
        <f>VLOOKUP(TArticle[[#This Row],[تاریخ]],TDays[],16,FALSE)</f>
        <v>50</v>
      </c>
      <c r="R247" s="27" t="str">
        <f>RIGHT(LEFT(TArticle[[#This Row],[تاریخ]],7),2)</f>
        <v>12</v>
      </c>
      <c r="S247" s="27" t="str">
        <f>LEFT(TArticle[[#This Row],[تاریخ]],4)</f>
        <v>1401</v>
      </c>
      <c r="U247" s="21">
        <f>VLOOKUP(TArticle[[#This Row],[شناسه]],TAccount[],7,TRUE)</f>
        <v>8404</v>
      </c>
      <c r="W247" s="21">
        <f>IF(AND(TArticle[[#This Row],[مبلغ]]&gt;0, TArticle[[#This Row],[کد وضعیت سند]]=1),TArticle[[#This Row],[مبلغ]],0)</f>
        <v>7702</v>
      </c>
      <c r="X247" s="27">
        <f>IF(AND(TArticle[[#This Row],[مبلغ]]&lt;0,TArticle[[#This Row],[کد وضعیت سند]]=1),0-TArticle[[#This Row],[مبلغ]],0)</f>
        <v>0</v>
      </c>
      <c r="Y247" s="27">
        <v>10</v>
      </c>
      <c r="Z247" s="171" t="str">
        <f>IF(TArticle[[#This Row],[کد بانک]]&gt;0,VLOOKUP(TArticle[[#This Row],[کد بانک]],TBank[],2,FALSE),"")</f>
        <v>نیابتی</v>
      </c>
      <c r="AA247">
        <f>IF(AND(TArticle[[#This Row],[مبلغ]]&lt;0,TArticle[[#This Row],[کد وضعیت سند]]=1),0-TArticle[[#This Row],[مبلغ]],0)</f>
        <v>0</v>
      </c>
      <c r="AB247">
        <f>IF(AND(TArticle[[#This Row],[مبلغ]]&gt;0, TArticle[[#This Row],[کد وضعیت سند]]=1),TArticle[[#This Row],[مبلغ]],0)</f>
        <v>7702</v>
      </c>
      <c r="AC247" s="84">
        <f>IF(TArticle[[#This Row],[کد بانک]]&gt;0,VLOOKUP(TArticle[[#This Row],[کد بانک]],TBank[],9,FALSE)+SUMIF($Y$2:Y247,Y247,$E$2:$E247),"")</f>
        <v>7702</v>
      </c>
      <c r="AD247" s="1">
        <f>IFERROR(IF(INT(LEFT(TArticle[[#This Row],[شناسه]]))=3,IF(TArticle[[#This Row],[کد وضعیت سند]]=1,TArticle[مبلغ],0),0),0)</f>
        <v>0</v>
      </c>
      <c r="AE247" s="1">
        <f>IFERROR(IF(((TArticle[[#This Row],[شناسه]]))="4.1.1",IF(TArticle[[#This Row],[کد وضعیت سند]]=1,TArticle[مبلغ],0),0),0)</f>
        <v>0</v>
      </c>
      <c r="AF247" s="1">
        <f>IFERROR(IF(((TArticle[[#This Row],[شناسه]]))="4.1.2",IF(TArticle[[#This Row],[کد وضعیت سند]]=1,TArticle[مبلغ],0),0),0)</f>
        <v>0</v>
      </c>
      <c r="AG247" s="1">
        <f>IFERROR(IF(INT(LEFT(TArticle[[#This Row],[شناسه]]))=1,IF(TArticle[[#This Row],[کد وضعیت سند]]=1,TArticle[مبلغ],0),0),0)</f>
        <v>0</v>
      </c>
      <c r="AH247" s="1">
        <f>IFERROR(IF(INT(LEFT(TArticle[[#This Row],[شناسه]]))=2,IF(TArticle[[#This Row],[کد وضعیت سند]]=1,TArticle[مبلغ],0),0),0)</f>
        <v>0</v>
      </c>
      <c r="AI247" s="1">
        <f>IFERROR(IF((LEFT(TArticle[[#This Row],[شناسه]],3))="5.2",IF(TArticle[[#This Row],[کد وضعیت سند]]=1,TArticle[مبلغ],0),0),0)</f>
        <v>7702</v>
      </c>
      <c r="AJ247" s="1">
        <f>IF(TArticle[[#This Row],[کد وضعیت سند]]=1,1,0)</f>
        <v>1</v>
      </c>
      <c r="AK247" s="1">
        <f>IF(AND(TArticle[[#This Row],[کد وضعیت سند]]&lt;&gt;1,TArticle[[#This Row],[مبلغ]]&lt;&gt;0),1,0)</f>
        <v>0</v>
      </c>
      <c r="AL247" s="51">
        <f>IF(TArticle[[#This Row],[کد بانک]]&gt;0,TArticle[[#This Row],[مانده بانک]]-VLOOKUP(TArticle[[#This Row],[کد بانک]],TBank[],7,FALSE),"")</f>
        <v>7702</v>
      </c>
      <c r="AM247" s="58" t="str">
        <f>LEFT(TArticle[[#This Row],[تاریخ]],7)</f>
        <v>1401-12</v>
      </c>
    </row>
    <row r="248" spans="1:39" hidden="1" x14ac:dyDescent="0.25">
      <c r="A248" s="24" t="s">
        <v>1107</v>
      </c>
      <c r="B248" s="49" t="str">
        <f>VLOOKUP(TArticle[[#This Row],[شناسه]],TAccount[],2,TRUE)</f>
        <v>سود وام</v>
      </c>
      <c r="C248" s="49" t="str">
        <f>VLOOKUP(TArticle[[#This Row],[تاریخ]],TDays[],7,FALSE)</f>
        <v>چهارشنبه</v>
      </c>
      <c r="D248" s="21" t="s">
        <v>532</v>
      </c>
      <c r="E248" s="1">
        <v>-7702</v>
      </c>
      <c r="F248" s="1">
        <f>TArticle[[#This Row],[مبلغ]]+IFERROR(INT(F247),30181+3667+958)</f>
        <v>82361</v>
      </c>
      <c r="G248" s="49"/>
      <c r="J248" s="65"/>
      <c r="K248" s="49">
        <v>1</v>
      </c>
      <c r="L248" s="171" t="str">
        <f>IF(TArticle[[#This Row],[کد وضعیت سند]]&gt;0,VLOOKUP(TArticle[[#This Row],[کد وضعیت سند]],TDocState[],2,FALSE),"")</f>
        <v>انجام شد</v>
      </c>
      <c r="M248" s="67"/>
      <c r="N248" s="171" t="str">
        <f>IF(TArticle[[#This Row],[کد طرف حساب]]&gt;0,VLOOKUP(TArticle[[#This Row],[کد طرف حساب]],TContact[],2,FALSE),"")</f>
        <v/>
      </c>
      <c r="O248" s="68" t="str">
        <f>IF(TArticle[[#This Row],[کد طرف حساب]]&gt;0,VLOOKUP(TArticle[[#This Row],[کد طرف حساب]],TContact[],7,FALSE)-SUMIF($M$2:M248,M248,$E$2:$E248),"")</f>
        <v/>
      </c>
      <c r="P248" s="67" t="str">
        <f>RIGHT(TArticle[[#This Row],[تاریخ]],2)</f>
        <v>03</v>
      </c>
      <c r="Q248" s="67">
        <f>VLOOKUP(TArticle[[#This Row],[تاریخ]],TDays[],16,FALSE)</f>
        <v>50</v>
      </c>
      <c r="R248" s="67" t="str">
        <f>RIGHT(LEFT(TArticle[[#This Row],[تاریخ]],7),2)</f>
        <v>12</v>
      </c>
      <c r="S248" s="67" t="str">
        <f>LEFT(TArticle[[#This Row],[تاریخ]],4)</f>
        <v>1401</v>
      </c>
      <c r="T248" s="64"/>
      <c r="U248" s="64">
        <f>VLOOKUP(TArticle[[#This Row],[شناسه]],TAccount[],7,TRUE)</f>
        <v>9163</v>
      </c>
      <c r="V248" s="64"/>
      <c r="W248" s="64">
        <f>IF(AND(TArticle[[#This Row],[مبلغ]]&gt;0, TArticle[[#This Row],[کد وضعیت سند]]=1),TArticle[[#This Row],[مبلغ]],0)</f>
        <v>0</v>
      </c>
      <c r="X248" s="67">
        <f>IF(AND(TArticle[[#This Row],[مبلغ]]&lt;0,TArticle[[#This Row],[کد وضعیت سند]]=1),0-TArticle[[#This Row],[مبلغ]],0)</f>
        <v>7702</v>
      </c>
      <c r="Y248" s="27">
        <v>10</v>
      </c>
      <c r="Z248" s="171" t="str">
        <f>IF(TArticle[[#This Row],[کد بانک]]&gt;0,VLOOKUP(TArticle[[#This Row],[کد بانک]],TBank[],2,FALSE),"")</f>
        <v>نیابتی</v>
      </c>
      <c r="AA248">
        <f>IF(AND(TArticle[[#This Row],[مبلغ]]&lt;0,TArticle[[#This Row],[کد وضعیت سند]]=1),0-TArticle[[#This Row],[مبلغ]],0)</f>
        <v>7702</v>
      </c>
      <c r="AB248">
        <f>IF(AND(TArticle[[#This Row],[مبلغ]]&gt;0, TArticle[[#This Row],[کد وضعیت سند]]=1),TArticle[[#This Row],[مبلغ]],0)</f>
        <v>0</v>
      </c>
      <c r="AC248" s="93">
        <f>IF(TArticle[[#This Row],[کد بانک]]&gt;0,VLOOKUP(TArticle[[#This Row],[کد بانک]],TBank[],9,FALSE)+SUMIF($Y$2:Y248,Y248,$E$2:$E248),"")</f>
        <v>0</v>
      </c>
      <c r="AD248" s="1">
        <f>IFERROR(IF(INT(LEFT(TArticle[[#This Row],[شناسه]]))=3,IF(TArticle[[#This Row],[کد وضعیت سند]]=1,TArticle[مبلغ],0),0),0)</f>
        <v>-7702</v>
      </c>
      <c r="AE248" s="1">
        <f>IFERROR(IF(((TArticle[[#This Row],[شناسه]]))="4.1.1",IF(TArticle[[#This Row],[کد وضعیت سند]]=1,TArticle[مبلغ],0),0),0)</f>
        <v>0</v>
      </c>
      <c r="AF248" s="1">
        <f>IFERROR(IF(((TArticle[[#This Row],[شناسه]]))="4.1.2",IF(TArticle[[#This Row],[کد وضعیت سند]]=1,TArticle[مبلغ],0),0),0)</f>
        <v>0</v>
      </c>
      <c r="AG248" s="1">
        <f>IFERROR(IF(INT(LEFT(TArticle[[#This Row],[شناسه]]))=1,IF(TArticle[[#This Row],[کد وضعیت سند]]=1,TArticle[مبلغ],0),0),0)</f>
        <v>0</v>
      </c>
      <c r="AH248" s="1">
        <f>IFERROR(IF(INT(LEFT(TArticle[[#This Row],[شناسه]]))=2,IF(TArticle[[#This Row],[کد وضعیت سند]]=1,TArticle[مبلغ],0),0),0)</f>
        <v>0</v>
      </c>
      <c r="AI248" s="1">
        <f>IFERROR(IF((LEFT(TArticle[[#This Row],[شناسه]],3))="5.2",IF(TArticle[[#This Row],[کد وضعیت سند]]=1,TArticle[مبلغ],0),0),0)</f>
        <v>0</v>
      </c>
      <c r="AJ248" s="1">
        <f>IF(TArticle[[#This Row],[کد وضعیت سند]]=1,1,0)</f>
        <v>1</v>
      </c>
      <c r="AK248" s="1">
        <f>IF(AND(TArticle[[#This Row],[کد وضعیت سند]]&lt;&gt;1,TArticle[[#This Row],[مبلغ]]&lt;&gt;0),1,0)</f>
        <v>0</v>
      </c>
      <c r="AL248" s="78">
        <f>IF(TArticle[[#This Row],[کد بانک]]&gt;0,TArticle[[#This Row],[مانده بانک]]-VLOOKUP(TArticle[[#This Row],[کد بانک]],TBank[],7,FALSE),"")</f>
        <v>0</v>
      </c>
      <c r="AM248" s="69" t="str">
        <f>LEFT(TArticle[[#This Row],[تاریخ]],7)</f>
        <v>1401-12</v>
      </c>
    </row>
    <row r="249" spans="1:39" hidden="1" x14ac:dyDescent="0.25">
      <c r="A249" s="24" t="s">
        <v>1031</v>
      </c>
      <c r="B249" s="49" t="str">
        <f>VLOOKUP(TArticle[[#This Row],[شناسه]],TAccount[],2,TRUE)</f>
        <v>وام گرفتن</v>
      </c>
      <c r="C249" s="49" t="str">
        <f>VLOOKUP(TArticle[[#This Row],[تاریخ]],TDays[],7,FALSE)</f>
        <v>پنجشنبه</v>
      </c>
      <c r="D249" s="21" t="s">
        <v>533</v>
      </c>
      <c r="E249" s="1">
        <v>11700</v>
      </c>
      <c r="F249" s="1">
        <f>TArticle[[#This Row],[مبلغ]]+IFERROR(INT(F248),30181+3667+958)</f>
        <v>94061</v>
      </c>
      <c r="G249" s="49"/>
      <c r="K249" s="21">
        <v>1</v>
      </c>
      <c r="L249" s="171" t="str">
        <f>IF(TArticle[[#This Row],[کد وضعیت سند]]&gt;0,VLOOKUP(TArticle[[#This Row],[کد وضعیت سند]],TDocState[],2,FALSE),"")</f>
        <v>انجام شد</v>
      </c>
      <c r="M249" s="27">
        <v>116</v>
      </c>
      <c r="N249" s="171" t="str">
        <f>IF(TArticle[[#This Row],[کد طرف حساب]]&gt;0,VLOOKUP(TArticle[[#This Row],[کد طرف حساب]],TContact[],2,FALSE),"")</f>
        <v>وام امتیازی مهر</v>
      </c>
      <c r="O249" s="61">
        <f>IF(TArticle[[#This Row],[کد طرف حساب]]&gt;0,VLOOKUP(TArticle[[#This Row],[کد طرف حساب]],TContact[],7,FALSE)-SUMIF($M$2:M249,M249,$E$2:$E249),"")</f>
        <v>-11700</v>
      </c>
      <c r="P249" s="27" t="str">
        <f>RIGHT(TArticle[[#This Row],[تاریخ]],2)</f>
        <v>04</v>
      </c>
      <c r="Q249" s="27">
        <f>VLOOKUP(TArticle[[#This Row],[تاریخ]],TDays[],16,FALSE)</f>
        <v>50</v>
      </c>
      <c r="R249" s="27" t="str">
        <f>RIGHT(LEFT(TArticle[[#This Row],[تاریخ]],7),2)</f>
        <v>12</v>
      </c>
      <c r="S249" s="27" t="str">
        <f>LEFT(TArticle[[#This Row],[تاریخ]],4)</f>
        <v>1401</v>
      </c>
      <c r="U249" s="21">
        <f>VLOOKUP(TArticle[[#This Row],[شناسه]],TAccount[],7,TRUE)</f>
        <v>90600</v>
      </c>
      <c r="W249" s="21">
        <f>IF(AND(TArticle[[#This Row],[مبلغ]]&gt;0, TArticle[[#This Row],[کد وضعیت سند]]=1),TArticle[[#This Row],[مبلغ]],0)</f>
        <v>11700</v>
      </c>
      <c r="X249" s="27">
        <f>IF(AND(TArticle[[#This Row],[مبلغ]]&lt;0,TArticle[[#This Row],[کد وضعیت سند]]=1),0-TArticle[[#This Row],[مبلغ]],0)</f>
        <v>0</v>
      </c>
      <c r="Y249" s="27">
        <v>2</v>
      </c>
      <c r="Z249" s="171" t="str">
        <f>IF(TArticle[[#This Row],[کد بانک]]&gt;0,VLOOKUP(TArticle[[#This Row],[کد بانک]],TBank[],2,FALSE),"")</f>
        <v>ملی جاری</v>
      </c>
      <c r="AA249">
        <f>IF(AND(TArticle[[#This Row],[مبلغ]]&lt;0,TArticle[[#This Row],[کد وضعیت سند]]=1),0-TArticle[[#This Row],[مبلغ]],0)</f>
        <v>0</v>
      </c>
      <c r="AB249">
        <f>IF(AND(TArticle[[#This Row],[مبلغ]]&gt;0, TArticle[[#This Row],[کد وضعیت سند]]=1),TArticle[[#This Row],[مبلغ]],0)</f>
        <v>11700</v>
      </c>
      <c r="AC249" s="84">
        <f>IF(TArticle[[#This Row],[کد بانک]]&gt;0,VLOOKUP(TArticle[[#This Row],[کد بانک]],TBank[],9,FALSE)+SUMIF($Y$2:Y249,Y249,$E$2:$E249),"")</f>
        <v>88901</v>
      </c>
      <c r="AD249" s="1">
        <f>IFERROR(IF(INT(LEFT(TArticle[[#This Row],[شناسه]]))=3,IF(TArticle[[#This Row],[کد وضعیت سند]]=1,TArticle[مبلغ],0),0),0)</f>
        <v>0</v>
      </c>
      <c r="AE249" s="1">
        <f>IFERROR(IF(((TArticle[[#This Row],[شناسه]]))="4.1.1",IF(TArticle[[#This Row],[کد وضعیت سند]]=1,TArticle[مبلغ],0),0),0)</f>
        <v>0</v>
      </c>
      <c r="AF249" s="1">
        <f>IFERROR(IF(((TArticle[[#This Row],[شناسه]]))="4.1.2",IF(TArticle[[#This Row],[کد وضعیت سند]]=1,TArticle[مبلغ],0),0),0)</f>
        <v>0</v>
      </c>
      <c r="AG249" s="1">
        <f>IFERROR(IF(INT(LEFT(TArticle[[#This Row],[شناسه]]))=1,IF(TArticle[[#This Row],[کد وضعیت سند]]=1,TArticle[مبلغ],0),0),0)</f>
        <v>0</v>
      </c>
      <c r="AH249" s="1">
        <f>IFERROR(IF(INT(LEFT(TArticle[[#This Row],[شناسه]]))=2,IF(TArticle[[#This Row],[کد وضعیت سند]]=1,TArticle[مبلغ],0),0),0)</f>
        <v>0</v>
      </c>
      <c r="AI249" s="1">
        <f>IFERROR(IF((LEFT(TArticle[[#This Row],[شناسه]],3))="5.2",IF(TArticle[[#This Row],[کد وضعیت سند]]=1,TArticle[مبلغ],0),0),0)</f>
        <v>11700</v>
      </c>
      <c r="AJ249" s="1">
        <f>IF(TArticle[[#This Row],[کد وضعیت سند]]=1,1,0)</f>
        <v>1</v>
      </c>
      <c r="AK249" s="1">
        <f>IF(AND(TArticle[[#This Row],[کد وضعیت سند]]&lt;&gt;1,TArticle[[#This Row],[مبلغ]]&lt;&gt;0),1,0)</f>
        <v>0</v>
      </c>
      <c r="AL249" s="51">
        <f>IF(TArticle[[#This Row],[کد بانک]]&gt;0,TArticle[[#This Row],[مانده بانک]]-VLOOKUP(TArticle[[#This Row],[کد بانک]],TBank[],7,FALSE),"")</f>
        <v>88901</v>
      </c>
      <c r="AM249" s="58" t="str">
        <f>LEFT(TArticle[[#This Row],[تاریخ]],7)</f>
        <v>1401-12</v>
      </c>
    </row>
    <row r="250" spans="1:39" hidden="1" x14ac:dyDescent="0.25">
      <c r="A250" s="24" t="s">
        <v>2437</v>
      </c>
      <c r="B250" s="49" t="str">
        <f>VLOOKUP(TArticle[[#This Row],[شناسه]],TAccount[],2,TRUE)</f>
        <v>سود وام گرفته شده</v>
      </c>
      <c r="C250" s="49" t="str">
        <f>VLOOKUP(TArticle[[#This Row],[تاریخ]],TDays[],7,FALSE)</f>
        <v>پنجشنبه</v>
      </c>
      <c r="D250" s="21" t="s">
        <v>533</v>
      </c>
      <c r="E250" s="1">
        <v>702</v>
      </c>
      <c r="F250" s="1">
        <f>TArticle[[#This Row],[مبلغ]]+IFERROR(INT(F249),30181+3667+958)</f>
        <v>94763</v>
      </c>
      <c r="G250" s="49"/>
      <c r="K250" s="21">
        <v>1</v>
      </c>
      <c r="L250" s="171" t="str">
        <f>IF(TArticle[[#This Row],[کد وضعیت سند]]&gt;0,VLOOKUP(TArticle[[#This Row],[کد وضعیت سند]],TDocState[],2,FALSE),"")</f>
        <v>انجام شد</v>
      </c>
      <c r="M250" s="27">
        <v>116.1</v>
      </c>
      <c r="N250" s="171" t="str">
        <f>IF(TArticle[[#This Row],[کد طرف حساب]]&gt;0,VLOOKUP(TArticle[[#This Row],[کد طرف حساب]],TContact[],2,FALSE),"")</f>
        <v>سود امتیازی مهر</v>
      </c>
      <c r="O250" s="61">
        <f>IF(TArticle[[#This Row],[کد طرف حساب]]&gt;0,VLOOKUP(TArticle[[#This Row],[کد طرف حساب]],TContact[],7,FALSE)-SUMIF($M$2:M250,M250,$E$2:$E250),"")</f>
        <v>-702</v>
      </c>
      <c r="P250" s="27" t="str">
        <f>RIGHT(TArticle[[#This Row],[تاریخ]],2)</f>
        <v>04</v>
      </c>
      <c r="Q250" s="27">
        <f>VLOOKUP(TArticle[[#This Row],[تاریخ]],TDays[],16,FALSE)</f>
        <v>50</v>
      </c>
      <c r="R250" s="27" t="str">
        <f>RIGHT(LEFT(TArticle[[#This Row],[تاریخ]],7),2)</f>
        <v>12</v>
      </c>
      <c r="S250" s="27" t="str">
        <f>LEFT(TArticle[[#This Row],[تاریخ]],4)</f>
        <v>1401</v>
      </c>
      <c r="U250" s="21">
        <f>VLOOKUP(TArticle[[#This Row],[شناسه]],TAccount[],7,TRUE)</f>
        <v>8404</v>
      </c>
      <c r="W250" s="21">
        <f>IF(AND(TArticle[[#This Row],[مبلغ]]&gt;0, TArticle[[#This Row],[کد وضعیت سند]]=1),TArticle[[#This Row],[مبلغ]],0)</f>
        <v>702</v>
      </c>
      <c r="X250" s="27">
        <f>IF(AND(TArticle[[#This Row],[مبلغ]]&lt;0,TArticle[[#This Row],[کد وضعیت سند]]=1),0-TArticle[[#This Row],[مبلغ]],0)</f>
        <v>0</v>
      </c>
      <c r="Y250" s="27">
        <v>10</v>
      </c>
      <c r="Z250" s="171" t="str">
        <f>IF(TArticle[[#This Row],[کد بانک]]&gt;0,VLOOKUP(TArticle[[#This Row],[کد بانک]],TBank[],2,FALSE),"")</f>
        <v>نیابتی</v>
      </c>
      <c r="AA250">
        <f>IF(AND(TArticle[[#This Row],[مبلغ]]&lt;0,TArticle[[#This Row],[کد وضعیت سند]]=1),0-TArticle[[#This Row],[مبلغ]],0)</f>
        <v>0</v>
      </c>
      <c r="AB250">
        <f>IF(AND(TArticle[[#This Row],[مبلغ]]&gt;0, TArticle[[#This Row],[کد وضعیت سند]]=1),TArticle[[#This Row],[مبلغ]],0)</f>
        <v>702</v>
      </c>
      <c r="AC250" s="84">
        <f>IF(TArticle[[#This Row],[کد بانک]]&gt;0,VLOOKUP(TArticle[[#This Row],[کد بانک]],TBank[],9,FALSE)+SUMIF($Y$2:Y250,Y250,$E$2:$E250),"")</f>
        <v>702</v>
      </c>
      <c r="AD250" s="1">
        <f>IFERROR(IF(INT(LEFT(TArticle[[#This Row],[شناسه]]))=3,IF(TArticle[[#This Row],[کد وضعیت سند]]=1,TArticle[مبلغ],0),0),0)</f>
        <v>0</v>
      </c>
      <c r="AE250" s="1">
        <f>IFERROR(IF(((TArticle[[#This Row],[شناسه]]))="4.1.1",IF(TArticle[[#This Row],[کد وضعیت سند]]=1,TArticle[مبلغ],0),0),0)</f>
        <v>0</v>
      </c>
      <c r="AF250" s="1">
        <f>IFERROR(IF(((TArticle[[#This Row],[شناسه]]))="4.1.2",IF(TArticle[[#This Row],[کد وضعیت سند]]=1,TArticle[مبلغ],0),0),0)</f>
        <v>0</v>
      </c>
      <c r="AG250" s="1">
        <f>IFERROR(IF(INT(LEFT(TArticle[[#This Row],[شناسه]]))=1,IF(TArticle[[#This Row],[کد وضعیت سند]]=1,TArticle[مبلغ],0),0),0)</f>
        <v>0</v>
      </c>
      <c r="AH250" s="1">
        <f>IFERROR(IF(INT(LEFT(TArticle[[#This Row],[شناسه]]))=2,IF(TArticle[[#This Row],[کد وضعیت سند]]=1,TArticle[مبلغ],0),0),0)</f>
        <v>0</v>
      </c>
      <c r="AI250" s="1">
        <f>IFERROR(IF((LEFT(TArticle[[#This Row],[شناسه]],3))="5.2",IF(TArticle[[#This Row],[کد وضعیت سند]]=1,TArticle[مبلغ],0),0),0)</f>
        <v>702</v>
      </c>
      <c r="AJ250" s="1">
        <f>IF(TArticle[[#This Row],[کد وضعیت سند]]=1,1,0)</f>
        <v>1</v>
      </c>
      <c r="AK250" s="1">
        <f>IF(AND(TArticle[[#This Row],[کد وضعیت سند]]&lt;&gt;1,TArticle[[#This Row],[مبلغ]]&lt;&gt;0),1,0)</f>
        <v>0</v>
      </c>
      <c r="AL250" s="51">
        <f>IF(TArticle[[#This Row],[کد بانک]]&gt;0,TArticle[[#This Row],[مانده بانک]]-VLOOKUP(TArticle[[#This Row],[کد بانک]],TBank[],7,FALSE),"")</f>
        <v>702</v>
      </c>
      <c r="AM250" s="58" t="str">
        <f>LEFT(TArticle[[#This Row],[تاریخ]],7)</f>
        <v>1401-12</v>
      </c>
    </row>
    <row r="251" spans="1:39" hidden="1" x14ac:dyDescent="0.25">
      <c r="A251" s="24" t="s">
        <v>1107</v>
      </c>
      <c r="B251" s="49" t="str">
        <f>VLOOKUP(TArticle[[#This Row],[شناسه]],TAccount[],2,TRUE)</f>
        <v>سود وام</v>
      </c>
      <c r="C251" s="49" t="str">
        <f>VLOOKUP(TArticle[[#This Row],[تاریخ]],TDays[],7,FALSE)</f>
        <v>پنجشنبه</v>
      </c>
      <c r="D251" s="21" t="s">
        <v>533</v>
      </c>
      <c r="E251" s="1">
        <v>-702</v>
      </c>
      <c r="F251" s="1">
        <f>TArticle[[#This Row],[مبلغ]]+IFERROR(INT(F250),30181+3667+958)</f>
        <v>94061</v>
      </c>
      <c r="G251" s="49"/>
      <c r="K251" s="21">
        <v>1</v>
      </c>
      <c r="L251" s="171" t="str">
        <f>IF(TArticle[[#This Row],[کد وضعیت سند]]&gt;0,VLOOKUP(TArticle[[#This Row],[کد وضعیت سند]],TDocState[],2,FALSE),"")</f>
        <v>انجام شد</v>
      </c>
      <c r="N251" s="171" t="str">
        <f>IF(TArticle[[#This Row],[کد طرف حساب]]&gt;0,VLOOKUP(TArticle[[#This Row],[کد طرف حساب]],TContact[],2,FALSE),"")</f>
        <v/>
      </c>
      <c r="O251" s="61" t="str">
        <f>IF(TArticle[[#This Row],[کد طرف حساب]]&gt;0,VLOOKUP(TArticle[[#This Row],[کد طرف حساب]],TContact[],7,FALSE)-SUMIF($M$2:M251,M251,$E$2:$E251),"")</f>
        <v/>
      </c>
      <c r="P251" s="27" t="str">
        <f>RIGHT(TArticle[[#This Row],[تاریخ]],2)</f>
        <v>04</v>
      </c>
      <c r="Q251" s="27">
        <f>VLOOKUP(TArticle[[#This Row],[تاریخ]],TDays[],16,FALSE)</f>
        <v>50</v>
      </c>
      <c r="R251" s="27" t="str">
        <f>RIGHT(LEFT(TArticle[[#This Row],[تاریخ]],7),2)</f>
        <v>12</v>
      </c>
      <c r="S251" s="27" t="str">
        <f>LEFT(TArticle[[#This Row],[تاریخ]],4)</f>
        <v>1401</v>
      </c>
      <c r="U251" s="21">
        <f>VLOOKUP(TArticle[[#This Row],[شناسه]],TAccount[],7,TRUE)</f>
        <v>9163</v>
      </c>
      <c r="W251" s="21">
        <f>IF(AND(TArticle[[#This Row],[مبلغ]]&gt;0, TArticle[[#This Row],[کد وضعیت سند]]=1),TArticle[[#This Row],[مبلغ]],0)</f>
        <v>0</v>
      </c>
      <c r="X251" s="27">
        <f>IF(AND(TArticle[[#This Row],[مبلغ]]&lt;0,TArticle[[#This Row],[کد وضعیت سند]]=1),0-TArticle[[#This Row],[مبلغ]],0)</f>
        <v>702</v>
      </c>
      <c r="Y251" s="27">
        <v>10</v>
      </c>
      <c r="Z251" s="171" t="str">
        <f>IF(TArticle[[#This Row],[کد بانک]]&gt;0,VLOOKUP(TArticle[[#This Row],[کد بانک]],TBank[],2,FALSE),"")</f>
        <v>نیابتی</v>
      </c>
      <c r="AA251">
        <f>IF(AND(TArticle[[#This Row],[مبلغ]]&lt;0,TArticle[[#This Row],[کد وضعیت سند]]=1),0-TArticle[[#This Row],[مبلغ]],0)</f>
        <v>702</v>
      </c>
      <c r="AB251">
        <f>IF(AND(TArticle[[#This Row],[مبلغ]]&gt;0, TArticle[[#This Row],[کد وضعیت سند]]=1),TArticle[[#This Row],[مبلغ]],0)</f>
        <v>0</v>
      </c>
      <c r="AC251" s="84">
        <f>IF(TArticle[[#This Row],[کد بانک]]&gt;0,VLOOKUP(TArticle[[#This Row],[کد بانک]],TBank[],9,FALSE)+SUMIF($Y$2:Y251,Y251,$E$2:$E251),"")</f>
        <v>0</v>
      </c>
      <c r="AD251" s="1">
        <f>IFERROR(IF(INT(LEFT(TArticle[[#This Row],[شناسه]]))=3,IF(TArticle[[#This Row],[کد وضعیت سند]]=1,TArticle[مبلغ],0),0),0)</f>
        <v>-702</v>
      </c>
      <c r="AE251" s="1">
        <f>IFERROR(IF(((TArticle[[#This Row],[شناسه]]))="4.1.1",IF(TArticle[[#This Row],[کد وضعیت سند]]=1,TArticle[مبلغ],0),0),0)</f>
        <v>0</v>
      </c>
      <c r="AF251" s="1">
        <f>IFERROR(IF(((TArticle[[#This Row],[شناسه]]))="4.1.2",IF(TArticle[[#This Row],[کد وضعیت سند]]=1,TArticle[مبلغ],0),0),0)</f>
        <v>0</v>
      </c>
      <c r="AG251" s="1">
        <f>IFERROR(IF(INT(LEFT(TArticle[[#This Row],[شناسه]]))=1,IF(TArticle[[#This Row],[کد وضعیت سند]]=1,TArticle[مبلغ],0),0),0)</f>
        <v>0</v>
      </c>
      <c r="AH251" s="1">
        <f>IFERROR(IF(INT(LEFT(TArticle[[#This Row],[شناسه]]))=2,IF(TArticle[[#This Row],[کد وضعیت سند]]=1,TArticle[مبلغ],0),0),0)</f>
        <v>0</v>
      </c>
      <c r="AI251" s="1">
        <f>IFERROR(IF((LEFT(TArticle[[#This Row],[شناسه]],3))="5.2",IF(TArticle[[#This Row],[کد وضعیت سند]]=1,TArticle[مبلغ],0),0),0)</f>
        <v>0</v>
      </c>
      <c r="AJ251" s="1">
        <f>IF(TArticle[[#This Row],[کد وضعیت سند]]=1,1,0)</f>
        <v>1</v>
      </c>
      <c r="AK251" s="1">
        <f>IF(AND(TArticle[[#This Row],[کد وضعیت سند]]&lt;&gt;1,TArticle[[#This Row],[مبلغ]]&lt;&gt;0),1,0)</f>
        <v>0</v>
      </c>
      <c r="AL251" s="51">
        <f>IF(TArticle[[#This Row],[کد بانک]]&gt;0,TArticle[[#This Row],[مانده بانک]]-VLOOKUP(TArticle[[#This Row],[کد بانک]],TBank[],7,FALSE),"")</f>
        <v>0</v>
      </c>
      <c r="AM251" s="58" t="str">
        <f>LEFT(TArticle[[#This Row],[تاریخ]],7)</f>
        <v>1401-12</v>
      </c>
    </row>
    <row r="252" spans="1:39" hidden="1" x14ac:dyDescent="0.25">
      <c r="A252" s="24" t="s">
        <v>1110</v>
      </c>
      <c r="B252" s="49" t="str">
        <f>VLOOKUP(TArticle[[#This Row],[شناسه]],TAccount[],2,TRUE)</f>
        <v>قسط وام بانکی</v>
      </c>
      <c r="C252" s="49" t="str">
        <f>VLOOKUP(TArticle[[#This Row],[تاریخ]],TDays[],7,FALSE)</f>
        <v>جمعه</v>
      </c>
      <c r="D252" s="21" t="s">
        <v>534</v>
      </c>
      <c r="E252" s="1">
        <v>-104</v>
      </c>
      <c r="F252" s="1">
        <f>TArticle[[#This Row],[مبلغ]]+IFERROR(INT(F251),30181+3667+958)</f>
        <v>93957</v>
      </c>
      <c r="G252" s="49"/>
      <c r="H252" s="21">
        <v>18</v>
      </c>
      <c r="J252" s="65"/>
      <c r="K252" s="49">
        <v>1</v>
      </c>
      <c r="L252" s="171" t="str">
        <f>IF(TArticle[[#This Row],[کد وضعیت سند]]&gt;0,VLOOKUP(TArticle[[#This Row],[کد وضعیت سند]],TDocState[],2,FALSE),"")</f>
        <v>انجام شد</v>
      </c>
      <c r="M252" s="67">
        <v>107</v>
      </c>
      <c r="N252" s="171" t="str">
        <f>IF(TArticle[[#This Row],[کد طرف حساب]]&gt;0,VLOOKUP(TArticle[[#This Row],[کد طرف حساب]],TContact[],2,FALSE),"")</f>
        <v>وام مهرایران ف</v>
      </c>
      <c r="O252" s="68">
        <f>IF(TArticle[[#This Row],[کد طرف حساب]]&gt;0,VLOOKUP(TArticle[[#This Row],[کد طرف حساب]],TContact[],7,FALSE)-SUMIF($M$2:M252,M252,$E$2:$E252),"")</f>
        <v>0</v>
      </c>
      <c r="P252" s="67" t="str">
        <f>RIGHT(TArticle[[#This Row],[تاریخ]],2)</f>
        <v>05</v>
      </c>
      <c r="Q252" s="67">
        <f>VLOOKUP(TArticle[[#This Row],[تاریخ]],TDays[],16,FALSE)</f>
        <v>50</v>
      </c>
      <c r="R252" s="67" t="str">
        <f>RIGHT(LEFT(TArticle[[#This Row],[تاریخ]],7),2)</f>
        <v>12</v>
      </c>
      <c r="S252" s="67" t="str">
        <f>LEFT(TArticle[[#This Row],[تاریخ]],4)</f>
        <v>1401</v>
      </c>
      <c r="T252" s="64"/>
      <c r="U252" s="64">
        <f>VLOOKUP(TArticle[[#This Row],[شناسه]],TAccount[],7,TRUE)</f>
        <v>81652</v>
      </c>
      <c r="V252" s="64" t="s">
        <v>400</v>
      </c>
      <c r="W252" s="64">
        <f>IF(AND(TArticle[[#This Row],[مبلغ]]&gt;0, TArticle[[#This Row],[کد وضعیت سند]]=1),TArticle[[#This Row],[مبلغ]],0)</f>
        <v>0</v>
      </c>
      <c r="X252" s="67">
        <f>IF(AND(TArticle[[#This Row],[مبلغ]]&lt;0,TArticle[[#This Row],[کد وضعیت سند]]=1),0-TArticle[[#This Row],[مبلغ]],0)</f>
        <v>104</v>
      </c>
      <c r="Y252" s="27">
        <v>2</v>
      </c>
      <c r="Z252" s="171" t="str">
        <f>IF(TArticle[[#This Row],[کد بانک]]&gt;0,VLOOKUP(TArticle[[#This Row],[کد بانک]],TBank[],2,FALSE),"")</f>
        <v>ملی جاری</v>
      </c>
      <c r="AA252">
        <f>IF(AND(TArticle[[#This Row],[مبلغ]]&lt;0,TArticle[[#This Row],[کد وضعیت سند]]=1),0-TArticle[[#This Row],[مبلغ]],0)</f>
        <v>104</v>
      </c>
      <c r="AB252">
        <f>IF(AND(TArticle[[#This Row],[مبلغ]]&gt;0, TArticle[[#This Row],[کد وضعیت سند]]=1),TArticle[[#This Row],[مبلغ]],0)</f>
        <v>0</v>
      </c>
      <c r="AC252" s="93">
        <f>IF(TArticle[[#This Row],[کد بانک]]&gt;0,VLOOKUP(TArticle[[#This Row],[کد بانک]],TBank[],9,FALSE)+SUMIF($Y$2:Y252,Y252,$E$2:$E252),"")</f>
        <v>88797</v>
      </c>
      <c r="AD252" s="1">
        <f>IFERROR(IF(INT(LEFT(TArticle[[#This Row],[شناسه]]))=3,IF(TArticle[[#This Row],[کد وضعیت سند]]=1,TArticle[مبلغ],0),0),0)</f>
        <v>0</v>
      </c>
      <c r="AE252" s="1">
        <f>IFERROR(IF(((TArticle[[#This Row],[شناسه]]))="4.1.1",IF(TArticle[[#This Row],[کد وضعیت سند]]=1,TArticle[مبلغ],0),0),0)</f>
        <v>0</v>
      </c>
      <c r="AF252" s="1">
        <f>IFERROR(IF(((TArticle[[#This Row],[شناسه]]))="4.1.2",IF(TArticle[[#This Row],[کد وضعیت سند]]=1,TArticle[مبلغ],0),0),0)</f>
        <v>0</v>
      </c>
      <c r="AG252" s="1">
        <f>IFERROR(IF(INT(LEFT(TArticle[[#This Row],[شناسه]]))=1,IF(TArticle[[#This Row],[کد وضعیت سند]]=1,TArticle[مبلغ],0),0),0)</f>
        <v>-104</v>
      </c>
      <c r="AH252" s="1">
        <f>IFERROR(IF(INT(LEFT(TArticle[[#This Row],[شناسه]]))=2,IF(TArticle[[#This Row],[کد وضعیت سند]]=1,TArticle[مبلغ],0),0),0)</f>
        <v>0</v>
      </c>
      <c r="AI252" s="1">
        <f>IFERROR(IF((LEFT(TArticle[[#This Row],[شناسه]],3))="5.2",IF(TArticle[[#This Row],[کد وضعیت سند]]=1,TArticle[مبلغ],0),0),0)</f>
        <v>0</v>
      </c>
      <c r="AJ252" s="1">
        <f>IF(TArticle[[#This Row],[کد وضعیت سند]]=1,1,0)</f>
        <v>1</v>
      </c>
      <c r="AK252" s="1">
        <f>IF(AND(TArticle[[#This Row],[کد وضعیت سند]]&lt;&gt;1,TArticle[[#This Row],[مبلغ]]&lt;&gt;0),1,0)</f>
        <v>0</v>
      </c>
      <c r="AL252" s="78">
        <f>IF(TArticle[[#This Row],[کد بانک]]&gt;0,TArticle[[#This Row],[مانده بانک]]-VLOOKUP(TArticle[[#This Row],[کد بانک]],TBank[],7,FALSE),"")</f>
        <v>88797</v>
      </c>
      <c r="AM252" s="58" t="str">
        <f>LEFT(TArticle[[#This Row],[تاریخ]],7)</f>
        <v>1401-12</v>
      </c>
    </row>
    <row r="253" spans="1:39" hidden="1" x14ac:dyDescent="0.25">
      <c r="A253" s="24" t="s">
        <v>78</v>
      </c>
      <c r="B253" s="49" t="str">
        <f>VLOOKUP(TArticle[[#This Row],[شناسه]],TAccount[],2,TRUE)</f>
        <v>چک</v>
      </c>
      <c r="C253" s="49" t="str">
        <f>VLOOKUP(TArticle[[#This Row],[تاریخ]],TDays[],7,FALSE)</f>
        <v>جمعه</v>
      </c>
      <c r="D253" s="21" t="s">
        <v>534</v>
      </c>
      <c r="E253" s="1">
        <v>-4000</v>
      </c>
      <c r="F253" s="1">
        <f>TArticle[[#This Row],[مبلغ]]+IFERROR(INT(F252),30181+3667+958)</f>
        <v>89957</v>
      </c>
      <c r="G253" s="49" t="s">
        <v>1674</v>
      </c>
      <c r="H253" s="21">
        <v>3</v>
      </c>
      <c r="K253" s="21">
        <v>1</v>
      </c>
      <c r="L253" s="171" t="str">
        <f>IF(TArticle[[#This Row],[کد وضعیت سند]]&gt;0,VLOOKUP(TArticle[[#This Row],[کد وضعیت سند]],TDocState[],2,FALSE),"")</f>
        <v>انجام شد</v>
      </c>
      <c r="N253" s="171" t="str">
        <f>IF(TArticle[[#This Row],[کد طرف حساب]]&gt;0,VLOOKUP(TArticle[[#This Row],[کد طرف حساب]],TContact[],2,FALSE),"")</f>
        <v/>
      </c>
      <c r="O253" s="61" t="str">
        <f>IF(TArticle[[#This Row],[کد طرف حساب]]&gt;0,VLOOKUP(TArticle[[#This Row],[کد طرف حساب]],TContact[],7,FALSE)-SUMIF($M$2:M253,M253,$E$2:$E253),"")</f>
        <v/>
      </c>
      <c r="P253" s="27" t="str">
        <f>RIGHT(TArticle[[#This Row],[تاریخ]],2)</f>
        <v>05</v>
      </c>
      <c r="Q253" s="27">
        <f>VLOOKUP(TArticle[[#This Row],[تاریخ]],TDays[],16,FALSE)</f>
        <v>50</v>
      </c>
      <c r="R253" s="27" t="str">
        <f>RIGHT(LEFT(TArticle[[#This Row],[تاریخ]],7),2)</f>
        <v>12</v>
      </c>
      <c r="S253" s="27" t="str">
        <f>LEFT(TArticle[[#This Row],[تاریخ]],4)</f>
        <v>1401</v>
      </c>
      <c r="U253" s="21">
        <f>VLOOKUP(TArticle[[#This Row],[شناسه]],TAccount[],7,TRUE)</f>
        <v>57000</v>
      </c>
      <c r="W253" s="21">
        <f>IF(AND(TArticle[[#This Row],[مبلغ]]&gt;0, TArticle[[#This Row],[کد وضعیت سند]]=1),TArticle[[#This Row],[مبلغ]],0)</f>
        <v>0</v>
      </c>
      <c r="X253" s="27">
        <f>IF(AND(TArticle[[#This Row],[مبلغ]]&lt;0,TArticle[[#This Row],[کد وضعیت سند]]=1),0-TArticle[[#This Row],[مبلغ]],0)</f>
        <v>4000</v>
      </c>
      <c r="Y253" s="27">
        <v>4</v>
      </c>
      <c r="Z253" s="171" t="str">
        <f>IF(TArticle[[#This Row],[کد بانک]]&gt;0,VLOOKUP(TArticle[[#This Row],[کد بانک]],TBank[],2,FALSE),"")</f>
        <v>سپه</v>
      </c>
      <c r="AA253">
        <f>IF(AND(TArticle[[#This Row],[مبلغ]]&lt;0,TArticle[[#This Row],[کد وضعیت سند]]=1),0-TArticle[[#This Row],[مبلغ]],0)</f>
        <v>4000</v>
      </c>
      <c r="AB253">
        <f>IF(AND(TArticle[[#This Row],[مبلغ]]&gt;0, TArticle[[#This Row],[کد وضعیت سند]]=1),TArticle[[#This Row],[مبلغ]],0)</f>
        <v>0</v>
      </c>
      <c r="AC253" s="84">
        <f>IF(TArticle[[#This Row],[کد بانک]]&gt;0,VLOOKUP(TArticle[[#This Row],[کد بانک]],TBank[],9,FALSE)+SUMIF($Y$2:Y253,Y253,$E$2:$E253),"")</f>
        <v>2</v>
      </c>
      <c r="AD253" s="1">
        <f>IFERROR(IF(INT(LEFT(TArticle[[#This Row],[شناسه]]))=3,IF(TArticle[[#This Row],[کد وضعیت سند]]=1,TArticle[مبلغ],0),0),0)</f>
        <v>0</v>
      </c>
      <c r="AE253" s="1">
        <f>IFERROR(IF(((TArticle[[#This Row],[شناسه]]))="4.1.1",IF(TArticle[[#This Row],[کد وضعیت سند]]=1,TArticle[مبلغ],0),0),0)</f>
        <v>0</v>
      </c>
      <c r="AF253" s="1">
        <f>IFERROR(IF(((TArticle[[#This Row],[شناسه]]))="4.1.2",IF(TArticle[[#This Row],[کد وضعیت سند]]=1,TArticle[مبلغ],0),0),0)</f>
        <v>0</v>
      </c>
      <c r="AG253" s="1">
        <f>IFERROR(IF(INT(LEFT(TArticle[[#This Row],[شناسه]]))=1,IF(TArticle[[#This Row],[کد وضعیت سند]]=1,TArticle[مبلغ],0),0),0)</f>
        <v>-4000</v>
      </c>
      <c r="AH253" s="1">
        <f>IFERROR(IF(INT(LEFT(TArticle[[#This Row],[شناسه]]))=2,IF(TArticle[[#This Row],[کد وضعیت سند]]=1,TArticle[مبلغ],0),0),0)</f>
        <v>0</v>
      </c>
      <c r="AI253" s="1">
        <f>IFERROR(IF((LEFT(TArticle[[#This Row],[شناسه]],3))="5.2",IF(TArticle[[#This Row],[کد وضعیت سند]]=1,TArticle[مبلغ],0),0),0)</f>
        <v>0</v>
      </c>
      <c r="AJ253" s="1">
        <f>IF(TArticle[[#This Row],[کد وضعیت سند]]=1,1,0)</f>
        <v>1</v>
      </c>
      <c r="AK253" s="1">
        <f>IF(AND(TArticle[[#This Row],[کد وضعیت سند]]&lt;&gt;1,TArticle[[#This Row],[مبلغ]]&lt;&gt;0),1,0)</f>
        <v>0</v>
      </c>
      <c r="AL253" s="51">
        <f>IF(TArticle[[#This Row],[کد بانک]]&gt;0,TArticle[[#This Row],[مانده بانک]]-VLOOKUP(TArticle[[#This Row],[کد بانک]],TBank[],7,FALSE),"")</f>
        <v>0</v>
      </c>
      <c r="AM253" s="49" t="str">
        <f>LEFT(TArticle[[#This Row],[تاریخ]],7)</f>
        <v>1401-12</v>
      </c>
    </row>
    <row r="254" spans="1:39" hidden="1" x14ac:dyDescent="0.25">
      <c r="A254" s="24" t="s">
        <v>78</v>
      </c>
      <c r="B254" s="49" t="str">
        <f>VLOOKUP(TArticle[[#This Row],[شناسه]],TAccount[],2,TRUE)</f>
        <v>چک</v>
      </c>
      <c r="C254" s="49" t="str">
        <f>VLOOKUP(TArticle[[#This Row],[تاریخ]],TDays[],7,FALSE)</f>
        <v>جمعه</v>
      </c>
      <c r="D254" s="21" t="s">
        <v>534</v>
      </c>
      <c r="E254" s="1">
        <v>-5000</v>
      </c>
      <c r="F254" s="1">
        <f>TArticle[[#This Row],[مبلغ]]+IFERROR(INT(F253),30181+3667+958)</f>
        <v>84957</v>
      </c>
      <c r="G254" s="49" t="s">
        <v>53</v>
      </c>
      <c r="H254" s="49">
        <v>131256</v>
      </c>
      <c r="J254" s="65"/>
      <c r="K254" s="64">
        <v>1</v>
      </c>
      <c r="L254" s="171" t="str">
        <f>IF(TArticle[[#This Row],[کد وضعیت سند]]&gt;0,VLOOKUP(TArticle[[#This Row],[کد وضعیت سند]],TDocState[],2,FALSE),"")</f>
        <v>انجام شد</v>
      </c>
      <c r="M254" s="67"/>
      <c r="N254" s="171" t="str">
        <f>IF(TArticle[[#This Row],[کد طرف حساب]]&gt;0,VLOOKUP(TArticle[[#This Row],[کد طرف حساب]],TContact[],2,FALSE),"")</f>
        <v/>
      </c>
      <c r="O254" s="68" t="str">
        <f>IF(TArticle[[#This Row],[کد طرف حساب]]&gt;0,VLOOKUP(TArticle[[#This Row],[کد طرف حساب]],TContact[],7,FALSE)-SUMIF($M$2:M254,M254,$E$2:$E254),"")</f>
        <v/>
      </c>
      <c r="P254" s="67" t="str">
        <f>RIGHT(TArticle[[#This Row],[تاریخ]],2)</f>
        <v>05</v>
      </c>
      <c r="Q254" s="67">
        <f>VLOOKUP(TArticle[[#This Row],[تاریخ]],TDays[],16,FALSE)</f>
        <v>50</v>
      </c>
      <c r="R254" s="67" t="str">
        <f>RIGHT(LEFT(TArticle[[#This Row],[تاریخ]],7),2)</f>
        <v>12</v>
      </c>
      <c r="S254" s="67" t="str">
        <f>LEFT(TArticle[[#This Row],[تاریخ]],4)</f>
        <v>1401</v>
      </c>
      <c r="T254" s="64"/>
      <c r="U254" s="64">
        <f>VLOOKUP(TArticle[[#This Row],[شناسه]],TAccount[],7,TRUE)</f>
        <v>57000</v>
      </c>
      <c r="V254" s="64"/>
      <c r="W254" s="64">
        <f>IF(AND(TArticle[[#This Row],[مبلغ]]&gt;0, TArticle[[#This Row],[کد وضعیت سند]]=1),TArticle[[#This Row],[مبلغ]],0)</f>
        <v>0</v>
      </c>
      <c r="X254" s="67">
        <f>IF(AND(TArticle[[#This Row],[مبلغ]]&lt;0,TArticle[[#This Row],[کد وضعیت سند]]=1),0-TArticle[[#This Row],[مبلغ]],0)</f>
        <v>5000</v>
      </c>
      <c r="Y254" s="27">
        <v>2</v>
      </c>
      <c r="Z254" s="171" t="str">
        <f>IF(TArticle[[#This Row],[کد بانک]]&gt;0,VLOOKUP(TArticle[[#This Row],[کد بانک]],TBank[],2,FALSE),"")</f>
        <v>ملی جاری</v>
      </c>
      <c r="AA254">
        <f>IF(AND(TArticle[[#This Row],[مبلغ]]&lt;0,TArticle[[#This Row],[کد وضعیت سند]]=1),0-TArticle[[#This Row],[مبلغ]],0)</f>
        <v>5000</v>
      </c>
      <c r="AB254">
        <f>IF(AND(TArticle[[#This Row],[مبلغ]]&gt;0, TArticle[[#This Row],[کد وضعیت سند]]=1),TArticle[[#This Row],[مبلغ]],0)</f>
        <v>0</v>
      </c>
      <c r="AC254" s="93">
        <f>IF(TArticle[[#This Row],[کد بانک]]&gt;0,VLOOKUP(TArticle[[#This Row],[کد بانک]],TBank[],9,FALSE)+SUMIF($Y$2:Y254,Y254,$E$2:$E254),"")</f>
        <v>83797</v>
      </c>
      <c r="AD254" s="1">
        <f>IFERROR(IF(INT(LEFT(TArticle[[#This Row],[شناسه]]))=3,IF(TArticle[[#This Row],[کد وضعیت سند]]=1,TArticle[مبلغ],0),0),0)</f>
        <v>0</v>
      </c>
      <c r="AE254" s="1">
        <f>IFERROR(IF(((TArticle[[#This Row],[شناسه]]))="4.1.1",IF(TArticle[[#This Row],[کد وضعیت سند]]=1,TArticle[مبلغ],0),0),0)</f>
        <v>0</v>
      </c>
      <c r="AF254" s="1">
        <f>IFERROR(IF(((TArticle[[#This Row],[شناسه]]))="4.1.2",IF(TArticle[[#This Row],[کد وضعیت سند]]=1,TArticle[مبلغ],0),0),0)</f>
        <v>0</v>
      </c>
      <c r="AG254" s="1">
        <f>IFERROR(IF(INT(LEFT(TArticle[[#This Row],[شناسه]]))=1,IF(TArticle[[#This Row],[کد وضعیت سند]]=1,TArticle[مبلغ],0),0),0)</f>
        <v>-5000</v>
      </c>
      <c r="AH254" s="1">
        <f>IFERROR(IF(INT(LEFT(TArticle[[#This Row],[شناسه]]))=2,IF(TArticle[[#This Row],[کد وضعیت سند]]=1,TArticle[مبلغ],0),0),0)</f>
        <v>0</v>
      </c>
      <c r="AI254" s="1">
        <f>IFERROR(IF((LEFT(TArticle[[#This Row],[شناسه]],3))="5.2",IF(TArticle[[#This Row],[کد وضعیت سند]]=1,TArticle[مبلغ],0),0),0)</f>
        <v>0</v>
      </c>
      <c r="AJ254" s="1">
        <f>IF(TArticle[[#This Row],[کد وضعیت سند]]=1,1,0)</f>
        <v>1</v>
      </c>
      <c r="AK254" s="1">
        <f>IF(AND(TArticle[[#This Row],[کد وضعیت سند]]&lt;&gt;1,TArticle[[#This Row],[مبلغ]]&lt;&gt;0),1,0)</f>
        <v>0</v>
      </c>
      <c r="AL254" s="78">
        <f>IF(TArticle[[#This Row],[کد بانک]]&gt;0,TArticle[[#This Row],[مانده بانک]]-VLOOKUP(TArticle[[#This Row],[کد بانک]],TBank[],7,FALSE),"")</f>
        <v>83797</v>
      </c>
      <c r="AM254" s="69" t="str">
        <f>LEFT(TArticle[[#This Row],[تاریخ]],7)</f>
        <v>1401-12</v>
      </c>
    </row>
    <row r="255" spans="1:39" hidden="1" x14ac:dyDescent="0.25">
      <c r="A255" s="24" t="s">
        <v>1110</v>
      </c>
      <c r="B255" s="49" t="str">
        <f>VLOOKUP(TArticle[[#This Row],[شناسه]],TAccount[],2,TRUE)</f>
        <v>قسط وام بانکی</v>
      </c>
      <c r="C255" s="49" t="str">
        <f>VLOOKUP(TArticle[[#This Row],[تاریخ]],TDays[],7,FALSE)</f>
        <v>شنبه</v>
      </c>
      <c r="D255" s="21" t="s">
        <v>535</v>
      </c>
      <c r="E255" s="1">
        <v>-270</v>
      </c>
      <c r="F255" s="1">
        <f>TArticle[[#This Row],[مبلغ]]+IFERROR(INT(F254),30181+3667+958)</f>
        <v>84687</v>
      </c>
      <c r="G255" s="49" t="s">
        <v>1112</v>
      </c>
      <c r="H255" s="21">
        <v>36</v>
      </c>
      <c r="K255" s="21">
        <v>1</v>
      </c>
      <c r="L255" s="171" t="str">
        <f>IF(TArticle[[#This Row],[کد وضعیت سند]]&gt;0,VLOOKUP(TArticle[[#This Row],[کد وضعیت سند]],TDocState[],2,FALSE),"")</f>
        <v>انجام شد</v>
      </c>
      <c r="M255" s="27">
        <v>104</v>
      </c>
      <c r="N255" s="171" t="str">
        <f>IF(TArticle[[#This Row],[کد طرف حساب]]&gt;0,VLOOKUP(TArticle[[#This Row],[کد طرف حساب]],TContact[],2,FALSE),"")</f>
        <v>وام ملی ف</v>
      </c>
      <c r="O255" s="61">
        <f>IF(TArticle[[#This Row],[کد طرف حساب]]&gt;0,VLOOKUP(TArticle[[#This Row],[کد طرف حساب]],TContact[],7,FALSE)-SUMIF($M$2:M255,M255,$E$2:$E255),"")</f>
        <v>0</v>
      </c>
      <c r="P255" s="27" t="str">
        <f>RIGHT(TArticle[[#This Row],[تاریخ]],2)</f>
        <v>06</v>
      </c>
      <c r="Q255" s="27">
        <f>VLOOKUP(TArticle[[#This Row],[تاریخ]],TDays[],16,FALSE)</f>
        <v>50</v>
      </c>
      <c r="R255" s="27" t="str">
        <f>RIGHT(LEFT(TArticle[[#This Row],[تاریخ]],7),2)</f>
        <v>12</v>
      </c>
      <c r="S255" s="27" t="str">
        <f>LEFT(TArticle[[#This Row],[تاریخ]],4)</f>
        <v>1401</v>
      </c>
      <c r="U255" s="21">
        <f>VLOOKUP(TArticle[[#This Row],[شناسه]],TAccount[],7,TRUE)</f>
        <v>81652</v>
      </c>
      <c r="W255" s="21">
        <f>IF(AND(TArticle[[#This Row],[مبلغ]]&gt;0, TArticle[[#This Row],[کد وضعیت سند]]=1),TArticle[[#This Row],[مبلغ]],0)</f>
        <v>0</v>
      </c>
      <c r="X255" s="27">
        <f>IF(AND(TArticle[[#This Row],[مبلغ]]&lt;0,TArticle[[#This Row],[کد وضعیت سند]]=1),0-TArticle[[#This Row],[مبلغ]],0)</f>
        <v>270</v>
      </c>
      <c r="Y255" s="27">
        <v>2</v>
      </c>
      <c r="Z255" s="171" t="str">
        <f>IF(TArticle[[#This Row],[کد بانک]]&gt;0,VLOOKUP(TArticle[[#This Row],[کد بانک]],TBank[],2,FALSE),"")</f>
        <v>ملی جاری</v>
      </c>
      <c r="AA255">
        <f>IF(AND(TArticle[[#This Row],[مبلغ]]&lt;0,TArticle[[#This Row],[کد وضعیت سند]]=1),0-TArticle[[#This Row],[مبلغ]],0)</f>
        <v>270</v>
      </c>
      <c r="AB255">
        <f>IF(AND(TArticle[[#This Row],[مبلغ]]&gt;0, TArticle[[#This Row],[کد وضعیت سند]]=1),TArticle[[#This Row],[مبلغ]],0)</f>
        <v>0</v>
      </c>
      <c r="AC255" s="84">
        <f>IF(TArticle[[#This Row],[کد بانک]]&gt;0,VLOOKUP(TArticle[[#This Row],[کد بانک]],TBank[],9,FALSE)+SUMIF($Y$2:Y255,Y255,$E$2:$E255),"")</f>
        <v>83527</v>
      </c>
      <c r="AD255" s="1">
        <f>IFERROR(IF(INT(LEFT(TArticle[[#This Row],[شناسه]]))=3,IF(TArticle[[#This Row],[کد وضعیت سند]]=1,TArticle[مبلغ],0),0),0)</f>
        <v>0</v>
      </c>
      <c r="AE255" s="1">
        <f>IFERROR(IF(((TArticle[[#This Row],[شناسه]]))="4.1.1",IF(TArticle[[#This Row],[کد وضعیت سند]]=1,TArticle[مبلغ],0),0),0)</f>
        <v>0</v>
      </c>
      <c r="AF255" s="1">
        <f>IFERROR(IF(((TArticle[[#This Row],[شناسه]]))="4.1.2",IF(TArticle[[#This Row],[کد وضعیت سند]]=1,TArticle[مبلغ],0),0),0)</f>
        <v>0</v>
      </c>
      <c r="AG255" s="1">
        <f>IFERROR(IF(INT(LEFT(TArticle[[#This Row],[شناسه]]))=1,IF(TArticle[[#This Row],[کد وضعیت سند]]=1,TArticle[مبلغ],0),0),0)</f>
        <v>-270</v>
      </c>
      <c r="AH255" s="1">
        <f>IFERROR(IF(INT(LEFT(TArticle[[#This Row],[شناسه]]))=2,IF(TArticle[[#This Row],[کد وضعیت سند]]=1,TArticle[مبلغ],0),0),0)</f>
        <v>0</v>
      </c>
      <c r="AI255" s="1">
        <f>IFERROR(IF((LEFT(TArticle[[#This Row],[شناسه]],3))="5.2",IF(TArticle[[#This Row],[کد وضعیت سند]]=1,TArticle[مبلغ],0),0),0)</f>
        <v>0</v>
      </c>
      <c r="AJ255" s="1">
        <f>IF(TArticle[[#This Row],[کد وضعیت سند]]=1,1,0)</f>
        <v>1</v>
      </c>
      <c r="AK255" s="1">
        <f>IF(AND(TArticle[[#This Row],[کد وضعیت سند]]&lt;&gt;1,TArticle[[#This Row],[مبلغ]]&lt;&gt;0),1,0)</f>
        <v>0</v>
      </c>
      <c r="AL255" s="51">
        <f>IF(TArticle[[#This Row],[کد بانک]]&gt;0,TArticle[[#This Row],[مانده بانک]]-VLOOKUP(TArticle[[#This Row],[کد بانک]],TBank[],7,FALSE),"")</f>
        <v>83527</v>
      </c>
      <c r="AM255" s="58" t="str">
        <f>LEFT(TArticle[[#This Row],[تاریخ]],7)</f>
        <v>1401-12</v>
      </c>
    </row>
    <row r="256" spans="1:39" hidden="1" x14ac:dyDescent="0.25">
      <c r="A256" s="24" t="s">
        <v>1107</v>
      </c>
      <c r="B256" s="49" t="str">
        <f>VLOOKUP(TArticle[[#This Row],[شناسه]],TAccount[],2,TRUE)</f>
        <v>سود وام</v>
      </c>
      <c r="C256" s="49" t="str">
        <f>VLOOKUP(TArticle[[#This Row],[تاریخ]],TDays[],7,FALSE)</f>
        <v>شنبه</v>
      </c>
      <c r="D256" s="21" t="s">
        <v>535</v>
      </c>
      <c r="E256" s="1">
        <v>-91</v>
      </c>
      <c r="F256" s="1">
        <f>TArticle[[#This Row],[مبلغ]]+IFERROR(INT(F255),30181+3667+958)</f>
        <v>84596</v>
      </c>
      <c r="G256" s="49" t="s">
        <v>1112</v>
      </c>
      <c r="H256" s="21">
        <v>36</v>
      </c>
      <c r="K256" s="21">
        <v>1</v>
      </c>
      <c r="L256" s="171" t="str">
        <f>IF(TArticle[[#This Row],[کد وضعیت سند]]&gt;0,VLOOKUP(TArticle[[#This Row],[کد وضعیت سند]],TDocState[],2,FALSE),"")</f>
        <v>انجام شد</v>
      </c>
      <c r="N256" s="171" t="str">
        <f>IF(TArticle[[#This Row],[کد طرف حساب]]&gt;0,VLOOKUP(TArticle[[#This Row],[کد طرف حساب]],TContact[],2,FALSE),"")</f>
        <v/>
      </c>
      <c r="O256" s="61" t="str">
        <f>IF(TArticle[[#This Row],[کد طرف حساب]]&gt;0,VLOOKUP(TArticle[[#This Row],[کد طرف حساب]],TContact[],7,FALSE)-SUMIF($M$2:M256,M256,$E$2:$E256),"")</f>
        <v/>
      </c>
      <c r="P256" s="27" t="str">
        <f>RIGHT(TArticle[[#This Row],[تاریخ]],2)</f>
        <v>06</v>
      </c>
      <c r="Q256" s="27">
        <f>VLOOKUP(TArticle[[#This Row],[تاریخ]],TDays[],16,FALSE)</f>
        <v>50</v>
      </c>
      <c r="R256" s="27" t="str">
        <f>RIGHT(LEFT(TArticle[[#This Row],[تاریخ]],7),2)</f>
        <v>12</v>
      </c>
      <c r="S256" s="27" t="str">
        <f>LEFT(TArticle[[#This Row],[تاریخ]],4)</f>
        <v>1401</v>
      </c>
      <c r="U256" s="21">
        <f>VLOOKUP(TArticle[[#This Row],[شناسه]],TAccount[],7,TRUE)</f>
        <v>9163</v>
      </c>
      <c r="W256" s="21">
        <f>IF(AND(TArticle[[#This Row],[مبلغ]]&gt;0, TArticle[[#This Row],[کد وضعیت سند]]=1),TArticle[[#This Row],[مبلغ]],0)</f>
        <v>0</v>
      </c>
      <c r="X256" s="27">
        <f>IF(AND(TArticle[[#This Row],[مبلغ]]&lt;0,TArticle[[#This Row],[کد وضعیت سند]]=1),0-TArticle[[#This Row],[مبلغ]],0)</f>
        <v>91</v>
      </c>
      <c r="Y256" s="27">
        <v>2</v>
      </c>
      <c r="Z256" s="171" t="str">
        <f>IF(TArticle[[#This Row],[کد بانک]]&gt;0,VLOOKUP(TArticle[[#This Row],[کد بانک]],TBank[],2,FALSE),"")</f>
        <v>ملی جاری</v>
      </c>
      <c r="AA256">
        <f>IF(AND(TArticle[[#This Row],[مبلغ]]&lt;0,TArticle[[#This Row],[کد وضعیت سند]]=1),0-TArticle[[#This Row],[مبلغ]],0)</f>
        <v>91</v>
      </c>
      <c r="AB256">
        <f>IF(AND(TArticle[[#This Row],[مبلغ]]&gt;0, TArticle[[#This Row],[کد وضعیت سند]]=1),TArticle[[#This Row],[مبلغ]],0)</f>
        <v>0</v>
      </c>
      <c r="AC256" s="84">
        <f>IF(TArticle[[#This Row],[کد بانک]]&gt;0,VLOOKUP(TArticle[[#This Row],[کد بانک]],TBank[],9,FALSE)+SUMIF($Y$2:Y256,Y256,$E$2:$E256),"")</f>
        <v>83436</v>
      </c>
      <c r="AD256" s="1">
        <f>IFERROR(IF(INT(LEFT(TArticle[[#This Row],[شناسه]]))=3,IF(TArticle[[#This Row],[کد وضعیت سند]]=1,TArticle[مبلغ],0),0),0)</f>
        <v>-91</v>
      </c>
      <c r="AE256" s="1">
        <f>IFERROR(IF(((TArticle[[#This Row],[شناسه]]))="4.1.1",IF(TArticle[[#This Row],[کد وضعیت سند]]=1,TArticle[مبلغ],0),0),0)</f>
        <v>0</v>
      </c>
      <c r="AF256" s="1">
        <f>IFERROR(IF(((TArticle[[#This Row],[شناسه]]))="4.1.2",IF(TArticle[[#This Row],[کد وضعیت سند]]=1,TArticle[مبلغ],0),0),0)</f>
        <v>0</v>
      </c>
      <c r="AG256" s="1">
        <f>IFERROR(IF(INT(LEFT(TArticle[[#This Row],[شناسه]]))=1,IF(TArticle[[#This Row],[کد وضعیت سند]]=1,TArticle[مبلغ],0),0),0)</f>
        <v>0</v>
      </c>
      <c r="AH256" s="1">
        <f>IFERROR(IF(INT(LEFT(TArticle[[#This Row],[شناسه]]))=2,IF(TArticle[[#This Row],[کد وضعیت سند]]=1,TArticle[مبلغ],0),0),0)</f>
        <v>0</v>
      </c>
      <c r="AI256" s="1">
        <f>IFERROR(IF((LEFT(TArticle[[#This Row],[شناسه]],3))="5.2",IF(TArticle[[#This Row],[کد وضعیت سند]]=1,TArticle[مبلغ],0),0),0)</f>
        <v>0</v>
      </c>
      <c r="AJ256" s="1">
        <f>IF(TArticle[[#This Row],[کد وضعیت سند]]=1,1,0)</f>
        <v>1</v>
      </c>
      <c r="AK256" s="1">
        <f>IF(AND(TArticle[[#This Row],[کد وضعیت سند]]&lt;&gt;1,TArticle[[#This Row],[مبلغ]]&lt;&gt;0),1,0)</f>
        <v>0</v>
      </c>
      <c r="AL256" s="51">
        <f>IF(TArticle[[#This Row],[کد بانک]]&gt;0,TArticle[[#This Row],[مانده بانک]]-VLOOKUP(TArticle[[#This Row],[کد بانک]],TBank[],7,FALSE),"")</f>
        <v>83436</v>
      </c>
      <c r="AM256" s="58" t="str">
        <f>LEFT(TArticle[[#This Row],[تاریخ]],7)</f>
        <v>1401-12</v>
      </c>
    </row>
    <row r="257" spans="1:39" hidden="1" x14ac:dyDescent="0.25">
      <c r="A257" s="24" t="s">
        <v>1110</v>
      </c>
      <c r="B257" s="49" t="str">
        <f>VLOOKUP(TArticle[[#This Row],[شناسه]],TAccount[],2,TRUE)</f>
        <v>قسط وام بانکی</v>
      </c>
      <c r="C257" s="49" t="str">
        <f>VLOOKUP(TArticle[[#This Row],[تاریخ]],TDays[],7,FALSE)</f>
        <v>سه شنبه</v>
      </c>
      <c r="D257" s="21" t="s">
        <v>538</v>
      </c>
      <c r="E257" s="1">
        <v>-2334</v>
      </c>
      <c r="F257" s="1">
        <f>TArticle[[#This Row],[مبلغ]]+IFERROR(INT(F256),30181+3667+958)</f>
        <v>82262</v>
      </c>
      <c r="G257" s="49"/>
      <c r="H257" s="21">
        <v>1</v>
      </c>
      <c r="K257" s="64">
        <v>1</v>
      </c>
      <c r="L257" s="171" t="str">
        <f>IF(TArticle[[#This Row],[کد وضعیت سند]]&gt;0,VLOOKUP(TArticle[[#This Row],[کد وضعیت سند]],TDocState[],2,FALSE),"")</f>
        <v>انجام شد</v>
      </c>
      <c r="M257" s="67">
        <v>114</v>
      </c>
      <c r="N257" s="171" t="str">
        <f>IF(TArticle[[#This Row],[کد طرف حساب]]&gt;0,VLOOKUP(TArticle[[#This Row],[کد طرف حساب]],TContact[],2,FALSE),"")</f>
        <v>وام کارت ملی ف</v>
      </c>
      <c r="O257" s="61">
        <f>IF(TArticle[[#This Row],[کد طرف حساب]]&gt;0,VLOOKUP(TArticle[[#This Row],[کد طرف حساب]],TContact[],7,FALSE)-SUMIF($M$2:M257,M257,$E$2:$E257),"")</f>
        <v>-127842</v>
      </c>
      <c r="P257" s="27" t="str">
        <f>RIGHT(TArticle[[#This Row],[تاریخ]],2)</f>
        <v>09</v>
      </c>
      <c r="Q257" s="27">
        <f>VLOOKUP(TArticle[[#This Row],[تاریخ]],TDays[],16,FALSE)</f>
        <v>51</v>
      </c>
      <c r="R257" s="27" t="str">
        <f>RIGHT(LEFT(TArticle[[#This Row],[تاریخ]],7),2)</f>
        <v>12</v>
      </c>
      <c r="S257" s="27" t="str">
        <f>LEFT(TArticle[[#This Row],[تاریخ]],4)</f>
        <v>1401</v>
      </c>
      <c r="U257" s="21">
        <f>VLOOKUP(TArticle[[#This Row],[شناسه]],TAccount[],7,TRUE)</f>
        <v>81652</v>
      </c>
      <c r="W257" s="21">
        <f>IF(AND(TArticle[[#This Row],[مبلغ]]&gt;0, TArticle[[#This Row],[کد وضعیت سند]]=1),TArticle[[#This Row],[مبلغ]],0)</f>
        <v>0</v>
      </c>
      <c r="X257" s="27">
        <f>IF(AND(TArticle[[#This Row],[مبلغ]]&lt;0,TArticle[[#This Row],[کد وضعیت سند]]=1),0-TArticle[[#This Row],[مبلغ]],0)</f>
        <v>2334</v>
      </c>
      <c r="Y257" s="27">
        <v>2</v>
      </c>
      <c r="Z257" s="171" t="str">
        <f>IF(TArticle[[#This Row],[کد بانک]]&gt;0,VLOOKUP(TArticle[[#This Row],[کد بانک]],TBank[],2,FALSE),"")</f>
        <v>ملی جاری</v>
      </c>
      <c r="AA257">
        <f>IF(AND(TArticle[[#This Row],[مبلغ]]&lt;0,TArticle[[#This Row],[کد وضعیت سند]]=1),0-TArticle[[#This Row],[مبلغ]],0)</f>
        <v>2334</v>
      </c>
      <c r="AB257">
        <f>IF(AND(TArticle[[#This Row],[مبلغ]]&gt;0, TArticle[[#This Row],[کد وضعیت سند]]=1),TArticle[[#This Row],[مبلغ]],0)</f>
        <v>0</v>
      </c>
      <c r="AC257" s="84">
        <f>IF(TArticle[[#This Row],[کد بانک]]&gt;0,VLOOKUP(TArticle[[#This Row],[کد بانک]],TBank[],9,FALSE)+SUMIF($Y$2:Y257,Y257,$E$2:$E257),"")</f>
        <v>81102</v>
      </c>
      <c r="AD257" s="1">
        <f>IFERROR(IF(INT(LEFT(TArticle[[#This Row],[شناسه]]))=3,IF(TArticle[[#This Row],[کد وضعیت سند]]=1,TArticle[مبلغ],0),0),0)</f>
        <v>0</v>
      </c>
      <c r="AE257" s="1">
        <f>IFERROR(IF(((TArticle[[#This Row],[شناسه]]))="4.1.1",IF(TArticle[[#This Row],[کد وضعیت سند]]=1,TArticle[مبلغ],0),0),0)</f>
        <v>0</v>
      </c>
      <c r="AF257" s="1">
        <f>IFERROR(IF(((TArticle[[#This Row],[شناسه]]))="4.1.2",IF(TArticle[[#This Row],[کد وضعیت سند]]=1,TArticle[مبلغ],0),0),0)</f>
        <v>0</v>
      </c>
      <c r="AG257" s="1">
        <f>IFERROR(IF(INT(LEFT(TArticle[[#This Row],[شناسه]]))=1,IF(TArticle[[#This Row],[کد وضعیت سند]]=1,TArticle[مبلغ],0),0),0)</f>
        <v>-2334</v>
      </c>
      <c r="AH257" s="1">
        <f>IFERROR(IF(INT(LEFT(TArticle[[#This Row],[شناسه]]))=2,IF(TArticle[[#This Row],[کد وضعیت سند]]=1,TArticle[مبلغ],0),0),0)</f>
        <v>0</v>
      </c>
      <c r="AI257" s="1">
        <f>IFERROR(IF((LEFT(TArticle[[#This Row],[شناسه]],3))="5.2",IF(TArticle[[#This Row],[کد وضعیت سند]]=1,TArticle[مبلغ],0),0),0)</f>
        <v>0</v>
      </c>
      <c r="AJ257" s="1">
        <f>IF(TArticle[[#This Row],[کد وضعیت سند]]=1,1,0)</f>
        <v>1</v>
      </c>
      <c r="AK257" s="1">
        <f>IF(AND(TArticle[[#This Row],[کد وضعیت سند]]&lt;&gt;1,TArticle[[#This Row],[مبلغ]]&lt;&gt;0),1,0)</f>
        <v>0</v>
      </c>
      <c r="AL257" s="51">
        <f>IF(TArticle[[#This Row],[کد بانک]]&gt;0,TArticle[[#This Row],[مانده بانک]]-VLOOKUP(TArticle[[#This Row],[کد بانک]],TBank[],7,FALSE),"")</f>
        <v>81102</v>
      </c>
      <c r="AM257" s="58" t="str">
        <f>LEFT(TArticle[[#This Row],[تاریخ]],7)</f>
        <v>1401-12</v>
      </c>
    </row>
    <row r="258" spans="1:39" hidden="1" x14ac:dyDescent="0.25">
      <c r="A258" s="24" t="s">
        <v>1209</v>
      </c>
      <c r="B258" s="49" t="str">
        <f>VLOOKUP(TArticle[[#This Row],[شناسه]],TAccount[],2,TRUE)</f>
        <v>حقوق پاداش</v>
      </c>
      <c r="C258" s="49" t="str">
        <f>VLOOKUP(TArticle[[#This Row],[تاریخ]],TDays[],7,FALSE)</f>
        <v>سه شنبه</v>
      </c>
      <c r="D258" s="21" t="s">
        <v>538</v>
      </c>
      <c r="E258" s="1">
        <v>1383</v>
      </c>
      <c r="F258" s="1">
        <f>TArticle[[#This Row],[مبلغ]]+IFERROR(INT(F257),30181+3667+958)</f>
        <v>83645</v>
      </c>
      <c r="G258" s="49"/>
      <c r="J258" s="51"/>
      <c r="K258" s="64">
        <v>1</v>
      </c>
      <c r="L258" s="171" t="str">
        <f>IF(TArticle[[#This Row],[کد وضعیت سند]]&gt;0,VLOOKUP(TArticle[[#This Row],[کد وضعیت سند]],TDocState[],2,FALSE),"")</f>
        <v>انجام شد</v>
      </c>
      <c r="N258" s="171" t="str">
        <f>IF(TArticle[[#This Row],[کد طرف حساب]]&gt;0,VLOOKUP(TArticle[[#This Row],[کد طرف حساب]],TContact[],2,FALSE),"")</f>
        <v/>
      </c>
      <c r="O258" s="60" t="str">
        <f>IF(TArticle[[#This Row],[کد طرف حساب]]&gt;0,VLOOKUP(TArticle[[#This Row],[کد طرف حساب]],TContact[],7,FALSE)-SUMIF($M$2:M258,M258,$E$2:$E258),"")</f>
        <v/>
      </c>
      <c r="P258" s="27" t="str">
        <f>RIGHT(TArticle[[#This Row],[تاریخ]],2)</f>
        <v>09</v>
      </c>
      <c r="Q258" s="27">
        <f>VLOOKUP(TArticle[[#This Row],[تاریخ]],TDays[],16,FALSE)</f>
        <v>51</v>
      </c>
      <c r="R258" s="27" t="str">
        <f>RIGHT(LEFT(TArticle[[#This Row],[تاریخ]],7),2)</f>
        <v>12</v>
      </c>
      <c r="S258" s="27" t="str">
        <f>LEFT(TArticle[[#This Row],[تاریخ]],4)</f>
        <v>1401</v>
      </c>
      <c r="U258" s="21">
        <f>VLOOKUP(TArticle[[#This Row],[شناسه]],TAccount[],7,TRUE)</f>
        <v>35873</v>
      </c>
      <c r="W258" s="21">
        <f>IF(AND(TArticle[[#This Row],[مبلغ]]&gt;0, TArticle[[#This Row],[کد وضعیت سند]]=1),TArticle[[#This Row],[مبلغ]],0)</f>
        <v>1383</v>
      </c>
      <c r="X258" s="27">
        <f>IF(AND(TArticle[[#This Row],[مبلغ]]&lt;0,TArticle[[#This Row],[کد وضعیت سند]]=1),0-TArticle[[#This Row],[مبلغ]],0)</f>
        <v>0</v>
      </c>
      <c r="Y258" s="27">
        <v>30</v>
      </c>
      <c r="Z258" s="171" t="str">
        <f>IF(TArticle[[#This Row],[کد بانک]]&gt;0,VLOOKUP(TArticle[[#This Row],[کد بانک]],TBank[],2,FALSE),"")</f>
        <v>بن کارت</v>
      </c>
      <c r="AA258">
        <f>IF(AND(TArticle[[#This Row],[مبلغ]]&lt;0,TArticle[[#This Row],[کد وضعیت سند]]=1),0-TArticle[[#This Row],[مبلغ]],0)</f>
        <v>0</v>
      </c>
      <c r="AB258">
        <f>IF(AND(TArticle[[#This Row],[مبلغ]]&gt;0, TArticle[[#This Row],[کد وضعیت سند]]=1),TArticle[[#This Row],[مبلغ]],0)</f>
        <v>1383</v>
      </c>
      <c r="AC258" s="92">
        <f>IF(TArticle[[#This Row],[کد بانک]]&gt;0,VLOOKUP(TArticle[[#This Row],[کد بانک]],TBank[],9,FALSE)+SUMIF($Y$2:Y258,Y258,$E$2:$E258),"")</f>
        <v>1701</v>
      </c>
      <c r="AD258" s="1">
        <f>IFERROR(IF(INT(LEFT(TArticle[[#This Row],[شناسه]]))=3,IF(TArticle[[#This Row],[کد وضعیت سند]]=1,TArticle[مبلغ],0),0),0)</f>
        <v>0</v>
      </c>
      <c r="AE258" s="1">
        <f>IFERROR(IF(((TArticle[[#This Row],[شناسه]]))="4.1.1",IF(TArticle[[#This Row],[کد وضعیت سند]]=1,TArticle[مبلغ],0),0),0)</f>
        <v>0</v>
      </c>
      <c r="AF258" s="1">
        <f>IFERROR(IF(((TArticle[[#This Row],[شناسه]]))="4.1.2",IF(TArticle[[#This Row],[کد وضعیت سند]]=1,TArticle[مبلغ],0),0),0)</f>
        <v>0</v>
      </c>
      <c r="AG258" s="1">
        <f>IFERROR(IF(INT(LEFT(TArticle[[#This Row],[شناسه]]))=1,IF(TArticle[[#This Row],[کد وضعیت سند]]=1,TArticle[مبلغ],0),0),0)</f>
        <v>0</v>
      </c>
      <c r="AH258" s="1">
        <f>IFERROR(IF(INT(LEFT(TArticle[[#This Row],[شناسه]]))=2,IF(TArticle[[#This Row],[کد وضعیت سند]]=1,TArticle[مبلغ],0),0),0)</f>
        <v>0</v>
      </c>
      <c r="AI258" s="1">
        <f>IFERROR(IF((LEFT(TArticle[[#This Row],[شناسه]],3))="5.2",IF(TArticle[[#This Row],[کد وضعیت سند]]=1,TArticle[مبلغ],0),0),0)</f>
        <v>0</v>
      </c>
      <c r="AJ258" s="1">
        <f>IF(TArticle[[#This Row],[کد وضعیت سند]]=1,1,0)</f>
        <v>1</v>
      </c>
      <c r="AK258" s="1">
        <f>IF(AND(TArticle[[#This Row],[کد وضعیت سند]]&lt;&gt;1,TArticle[[#This Row],[مبلغ]]&lt;&gt;0),1,0)</f>
        <v>0</v>
      </c>
      <c r="AL258" s="51">
        <f>IF(TArticle[[#This Row],[کد بانک]]&gt;0,TArticle[[#This Row],[مانده بانک]]-VLOOKUP(TArticle[[#This Row],[کد بانک]],TBank[],7,FALSE),"")</f>
        <v>1701</v>
      </c>
      <c r="AM258" s="58" t="str">
        <f>LEFT(TArticle[[#This Row],[تاریخ]],7)</f>
        <v>1401-12</v>
      </c>
    </row>
    <row r="259" spans="1:39" hidden="1" x14ac:dyDescent="0.25">
      <c r="A259" s="24" t="s">
        <v>1211</v>
      </c>
      <c r="B259" s="49" t="str">
        <f>VLOOKUP(TArticle[[#This Row],[شناسه]],TAccount[],2,TRUE)</f>
        <v>عیدی-سنوات</v>
      </c>
      <c r="C259" s="49" t="str">
        <f>VLOOKUP(TArticle[[#This Row],[تاریخ]],TDays[],7,FALSE)</f>
        <v>چهارشنبه</v>
      </c>
      <c r="D259" s="21" t="s">
        <v>539</v>
      </c>
      <c r="E259" s="1">
        <v>10457</v>
      </c>
      <c r="F259" s="1">
        <f>TArticle[[#This Row],[مبلغ]]+IFERROR(INT(F258),30181+3667+958)</f>
        <v>94102</v>
      </c>
      <c r="G259" s="49"/>
      <c r="J259" s="65"/>
      <c r="K259" s="49">
        <v>1</v>
      </c>
      <c r="L259" s="171" t="str">
        <f>IF(TArticle[[#This Row],[کد وضعیت سند]]&gt;0,VLOOKUP(TArticle[[#This Row],[کد وضعیت سند]],TDocState[],2,FALSE),"")</f>
        <v>انجام شد</v>
      </c>
      <c r="M259" s="67"/>
      <c r="N259" s="171" t="str">
        <f>IF(TArticle[[#This Row],[کد طرف حساب]]&gt;0,VLOOKUP(TArticle[[#This Row],[کد طرف حساب]],TContact[],2,FALSE),"")</f>
        <v/>
      </c>
      <c r="O259" s="68" t="str">
        <f>IF(TArticle[[#This Row],[کد طرف حساب]]&gt;0,VLOOKUP(TArticle[[#This Row],[کد طرف حساب]],TContact[],7,FALSE)-SUMIF($M$2:M259,M259,$E$2:$E259),"")</f>
        <v/>
      </c>
      <c r="P259" s="67" t="str">
        <f>RIGHT(TArticle[[#This Row],[تاریخ]],2)</f>
        <v>10</v>
      </c>
      <c r="Q259" s="67">
        <f>VLOOKUP(TArticle[[#This Row],[تاریخ]],TDays[],16,FALSE)</f>
        <v>51</v>
      </c>
      <c r="R259" s="67" t="str">
        <f>RIGHT(LEFT(TArticle[[#This Row],[تاریخ]],7),2)</f>
        <v>12</v>
      </c>
      <c r="S259" s="67" t="str">
        <f>LEFT(TArticle[[#This Row],[تاریخ]],4)</f>
        <v>1401</v>
      </c>
      <c r="T259" s="64"/>
      <c r="U259" s="64">
        <f>VLOOKUP(TArticle[[#This Row],[شناسه]],TAccount[],7,TRUE)</f>
        <v>10457</v>
      </c>
      <c r="V259" s="64"/>
      <c r="W259" s="64">
        <f>IF(AND(TArticle[[#This Row],[مبلغ]]&gt;0, TArticle[[#This Row],[کد وضعیت سند]]=1),TArticle[[#This Row],[مبلغ]],0)</f>
        <v>10457</v>
      </c>
      <c r="X259" s="67">
        <f>IF(AND(TArticle[[#This Row],[مبلغ]]&lt;0,TArticle[[#This Row],[کد وضعیت سند]]=1),0-TArticle[[#This Row],[مبلغ]],0)</f>
        <v>0</v>
      </c>
      <c r="Y259" s="27">
        <v>2</v>
      </c>
      <c r="Z259" s="171" t="str">
        <f>IF(TArticle[[#This Row],[کد بانک]]&gt;0,VLOOKUP(TArticle[[#This Row],[کد بانک]],TBank[],2,FALSE),"")</f>
        <v>ملی جاری</v>
      </c>
      <c r="AA259">
        <f>IF(AND(TArticle[[#This Row],[مبلغ]]&lt;0,TArticle[[#This Row],[کد وضعیت سند]]=1),0-TArticle[[#This Row],[مبلغ]],0)</f>
        <v>0</v>
      </c>
      <c r="AB259">
        <f>IF(AND(TArticle[[#This Row],[مبلغ]]&gt;0, TArticle[[#This Row],[کد وضعیت سند]]=1),TArticle[[#This Row],[مبلغ]],0)</f>
        <v>10457</v>
      </c>
      <c r="AC259" s="93">
        <f>IF(TArticle[[#This Row],[کد بانک]]&gt;0,VLOOKUP(TArticle[[#This Row],[کد بانک]],TBank[],9,FALSE)+SUMIF($Y$2:Y259,Y259,$E$2:$E259),"")</f>
        <v>91559</v>
      </c>
      <c r="AD259" s="1">
        <f>IFERROR(IF(INT(LEFT(TArticle[[#This Row],[شناسه]]))=3,IF(TArticle[[#This Row],[کد وضعیت سند]]=1,TArticle[مبلغ],0),0),0)</f>
        <v>0</v>
      </c>
      <c r="AE259" s="1">
        <f>IFERROR(IF(((TArticle[[#This Row],[شناسه]]))="4.1.1",IF(TArticle[[#This Row],[کد وضعیت سند]]=1,TArticle[مبلغ],0),0),0)</f>
        <v>0</v>
      </c>
      <c r="AF259" s="1">
        <f>IFERROR(IF(((TArticle[[#This Row],[شناسه]]))="4.1.2",IF(TArticle[[#This Row],[کد وضعیت سند]]=1,TArticle[مبلغ],0),0),0)</f>
        <v>0</v>
      </c>
      <c r="AG259" s="1">
        <f>IFERROR(IF(INT(LEFT(TArticle[[#This Row],[شناسه]]))=1,IF(TArticle[[#This Row],[کد وضعیت سند]]=1,TArticle[مبلغ],0),0),0)</f>
        <v>0</v>
      </c>
      <c r="AH259" s="1">
        <f>IFERROR(IF(INT(LEFT(TArticle[[#This Row],[شناسه]]))=2,IF(TArticle[[#This Row],[کد وضعیت سند]]=1,TArticle[مبلغ],0),0),0)</f>
        <v>0</v>
      </c>
      <c r="AI259" s="1">
        <f>IFERROR(IF((LEFT(TArticle[[#This Row],[شناسه]],3))="5.2",IF(TArticle[[#This Row],[کد وضعیت سند]]=1,TArticle[مبلغ],0),0),0)</f>
        <v>0</v>
      </c>
      <c r="AJ259" s="1">
        <f>IF(TArticle[[#This Row],[کد وضعیت سند]]=1,1,0)</f>
        <v>1</v>
      </c>
      <c r="AK259" s="1">
        <f>IF(AND(TArticle[[#This Row],[کد وضعیت سند]]&lt;&gt;1,TArticle[[#This Row],[مبلغ]]&lt;&gt;0),1,0)</f>
        <v>0</v>
      </c>
      <c r="AL259" s="78">
        <f>IF(TArticle[[#This Row],[کد بانک]]&gt;0,TArticle[[#This Row],[مانده بانک]]-VLOOKUP(TArticle[[#This Row],[کد بانک]],TBank[],7,FALSE),"")</f>
        <v>91559</v>
      </c>
      <c r="AM259" s="69" t="str">
        <f>LEFT(TArticle[[#This Row],[تاریخ]],7)</f>
        <v>1401-12</v>
      </c>
    </row>
    <row r="260" spans="1:39" hidden="1" x14ac:dyDescent="0.25">
      <c r="A260" s="24" t="s">
        <v>30</v>
      </c>
      <c r="B260" s="49" t="str">
        <f>VLOOKUP(TArticle[[#This Row],[شناسه]],TAccount[],2,TRUE)</f>
        <v>درمان</v>
      </c>
      <c r="C260" s="49" t="str">
        <f>VLOOKUP(TArticle[[#This Row],[تاریخ]],TDays[],7,FALSE)</f>
        <v>چهارشنبه</v>
      </c>
      <c r="D260" s="21" t="s">
        <v>539</v>
      </c>
      <c r="E260" s="1">
        <v>-20000</v>
      </c>
      <c r="F260" s="1">
        <f>TArticle[[#This Row],[مبلغ]]+IFERROR(INT(F259),30181+3667+958)</f>
        <v>74102</v>
      </c>
      <c r="G260" s="49" t="s">
        <v>2829</v>
      </c>
      <c r="H260" s="64"/>
      <c r="J260" s="65"/>
      <c r="K260" s="64">
        <v>1</v>
      </c>
      <c r="L260" s="171" t="str">
        <f>IF(TArticle[[#This Row],[کد وضعیت سند]]&gt;0,VLOOKUP(TArticle[[#This Row],[کد وضعیت سند]],TDocState[],2,FALSE),"")</f>
        <v>انجام شد</v>
      </c>
      <c r="M260" s="67"/>
      <c r="N260" s="171" t="str">
        <f>IF(TArticle[[#This Row],[کد طرف حساب]]&gt;0,VLOOKUP(TArticle[[#This Row],[کد طرف حساب]],TContact[],2,FALSE),"")</f>
        <v/>
      </c>
      <c r="O260" s="68" t="str">
        <f>IF(TArticle[[#This Row],[کد طرف حساب]]&gt;0,VLOOKUP(TArticle[[#This Row],[کد طرف حساب]],TContact[],7,FALSE)-SUMIF($M$2:M260,M260,$E$2:$E260),"")</f>
        <v/>
      </c>
      <c r="P260" s="67" t="str">
        <f>RIGHT(TArticle[[#This Row],[تاریخ]],2)</f>
        <v>10</v>
      </c>
      <c r="Q260" s="67">
        <f>VLOOKUP(TArticle[[#This Row],[تاریخ]],TDays[],16,FALSE)</f>
        <v>51</v>
      </c>
      <c r="R260" s="67" t="str">
        <f>RIGHT(LEFT(TArticle[[#This Row],[تاریخ]],7),2)</f>
        <v>12</v>
      </c>
      <c r="S260" s="67" t="str">
        <f>LEFT(TArticle[[#This Row],[تاریخ]],4)</f>
        <v>1401</v>
      </c>
      <c r="T260" s="64"/>
      <c r="U260" s="64">
        <f>VLOOKUP(TArticle[[#This Row],[شناسه]],TAccount[],7,TRUE)</f>
        <v>20000</v>
      </c>
      <c r="V260" s="64"/>
      <c r="W260" s="64">
        <f>IF(AND(TArticle[[#This Row],[مبلغ]]&gt;0, TArticle[[#This Row],[کد وضعیت سند]]=1),TArticle[[#This Row],[مبلغ]],0)</f>
        <v>0</v>
      </c>
      <c r="X260" s="67">
        <f>IF(AND(TArticle[[#This Row],[مبلغ]]&lt;0,TArticle[[#This Row],[کد وضعیت سند]]=1),0-TArticle[[#This Row],[مبلغ]],0)</f>
        <v>20000</v>
      </c>
      <c r="Y260" s="27">
        <v>2</v>
      </c>
      <c r="Z260" s="171" t="str">
        <f>IF(TArticle[[#This Row],[کد بانک]]&gt;0,VLOOKUP(TArticle[[#This Row],[کد بانک]],TBank[],2,FALSE),"")</f>
        <v>ملی جاری</v>
      </c>
      <c r="AA260">
        <f>IF(AND(TArticle[[#This Row],[مبلغ]]&lt;0,TArticle[[#This Row],[کد وضعیت سند]]=1),0-TArticle[[#This Row],[مبلغ]],0)</f>
        <v>20000</v>
      </c>
      <c r="AB260">
        <f>IF(AND(TArticle[[#This Row],[مبلغ]]&gt;0, TArticle[[#This Row],[کد وضعیت سند]]=1),TArticle[[#This Row],[مبلغ]],0)</f>
        <v>0</v>
      </c>
      <c r="AC260" s="84">
        <f>IF(TArticle[[#This Row],[کد بانک]]&gt;0,VLOOKUP(TArticle[[#This Row],[کد بانک]],TBank[],9,FALSE)+SUMIF($Y$2:Y260,Y260,$E$2:$E260),"")</f>
        <v>71559</v>
      </c>
      <c r="AD260" s="1">
        <f>IFERROR(IF(INT(LEFT(TArticle[[#This Row],[شناسه]]))=3,IF(TArticle[[#This Row],[کد وضعیت سند]]=1,TArticle[مبلغ],0),0),0)</f>
        <v>-20000</v>
      </c>
      <c r="AE260" s="1">
        <f>IFERROR(IF(((TArticle[[#This Row],[شناسه]]))="4.1.1",IF(TArticle[[#This Row],[کد وضعیت سند]]=1,TArticle[مبلغ],0),0),0)</f>
        <v>0</v>
      </c>
      <c r="AF260" s="1">
        <f>IFERROR(IF(((TArticle[[#This Row],[شناسه]]))="4.1.2",IF(TArticle[[#This Row],[کد وضعیت سند]]=1,TArticle[مبلغ],0),0),0)</f>
        <v>0</v>
      </c>
      <c r="AG260" s="1">
        <f>IFERROR(IF(INT(LEFT(TArticle[[#This Row],[شناسه]]))=1,IF(TArticle[[#This Row],[کد وضعیت سند]]=1,TArticle[مبلغ],0),0),0)</f>
        <v>0</v>
      </c>
      <c r="AH260" s="1">
        <f>IFERROR(IF(INT(LEFT(TArticle[[#This Row],[شناسه]]))=2,IF(TArticle[[#This Row],[کد وضعیت سند]]=1,TArticle[مبلغ],0),0),0)</f>
        <v>0</v>
      </c>
      <c r="AI260" s="1">
        <f>IFERROR(IF((LEFT(TArticle[[#This Row],[شناسه]],3))="5.2",IF(TArticle[[#This Row],[کد وضعیت سند]]=1,TArticle[مبلغ],0),0),0)</f>
        <v>0</v>
      </c>
      <c r="AJ260" s="1">
        <f>IF(TArticle[[#This Row],[کد وضعیت سند]]=1,1,0)</f>
        <v>1</v>
      </c>
      <c r="AK260" s="1">
        <f>IF(AND(TArticle[[#This Row],[کد وضعیت سند]]&lt;&gt;1,TArticle[[#This Row],[مبلغ]]&lt;&gt;0),1,0)</f>
        <v>0</v>
      </c>
      <c r="AL260" s="78">
        <f>IF(TArticle[[#This Row],[کد بانک]]&gt;0,TArticle[[#This Row],[مانده بانک]]-VLOOKUP(TArticle[[#This Row],[کد بانک]],TBank[],7,FALSE),"")</f>
        <v>71559</v>
      </c>
      <c r="AM260" s="69" t="str">
        <f>LEFT(TArticle[[#This Row],[تاریخ]],7)</f>
        <v>1401-12</v>
      </c>
    </row>
    <row r="261" spans="1:39" hidden="1" x14ac:dyDescent="0.25">
      <c r="A261" s="24" t="s">
        <v>41</v>
      </c>
      <c r="B261" s="49" t="str">
        <f>VLOOKUP(TArticle[[#This Row],[شناسه]],TAccount[],2,TRUE)</f>
        <v>قرعه هجده (43)</v>
      </c>
      <c r="C261" s="49" t="str">
        <f>VLOOKUP(TArticle[[#This Row],[تاریخ]],TDays[],7,FALSE)</f>
        <v>یکشنبه</v>
      </c>
      <c r="D261" s="21" t="s">
        <v>69</v>
      </c>
      <c r="E261" s="1">
        <v>-350</v>
      </c>
      <c r="F261" s="1">
        <f>TArticle[[#This Row],[مبلغ]]+IFERROR(INT(F260),30181+3667+958)</f>
        <v>73752</v>
      </c>
      <c r="G261" s="49"/>
      <c r="H261" s="21">
        <v>47</v>
      </c>
      <c r="K261" s="21">
        <v>1</v>
      </c>
      <c r="L261" s="171" t="str">
        <f>IF(TArticle[[#This Row],[کد وضعیت سند]]&gt;0,VLOOKUP(TArticle[[#This Row],[کد وضعیت سند]],TDocState[],2,FALSE),"")</f>
        <v>انجام شد</v>
      </c>
      <c r="M261" s="27">
        <v>103</v>
      </c>
      <c r="N261" s="171" t="str">
        <f>IF(TArticle[[#This Row],[کد طرف حساب]]&gt;0,VLOOKUP(TArticle[[#This Row],[کد طرف حساب]],TContact[],2,FALSE),"")</f>
        <v>قرعه 18م (43)</v>
      </c>
      <c r="O261" s="51">
        <f>IF(TArticle[[#This Row],[کد طرف حساب]]&gt;0,VLOOKUP(TArticle[[#This Row],[کد طرف حساب]],TContact[],7,FALSE)-SUMIF($M$2:M261,M261,$E$2:$E261),"")</f>
        <v>-2100</v>
      </c>
      <c r="P261" s="27" t="str">
        <f>RIGHT(TArticle[[#This Row],[تاریخ]],2)</f>
        <v>14</v>
      </c>
      <c r="Q261" s="27">
        <f>VLOOKUP(TArticle[[#This Row],[تاریخ]],TDays[],16,FALSE)</f>
        <v>51</v>
      </c>
      <c r="R261" s="27" t="str">
        <f>RIGHT(LEFT(TArticle[[#This Row],[تاریخ]],7),2)</f>
        <v>12</v>
      </c>
      <c r="S261" s="27" t="str">
        <f>LEFT(TArticle[[#This Row],[تاریخ]],4)</f>
        <v>1401</v>
      </c>
      <c r="U261" s="21">
        <f>VLOOKUP(TArticle[[#This Row],[شناسه]],TAccount[],7,TRUE)</f>
        <v>4200</v>
      </c>
      <c r="V261" s="21" t="s">
        <v>69</v>
      </c>
      <c r="W261" s="21">
        <f>IF(AND(TArticle[[#This Row],[مبلغ]]&gt;0, TArticle[[#This Row],[کد وضعیت سند]]=1),TArticle[[#This Row],[مبلغ]],0)</f>
        <v>0</v>
      </c>
      <c r="X261" s="21">
        <f>IF(AND(TArticle[[#This Row],[مبلغ]]&lt;0,TArticle[[#This Row],[کد وضعیت سند]]=1),0-TArticle[[#This Row],[مبلغ]],0)</f>
        <v>350</v>
      </c>
      <c r="Y261" s="27">
        <v>2</v>
      </c>
      <c r="Z261" s="171" t="str">
        <f>IF(TArticle[[#This Row],[کد بانک]]&gt;0,VLOOKUP(TArticle[[#This Row],[کد بانک]],TBank[],2,FALSE),"")</f>
        <v>ملی جاری</v>
      </c>
      <c r="AA261">
        <f>IF(AND(TArticle[[#This Row],[مبلغ]]&lt;0,TArticle[[#This Row],[کد وضعیت سند]]=1),0-TArticle[[#This Row],[مبلغ]],0)</f>
        <v>350</v>
      </c>
      <c r="AB261">
        <f>IF(AND(TArticle[[#This Row],[مبلغ]]&gt;0, TArticle[[#This Row],[کد وضعیت سند]]=1),TArticle[[#This Row],[مبلغ]],0)</f>
        <v>0</v>
      </c>
      <c r="AC261" s="84">
        <f>IF(TArticle[[#This Row],[کد بانک]]&gt;0,VLOOKUP(TArticle[[#This Row],[کد بانک]],TBank[],9,FALSE)+SUMIF($Y$2:Y261,Y261,$E$2:$E261),"")</f>
        <v>71209</v>
      </c>
      <c r="AD261" s="1">
        <f>IFERROR(IF(INT(LEFT(TArticle[[#This Row],[شناسه]]))=3,IF(TArticle[[#This Row],[کد وضعیت سند]]=1,TArticle[مبلغ],0),0),0)</f>
        <v>0</v>
      </c>
      <c r="AE261" s="1">
        <f>IFERROR(IF(((TArticle[[#This Row],[شناسه]]))="4.1.1",IF(TArticle[[#This Row],[کد وضعیت سند]]=1,TArticle[مبلغ],0),0),0)</f>
        <v>0</v>
      </c>
      <c r="AF261" s="1">
        <f>IFERROR(IF(((TArticle[[#This Row],[شناسه]]))="4.1.2",IF(TArticle[[#This Row],[کد وضعیت سند]]=1,TArticle[مبلغ],0),0),0)</f>
        <v>0</v>
      </c>
      <c r="AG261" s="1">
        <f>IFERROR(IF(INT(LEFT(TArticle[[#This Row],[شناسه]]))=1,IF(TArticle[[#This Row],[کد وضعیت سند]]=1,TArticle[مبلغ],0),0),0)</f>
        <v>0</v>
      </c>
      <c r="AH261" s="1">
        <f>IFERROR(IF(INT(LEFT(TArticle[[#This Row],[شناسه]]))=2,IF(TArticle[[#This Row],[کد وضعیت سند]]=1,TArticle[مبلغ],0),0),0)</f>
        <v>-350</v>
      </c>
      <c r="AI261" s="1">
        <f>IFERROR(IF((LEFT(TArticle[[#This Row],[شناسه]],3))="5.2",IF(TArticle[[#This Row],[کد وضعیت سند]]=1,TArticle[مبلغ],0),0),0)</f>
        <v>0</v>
      </c>
      <c r="AJ261" s="1">
        <f>IF(TArticle[[#This Row],[کد وضعیت سند]]=1,1,0)</f>
        <v>1</v>
      </c>
      <c r="AK261" s="1">
        <f>IF(AND(TArticle[[#This Row],[کد وضعیت سند]]&lt;&gt;1,TArticle[[#This Row],[مبلغ]]&lt;&gt;0),1,0)</f>
        <v>0</v>
      </c>
      <c r="AL261" s="51">
        <f>IF(TArticle[[#This Row],[کد بانک]]&gt;0,TArticle[[#This Row],[مانده بانک]]-VLOOKUP(TArticle[[#This Row],[کد بانک]],TBank[],7,FALSE),"")</f>
        <v>71209</v>
      </c>
      <c r="AM261" s="58" t="str">
        <f>LEFT(TArticle[[#This Row],[تاریخ]],7)</f>
        <v>1401-12</v>
      </c>
    </row>
    <row r="262" spans="1:39" hidden="1" x14ac:dyDescent="0.25">
      <c r="A262" s="24" t="s">
        <v>1172</v>
      </c>
      <c r="B262" s="49" t="str">
        <f>VLOOKUP(TArticle[[#This Row],[شناسه]],TAccount[],2,TRUE)</f>
        <v>خرید چکی</v>
      </c>
      <c r="C262" s="49" t="str">
        <f>VLOOKUP(TArticle[[#This Row],[تاریخ]],TDays[],7,FALSE)</f>
        <v>چهارشنبه</v>
      </c>
      <c r="D262" s="21" t="s">
        <v>545</v>
      </c>
      <c r="E262" s="1">
        <v>51000</v>
      </c>
      <c r="F262" s="1">
        <f>TArticle[[#This Row],[مبلغ]]+IFERROR(INT(F261),30181+3667+958)</f>
        <v>124752</v>
      </c>
      <c r="G262" s="49"/>
      <c r="J262" s="51"/>
      <c r="K262" s="64">
        <v>1</v>
      </c>
      <c r="L262" s="171" t="str">
        <f>IF(TArticle[[#This Row],[کد وضعیت سند]]&gt;0,VLOOKUP(TArticle[[#This Row],[کد وضعیت سند]],TDocState[],2,FALSE),"")</f>
        <v>انجام شد</v>
      </c>
      <c r="M262" s="27">
        <v>117</v>
      </c>
      <c r="N262" s="171" t="str">
        <f>IF(TArticle[[#This Row],[کد طرف حساب]]&gt;0,VLOOKUP(TArticle[[#This Row],[کد طرف حساب]],TContact[],2,FALSE),"")</f>
        <v>وام سرویس خواب</v>
      </c>
      <c r="O262" s="60">
        <f>IF(TArticle[[#This Row],[کد طرف حساب]]&gt;0,VLOOKUP(TArticle[[#This Row],[کد طرف حساب]],TContact[],7,FALSE)-SUMIF($M$2:M262,M262,$E$2:$E262),"")</f>
        <v>-51000</v>
      </c>
      <c r="P262" s="27" t="str">
        <f>RIGHT(TArticle[[#This Row],[تاریخ]],2)</f>
        <v>17</v>
      </c>
      <c r="Q262" s="27">
        <f>VLOOKUP(TArticle[[#This Row],[تاریخ]],TDays[],16,FALSE)</f>
        <v>52</v>
      </c>
      <c r="R262" s="27" t="str">
        <f>RIGHT(LEFT(TArticle[[#This Row],[تاریخ]],7),2)</f>
        <v>12</v>
      </c>
      <c r="S262" s="27" t="str">
        <f>LEFT(TArticle[[#This Row],[تاریخ]],4)</f>
        <v>1401</v>
      </c>
      <c r="U262" s="21">
        <f>VLOOKUP(TArticle[[#This Row],[شناسه]],TAccount[],7,TRUE)</f>
        <v>83000</v>
      </c>
      <c r="W262" s="21">
        <f>IF(AND(TArticle[[#This Row],[مبلغ]]&gt;0, TArticle[[#This Row],[کد وضعیت سند]]=1),TArticle[[#This Row],[مبلغ]],0)</f>
        <v>51000</v>
      </c>
      <c r="X262" s="27">
        <f>IF(AND(TArticle[[#This Row],[مبلغ]]&lt;0,TArticle[[#This Row],[کد وضعیت سند]]=1),0-TArticle[[#This Row],[مبلغ]],0)</f>
        <v>0</v>
      </c>
      <c r="Y262" s="27">
        <v>10</v>
      </c>
      <c r="Z262" s="171" t="str">
        <f>IF(TArticle[[#This Row],[کد بانک]]&gt;0,VLOOKUP(TArticle[[#This Row],[کد بانک]],TBank[],2,FALSE),"")</f>
        <v>نیابتی</v>
      </c>
      <c r="AA262">
        <f>IF(AND(TArticle[[#This Row],[مبلغ]]&lt;0,TArticle[[#This Row],[کد وضعیت سند]]=1),0-TArticle[[#This Row],[مبلغ]],0)</f>
        <v>0</v>
      </c>
      <c r="AB262">
        <f>IF(AND(TArticle[[#This Row],[مبلغ]]&gt;0, TArticle[[#This Row],[کد وضعیت سند]]=1),TArticle[[#This Row],[مبلغ]],0)</f>
        <v>51000</v>
      </c>
      <c r="AC262" s="92">
        <f>IF(TArticle[[#This Row],[کد بانک]]&gt;0,VLOOKUP(TArticle[[#This Row],[کد بانک]],TBank[],9,FALSE)+SUMIF($Y$2:Y262,Y262,$E$2:$E262),"")</f>
        <v>51000</v>
      </c>
      <c r="AD262" s="1">
        <f>IFERROR(IF(INT(LEFT(TArticle[[#This Row],[شناسه]]))=3,IF(TArticle[[#This Row],[کد وضعیت سند]]=1,TArticle[مبلغ],0),0),0)</f>
        <v>0</v>
      </c>
      <c r="AE262" s="1">
        <f>IFERROR(IF(((TArticle[[#This Row],[شناسه]]))="4.1.1",IF(TArticle[[#This Row],[کد وضعیت سند]]=1,TArticle[مبلغ],0),0),0)</f>
        <v>0</v>
      </c>
      <c r="AF262" s="1">
        <f>IFERROR(IF(((TArticle[[#This Row],[شناسه]]))="4.1.2",IF(TArticle[[#This Row],[کد وضعیت سند]]=1,TArticle[مبلغ],0),0),0)</f>
        <v>0</v>
      </c>
      <c r="AG262" s="1">
        <f>IFERROR(IF(INT(LEFT(TArticle[[#This Row],[شناسه]]))=1,IF(TArticle[[#This Row],[کد وضعیت سند]]=1,TArticle[مبلغ],0),0),0)</f>
        <v>0</v>
      </c>
      <c r="AH262" s="1">
        <f>IFERROR(IF(INT(LEFT(TArticle[[#This Row],[شناسه]]))=2,IF(TArticle[[#This Row],[کد وضعیت سند]]=1,TArticle[مبلغ],0),0),0)</f>
        <v>0</v>
      </c>
      <c r="AI262" s="1">
        <f>IFERROR(IF((LEFT(TArticle[[#This Row],[شناسه]],3))="5.2",IF(TArticle[[#This Row],[کد وضعیت سند]]=1,TArticle[مبلغ],0),0),0)</f>
        <v>51000</v>
      </c>
      <c r="AJ262" s="1">
        <f>IF(TArticle[[#This Row],[کد وضعیت سند]]=1,1,0)</f>
        <v>1</v>
      </c>
      <c r="AK262" s="1">
        <f>IF(AND(TArticle[[#This Row],[کد وضعیت سند]]&lt;&gt;1,TArticle[[#This Row],[مبلغ]]&lt;&gt;0),1,0)</f>
        <v>0</v>
      </c>
      <c r="AL262" s="51">
        <f>IF(TArticle[[#This Row],[کد بانک]]&gt;0,TArticle[[#This Row],[مانده بانک]]-VLOOKUP(TArticle[[#This Row],[کد بانک]],TBank[],7,FALSE),"")</f>
        <v>51000</v>
      </c>
      <c r="AM262" s="58" t="str">
        <f>LEFT(TArticle[[#This Row],[تاریخ]],7)</f>
        <v>1401-12</v>
      </c>
    </row>
    <row r="263" spans="1:39" hidden="1" x14ac:dyDescent="0.25">
      <c r="A263" s="24" t="s">
        <v>174</v>
      </c>
      <c r="B263" s="49" t="str">
        <f>VLOOKUP(TArticle[[#This Row],[شناسه]],TAccount[],2,TRUE)</f>
        <v>مواد مصرفی خانه</v>
      </c>
      <c r="C263" s="49" t="str">
        <f>VLOOKUP(TArticle[[#This Row],[تاریخ]],TDays[],7,FALSE)</f>
        <v>چهارشنبه</v>
      </c>
      <c r="D263" s="21" t="s">
        <v>545</v>
      </c>
      <c r="E263" s="1">
        <v>-51000</v>
      </c>
      <c r="F263" s="1">
        <f>TArticle[[#This Row],[مبلغ]]+IFERROR(INT(F262),30181+3667+958)</f>
        <v>73752</v>
      </c>
      <c r="G263" s="49" t="s">
        <v>2822</v>
      </c>
      <c r="H263" s="49"/>
      <c r="K263" s="21">
        <v>1</v>
      </c>
      <c r="L263" s="171" t="str">
        <f>IF(TArticle[[#This Row],[کد وضعیت سند]]&gt;0,VLOOKUP(TArticle[[#This Row],[کد وضعیت سند]],TDocState[],2,FALSE),"")</f>
        <v>انجام شد</v>
      </c>
      <c r="N263" s="171" t="str">
        <f>IF(TArticle[[#This Row],[کد طرف حساب]]&gt;0,VLOOKUP(TArticle[[#This Row],[کد طرف حساب]],TContact[],2,FALSE),"")</f>
        <v/>
      </c>
      <c r="O263" s="61" t="str">
        <f>IF(TArticle[[#This Row],[کد طرف حساب]]&gt;0,VLOOKUP(TArticle[[#This Row],[کد طرف حساب]],TContact[],7,FALSE)-SUMIF($M$2:M263,M263,$E$2:$E263),"")</f>
        <v/>
      </c>
      <c r="P263" s="27" t="str">
        <f>RIGHT(TArticle[[#This Row],[تاریخ]],2)</f>
        <v>17</v>
      </c>
      <c r="Q263" s="27">
        <f>VLOOKUP(TArticle[[#This Row],[تاریخ]],TDays[],16,FALSE)</f>
        <v>52</v>
      </c>
      <c r="R263" s="27" t="str">
        <f>RIGHT(LEFT(TArticle[[#This Row],[تاریخ]],7),2)</f>
        <v>12</v>
      </c>
      <c r="S263" s="27" t="str">
        <f>LEFT(TArticle[[#This Row],[تاریخ]],4)</f>
        <v>1401</v>
      </c>
      <c r="U263" s="21">
        <f>VLOOKUP(TArticle[[#This Row],[شناسه]],TAccount[],7,TRUE)</f>
        <v>118128</v>
      </c>
      <c r="W263" s="21">
        <f>IF(AND(TArticle[[#This Row],[مبلغ]]&gt;0, TArticle[[#This Row],[کد وضعیت سند]]=1),TArticle[[#This Row],[مبلغ]],0)</f>
        <v>0</v>
      </c>
      <c r="X263" s="27">
        <f>IF(AND(TArticle[[#This Row],[مبلغ]]&lt;0,TArticle[[#This Row],[کد وضعیت سند]]=1),0-TArticle[[#This Row],[مبلغ]],0)</f>
        <v>51000</v>
      </c>
      <c r="Y263" s="27">
        <v>10</v>
      </c>
      <c r="Z263" s="171" t="str">
        <f>IF(TArticle[[#This Row],[کد بانک]]&gt;0,VLOOKUP(TArticle[[#This Row],[کد بانک]],TBank[],2,FALSE),"")</f>
        <v>نیابتی</v>
      </c>
      <c r="AA263">
        <f>IF(AND(TArticle[[#This Row],[مبلغ]]&lt;0,TArticle[[#This Row],[کد وضعیت سند]]=1),0-TArticle[[#This Row],[مبلغ]],0)</f>
        <v>51000</v>
      </c>
      <c r="AB263">
        <f>IF(AND(TArticle[[#This Row],[مبلغ]]&gt;0, TArticle[[#This Row],[کد وضعیت سند]]=1),TArticle[[#This Row],[مبلغ]],0)</f>
        <v>0</v>
      </c>
      <c r="AC263" s="84">
        <f>IF(TArticle[[#This Row],[کد بانک]]&gt;0,VLOOKUP(TArticle[[#This Row],[کد بانک]],TBank[],9,FALSE)+SUMIF($Y$2:Y263,Y263,$E$2:$E263),"")</f>
        <v>0</v>
      </c>
      <c r="AD263" s="1">
        <f>IFERROR(IF(INT(LEFT(TArticle[[#This Row],[شناسه]]))=3,IF(TArticle[[#This Row],[کد وضعیت سند]]=1,TArticle[مبلغ],0),0),0)</f>
        <v>-51000</v>
      </c>
      <c r="AE263" s="1">
        <f>IFERROR(IF(((TArticle[[#This Row],[شناسه]]))="4.1.1",IF(TArticle[[#This Row],[کد وضعیت سند]]=1,TArticle[مبلغ],0),0),0)</f>
        <v>0</v>
      </c>
      <c r="AF263" s="1">
        <f>IFERROR(IF(((TArticle[[#This Row],[شناسه]]))="4.1.2",IF(TArticle[[#This Row],[کد وضعیت سند]]=1,TArticle[مبلغ],0),0),0)</f>
        <v>0</v>
      </c>
      <c r="AG263" s="1">
        <f>IFERROR(IF(INT(LEFT(TArticle[[#This Row],[شناسه]]))=1,IF(TArticle[[#This Row],[کد وضعیت سند]]=1,TArticle[مبلغ],0),0),0)</f>
        <v>0</v>
      </c>
      <c r="AH263" s="1">
        <f>IFERROR(IF(INT(LEFT(TArticle[[#This Row],[شناسه]]))=2,IF(TArticle[[#This Row],[کد وضعیت سند]]=1,TArticle[مبلغ],0),0),0)</f>
        <v>0</v>
      </c>
      <c r="AI263" s="1">
        <f>IFERROR(IF((LEFT(TArticle[[#This Row],[شناسه]],3))="5.2",IF(TArticle[[#This Row],[کد وضعیت سند]]=1,TArticle[مبلغ],0),0),0)</f>
        <v>0</v>
      </c>
      <c r="AJ263" s="1">
        <f>IF(TArticle[[#This Row],[کد وضعیت سند]]=1,1,0)</f>
        <v>1</v>
      </c>
      <c r="AK263" s="1">
        <f>IF(AND(TArticle[[#This Row],[کد وضعیت سند]]&lt;&gt;1,TArticle[[#This Row],[مبلغ]]&lt;&gt;0),1,0)</f>
        <v>0</v>
      </c>
      <c r="AL263" s="51">
        <f>IF(TArticle[[#This Row],[کد بانک]]&gt;0,TArticle[[#This Row],[مانده بانک]]-VLOOKUP(TArticle[[#This Row],[کد بانک]],TBank[],7,FALSE),"")</f>
        <v>0</v>
      </c>
      <c r="AM263" s="58" t="str">
        <f>LEFT(TArticle[[#This Row],[تاریخ]],7)</f>
        <v>1401-12</v>
      </c>
    </row>
    <row r="264" spans="1:39" hidden="1" x14ac:dyDescent="0.25">
      <c r="A264" s="24" t="s">
        <v>174</v>
      </c>
      <c r="B264" s="49" t="str">
        <f>VLOOKUP(TArticle[[#This Row],[شناسه]],TAccount[],2,TRUE)</f>
        <v>مواد مصرفی خانه</v>
      </c>
      <c r="C264" s="49" t="str">
        <f>VLOOKUP(TArticle[[#This Row],[تاریخ]],TDays[],7,FALSE)</f>
        <v>چهارشنبه</v>
      </c>
      <c r="D264" s="21" t="s">
        <v>545</v>
      </c>
      <c r="E264" s="1">
        <v>-4450</v>
      </c>
      <c r="F264" s="1">
        <f>TArticle[[#This Row],[مبلغ]]+IFERROR(INT(F263),30181+3667+958)</f>
        <v>69302</v>
      </c>
      <c r="G264" s="49" t="s">
        <v>2822</v>
      </c>
      <c r="H264" s="64"/>
      <c r="J264" s="65"/>
      <c r="K264" s="64">
        <v>1</v>
      </c>
      <c r="L264" s="171" t="str">
        <f>IF(TArticle[[#This Row],[کد وضعیت سند]]&gt;0,VLOOKUP(TArticle[[#This Row],[کد وضعیت سند]],TDocState[],2,FALSE),"")</f>
        <v>انجام شد</v>
      </c>
      <c r="M264" s="67"/>
      <c r="N264" s="171" t="str">
        <f>IF(TArticle[[#This Row],[کد طرف حساب]]&gt;0,VLOOKUP(TArticle[[#This Row],[کد طرف حساب]],TContact[],2,FALSE),"")</f>
        <v/>
      </c>
      <c r="O264" s="68" t="str">
        <f>IF(TArticle[[#This Row],[کد طرف حساب]]&gt;0,VLOOKUP(TArticle[[#This Row],[کد طرف حساب]],TContact[],7,FALSE)-SUMIF($M$2:M264,M264,$E$2:$E264),"")</f>
        <v/>
      </c>
      <c r="P264" s="67" t="str">
        <f>RIGHT(TArticle[[#This Row],[تاریخ]],2)</f>
        <v>17</v>
      </c>
      <c r="Q264" s="67">
        <f>VLOOKUP(TArticle[[#This Row],[تاریخ]],TDays[],16,FALSE)</f>
        <v>52</v>
      </c>
      <c r="R264" s="67" t="str">
        <f>RIGHT(LEFT(TArticle[[#This Row],[تاریخ]],7),2)</f>
        <v>12</v>
      </c>
      <c r="S264" s="67" t="str">
        <f>LEFT(TArticle[[#This Row],[تاریخ]],4)</f>
        <v>1401</v>
      </c>
      <c r="T264" s="64"/>
      <c r="U264" s="64">
        <f>VLOOKUP(TArticle[[#This Row],[شناسه]],TAccount[],7,TRUE)</f>
        <v>118128</v>
      </c>
      <c r="V264" s="64"/>
      <c r="W264" s="64">
        <f>IF(AND(TArticle[[#This Row],[مبلغ]]&gt;0, TArticle[[#This Row],[کد وضعیت سند]]=1),TArticle[[#This Row],[مبلغ]],0)</f>
        <v>0</v>
      </c>
      <c r="X264" s="67">
        <f>IF(AND(TArticle[[#This Row],[مبلغ]]&lt;0,TArticle[[#This Row],[کد وضعیت سند]]=1),0-TArticle[[#This Row],[مبلغ]],0)</f>
        <v>4450</v>
      </c>
      <c r="Y264" s="27">
        <v>2</v>
      </c>
      <c r="Z264" s="171" t="str">
        <f>IF(TArticle[[#This Row],[کد بانک]]&gt;0,VLOOKUP(TArticle[[#This Row],[کد بانک]],TBank[],2,FALSE),"")</f>
        <v>ملی جاری</v>
      </c>
      <c r="AA264">
        <f>IF(AND(TArticle[[#This Row],[مبلغ]]&lt;0,TArticle[[#This Row],[کد وضعیت سند]]=1),0-TArticle[[#This Row],[مبلغ]],0)</f>
        <v>4450</v>
      </c>
      <c r="AB264">
        <f>IF(AND(TArticle[[#This Row],[مبلغ]]&gt;0, TArticle[[#This Row],[کد وضعیت سند]]=1),TArticle[[#This Row],[مبلغ]],0)</f>
        <v>0</v>
      </c>
      <c r="AC264" s="93">
        <f>IF(TArticle[[#This Row],[کد بانک]]&gt;0,VLOOKUP(TArticle[[#This Row],[کد بانک]],TBank[],9,FALSE)+SUMIF($Y$2:Y264,Y264,$E$2:$E264),"")</f>
        <v>66759</v>
      </c>
      <c r="AD264" s="1">
        <f>IFERROR(IF(INT(LEFT(TArticle[[#This Row],[شناسه]]))=3,IF(TArticle[[#This Row],[کد وضعیت سند]]=1,TArticle[مبلغ],0),0),0)</f>
        <v>-4450</v>
      </c>
      <c r="AE264" s="1">
        <f>IFERROR(IF(((TArticle[[#This Row],[شناسه]]))="4.1.1",IF(TArticle[[#This Row],[کد وضعیت سند]]=1,TArticle[مبلغ],0),0),0)</f>
        <v>0</v>
      </c>
      <c r="AF264" s="1">
        <f>IFERROR(IF(((TArticle[[#This Row],[شناسه]]))="4.1.2",IF(TArticle[[#This Row],[کد وضعیت سند]]=1,TArticle[مبلغ],0),0),0)</f>
        <v>0</v>
      </c>
      <c r="AG264" s="1">
        <f>IFERROR(IF(INT(LEFT(TArticle[[#This Row],[شناسه]]))=1,IF(TArticle[[#This Row],[کد وضعیت سند]]=1,TArticle[مبلغ],0),0),0)</f>
        <v>0</v>
      </c>
      <c r="AH264" s="1">
        <f>IFERROR(IF(INT(LEFT(TArticle[[#This Row],[شناسه]]))=2,IF(TArticle[[#This Row],[کد وضعیت سند]]=1,TArticle[مبلغ],0),0),0)</f>
        <v>0</v>
      </c>
      <c r="AI264" s="1">
        <f>IFERROR(IF((LEFT(TArticle[[#This Row],[شناسه]],3))="5.2",IF(TArticle[[#This Row],[کد وضعیت سند]]=1,TArticle[مبلغ],0),0),0)</f>
        <v>0</v>
      </c>
      <c r="AJ264" s="1">
        <f>IF(TArticle[[#This Row],[کد وضعیت سند]]=1,1,0)</f>
        <v>1</v>
      </c>
      <c r="AK264" s="1">
        <f>IF(AND(TArticle[[#This Row],[کد وضعیت سند]]&lt;&gt;1,TArticle[[#This Row],[مبلغ]]&lt;&gt;0),1,0)</f>
        <v>0</v>
      </c>
      <c r="AL264" s="78">
        <f>IF(TArticle[[#This Row],[کد بانک]]&gt;0,TArticle[[#This Row],[مانده بانک]]-VLOOKUP(TArticle[[#This Row],[کد بانک]],TBank[],7,FALSE),"")</f>
        <v>66759</v>
      </c>
      <c r="AM264" s="69" t="str">
        <f>LEFT(TArticle[[#This Row],[تاریخ]],7)</f>
        <v>1401-12</v>
      </c>
    </row>
    <row r="265" spans="1:39" hidden="1" x14ac:dyDescent="0.25">
      <c r="A265" s="24" t="s">
        <v>55</v>
      </c>
      <c r="B265" s="49" t="str">
        <f>VLOOKUP(TArticle[[#This Row],[شناسه]],TAccount[],2,TRUE)</f>
        <v>هزینه کلی</v>
      </c>
      <c r="C265" s="49" t="str">
        <f>VLOOKUP(TArticle[[#This Row],[تاریخ]],TDays[],7,FALSE)</f>
        <v>پنجشنبه</v>
      </c>
      <c r="D265" s="21" t="s">
        <v>546</v>
      </c>
      <c r="E265" s="1">
        <v>-4050</v>
      </c>
      <c r="F265" s="1">
        <f>TArticle[[#This Row],[مبلغ]]+IFERROR(INT(F264),30181+3667+958)</f>
        <v>65252</v>
      </c>
      <c r="G265" s="49" t="s">
        <v>2823</v>
      </c>
      <c r="K265" s="64">
        <v>1</v>
      </c>
      <c r="L265" s="171" t="str">
        <f>IF(TArticle[[#This Row],[کد وضعیت سند]]&gt;0,VLOOKUP(TArticle[[#This Row],[کد وضعیت سند]],TDocState[],2,FALSE),"")</f>
        <v>انجام شد</v>
      </c>
      <c r="N265" s="171" t="str">
        <f>IF(TArticle[[#This Row],[کد طرف حساب]]&gt;0,VLOOKUP(TArticle[[#This Row],[کد طرف حساب]],TContact[],2,FALSE),"")</f>
        <v/>
      </c>
      <c r="O265" s="61" t="str">
        <f>IF(TArticle[[#This Row],[کد طرف حساب]]&gt;0,VLOOKUP(TArticle[[#This Row],[کد طرف حساب]],TContact[],7,FALSE)-SUMIF($M$2:M265,M265,$E$2:$E265),"")</f>
        <v/>
      </c>
      <c r="P265" s="27" t="str">
        <f>RIGHT(TArticle[[#This Row],[تاریخ]],2)</f>
        <v>18</v>
      </c>
      <c r="Q265" s="27">
        <f>VLOOKUP(TArticle[[#This Row],[تاریخ]],TDays[],16,FALSE)</f>
        <v>52</v>
      </c>
      <c r="R265" s="27" t="str">
        <f>RIGHT(LEFT(TArticle[[#This Row],[تاریخ]],7),2)</f>
        <v>12</v>
      </c>
      <c r="S265" s="27" t="str">
        <f>LEFT(TArticle[[#This Row],[تاریخ]],4)</f>
        <v>1401</v>
      </c>
      <c r="U265" s="21">
        <f>VLOOKUP(TArticle[[#This Row],[شناسه]],TAccount[],7,TRUE)</f>
        <v>364074</v>
      </c>
      <c r="W265" s="21">
        <f>IF(AND(TArticle[[#This Row],[مبلغ]]&gt;0, TArticle[[#This Row],[کد وضعیت سند]]=1),TArticle[[#This Row],[مبلغ]],0)</f>
        <v>0</v>
      </c>
      <c r="X265" s="27">
        <f>IF(AND(TArticle[[#This Row],[مبلغ]]&lt;0,TArticle[[#This Row],[کد وضعیت سند]]=1),0-TArticle[[#This Row],[مبلغ]],0)</f>
        <v>4050</v>
      </c>
      <c r="Y265" s="27">
        <v>2</v>
      </c>
      <c r="Z265" s="171" t="str">
        <f>IF(TArticle[[#This Row],[کد بانک]]&gt;0,VLOOKUP(TArticle[[#This Row],[کد بانک]],TBank[],2,FALSE),"")</f>
        <v>ملی جاری</v>
      </c>
      <c r="AA265">
        <f>IF(AND(TArticle[[#This Row],[مبلغ]]&lt;0,TArticle[[#This Row],[کد وضعیت سند]]=1),0-TArticle[[#This Row],[مبلغ]],0)</f>
        <v>4050</v>
      </c>
      <c r="AB265">
        <f>IF(AND(TArticle[[#This Row],[مبلغ]]&gt;0, TArticle[[#This Row],[کد وضعیت سند]]=1),TArticle[[#This Row],[مبلغ]],0)</f>
        <v>0</v>
      </c>
      <c r="AC265" s="84">
        <f>IF(TArticle[[#This Row],[کد بانک]]&gt;0,VLOOKUP(TArticle[[#This Row],[کد بانک]],TBank[],9,FALSE)+SUMIF($Y$2:Y265,Y265,$E$2:$E265),"")</f>
        <v>62709</v>
      </c>
      <c r="AD265" s="1">
        <f>IFERROR(IF(INT(LEFT(TArticle[[#This Row],[شناسه]]))=3,IF(TArticle[[#This Row],[کد وضعیت سند]]=1,TArticle[مبلغ],0),0),0)</f>
        <v>-4050</v>
      </c>
      <c r="AE265" s="1">
        <f>IFERROR(IF(((TArticle[[#This Row],[شناسه]]))="4.1.1",IF(TArticle[[#This Row],[کد وضعیت سند]]=1,TArticle[مبلغ],0),0),0)</f>
        <v>0</v>
      </c>
      <c r="AF265" s="1">
        <f>IFERROR(IF(((TArticle[[#This Row],[شناسه]]))="4.1.2",IF(TArticle[[#This Row],[کد وضعیت سند]]=1,TArticle[مبلغ],0),0),0)</f>
        <v>0</v>
      </c>
      <c r="AG265" s="1">
        <f>IFERROR(IF(INT(LEFT(TArticle[[#This Row],[شناسه]]))=1,IF(TArticle[[#This Row],[کد وضعیت سند]]=1,TArticle[مبلغ],0),0),0)</f>
        <v>0</v>
      </c>
      <c r="AH265" s="1">
        <f>IFERROR(IF(INT(LEFT(TArticle[[#This Row],[شناسه]]))=2,IF(TArticle[[#This Row],[کد وضعیت سند]]=1,TArticle[مبلغ],0),0),0)</f>
        <v>0</v>
      </c>
      <c r="AI265" s="1">
        <f>IFERROR(IF((LEFT(TArticle[[#This Row],[شناسه]],3))="5.2",IF(TArticle[[#This Row],[کد وضعیت سند]]=1,TArticle[مبلغ],0),0),0)</f>
        <v>0</v>
      </c>
      <c r="AJ265" s="1">
        <f>IF(TArticle[[#This Row],[کد وضعیت سند]]=1,1,0)</f>
        <v>1</v>
      </c>
      <c r="AK265" s="1">
        <f>IF(AND(TArticle[[#This Row],[کد وضعیت سند]]&lt;&gt;1,TArticle[[#This Row],[مبلغ]]&lt;&gt;0),1,0)</f>
        <v>0</v>
      </c>
      <c r="AL265" s="51">
        <f>IF(TArticle[[#This Row],[کد بانک]]&gt;0,TArticle[[#This Row],[مانده بانک]]-VLOOKUP(TArticle[[#This Row],[کد بانک]],TBank[],7,FALSE),"")</f>
        <v>62709</v>
      </c>
      <c r="AM265" s="58" t="str">
        <f>LEFT(TArticle[[#This Row],[تاریخ]],7)</f>
        <v>1401-12</v>
      </c>
    </row>
    <row r="266" spans="1:39" hidden="1" x14ac:dyDescent="0.25">
      <c r="A266" s="24" t="s">
        <v>1013</v>
      </c>
      <c r="B266" s="49" t="str">
        <f>VLOOKUP(TArticle[[#This Row],[شناسه]],TAccount[],2,TRUE)</f>
        <v>یارانه</v>
      </c>
      <c r="C266" s="49" t="str">
        <f>VLOOKUP(TArticle[[#This Row],[تاریخ]],TDays[],7,FALSE)</f>
        <v>شنبه</v>
      </c>
      <c r="D266" s="21" t="s">
        <v>548</v>
      </c>
      <c r="E266" s="1">
        <v>1500</v>
      </c>
      <c r="F266" s="1">
        <f>TArticle[[#This Row],[مبلغ]]+IFERROR(INT(F265),30181+3667+958)</f>
        <v>66752</v>
      </c>
      <c r="G266" s="49"/>
      <c r="K266" s="21">
        <v>1</v>
      </c>
      <c r="L266" s="171" t="str">
        <f>IF(TArticle[[#This Row],[کد وضعیت سند]]&gt;0,VLOOKUP(TArticle[[#This Row],[کد وضعیت سند]],TDocState[],2,FALSE),"")</f>
        <v>انجام شد</v>
      </c>
      <c r="N266" s="171" t="str">
        <f>IF(TArticle[[#This Row],[کد طرف حساب]]&gt;0,VLOOKUP(TArticle[[#This Row],[کد طرف حساب]],TContact[],2,FALSE),"")</f>
        <v/>
      </c>
      <c r="O266" s="61" t="str">
        <f>IF(TArticle[[#This Row],[کد طرف حساب]]&gt;0,VLOOKUP(TArticle[[#This Row],[کد طرف حساب]],TContact[],7,FALSE)-SUMIF($M$2:M266,M266,$E$2:$E266),"")</f>
        <v/>
      </c>
      <c r="P266" s="27" t="str">
        <f>RIGHT(TArticle[[#This Row],[تاریخ]],2)</f>
        <v>20</v>
      </c>
      <c r="Q266" s="27">
        <f>VLOOKUP(TArticle[[#This Row],[تاریخ]],TDays[],16,FALSE)</f>
        <v>52</v>
      </c>
      <c r="R266" s="27" t="str">
        <f>RIGHT(LEFT(TArticle[[#This Row],[تاریخ]],7),2)</f>
        <v>12</v>
      </c>
      <c r="S266" s="27" t="str">
        <f>LEFT(TArticle[[#This Row],[تاریخ]],4)</f>
        <v>1401</v>
      </c>
      <c r="U266" s="21">
        <f>VLOOKUP(TArticle[[#This Row],[شناسه]],TAccount[],7,TRUE)</f>
        <v>12565</v>
      </c>
      <c r="W266" s="21">
        <f>IF(AND(TArticle[[#This Row],[مبلغ]]&gt;0, TArticle[[#This Row],[کد وضعیت سند]]=1),TArticle[[#This Row],[مبلغ]],0)</f>
        <v>1500</v>
      </c>
      <c r="X266" s="27">
        <f>IF(AND(TArticle[[#This Row],[مبلغ]]&lt;0,TArticle[[#This Row],[کد وضعیت سند]]=1),0-TArticle[[#This Row],[مبلغ]],0)</f>
        <v>0</v>
      </c>
      <c r="Y266" s="27">
        <v>2</v>
      </c>
      <c r="Z266" s="171" t="str">
        <f>IF(TArticle[[#This Row],[کد بانک]]&gt;0,VLOOKUP(TArticle[[#This Row],[کد بانک]],TBank[],2,FALSE),"")</f>
        <v>ملی جاری</v>
      </c>
      <c r="AA266">
        <f>IF(AND(TArticle[[#This Row],[مبلغ]]&lt;0,TArticle[[#This Row],[کد وضعیت سند]]=1),0-TArticle[[#This Row],[مبلغ]],0)</f>
        <v>0</v>
      </c>
      <c r="AB266">
        <f>IF(AND(TArticle[[#This Row],[مبلغ]]&gt;0, TArticle[[#This Row],[کد وضعیت سند]]=1),TArticle[[#This Row],[مبلغ]],0)</f>
        <v>1500</v>
      </c>
      <c r="AC266" s="84">
        <f>IF(TArticle[[#This Row],[کد بانک]]&gt;0,VLOOKUP(TArticle[[#This Row],[کد بانک]],TBank[],9,FALSE)+SUMIF($Y$2:Y266,Y266,$E$2:$E266),"")</f>
        <v>64209</v>
      </c>
      <c r="AD266" s="1">
        <f>IFERROR(IF(INT(LEFT(TArticle[[#This Row],[شناسه]]))=3,IF(TArticle[[#This Row],[کد وضعیت سند]]=1,TArticle[مبلغ],0),0),0)</f>
        <v>0</v>
      </c>
      <c r="AE266" s="1">
        <f>IFERROR(IF(((TArticle[[#This Row],[شناسه]]))="4.1.1",IF(TArticle[[#This Row],[کد وضعیت سند]]=1,TArticle[مبلغ],0),0),0)</f>
        <v>0</v>
      </c>
      <c r="AF266" s="1">
        <f>IFERROR(IF(((TArticle[[#This Row],[شناسه]]))="4.1.2",IF(TArticle[[#This Row],[کد وضعیت سند]]=1,TArticle[مبلغ],0),0),0)</f>
        <v>0</v>
      </c>
      <c r="AG266" s="1">
        <f>IFERROR(IF(INT(LEFT(TArticle[[#This Row],[شناسه]]))=1,IF(TArticle[[#This Row],[کد وضعیت سند]]=1,TArticle[مبلغ],0),0),0)</f>
        <v>0</v>
      </c>
      <c r="AH266" s="1">
        <f>IFERROR(IF(INT(LEFT(TArticle[[#This Row],[شناسه]]))=2,IF(TArticle[[#This Row],[کد وضعیت سند]]=1,TArticle[مبلغ],0),0),0)</f>
        <v>0</v>
      </c>
      <c r="AI266" s="1">
        <f>IFERROR(IF((LEFT(TArticle[[#This Row],[شناسه]],3))="5.2",IF(TArticle[[#This Row],[کد وضعیت سند]]=1,TArticle[مبلغ],0),0),0)</f>
        <v>0</v>
      </c>
      <c r="AJ266" s="1">
        <f>IF(TArticle[[#This Row],[کد وضعیت سند]]=1,1,0)</f>
        <v>1</v>
      </c>
      <c r="AK266" s="1">
        <f>IF(AND(TArticle[[#This Row],[کد وضعیت سند]]&lt;&gt;1,TArticle[[#This Row],[مبلغ]]&lt;&gt;0),1,0)</f>
        <v>0</v>
      </c>
      <c r="AL266" s="51">
        <f>IF(TArticle[[#This Row],[کد بانک]]&gt;0,TArticle[[#This Row],[مانده بانک]]-VLOOKUP(TArticle[[#This Row],[کد بانک]],TBank[],7,FALSE),"")</f>
        <v>64209</v>
      </c>
      <c r="AM266" s="49" t="str">
        <f>LEFT(TArticle[[#This Row],[تاریخ]],7)</f>
        <v>1401-12</v>
      </c>
    </row>
    <row r="267" spans="1:39" hidden="1" x14ac:dyDescent="0.25">
      <c r="A267" s="24" t="s">
        <v>174</v>
      </c>
      <c r="B267" s="49" t="str">
        <f>VLOOKUP(TArticle[[#This Row],[شناسه]],TAccount[],2,TRUE)</f>
        <v>مواد مصرفی خانه</v>
      </c>
      <c r="C267" s="49" t="str">
        <f>VLOOKUP(TArticle[[#This Row],[تاریخ]],TDays[],7,FALSE)</f>
        <v>شنبه</v>
      </c>
      <c r="D267" s="21" t="s">
        <v>548</v>
      </c>
      <c r="E267" s="1">
        <v>-46000</v>
      </c>
      <c r="F267" s="1">
        <f>TArticle[[#This Row],[مبلغ]]+IFERROR(INT(F266),30181+3667+958)</f>
        <v>20752</v>
      </c>
      <c r="G267" s="49" t="s">
        <v>2822</v>
      </c>
      <c r="K267" s="64">
        <v>1</v>
      </c>
      <c r="L267" s="171" t="str">
        <f>IF(TArticle[[#This Row],[کد وضعیت سند]]&gt;0,VLOOKUP(TArticle[[#This Row],[کد وضعیت سند]],TDocState[],2,FALSE),"")</f>
        <v>انجام شد</v>
      </c>
      <c r="N267" s="171" t="str">
        <f>IF(TArticle[[#This Row],[کد طرف حساب]]&gt;0,VLOOKUP(TArticle[[#This Row],[کد طرف حساب]],TContact[],2,FALSE),"")</f>
        <v/>
      </c>
      <c r="O267" s="61" t="str">
        <f>IF(TArticle[[#This Row],[کد طرف حساب]]&gt;0,VLOOKUP(TArticle[[#This Row],[کد طرف حساب]],TContact[],7,FALSE)-SUMIF($M$2:M267,M267,$E$2:$E267),"")</f>
        <v/>
      </c>
      <c r="P267" s="27" t="str">
        <f>RIGHT(TArticle[[#This Row],[تاریخ]],2)</f>
        <v>20</v>
      </c>
      <c r="Q267" s="27">
        <f>VLOOKUP(TArticle[[#This Row],[تاریخ]],TDays[],16,FALSE)</f>
        <v>52</v>
      </c>
      <c r="R267" s="27" t="str">
        <f>RIGHT(LEFT(TArticle[[#This Row],[تاریخ]],7),2)</f>
        <v>12</v>
      </c>
      <c r="S267" s="27" t="str">
        <f>LEFT(TArticle[[#This Row],[تاریخ]],4)</f>
        <v>1401</v>
      </c>
      <c r="U267" s="21">
        <f>VLOOKUP(TArticle[[#This Row],[شناسه]],TAccount[],7,TRUE)</f>
        <v>118128</v>
      </c>
      <c r="W267" s="21">
        <f>IF(AND(TArticle[[#This Row],[مبلغ]]&gt;0, TArticle[[#This Row],[کد وضعیت سند]]=1),TArticle[[#This Row],[مبلغ]],0)</f>
        <v>0</v>
      </c>
      <c r="X267" s="27">
        <f>IF(AND(TArticle[[#This Row],[مبلغ]]&lt;0,TArticle[[#This Row],[کد وضعیت سند]]=1),0-TArticle[[#This Row],[مبلغ]],0)</f>
        <v>46000</v>
      </c>
      <c r="Y267" s="27">
        <v>2</v>
      </c>
      <c r="Z267" s="171" t="str">
        <f>IF(TArticle[[#This Row],[کد بانک]]&gt;0,VLOOKUP(TArticle[[#This Row],[کد بانک]],TBank[],2,FALSE),"")</f>
        <v>ملی جاری</v>
      </c>
      <c r="AA267">
        <f>IF(AND(TArticle[[#This Row],[مبلغ]]&lt;0,TArticle[[#This Row],[کد وضعیت سند]]=1),0-TArticle[[#This Row],[مبلغ]],0)</f>
        <v>46000</v>
      </c>
      <c r="AB267">
        <f>IF(AND(TArticle[[#This Row],[مبلغ]]&gt;0, TArticle[[#This Row],[کد وضعیت سند]]=1),TArticle[[#This Row],[مبلغ]],0)</f>
        <v>0</v>
      </c>
      <c r="AC267" s="84">
        <f>IF(TArticle[[#This Row],[کد بانک]]&gt;0,VLOOKUP(TArticle[[#This Row],[کد بانک]],TBank[],9,FALSE)+SUMIF($Y$2:Y267,Y267,$E$2:$E267),"")</f>
        <v>18209</v>
      </c>
      <c r="AD267" s="1">
        <f>IFERROR(IF(INT(LEFT(TArticle[[#This Row],[شناسه]]))=3,IF(TArticle[[#This Row],[کد وضعیت سند]]=1,TArticle[مبلغ],0),0),0)</f>
        <v>-46000</v>
      </c>
      <c r="AE267" s="1">
        <f>IFERROR(IF(((TArticle[[#This Row],[شناسه]]))="4.1.1",IF(TArticle[[#This Row],[کد وضعیت سند]]=1,TArticle[مبلغ],0),0),0)</f>
        <v>0</v>
      </c>
      <c r="AF267" s="1">
        <f>IFERROR(IF(((TArticle[[#This Row],[شناسه]]))="4.1.2",IF(TArticle[[#This Row],[کد وضعیت سند]]=1,TArticle[مبلغ],0),0),0)</f>
        <v>0</v>
      </c>
      <c r="AG267" s="1">
        <f>IFERROR(IF(INT(LEFT(TArticle[[#This Row],[شناسه]]))=1,IF(TArticle[[#This Row],[کد وضعیت سند]]=1,TArticle[مبلغ],0),0),0)</f>
        <v>0</v>
      </c>
      <c r="AH267" s="1">
        <f>IFERROR(IF(INT(LEFT(TArticle[[#This Row],[شناسه]]))=2,IF(TArticle[[#This Row],[کد وضعیت سند]]=1,TArticle[مبلغ],0),0),0)</f>
        <v>0</v>
      </c>
      <c r="AI267" s="1">
        <f>IFERROR(IF((LEFT(TArticle[[#This Row],[شناسه]],3))="5.2",IF(TArticle[[#This Row],[کد وضعیت سند]]=1,TArticle[مبلغ],0),0),0)</f>
        <v>0</v>
      </c>
      <c r="AJ267" s="1">
        <f>IF(TArticle[[#This Row],[کد وضعیت سند]]=1,1,0)</f>
        <v>1</v>
      </c>
      <c r="AK267" s="1">
        <f>IF(AND(TArticle[[#This Row],[کد وضعیت سند]]&lt;&gt;1,TArticle[[#This Row],[مبلغ]]&lt;&gt;0),1,0)</f>
        <v>0</v>
      </c>
      <c r="AL267" s="51">
        <f>IF(TArticle[[#This Row],[کد بانک]]&gt;0,TArticle[[#This Row],[مانده بانک]]-VLOOKUP(TArticle[[#This Row],[کد بانک]],TBank[],7,FALSE),"")</f>
        <v>18209</v>
      </c>
      <c r="AM267" s="49" t="str">
        <f>LEFT(TArticle[[#This Row],[تاریخ]],7)</f>
        <v>1401-12</v>
      </c>
    </row>
    <row r="268" spans="1:39" hidden="1" x14ac:dyDescent="0.25">
      <c r="A268" s="24" t="s">
        <v>1210</v>
      </c>
      <c r="B268" s="49" t="str">
        <f>VLOOKUP(TArticle[[#This Row],[شناسه]],TAccount[],2,TRUE)</f>
        <v>حقوق مناسبت</v>
      </c>
      <c r="C268" s="49" t="str">
        <f>VLOOKUP(TArticle[[#This Row],[تاریخ]],TDays[],7,FALSE)</f>
        <v>شنبه</v>
      </c>
      <c r="D268" s="21" t="s">
        <v>548</v>
      </c>
      <c r="E268" s="1">
        <v>6000</v>
      </c>
      <c r="F268" s="1">
        <f>TArticle[[#This Row],[مبلغ]]+IFERROR(INT(F267),30181+3667+958)</f>
        <v>26752</v>
      </c>
      <c r="G268" s="49" t="s">
        <v>1609</v>
      </c>
      <c r="K268" s="64">
        <v>1</v>
      </c>
      <c r="L268" s="171" t="str">
        <f>IF(TArticle[[#This Row],[کد وضعیت سند]]&gt;0,VLOOKUP(TArticle[[#This Row],[کد وضعیت سند]],TDocState[],2,FALSE),"")</f>
        <v>انجام شد</v>
      </c>
      <c r="N268" s="171" t="str">
        <f>IF(TArticle[[#This Row],[کد طرف حساب]]&gt;0,VLOOKUP(TArticle[[#This Row],[کد طرف حساب]],TContact[],2,FALSE),"")</f>
        <v/>
      </c>
      <c r="O268" s="61" t="str">
        <f>IF(TArticle[[#This Row],[کد طرف حساب]]&gt;0,VLOOKUP(TArticle[[#This Row],[کد طرف حساب]],TContact[],7,FALSE)-SUMIF($M$2:M268,M268,$E$2:$E268),"")</f>
        <v/>
      </c>
      <c r="P268" s="27" t="str">
        <f>RIGHT(TArticle[[#This Row],[تاریخ]],2)</f>
        <v>20</v>
      </c>
      <c r="Q268" s="27">
        <f>VLOOKUP(TArticle[[#This Row],[تاریخ]],TDays[],16,FALSE)</f>
        <v>52</v>
      </c>
      <c r="R268" s="27" t="str">
        <f>RIGHT(LEFT(TArticle[[#This Row],[تاریخ]],7),2)</f>
        <v>12</v>
      </c>
      <c r="S268" s="27" t="str">
        <f>LEFT(TArticle[[#This Row],[تاریخ]],4)</f>
        <v>1401</v>
      </c>
      <c r="U268" s="21">
        <f>VLOOKUP(TArticle[[#This Row],[شناسه]],TAccount[],7,TRUE)</f>
        <v>18339</v>
      </c>
      <c r="W268" s="21">
        <f>IF(AND(TArticle[[#This Row],[مبلغ]]&gt;0, TArticle[[#This Row],[کد وضعیت سند]]=1),TArticle[[#This Row],[مبلغ]],0)</f>
        <v>6000</v>
      </c>
      <c r="X268" s="27">
        <f>IF(AND(TArticle[[#This Row],[مبلغ]]&lt;0,TArticle[[#This Row],[کد وضعیت سند]]=1),0-TArticle[[#This Row],[مبلغ]],0)</f>
        <v>0</v>
      </c>
      <c r="Y268" s="27">
        <v>31</v>
      </c>
      <c r="Z268" s="171" t="str">
        <f>IF(TArticle[[#This Row],[کد بانک]]&gt;0,VLOOKUP(TArticle[[#This Row],[کد بانک]],TBank[],2,FALSE),"")</f>
        <v>شهروند</v>
      </c>
      <c r="AA268">
        <f>IF(AND(TArticle[[#This Row],[مبلغ]]&lt;0,TArticle[[#This Row],[کد وضعیت سند]]=1),0-TArticle[[#This Row],[مبلغ]],0)</f>
        <v>0</v>
      </c>
      <c r="AB268">
        <f>IF(AND(TArticle[[#This Row],[مبلغ]]&gt;0, TArticle[[#This Row],[کد وضعیت سند]]=1),TArticle[[#This Row],[مبلغ]],0)</f>
        <v>6000</v>
      </c>
      <c r="AC268" s="84">
        <f>IF(TArticle[[#This Row],[کد بانک]]&gt;0,VLOOKUP(TArticle[[#This Row],[کد بانک]],TBank[],9,FALSE)+SUMIF($Y$2:Y268,Y268,$E$2:$E268),"")</f>
        <v>6230</v>
      </c>
      <c r="AD268" s="1">
        <f>IFERROR(IF(INT(LEFT(TArticle[[#This Row],[شناسه]]))=3,IF(TArticle[[#This Row],[کد وضعیت سند]]=1,TArticle[مبلغ],0),0),0)</f>
        <v>0</v>
      </c>
      <c r="AE268" s="1">
        <f>IFERROR(IF(((TArticle[[#This Row],[شناسه]]))="4.1.1",IF(TArticle[[#This Row],[کد وضعیت سند]]=1,TArticle[مبلغ],0),0),0)</f>
        <v>0</v>
      </c>
      <c r="AF268" s="1">
        <f>IFERROR(IF(((TArticle[[#This Row],[شناسه]]))="4.1.2",IF(TArticle[[#This Row],[کد وضعیت سند]]=1,TArticle[مبلغ],0),0),0)</f>
        <v>0</v>
      </c>
      <c r="AG268" s="1">
        <f>IFERROR(IF(INT(LEFT(TArticle[[#This Row],[شناسه]]))=1,IF(TArticle[[#This Row],[کد وضعیت سند]]=1,TArticle[مبلغ],0),0),0)</f>
        <v>0</v>
      </c>
      <c r="AH268" s="1">
        <f>IFERROR(IF(INT(LEFT(TArticle[[#This Row],[شناسه]]))=2,IF(TArticle[[#This Row],[کد وضعیت سند]]=1,TArticle[مبلغ],0),0),0)</f>
        <v>0</v>
      </c>
      <c r="AI268" s="1">
        <f>IFERROR(IF((LEFT(TArticle[[#This Row],[شناسه]],3))="5.2",IF(TArticle[[#This Row],[کد وضعیت سند]]=1,TArticle[مبلغ],0),0),0)</f>
        <v>0</v>
      </c>
      <c r="AJ268" s="1">
        <f>IF(TArticle[[#This Row],[کد وضعیت سند]]=1,1,0)</f>
        <v>1</v>
      </c>
      <c r="AK268" s="1">
        <f>IF(AND(TArticle[[#This Row],[کد وضعیت سند]]&lt;&gt;1,TArticle[[#This Row],[مبلغ]]&lt;&gt;0),1,0)</f>
        <v>0</v>
      </c>
      <c r="AL268" s="51">
        <f>IF(TArticle[[#This Row],[کد بانک]]&gt;0,TArticle[[#This Row],[مانده بانک]]-VLOOKUP(TArticle[[#This Row],[کد بانک]],TBank[],7,FALSE),"")</f>
        <v>6230</v>
      </c>
      <c r="AM268" s="58" t="str">
        <f>LEFT(TArticle[[#This Row],[تاریخ]],7)</f>
        <v>1401-12</v>
      </c>
    </row>
    <row r="269" spans="1:39" hidden="1" x14ac:dyDescent="0.25">
      <c r="A269" s="24" t="s">
        <v>1209</v>
      </c>
      <c r="B269" s="49" t="str">
        <f>VLOOKUP(TArticle[[#This Row],[شناسه]],TAccount[],2,TRUE)</f>
        <v>حقوق پاداش</v>
      </c>
      <c r="C269" s="49" t="str">
        <f>VLOOKUP(TArticle[[#This Row],[تاریخ]],TDays[],7,FALSE)</f>
        <v>یکشنبه</v>
      </c>
      <c r="D269" s="21" t="s">
        <v>549</v>
      </c>
      <c r="E269" s="1">
        <v>19760</v>
      </c>
      <c r="F269" s="1">
        <f>TArticle[[#This Row],[مبلغ]]+IFERROR(INT(F268),30181+3667+958)</f>
        <v>46512</v>
      </c>
      <c r="G269" s="49" t="s">
        <v>2820</v>
      </c>
      <c r="H269" s="64"/>
      <c r="J269" s="65"/>
      <c r="K269" s="64">
        <v>1</v>
      </c>
      <c r="L269" s="171" t="str">
        <f>IF(TArticle[[#This Row],[کد وضعیت سند]]&gt;0,VLOOKUP(TArticle[[#This Row],[کد وضعیت سند]],TDocState[],2,FALSE),"")</f>
        <v>انجام شد</v>
      </c>
      <c r="M269" s="67"/>
      <c r="N269" s="171" t="str">
        <f>IF(TArticle[[#This Row],[کد طرف حساب]]&gt;0,VLOOKUP(TArticle[[#This Row],[کد طرف حساب]],TContact[],2,FALSE),"")</f>
        <v/>
      </c>
      <c r="O269" s="68" t="str">
        <f>IF(TArticle[[#This Row],[کد طرف حساب]]&gt;0,VLOOKUP(TArticle[[#This Row],[کد طرف حساب]],TContact[],7,FALSE)-SUMIF($M$2:M269,M269,$E$2:$E269),"")</f>
        <v/>
      </c>
      <c r="P269" s="67" t="str">
        <f>RIGHT(TArticle[[#This Row],[تاریخ]],2)</f>
        <v>21</v>
      </c>
      <c r="Q269" s="67">
        <f>VLOOKUP(TArticle[[#This Row],[تاریخ]],TDays[],16,FALSE)</f>
        <v>52</v>
      </c>
      <c r="R269" s="67" t="str">
        <f>RIGHT(LEFT(TArticle[[#This Row],[تاریخ]],7),2)</f>
        <v>12</v>
      </c>
      <c r="S269" s="67" t="str">
        <f>LEFT(TArticle[[#This Row],[تاریخ]],4)</f>
        <v>1401</v>
      </c>
      <c r="T269" s="64"/>
      <c r="U269" s="64">
        <f>VLOOKUP(TArticle[[#This Row],[شناسه]],TAccount[],7,TRUE)</f>
        <v>35873</v>
      </c>
      <c r="V269" s="64"/>
      <c r="W269" s="64">
        <f>IF(AND(TArticle[[#This Row],[مبلغ]]&gt;0, TArticle[[#This Row],[کد وضعیت سند]]=1),TArticle[[#This Row],[مبلغ]],0)</f>
        <v>19760</v>
      </c>
      <c r="X269" s="67">
        <f>IF(AND(TArticle[[#This Row],[مبلغ]]&lt;0,TArticle[[#This Row],[کد وضعیت سند]]=1),0-TArticle[[#This Row],[مبلغ]],0)</f>
        <v>0</v>
      </c>
      <c r="Y269" s="27">
        <v>2</v>
      </c>
      <c r="Z269" s="171" t="str">
        <f>IF(TArticle[[#This Row],[کد بانک]]&gt;0,VLOOKUP(TArticle[[#This Row],[کد بانک]],TBank[],2,FALSE),"")</f>
        <v>ملی جاری</v>
      </c>
      <c r="AA269">
        <f>IF(AND(TArticle[[#This Row],[مبلغ]]&lt;0,TArticle[[#This Row],[کد وضعیت سند]]=1),0-TArticle[[#This Row],[مبلغ]],0)</f>
        <v>0</v>
      </c>
      <c r="AB269">
        <f>IF(AND(TArticle[[#This Row],[مبلغ]]&gt;0, TArticle[[#This Row],[کد وضعیت سند]]=1),TArticle[[#This Row],[مبلغ]],0)</f>
        <v>19760</v>
      </c>
      <c r="AC269" s="93">
        <f>IF(TArticle[[#This Row],[کد بانک]]&gt;0,VLOOKUP(TArticle[[#This Row],[کد بانک]],TBank[],9,FALSE)+SUMIF($Y$2:Y269,Y269,$E$2:$E269),"")</f>
        <v>37969</v>
      </c>
      <c r="AD269" s="1">
        <f>IFERROR(IF(INT(LEFT(TArticle[[#This Row],[شناسه]]))=3,IF(TArticle[[#This Row],[کد وضعیت سند]]=1,TArticle[مبلغ],0),0),0)</f>
        <v>0</v>
      </c>
      <c r="AE269" s="1">
        <f>IFERROR(IF(((TArticle[[#This Row],[شناسه]]))="4.1.1",IF(TArticle[[#This Row],[کد وضعیت سند]]=1,TArticle[مبلغ],0),0),0)</f>
        <v>0</v>
      </c>
      <c r="AF269" s="1">
        <f>IFERROR(IF(((TArticle[[#This Row],[شناسه]]))="4.1.2",IF(TArticle[[#This Row],[کد وضعیت سند]]=1,TArticle[مبلغ],0),0),0)</f>
        <v>0</v>
      </c>
      <c r="AG269" s="1">
        <f>IFERROR(IF(INT(LEFT(TArticle[[#This Row],[شناسه]]))=1,IF(TArticle[[#This Row],[کد وضعیت سند]]=1,TArticle[مبلغ],0),0),0)</f>
        <v>0</v>
      </c>
      <c r="AH269" s="1">
        <f>IFERROR(IF(INT(LEFT(TArticle[[#This Row],[شناسه]]))=2,IF(TArticle[[#This Row],[کد وضعیت سند]]=1,TArticle[مبلغ],0),0),0)</f>
        <v>0</v>
      </c>
      <c r="AI269" s="1">
        <f>IFERROR(IF((LEFT(TArticle[[#This Row],[شناسه]],3))="5.2",IF(TArticle[[#This Row],[کد وضعیت سند]]=1,TArticle[مبلغ],0),0),0)</f>
        <v>0</v>
      </c>
      <c r="AJ269" s="1">
        <f>IF(TArticle[[#This Row],[کد وضعیت سند]]=1,1,0)</f>
        <v>1</v>
      </c>
      <c r="AK269" s="1">
        <f>IF(AND(TArticle[[#This Row],[کد وضعیت سند]]&lt;&gt;1,TArticle[[#This Row],[مبلغ]]&lt;&gt;0),1,0)</f>
        <v>0</v>
      </c>
      <c r="AL269" s="78">
        <f>IF(TArticle[[#This Row],[کد بانک]]&gt;0,TArticle[[#This Row],[مانده بانک]]-VLOOKUP(TArticle[[#This Row],[کد بانک]],TBank[],7,FALSE),"")</f>
        <v>37969</v>
      </c>
      <c r="AM269" s="69" t="str">
        <f>LEFT(TArticle[[#This Row],[تاریخ]],7)</f>
        <v>1401-12</v>
      </c>
    </row>
    <row r="270" spans="1:39" hidden="1" x14ac:dyDescent="0.25">
      <c r="A270" s="24" t="s">
        <v>55</v>
      </c>
      <c r="B270" s="49" t="str">
        <f>VLOOKUP(TArticle[[#This Row],[شناسه]],TAccount[],2,TRUE)</f>
        <v>هزینه کلی</v>
      </c>
      <c r="C270" s="49" t="str">
        <f>VLOOKUP(TArticle[[#This Row],[تاریخ]],TDays[],7,FALSE)</f>
        <v>یکشنبه</v>
      </c>
      <c r="D270" s="21" t="s">
        <v>549</v>
      </c>
      <c r="E270" s="1">
        <v>-5500</v>
      </c>
      <c r="F270" s="1">
        <f>TArticle[[#This Row],[مبلغ]]+IFERROR(INT(F269),30181+3667+958)</f>
        <v>41012</v>
      </c>
      <c r="G270" s="49" t="s">
        <v>1609</v>
      </c>
      <c r="J270" s="51"/>
      <c r="K270" s="64">
        <v>1</v>
      </c>
      <c r="L270" s="171" t="str">
        <f>IF(TArticle[[#This Row],[کد وضعیت سند]]&gt;0,VLOOKUP(TArticle[[#This Row],[کد وضعیت سند]],TDocState[],2,FALSE),"")</f>
        <v>انجام شد</v>
      </c>
      <c r="N270" s="171" t="str">
        <f>IF(TArticle[[#This Row],[کد طرف حساب]]&gt;0,VLOOKUP(TArticle[[#This Row],[کد طرف حساب]],TContact[],2,FALSE),"")</f>
        <v/>
      </c>
      <c r="O270" s="60" t="str">
        <f>IF(TArticle[[#This Row],[کد طرف حساب]]&gt;0,VLOOKUP(TArticle[[#This Row],[کد طرف حساب]],TContact[],7,FALSE)-SUMIF($M$2:M270,M270,$E$2:$E270),"")</f>
        <v/>
      </c>
      <c r="P270" s="27" t="str">
        <f>RIGHT(TArticle[[#This Row],[تاریخ]],2)</f>
        <v>21</v>
      </c>
      <c r="Q270" s="27">
        <f>VLOOKUP(TArticle[[#This Row],[تاریخ]],TDays[],16,FALSE)</f>
        <v>52</v>
      </c>
      <c r="R270" s="27" t="str">
        <f>RIGHT(LEFT(TArticle[[#This Row],[تاریخ]],7),2)</f>
        <v>12</v>
      </c>
      <c r="S270" s="27" t="str">
        <f>LEFT(TArticle[[#This Row],[تاریخ]],4)</f>
        <v>1401</v>
      </c>
      <c r="U270" s="21">
        <f>VLOOKUP(TArticle[[#This Row],[شناسه]],TAccount[],7,TRUE)</f>
        <v>364074</v>
      </c>
      <c r="W270" s="21">
        <f>IF(AND(TArticle[[#This Row],[مبلغ]]&gt;0, TArticle[[#This Row],[کد وضعیت سند]]=1),TArticle[[#This Row],[مبلغ]],0)</f>
        <v>0</v>
      </c>
      <c r="X270" s="27">
        <f>IF(AND(TArticle[[#This Row],[مبلغ]]&lt;0,TArticle[[#This Row],[کد وضعیت سند]]=1),0-TArticle[[#This Row],[مبلغ]],0)</f>
        <v>5500</v>
      </c>
      <c r="Y270" s="27">
        <v>31</v>
      </c>
      <c r="Z270" s="171" t="str">
        <f>IF(TArticle[[#This Row],[کد بانک]]&gt;0,VLOOKUP(TArticle[[#This Row],[کد بانک]],TBank[],2,FALSE),"")</f>
        <v>شهروند</v>
      </c>
      <c r="AA270">
        <f>IF(AND(TArticle[[#This Row],[مبلغ]]&lt;0,TArticle[[#This Row],[کد وضعیت سند]]=1),0-TArticle[[#This Row],[مبلغ]],0)</f>
        <v>5500</v>
      </c>
      <c r="AB270">
        <f>IF(AND(TArticle[[#This Row],[مبلغ]]&gt;0, TArticle[[#This Row],[کد وضعیت سند]]=1),TArticle[[#This Row],[مبلغ]],0)</f>
        <v>0</v>
      </c>
      <c r="AC270" s="92">
        <f>IF(TArticle[[#This Row],[کد بانک]]&gt;0,VLOOKUP(TArticle[[#This Row],[کد بانک]],TBank[],9,FALSE)+SUMIF($Y$2:Y270,Y270,$E$2:$E270),"")</f>
        <v>730</v>
      </c>
      <c r="AD270" s="1">
        <f>IFERROR(IF(INT(LEFT(TArticle[[#This Row],[شناسه]]))=3,IF(TArticle[[#This Row],[کد وضعیت سند]]=1,TArticle[مبلغ],0),0),0)</f>
        <v>-5500</v>
      </c>
      <c r="AE270" s="1">
        <f>IFERROR(IF(((TArticle[[#This Row],[شناسه]]))="4.1.1",IF(TArticle[[#This Row],[کد وضعیت سند]]=1,TArticle[مبلغ],0),0),0)</f>
        <v>0</v>
      </c>
      <c r="AF270" s="1">
        <f>IFERROR(IF(((TArticle[[#This Row],[شناسه]]))="4.1.2",IF(TArticle[[#This Row],[کد وضعیت سند]]=1,TArticle[مبلغ],0),0),0)</f>
        <v>0</v>
      </c>
      <c r="AG270" s="1">
        <f>IFERROR(IF(INT(LEFT(TArticle[[#This Row],[شناسه]]))=1,IF(TArticle[[#This Row],[کد وضعیت سند]]=1,TArticle[مبلغ],0),0),0)</f>
        <v>0</v>
      </c>
      <c r="AH270" s="1">
        <f>IFERROR(IF(INT(LEFT(TArticle[[#This Row],[شناسه]]))=2,IF(TArticle[[#This Row],[کد وضعیت سند]]=1,TArticle[مبلغ],0),0),0)</f>
        <v>0</v>
      </c>
      <c r="AI270" s="1">
        <f>IFERROR(IF((LEFT(TArticle[[#This Row],[شناسه]],3))="5.2",IF(TArticle[[#This Row],[کد وضعیت سند]]=1,TArticle[مبلغ],0),0),0)</f>
        <v>0</v>
      </c>
      <c r="AJ270" s="1">
        <f>IF(TArticle[[#This Row],[کد وضعیت سند]]=1,1,0)</f>
        <v>1</v>
      </c>
      <c r="AK270" s="1">
        <f>IF(AND(TArticle[[#This Row],[کد وضعیت سند]]&lt;&gt;1,TArticle[[#This Row],[مبلغ]]&lt;&gt;0),1,0)</f>
        <v>0</v>
      </c>
      <c r="AL270" s="51">
        <f>IF(TArticle[[#This Row],[کد بانک]]&gt;0,TArticle[[#This Row],[مانده بانک]]-VLOOKUP(TArticle[[#This Row],[کد بانک]],TBank[],7,FALSE),"")</f>
        <v>730</v>
      </c>
      <c r="AM270" s="58" t="str">
        <f>LEFT(TArticle[[#This Row],[تاریخ]],7)</f>
        <v>1401-12</v>
      </c>
    </row>
    <row r="271" spans="1:39" hidden="1" x14ac:dyDescent="0.25">
      <c r="A271" s="24" t="s">
        <v>1210</v>
      </c>
      <c r="B271" s="49" t="str">
        <f>VLOOKUP(TArticle[[#This Row],[شناسه]],TAccount[],2,TRUE)</f>
        <v>حقوق مناسبت</v>
      </c>
      <c r="C271" s="49" t="str">
        <f>VLOOKUP(TArticle[[#This Row],[تاریخ]],TDays[],7,FALSE)</f>
        <v>یکشنبه</v>
      </c>
      <c r="D271" s="21" t="s">
        <v>549</v>
      </c>
      <c r="E271" s="1">
        <v>800</v>
      </c>
      <c r="F271" s="1">
        <f>TArticle[[#This Row],[مبلغ]]+IFERROR(INT(F270),30181+3667+958)</f>
        <v>41812</v>
      </c>
      <c r="G271" s="49" t="s">
        <v>2824</v>
      </c>
      <c r="J271" s="65"/>
      <c r="K271" s="64">
        <v>1</v>
      </c>
      <c r="L271" s="171" t="str">
        <f>IF(TArticle[[#This Row],[کد وضعیت سند]]&gt;0,VLOOKUP(TArticle[[#This Row],[کد وضعیت سند]],TDocState[],2,FALSE),"")</f>
        <v>انجام شد</v>
      </c>
      <c r="M271" s="67"/>
      <c r="N271" s="171" t="str">
        <f>IF(TArticle[[#This Row],[کد طرف حساب]]&gt;0,VLOOKUP(TArticle[[#This Row],[کد طرف حساب]],TContact[],2,FALSE),"")</f>
        <v/>
      </c>
      <c r="O271" s="68" t="str">
        <f>IF(TArticle[[#This Row],[کد طرف حساب]]&gt;0,VLOOKUP(TArticle[[#This Row],[کد طرف حساب]],TContact[],7,FALSE)-SUMIF($M$2:M271,M271,$E$2:$E271),"")</f>
        <v/>
      </c>
      <c r="P271" s="67" t="str">
        <f>RIGHT(TArticle[[#This Row],[تاریخ]],2)</f>
        <v>21</v>
      </c>
      <c r="Q271" s="67">
        <f>VLOOKUP(TArticle[[#This Row],[تاریخ]],TDays[],16,FALSE)</f>
        <v>52</v>
      </c>
      <c r="R271" s="67" t="str">
        <f>RIGHT(LEFT(TArticle[[#This Row],[تاریخ]],7),2)</f>
        <v>12</v>
      </c>
      <c r="S271" s="67" t="str">
        <f>LEFT(TArticle[[#This Row],[تاریخ]],4)</f>
        <v>1401</v>
      </c>
      <c r="T271" s="64"/>
      <c r="U271" s="64">
        <f>VLOOKUP(TArticle[[#This Row],[شناسه]],TAccount[],7,TRUE)</f>
        <v>18339</v>
      </c>
      <c r="V271" s="64"/>
      <c r="W271" s="64">
        <f>IF(AND(TArticle[[#This Row],[مبلغ]]&gt;0, TArticle[[#This Row],[کد وضعیت سند]]=1),TArticle[[#This Row],[مبلغ]],0)</f>
        <v>800</v>
      </c>
      <c r="X271" s="67">
        <f>IF(AND(TArticle[[#This Row],[مبلغ]]&lt;0,TArticle[[#This Row],[کد وضعیت سند]]=1),0-TArticle[[#This Row],[مبلغ]],0)</f>
        <v>0</v>
      </c>
      <c r="Y271" s="27">
        <v>30</v>
      </c>
      <c r="Z271" s="171" t="str">
        <f>IF(TArticle[[#This Row],[کد بانک]]&gt;0,VLOOKUP(TArticle[[#This Row],[کد بانک]],TBank[],2,FALSE),"")</f>
        <v>بن کارت</v>
      </c>
      <c r="AA271">
        <f>IF(AND(TArticle[[#This Row],[مبلغ]]&lt;0,TArticle[[#This Row],[کد وضعیت سند]]=1),0-TArticle[[#This Row],[مبلغ]],0)</f>
        <v>0</v>
      </c>
      <c r="AB271">
        <f>IF(AND(TArticle[[#This Row],[مبلغ]]&gt;0, TArticle[[#This Row],[کد وضعیت سند]]=1),TArticle[[#This Row],[مبلغ]],0)</f>
        <v>800</v>
      </c>
      <c r="AC271" s="93">
        <f>IF(TArticle[[#This Row],[کد بانک]]&gt;0,VLOOKUP(TArticle[[#This Row],[کد بانک]],TBank[],9,FALSE)+SUMIF($Y$2:Y271,Y271,$E$2:$E271),"")</f>
        <v>2501</v>
      </c>
      <c r="AD271" s="1">
        <f>IFERROR(IF(INT(LEFT(TArticle[[#This Row],[شناسه]]))=3,IF(TArticle[[#This Row],[کد وضعیت سند]]=1,TArticle[مبلغ],0),0),0)</f>
        <v>0</v>
      </c>
      <c r="AE271" s="1">
        <f>IFERROR(IF(((TArticle[[#This Row],[شناسه]]))="4.1.1",IF(TArticle[[#This Row],[کد وضعیت سند]]=1,TArticle[مبلغ],0),0),0)</f>
        <v>0</v>
      </c>
      <c r="AF271" s="1">
        <f>IFERROR(IF(((TArticle[[#This Row],[شناسه]]))="4.1.2",IF(TArticle[[#This Row],[کد وضعیت سند]]=1,TArticle[مبلغ],0),0),0)</f>
        <v>0</v>
      </c>
      <c r="AG271" s="1">
        <f>IFERROR(IF(INT(LEFT(TArticle[[#This Row],[شناسه]]))=1,IF(TArticle[[#This Row],[کد وضعیت سند]]=1,TArticle[مبلغ],0),0),0)</f>
        <v>0</v>
      </c>
      <c r="AH271" s="1">
        <f>IFERROR(IF(INT(LEFT(TArticle[[#This Row],[شناسه]]))=2,IF(TArticle[[#This Row],[کد وضعیت سند]]=1,TArticle[مبلغ],0),0),0)</f>
        <v>0</v>
      </c>
      <c r="AI271" s="1">
        <f>IFERROR(IF((LEFT(TArticle[[#This Row],[شناسه]],3))="5.2",IF(TArticle[[#This Row],[کد وضعیت سند]]=1,TArticle[مبلغ],0),0),0)</f>
        <v>0</v>
      </c>
      <c r="AJ271" s="1">
        <f>IF(TArticle[[#This Row],[کد وضعیت سند]]=1,1,0)</f>
        <v>1</v>
      </c>
      <c r="AK271" s="1">
        <f>IF(AND(TArticle[[#This Row],[کد وضعیت سند]]&lt;&gt;1,TArticle[[#This Row],[مبلغ]]&lt;&gt;0),1,0)</f>
        <v>0</v>
      </c>
      <c r="AL271" s="78">
        <f>IF(TArticle[[#This Row],[کد بانک]]&gt;0,TArticle[[#This Row],[مانده بانک]]-VLOOKUP(TArticle[[#This Row],[کد بانک]],TBank[],7,FALSE),"")</f>
        <v>2501</v>
      </c>
      <c r="AM271" s="69" t="str">
        <f>LEFT(TArticle[[#This Row],[تاریخ]],7)</f>
        <v>1401-12</v>
      </c>
    </row>
    <row r="272" spans="1:39" hidden="1" x14ac:dyDescent="0.25">
      <c r="A272" s="24" t="s">
        <v>1210</v>
      </c>
      <c r="B272" s="49" t="str">
        <f>VLOOKUP(TArticle[[#This Row],[شناسه]],TAccount[],2,TRUE)</f>
        <v>حقوق مناسبت</v>
      </c>
      <c r="C272" s="49" t="str">
        <f>VLOOKUP(TArticle[[#This Row],[تاریخ]],TDays[],7,FALSE)</f>
        <v>یکشنبه</v>
      </c>
      <c r="D272" s="21" t="s">
        <v>549</v>
      </c>
      <c r="E272" s="1">
        <v>1100</v>
      </c>
      <c r="F272" s="1">
        <f>TArticle[[#This Row],[مبلغ]]+IFERROR(INT(F271),30181+3667+958)</f>
        <v>42912</v>
      </c>
      <c r="G272" s="49" t="s">
        <v>2825</v>
      </c>
      <c r="J272" s="51"/>
      <c r="K272" s="64">
        <v>1</v>
      </c>
      <c r="L272" s="171" t="str">
        <f>IF(TArticle[[#This Row],[کد وضعیت سند]]&gt;0,VLOOKUP(TArticle[[#This Row],[کد وضعیت سند]],TDocState[],2,FALSE),"")</f>
        <v>انجام شد</v>
      </c>
      <c r="N272" s="171" t="str">
        <f>IF(TArticle[[#This Row],[کد طرف حساب]]&gt;0,VLOOKUP(TArticle[[#This Row],[کد طرف حساب]],TContact[],2,FALSE),"")</f>
        <v/>
      </c>
      <c r="O272" s="60" t="str">
        <f>IF(TArticle[[#This Row],[کد طرف حساب]]&gt;0,VLOOKUP(TArticle[[#This Row],[کد طرف حساب]],TContact[],7,FALSE)-SUMIF($M$2:M272,M272,$E$2:$E272),"")</f>
        <v/>
      </c>
      <c r="P272" s="27" t="str">
        <f>RIGHT(TArticle[[#This Row],[تاریخ]],2)</f>
        <v>21</v>
      </c>
      <c r="Q272" s="27">
        <f>VLOOKUP(TArticle[[#This Row],[تاریخ]],TDays[],16,FALSE)</f>
        <v>52</v>
      </c>
      <c r="R272" s="27" t="str">
        <f>RIGHT(LEFT(TArticle[[#This Row],[تاریخ]],7),2)</f>
        <v>12</v>
      </c>
      <c r="S272" s="27" t="str">
        <f>LEFT(TArticle[[#This Row],[تاریخ]],4)</f>
        <v>1401</v>
      </c>
      <c r="U272" s="21">
        <f>VLOOKUP(TArticle[[#This Row],[شناسه]],TAccount[],7,TRUE)</f>
        <v>18339</v>
      </c>
      <c r="W272" s="21">
        <f>IF(AND(TArticle[[#This Row],[مبلغ]]&gt;0, TArticle[[#This Row],[کد وضعیت سند]]=1),TArticle[[#This Row],[مبلغ]],0)</f>
        <v>1100</v>
      </c>
      <c r="X272" s="27">
        <f>IF(AND(TArticle[[#This Row],[مبلغ]]&lt;0,TArticle[[#This Row],[کد وضعیت سند]]=1),0-TArticle[[#This Row],[مبلغ]],0)</f>
        <v>0</v>
      </c>
      <c r="Y272" s="27">
        <v>30</v>
      </c>
      <c r="Z272" s="171" t="str">
        <f>IF(TArticle[[#This Row],[کد بانک]]&gt;0,VLOOKUP(TArticle[[#This Row],[کد بانک]],TBank[],2,FALSE),"")</f>
        <v>بن کارت</v>
      </c>
      <c r="AA272">
        <f>IF(AND(TArticle[[#This Row],[مبلغ]]&lt;0,TArticle[[#This Row],[کد وضعیت سند]]=1),0-TArticle[[#This Row],[مبلغ]],0)</f>
        <v>0</v>
      </c>
      <c r="AB272">
        <f>IF(AND(TArticle[[#This Row],[مبلغ]]&gt;0, TArticle[[#This Row],[کد وضعیت سند]]=1),TArticle[[#This Row],[مبلغ]],0)</f>
        <v>1100</v>
      </c>
      <c r="AC272" s="92">
        <f>IF(TArticle[[#This Row],[کد بانک]]&gt;0,VLOOKUP(TArticle[[#This Row],[کد بانک]],TBank[],9,FALSE)+SUMIF($Y$2:Y272,Y272,$E$2:$E272),"")</f>
        <v>3601</v>
      </c>
      <c r="AD272" s="1">
        <f>IFERROR(IF(INT(LEFT(TArticle[[#This Row],[شناسه]]))=3,IF(TArticle[[#This Row],[کد وضعیت سند]]=1,TArticle[مبلغ],0),0),0)</f>
        <v>0</v>
      </c>
      <c r="AE272" s="1">
        <f>IFERROR(IF(((TArticle[[#This Row],[شناسه]]))="4.1.1",IF(TArticle[[#This Row],[کد وضعیت سند]]=1,TArticle[مبلغ],0),0),0)</f>
        <v>0</v>
      </c>
      <c r="AF272" s="1">
        <f>IFERROR(IF(((TArticle[[#This Row],[شناسه]]))="4.1.2",IF(TArticle[[#This Row],[کد وضعیت سند]]=1,TArticle[مبلغ],0),0),0)</f>
        <v>0</v>
      </c>
      <c r="AG272" s="1">
        <f>IFERROR(IF(INT(LEFT(TArticle[[#This Row],[شناسه]]))=1,IF(TArticle[[#This Row],[کد وضعیت سند]]=1,TArticle[مبلغ],0),0),0)</f>
        <v>0</v>
      </c>
      <c r="AH272" s="1">
        <f>IFERROR(IF(INT(LEFT(TArticle[[#This Row],[شناسه]]))=2,IF(TArticle[[#This Row],[کد وضعیت سند]]=1,TArticle[مبلغ],0),0),0)</f>
        <v>0</v>
      </c>
      <c r="AI272" s="1">
        <f>IFERROR(IF((LEFT(TArticle[[#This Row],[شناسه]],3))="5.2",IF(TArticle[[#This Row],[کد وضعیت سند]]=1,TArticle[مبلغ],0),0),0)</f>
        <v>0</v>
      </c>
      <c r="AJ272" s="1">
        <f>IF(TArticle[[#This Row],[کد وضعیت سند]]=1,1,0)</f>
        <v>1</v>
      </c>
      <c r="AK272" s="1">
        <f>IF(AND(TArticle[[#This Row],[کد وضعیت سند]]&lt;&gt;1,TArticle[[#This Row],[مبلغ]]&lt;&gt;0),1,0)</f>
        <v>0</v>
      </c>
      <c r="AL272" s="51">
        <f>IF(TArticle[[#This Row],[کد بانک]]&gt;0,TArticle[[#This Row],[مانده بانک]]-VLOOKUP(TArticle[[#This Row],[کد بانک]],TBank[],7,FALSE),"")</f>
        <v>3601</v>
      </c>
      <c r="AM272" s="58" t="str">
        <f>LEFT(TArticle[[#This Row],[تاریخ]],7)</f>
        <v>1401-12</v>
      </c>
    </row>
    <row r="273" spans="1:39" hidden="1" x14ac:dyDescent="0.25">
      <c r="A273" s="24" t="s">
        <v>55</v>
      </c>
      <c r="B273" s="49" t="str">
        <f>VLOOKUP(TArticle[[#This Row],[شناسه]],TAccount[],2,TRUE)</f>
        <v>هزینه کلی</v>
      </c>
      <c r="C273" s="49" t="str">
        <f>VLOOKUP(TArticle[[#This Row],[تاریخ]],TDays[],7,FALSE)</f>
        <v>دوشنبه</v>
      </c>
      <c r="D273" s="21" t="s">
        <v>550</v>
      </c>
      <c r="E273" s="1">
        <v>-2745</v>
      </c>
      <c r="F273" s="1">
        <f>TArticle[[#This Row],[مبلغ]]+IFERROR(INT(F272),30181+3667+958)</f>
        <v>40167</v>
      </c>
      <c r="G273" s="49" t="s">
        <v>2826</v>
      </c>
      <c r="H273" s="64"/>
      <c r="J273" s="65"/>
      <c r="K273" s="64">
        <v>1</v>
      </c>
      <c r="L273" s="171" t="str">
        <f>IF(TArticle[[#This Row],[کد وضعیت سند]]&gt;0,VLOOKUP(TArticle[[#This Row],[کد وضعیت سند]],TDocState[],2,FALSE),"")</f>
        <v>انجام شد</v>
      </c>
      <c r="M273" s="67"/>
      <c r="N273" s="171" t="str">
        <f>IF(TArticle[[#This Row],[کد طرف حساب]]&gt;0,VLOOKUP(TArticle[[#This Row],[کد طرف حساب]],TContact[],2,FALSE),"")</f>
        <v/>
      </c>
      <c r="O273" s="68" t="str">
        <f>IF(TArticle[[#This Row],[کد طرف حساب]]&gt;0,VLOOKUP(TArticle[[#This Row],[کد طرف حساب]],TContact[],7,FALSE)-SUMIF($M$2:M273,M273,$E$2:$E273),"")</f>
        <v/>
      </c>
      <c r="P273" s="67" t="str">
        <f>RIGHT(TArticle[[#This Row],[تاریخ]],2)</f>
        <v>22</v>
      </c>
      <c r="Q273" s="67">
        <f>VLOOKUP(TArticle[[#This Row],[تاریخ]],TDays[],16,FALSE)</f>
        <v>53</v>
      </c>
      <c r="R273" s="67" t="str">
        <f>RIGHT(LEFT(TArticle[[#This Row],[تاریخ]],7),2)</f>
        <v>12</v>
      </c>
      <c r="S273" s="67" t="str">
        <f>LEFT(TArticle[[#This Row],[تاریخ]],4)</f>
        <v>1401</v>
      </c>
      <c r="T273" s="64"/>
      <c r="U273" s="64">
        <f>VLOOKUP(TArticle[[#This Row],[شناسه]],TAccount[],7,TRUE)</f>
        <v>364074</v>
      </c>
      <c r="V273" s="64"/>
      <c r="W273" s="64">
        <f>IF(AND(TArticle[[#This Row],[مبلغ]]&gt;0, TArticle[[#This Row],[کد وضعیت سند]]=1),TArticle[[#This Row],[مبلغ]],0)</f>
        <v>0</v>
      </c>
      <c r="X273" s="67">
        <f>IF(AND(TArticle[[#This Row],[مبلغ]]&lt;0,TArticle[[#This Row],[کد وضعیت سند]]=1),0-TArticle[[#This Row],[مبلغ]],0)</f>
        <v>2745</v>
      </c>
      <c r="Y273" s="27">
        <v>30</v>
      </c>
      <c r="Z273" s="171" t="str">
        <f>IF(TArticle[[#This Row],[کد بانک]]&gt;0,VLOOKUP(TArticle[[#This Row],[کد بانک]],TBank[],2,FALSE),"")</f>
        <v>بن کارت</v>
      </c>
      <c r="AA273">
        <f>IF(AND(TArticle[[#This Row],[مبلغ]]&lt;0,TArticle[[#This Row],[کد وضعیت سند]]=1),0-TArticle[[#This Row],[مبلغ]],0)</f>
        <v>2745</v>
      </c>
      <c r="AB273">
        <f>IF(AND(TArticle[[#This Row],[مبلغ]]&gt;0, TArticle[[#This Row],[کد وضعیت سند]]=1),TArticle[[#This Row],[مبلغ]],0)</f>
        <v>0</v>
      </c>
      <c r="AC273" s="93">
        <f>IF(TArticle[[#This Row],[کد بانک]]&gt;0,VLOOKUP(TArticle[[#This Row],[کد بانک]],TBank[],9,FALSE)+SUMIF($Y$2:Y273,Y273,$E$2:$E273),"")</f>
        <v>856</v>
      </c>
      <c r="AD273" s="1">
        <f>IFERROR(IF(INT(LEFT(TArticle[[#This Row],[شناسه]]))=3,IF(TArticle[[#This Row],[کد وضعیت سند]]=1,TArticle[مبلغ],0),0),0)</f>
        <v>-2745</v>
      </c>
      <c r="AE273" s="1">
        <f>IFERROR(IF(((TArticle[[#This Row],[شناسه]]))="4.1.1",IF(TArticle[[#This Row],[کد وضعیت سند]]=1,TArticle[مبلغ],0),0),0)</f>
        <v>0</v>
      </c>
      <c r="AF273" s="1">
        <f>IFERROR(IF(((TArticle[[#This Row],[شناسه]]))="4.1.2",IF(TArticle[[#This Row],[کد وضعیت سند]]=1,TArticle[مبلغ],0),0),0)</f>
        <v>0</v>
      </c>
      <c r="AG273" s="1">
        <f>IFERROR(IF(INT(LEFT(TArticle[[#This Row],[شناسه]]))=1,IF(TArticle[[#This Row],[کد وضعیت سند]]=1,TArticle[مبلغ],0),0),0)</f>
        <v>0</v>
      </c>
      <c r="AH273" s="1">
        <f>IFERROR(IF(INT(LEFT(TArticle[[#This Row],[شناسه]]))=2,IF(TArticle[[#This Row],[کد وضعیت سند]]=1,TArticle[مبلغ],0),0),0)</f>
        <v>0</v>
      </c>
      <c r="AI273" s="1">
        <f>IFERROR(IF((LEFT(TArticle[[#This Row],[شناسه]],3))="5.2",IF(TArticle[[#This Row],[کد وضعیت سند]]=1,TArticle[مبلغ],0),0),0)</f>
        <v>0</v>
      </c>
      <c r="AJ273" s="1">
        <f>IF(TArticle[[#This Row],[کد وضعیت سند]]=1,1,0)</f>
        <v>1</v>
      </c>
      <c r="AK273" s="1">
        <f>IF(AND(TArticle[[#This Row],[کد وضعیت سند]]&lt;&gt;1,TArticle[[#This Row],[مبلغ]]&lt;&gt;0),1,0)</f>
        <v>0</v>
      </c>
      <c r="AL273" s="78">
        <f>IF(TArticle[[#This Row],[کد بانک]]&gt;0,TArticle[[#This Row],[مانده بانک]]-VLOOKUP(TArticle[[#This Row],[کد بانک]],TBank[],7,FALSE),"")</f>
        <v>856</v>
      </c>
      <c r="AM273" s="69" t="str">
        <f>LEFT(TArticle[[#This Row],[تاریخ]],7)</f>
        <v>1401-12</v>
      </c>
    </row>
    <row r="274" spans="1:39" hidden="1" x14ac:dyDescent="0.25">
      <c r="A274" s="24" t="s">
        <v>1209</v>
      </c>
      <c r="B274" s="49" t="str">
        <f>VLOOKUP(TArticle[[#This Row],[شناسه]],TAccount[],2,TRUE)</f>
        <v>حقوق پاداش</v>
      </c>
      <c r="C274" s="49" t="str">
        <f>VLOOKUP(TArticle[[#This Row],[تاریخ]],TDays[],7,FALSE)</f>
        <v>سه شنبه</v>
      </c>
      <c r="D274" s="21" t="s">
        <v>551</v>
      </c>
      <c r="E274" s="1">
        <v>4340</v>
      </c>
      <c r="F274" s="1">
        <f>TArticle[[#This Row],[مبلغ]]+IFERROR(INT(F273),30181+3667+958)</f>
        <v>44507</v>
      </c>
      <c r="G274" s="49" t="s">
        <v>2821</v>
      </c>
      <c r="K274" s="64">
        <v>1</v>
      </c>
      <c r="L274" s="171" t="str">
        <f>IF(TArticle[[#This Row],[کد وضعیت سند]]&gt;0,VLOOKUP(TArticle[[#This Row],[کد وضعیت سند]],TDocState[],2,FALSE),"")</f>
        <v>انجام شد</v>
      </c>
      <c r="N274" s="171" t="str">
        <f>IF(TArticle[[#This Row],[کد طرف حساب]]&gt;0,VLOOKUP(TArticle[[#This Row],[کد طرف حساب]],TContact[],2,FALSE),"")</f>
        <v/>
      </c>
      <c r="O274" s="61" t="str">
        <f>IF(TArticle[[#This Row],[کد طرف حساب]]&gt;0,VLOOKUP(TArticle[[#This Row],[کد طرف حساب]],TContact[],7,FALSE)-SUMIF($M$2:M274,M274,$E$2:$E274),"")</f>
        <v/>
      </c>
      <c r="P274" s="27" t="str">
        <f>RIGHT(TArticle[[#This Row],[تاریخ]],2)</f>
        <v>23</v>
      </c>
      <c r="Q274" s="27">
        <f>VLOOKUP(TArticle[[#This Row],[تاریخ]],TDays[],16,FALSE)</f>
        <v>53</v>
      </c>
      <c r="R274" s="27" t="str">
        <f>RIGHT(LEFT(TArticle[[#This Row],[تاریخ]],7),2)</f>
        <v>12</v>
      </c>
      <c r="S274" s="27" t="str">
        <f>LEFT(TArticle[[#This Row],[تاریخ]],4)</f>
        <v>1401</v>
      </c>
      <c r="U274" s="21">
        <f>VLOOKUP(TArticle[[#This Row],[شناسه]],TAccount[],7,TRUE)</f>
        <v>35873</v>
      </c>
      <c r="W274" s="21">
        <f>IF(AND(TArticle[[#This Row],[مبلغ]]&gt;0, TArticle[[#This Row],[کد وضعیت سند]]=1),TArticle[[#This Row],[مبلغ]],0)</f>
        <v>4340</v>
      </c>
      <c r="X274" s="27">
        <f>IF(AND(TArticle[[#This Row],[مبلغ]]&lt;0,TArticle[[#This Row],[کد وضعیت سند]]=1),0-TArticle[[#This Row],[مبلغ]],0)</f>
        <v>0</v>
      </c>
      <c r="Y274" s="27">
        <v>2</v>
      </c>
      <c r="Z274" s="171" t="str">
        <f>IF(TArticle[[#This Row],[کد بانک]]&gt;0,VLOOKUP(TArticle[[#This Row],[کد بانک]],TBank[],2,FALSE),"")</f>
        <v>ملی جاری</v>
      </c>
      <c r="AA274">
        <f>IF(AND(TArticle[[#This Row],[مبلغ]]&lt;0,TArticle[[#This Row],[کد وضعیت سند]]=1),0-TArticle[[#This Row],[مبلغ]],0)</f>
        <v>0</v>
      </c>
      <c r="AB274">
        <f>IF(AND(TArticle[[#This Row],[مبلغ]]&gt;0, TArticle[[#This Row],[کد وضعیت سند]]=1),TArticle[[#This Row],[مبلغ]],0)</f>
        <v>4340</v>
      </c>
      <c r="AC274" s="84">
        <f>IF(TArticle[[#This Row],[کد بانک]]&gt;0,VLOOKUP(TArticle[[#This Row],[کد بانک]],TBank[],9,FALSE)+SUMIF($Y$2:Y274,Y274,$E$2:$E274),"")</f>
        <v>42309</v>
      </c>
      <c r="AD274" s="1">
        <f>IFERROR(IF(INT(LEFT(TArticle[[#This Row],[شناسه]]))=3,IF(TArticle[[#This Row],[کد وضعیت سند]]=1,TArticle[مبلغ],0),0),0)</f>
        <v>0</v>
      </c>
      <c r="AE274" s="1">
        <f>IFERROR(IF(((TArticle[[#This Row],[شناسه]]))="4.1.1",IF(TArticle[[#This Row],[کد وضعیت سند]]=1,TArticle[مبلغ],0),0),0)</f>
        <v>0</v>
      </c>
      <c r="AF274" s="1">
        <f>IFERROR(IF(((TArticle[[#This Row],[شناسه]]))="4.1.2",IF(TArticle[[#This Row],[کد وضعیت سند]]=1,TArticle[مبلغ],0),0),0)</f>
        <v>0</v>
      </c>
      <c r="AG274" s="1">
        <f>IFERROR(IF(INT(LEFT(TArticle[[#This Row],[شناسه]]))=1,IF(TArticle[[#This Row],[کد وضعیت سند]]=1,TArticle[مبلغ],0),0),0)</f>
        <v>0</v>
      </c>
      <c r="AH274" s="1">
        <f>IFERROR(IF(INT(LEFT(TArticle[[#This Row],[شناسه]]))=2,IF(TArticle[[#This Row],[کد وضعیت سند]]=1,TArticle[مبلغ],0),0),0)</f>
        <v>0</v>
      </c>
      <c r="AI274" s="1">
        <f>IFERROR(IF((LEFT(TArticle[[#This Row],[شناسه]],3))="5.2",IF(TArticle[[#This Row],[کد وضعیت سند]]=1,TArticle[مبلغ],0),0),0)</f>
        <v>0</v>
      </c>
      <c r="AJ274" s="1">
        <f>IF(TArticle[[#This Row],[کد وضعیت سند]]=1,1,0)</f>
        <v>1</v>
      </c>
      <c r="AK274" s="1">
        <f>IF(AND(TArticle[[#This Row],[کد وضعیت سند]]&lt;&gt;1,TArticle[[#This Row],[مبلغ]]&lt;&gt;0),1,0)</f>
        <v>0</v>
      </c>
      <c r="AL274" s="51">
        <f>IF(TArticle[[#This Row],[کد بانک]]&gt;0,TArticle[[#This Row],[مانده بانک]]-VLOOKUP(TArticle[[#This Row],[کد بانک]],TBank[],7,FALSE),"")</f>
        <v>42309</v>
      </c>
      <c r="AM274" s="49" t="str">
        <f>LEFT(TArticle[[#This Row],[تاریخ]],7)</f>
        <v>1401-12</v>
      </c>
    </row>
    <row r="275" spans="1:39" hidden="1" x14ac:dyDescent="0.25">
      <c r="A275" s="24" t="s">
        <v>1110</v>
      </c>
      <c r="B275" s="49" t="str">
        <f>VLOOKUP(TArticle[[#This Row],[شناسه]],TAccount[],2,TRUE)</f>
        <v>قسط وام بانکی</v>
      </c>
      <c r="C275" s="49" t="str">
        <f>VLOOKUP(TArticle[[#This Row],[تاریخ]],TDays[],7,FALSE)</f>
        <v>سه شنبه</v>
      </c>
      <c r="D275" s="21" t="s">
        <v>551</v>
      </c>
      <c r="E275" s="1">
        <v>-1808</v>
      </c>
      <c r="F275" s="1">
        <f>TArticle[[#This Row],[مبلغ]]+IFERROR(INT(F274),30181+3667+958)</f>
        <v>42699</v>
      </c>
      <c r="G275" s="49" t="s">
        <v>1597</v>
      </c>
      <c r="H275" s="64">
        <v>17</v>
      </c>
      <c r="J275" s="65"/>
      <c r="K275" s="21">
        <v>1</v>
      </c>
      <c r="L275" s="171" t="str">
        <f>IF(TArticle[[#This Row],[کد وضعیت سند]]&gt;0,VLOOKUP(TArticle[[#This Row],[کد وضعیت سند]],TDocState[],2,FALSE),"")</f>
        <v>انجام شد</v>
      </c>
      <c r="M275" s="67">
        <v>112</v>
      </c>
      <c r="N275" s="171" t="str">
        <f>IF(TArticle[[#This Row],[کد طرف حساب]]&gt;0,VLOOKUP(TArticle[[#This Row],[کد طرف حساب]],TContact[],2,FALSE),"")</f>
        <v>وام ملی</v>
      </c>
      <c r="O275" s="68">
        <f>IF(TArticle[[#This Row],[کد طرف حساب]]&gt;0,VLOOKUP(TArticle[[#This Row],[کد طرف حساب]],TContact[],7,FALSE)-SUMIF($M$2:M275,M275,$E$2:$E275),"")</f>
        <v>-31920</v>
      </c>
      <c r="P275" s="67" t="str">
        <f>RIGHT(TArticle[[#This Row],[تاریخ]],2)</f>
        <v>23</v>
      </c>
      <c r="Q275" s="67">
        <f>VLOOKUP(TArticle[[#This Row],[تاریخ]],TDays[],16,FALSE)</f>
        <v>53</v>
      </c>
      <c r="R275" s="67" t="str">
        <f>RIGHT(LEFT(TArticle[[#This Row],[تاریخ]],7),2)</f>
        <v>12</v>
      </c>
      <c r="S275" s="67" t="str">
        <f>LEFT(TArticle[[#This Row],[تاریخ]],4)</f>
        <v>1401</v>
      </c>
      <c r="T275" s="64"/>
      <c r="U275" s="64">
        <f>VLOOKUP(TArticle[[#This Row],[شناسه]],TAccount[],7,TRUE)</f>
        <v>81652</v>
      </c>
      <c r="V275" s="21" t="s">
        <v>556</v>
      </c>
      <c r="W275" s="64">
        <f>IF(AND(TArticle[[#This Row],[مبلغ]]&gt;0, TArticle[[#This Row],[کد وضعیت سند]]=1),TArticle[[#This Row],[مبلغ]],0)</f>
        <v>0</v>
      </c>
      <c r="X275" s="67">
        <f>IF(AND(TArticle[[#This Row],[مبلغ]]&lt;0,TArticle[[#This Row],[کد وضعیت سند]]=1),0-TArticle[[#This Row],[مبلغ]],0)</f>
        <v>1808</v>
      </c>
      <c r="Y275" s="67">
        <v>2</v>
      </c>
      <c r="Z275" s="171" t="str">
        <f>IF(TArticle[[#This Row],[کد بانک]]&gt;0,VLOOKUP(TArticle[[#This Row],[کد بانک]],TBank[],2,FALSE),"")</f>
        <v>ملی جاری</v>
      </c>
      <c r="AA275">
        <f>IF(AND(TArticle[[#This Row],[مبلغ]]&lt;0,TArticle[[#This Row],[کد وضعیت سند]]=1),0-TArticle[[#This Row],[مبلغ]],0)</f>
        <v>1808</v>
      </c>
      <c r="AB275">
        <f>IF(AND(TArticle[[#This Row],[مبلغ]]&gt;0, TArticle[[#This Row],[کد وضعیت سند]]=1),TArticle[[#This Row],[مبلغ]],0)</f>
        <v>0</v>
      </c>
      <c r="AC275" s="93">
        <f>IF(TArticle[[#This Row],[کد بانک]]&gt;0,VLOOKUP(TArticle[[#This Row],[کد بانک]],TBank[],9,FALSE)+SUMIF($Y$2:Y275,Y275,$E$2:$E275),"")</f>
        <v>40501</v>
      </c>
      <c r="AD275" s="1">
        <f>IFERROR(IF(INT(LEFT(TArticle[[#This Row],[شناسه]]))=3,IF(TArticle[[#This Row],[کد وضعیت سند]]=1,TArticle[مبلغ],0),0),0)</f>
        <v>0</v>
      </c>
      <c r="AE275" s="1">
        <f>IFERROR(IF(((TArticle[[#This Row],[شناسه]]))="4.1.1",IF(TArticle[[#This Row],[کد وضعیت سند]]=1,TArticle[مبلغ],0),0),0)</f>
        <v>0</v>
      </c>
      <c r="AF275" s="1">
        <f>IFERROR(IF(((TArticle[[#This Row],[شناسه]]))="4.1.2",IF(TArticle[[#This Row],[کد وضعیت سند]]=1,TArticle[مبلغ],0),0),0)</f>
        <v>0</v>
      </c>
      <c r="AG275" s="1">
        <f>IFERROR(IF(INT(LEFT(TArticle[[#This Row],[شناسه]]))=1,IF(TArticle[[#This Row],[کد وضعیت سند]]=1,TArticle[مبلغ],0),0),0)</f>
        <v>-1808</v>
      </c>
      <c r="AH275" s="1">
        <f>IFERROR(IF(INT(LEFT(TArticle[[#This Row],[شناسه]]))=2,IF(TArticle[[#This Row],[کد وضعیت سند]]=1,TArticle[مبلغ],0),0),0)</f>
        <v>0</v>
      </c>
      <c r="AI275" s="1">
        <f>IFERROR(IF((LEFT(TArticle[[#This Row],[شناسه]],3))="5.2",IF(TArticle[[#This Row],[کد وضعیت سند]]=1,TArticle[مبلغ],0),0),0)</f>
        <v>0</v>
      </c>
      <c r="AJ275" s="1">
        <f>IF(TArticle[[#This Row],[کد وضعیت سند]]=1,1,0)</f>
        <v>1</v>
      </c>
      <c r="AK275" s="1">
        <f>IF(AND(TArticle[[#This Row],[کد وضعیت سند]]&lt;&gt;1,TArticle[[#This Row],[مبلغ]]&lt;&gt;0),1,0)</f>
        <v>0</v>
      </c>
      <c r="AL275" s="78">
        <f>IF(TArticle[[#This Row],[کد بانک]]&gt;0,TArticle[[#This Row],[مانده بانک]]-VLOOKUP(TArticle[[#This Row],[کد بانک]],TBank[],7,FALSE),"")</f>
        <v>40501</v>
      </c>
      <c r="AM275" s="58" t="str">
        <f>LEFT(TArticle[[#This Row],[تاریخ]],7)</f>
        <v>1401-12</v>
      </c>
    </row>
    <row r="276" spans="1:39" hidden="1" x14ac:dyDescent="0.25">
      <c r="A276" s="24" t="s">
        <v>55</v>
      </c>
      <c r="B276" s="49" t="str">
        <f>VLOOKUP(TArticle[[#This Row],[شناسه]],TAccount[],2,TRUE)</f>
        <v>هزینه کلی</v>
      </c>
      <c r="C276" s="49" t="str">
        <f>VLOOKUP(TArticle[[#This Row],[تاریخ]],TDays[],7,FALSE)</f>
        <v>چهارشنبه</v>
      </c>
      <c r="D276" s="21" t="s">
        <v>552</v>
      </c>
      <c r="E276" s="1">
        <f>20576+200+607-40501</f>
        <v>-19118</v>
      </c>
      <c r="F276" s="1">
        <f>TArticle[[#This Row],[مبلغ]]+IFERROR(INT(F275),30181+3667+958)</f>
        <v>23581</v>
      </c>
      <c r="G276" s="49"/>
      <c r="K276" s="64">
        <v>1</v>
      </c>
      <c r="L276" s="171" t="str">
        <f>IF(TArticle[[#This Row],[کد وضعیت سند]]&gt;0,VLOOKUP(TArticle[[#This Row],[کد وضعیت سند]],TDocState[],2,FALSE),"")</f>
        <v>انجام شد</v>
      </c>
      <c r="N276" s="171" t="str">
        <f>IF(TArticle[[#This Row],[کد طرف حساب]]&gt;0,VLOOKUP(TArticle[[#This Row],[کد طرف حساب]],TContact[],2,FALSE),"")</f>
        <v/>
      </c>
      <c r="O276" s="61" t="str">
        <f>IF(TArticle[[#This Row],[کد طرف حساب]]&gt;0,VLOOKUP(TArticle[[#This Row],[کد طرف حساب]],TContact[],7,FALSE)-SUMIF($M$2:M276,M276,$E$2:$E276),"")</f>
        <v/>
      </c>
      <c r="P276" s="27" t="str">
        <f>RIGHT(TArticle[[#This Row],[تاریخ]],2)</f>
        <v>24</v>
      </c>
      <c r="Q276" s="27">
        <f>VLOOKUP(TArticle[[#This Row],[تاریخ]],TDays[],16,FALSE)</f>
        <v>53</v>
      </c>
      <c r="R276" s="27" t="str">
        <f>RIGHT(LEFT(TArticle[[#This Row],[تاریخ]],7),2)</f>
        <v>12</v>
      </c>
      <c r="S276" s="27" t="str">
        <f>LEFT(TArticle[[#This Row],[تاریخ]],4)</f>
        <v>1401</v>
      </c>
      <c r="U276" s="21">
        <f>VLOOKUP(TArticle[[#This Row],[شناسه]],TAccount[],7,TRUE)</f>
        <v>364074</v>
      </c>
      <c r="W276" s="21">
        <f>IF(AND(TArticle[[#This Row],[مبلغ]]&gt;0, TArticle[[#This Row],[کد وضعیت سند]]=1),TArticle[[#This Row],[مبلغ]],0)</f>
        <v>0</v>
      </c>
      <c r="X276" s="27">
        <f>IF(AND(TArticle[[#This Row],[مبلغ]]&lt;0,TArticle[[#This Row],[کد وضعیت سند]]=1),0-TArticle[[#This Row],[مبلغ]],0)</f>
        <v>19118</v>
      </c>
      <c r="Y276" s="27">
        <v>2</v>
      </c>
      <c r="Z276" s="171" t="str">
        <f>IF(TArticle[[#This Row],[کد بانک]]&gt;0,VLOOKUP(TArticle[[#This Row],[کد بانک]],TBank[],2,FALSE),"")</f>
        <v>ملی جاری</v>
      </c>
      <c r="AA276">
        <f>IF(AND(TArticle[[#This Row],[مبلغ]]&lt;0,TArticle[[#This Row],[کد وضعیت سند]]=1),0-TArticle[[#This Row],[مبلغ]],0)</f>
        <v>19118</v>
      </c>
      <c r="AB276">
        <f>IF(AND(TArticle[[#This Row],[مبلغ]]&gt;0, TArticle[[#This Row],[کد وضعیت سند]]=1),TArticle[[#This Row],[مبلغ]],0)</f>
        <v>0</v>
      </c>
      <c r="AC276" s="84">
        <f>IF(TArticle[[#This Row],[کد بانک]]&gt;0,VLOOKUP(TArticle[[#This Row],[کد بانک]],TBank[],9,FALSE)+SUMIF($Y$2:Y276,Y276,$E$2:$E276),"")</f>
        <v>21383</v>
      </c>
      <c r="AD276" s="1">
        <f>IFERROR(IF(INT(LEFT(TArticle[[#This Row],[شناسه]]))=3,IF(TArticle[[#This Row],[کد وضعیت سند]]=1,TArticle[مبلغ],0),0),0)</f>
        <v>-19118</v>
      </c>
      <c r="AE276" s="1">
        <f>IFERROR(IF(((TArticle[[#This Row],[شناسه]]))="4.1.1",IF(TArticle[[#This Row],[کد وضعیت سند]]=1,TArticle[مبلغ],0),0),0)</f>
        <v>0</v>
      </c>
      <c r="AF276" s="1">
        <f>IFERROR(IF(((TArticle[[#This Row],[شناسه]]))="4.1.2",IF(TArticle[[#This Row],[کد وضعیت سند]]=1,TArticle[مبلغ],0),0),0)</f>
        <v>0</v>
      </c>
      <c r="AG276" s="1">
        <f>IFERROR(IF(INT(LEFT(TArticle[[#This Row],[شناسه]]))=1,IF(TArticle[[#This Row],[کد وضعیت سند]]=1,TArticle[مبلغ],0),0),0)</f>
        <v>0</v>
      </c>
      <c r="AH276" s="1">
        <f>IFERROR(IF(INT(LEFT(TArticle[[#This Row],[شناسه]]))=2,IF(TArticle[[#This Row],[کد وضعیت سند]]=1,TArticle[مبلغ],0),0),0)</f>
        <v>0</v>
      </c>
      <c r="AI276" s="1">
        <f>IFERROR(IF((LEFT(TArticle[[#This Row],[شناسه]],3))="5.2",IF(TArticle[[#This Row],[کد وضعیت سند]]=1,TArticle[مبلغ],0),0),0)</f>
        <v>0</v>
      </c>
      <c r="AJ276" s="1">
        <f>IF(TArticle[[#This Row],[کد وضعیت سند]]=1,1,0)</f>
        <v>1</v>
      </c>
      <c r="AK276" s="1">
        <f>IF(AND(TArticle[[#This Row],[کد وضعیت سند]]&lt;&gt;1,TArticle[[#This Row],[مبلغ]]&lt;&gt;0),1,0)</f>
        <v>0</v>
      </c>
      <c r="AL276" s="51">
        <f>IF(TArticle[[#This Row],[کد بانک]]&gt;0,TArticle[[#This Row],[مانده بانک]]-VLOOKUP(TArticle[[#This Row],[کد بانک]],TBank[],7,FALSE),"")</f>
        <v>21383</v>
      </c>
      <c r="AM276" s="58" t="str">
        <f>LEFT(TArticle[[#This Row],[تاریخ]],7)</f>
        <v>1401-12</v>
      </c>
    </row>
    <row r="277" spans="1:39" hidden="1" x14ac:dyDescent="0.25">
      <c r="A277" s="24" t="s">
        <v>43</v>
      </c>
      <c r="B277" s="49" t="str">
        <f>VLOOKUP(TArticle[[#This Row],[شناسه]],TAccount[],2,TRUE)</f>
        <v>حقوق</v>
      </c>
      <c r="C277" s="49" t="str">
        <f>VLOOKUP(TArticle[[#This Row],[تاریخ]],TDays[],7,FALSE)</f>
        <v>پنجشنبه</v>
      </c>
      <c r="D277" s="21" t="s">
        <v>553</v>
      </c>
      <c r="E277" s="1">
        <v>26678</v>
      </c>
      <c r="F277" s="1">
        <f>TArticle[[#This Row],[مبلغ]]+IFERROR(INT(F276),30181+3667+958)</f>
        <v>50259</v>
      </c>
      <c r="G277" s="49" t="s">
        <v>2830</v>
      </c>
      <c r="H277" s="64"/>
      <c r="J277" s="65"/>
      <c r="K277" s="64">
        <v>1</v>
      </c>
      <c r="L277" s="171" t="str">
        <f>IF(TArticle[[#This Row],[کد وضعیت سند]]&gt;0,VLOOKUP(TArticle[[#This Row],[کد وضعیت سند]],TDocState[],2,FALSE),"")</f>
        <v>انجام شد</v>
      </c>
      <c r="M277" s="67"/>
      <c r="N277" s="171" t="str">
        <f>IF(TArticle[[#This Row],[کد طرف حساب]]&gt;0,VLOOKUP(TArticle[[#This Row],[کد طرف حساب]],TContact[],2,FALSE),"")</f>
        <v/>
      </c>
      <c r="O277" s="68" t="str">
        <f>IF(TArticle[[#This Row],[کد طرف حساب]]&gt;0,VLOOKUP(TArticle[[#This Row],[کد طرف حساب]],TContact[],7,FALSE)-SUMIF($M$2:M277,M277,$E$2:$E277),"")</f>
        <v/>
      </c>
      <c r="P277" s="67" t="str">
        <f>RIGHT(TArticle[[#This Row],[تاریخ]],2)</f>
        <v>25</v>
      </c>
      <c r="Q277" s="67">
        <f>VLOOKUP(TArticle[[#This Row],[تاریخ]],TDays[],16,FALSE)</f>
        <v>53</v>
      </c>
      <c r="R277" s="67" t="str">
        <f>RIGHT(LEFT(TArticle[[#This Row],[تاریخ]],7),2)</f>
        <v>12</v>
      </c>
      <c r="S277" s="67" t="str">
        <f>LEFT(TArticle[[#This Row],[تاریخ]],4)</f>
        <v>1401</v>
      </c>
      <c r="T277" s="64"/>
      <c r="U277" s="64">
        <f>VLOOKUP(TArticle[[#This Row],[شناسه]],TAccount[],7,TRUE)</f>
        <v>416023</v>
      </c>
      <c r="V277" s="64"/>
      <c r="W277" s="64">
        <f>IF(AND(TArticle[[#This Row],[مبلغ]]&gt;0, TArticle[[#This Row],[کد وضعیت سند]]=1),TArticle[[#This Row],[مبلغ]],0)</f>
        <v>26678</v>
      </c>
      <c r="X277" s="67">
        <f>IF(AND(TArticle[[#This Row],[مبلغ]]&lt;0,TArticle[[#This Row],[کد وضعیت سند]]=1),0-TArticle[[#This Row],[مبلغ]],0)</f>
        <v>0</v>
      </c>
      <c r="Y277" s="27">
        <v>2</v>
      </c>
      <c r="Z277" s="171" t="str">
        <f>IF(TArticle[[#This Row],[کد بانک]]&gt;0,VLOOKUP(TArticle[[#This Row],[کد بانک]],TBank[],2,FALSE),"")</f>
        <v>ملی جاری</v>
      </c>
      <c r="AA277">
        <f>IF(AND(TArticle[[#This Row],[مبلغ]]&lt;0,TArticle[[#This Row],[کد وضعیت سند]]=1),0-TArticle[[#This Row],[مبلغ]],0)</f>
        <v>0</v>
      </c>
      <c r="AB277">
        <f>IF(AND(TArticle[[#This Row],[مبلغ]]&gt;0, TArticle[[#This Row],[کد وضعیت سند]]=1),TArticle[[#This Row],[مبلغ]],0)</f>
        <v>26678</v>
      </c>
      <c r="AC277" s="93">
        <f>IF(TArticle[[#This Row],[کد بانک]]&gt;0,VLOOKUP(TArticle[[#This Row],[کد بانک]],TBank[],9,FALSE)+SUMIF($Y$2:Y277,Y277,$E$2:$E277),"")</f>
        <v>48061</v>
      </c>
      <c r="AD277" s="1">
        <f>IFERROR(IF(INT(LEFT(TArticle[[#This Row],[شناسه]]))=3,IF(TArticle[[#This Row],[کد وضعیت سند]]=1,TArticle[مبلغ],0),0),0)</f>
        <v>0</v>
      </c>
      <c r="AE277" s="1">
        <f>IFERROR(IF(((TArticle[[#This Row],[شناسه]]))="4.1.1",IF(TArticle[[#This Row],[کد وضعیت سند]]=1,TArticle[مبلغ],0),0),0)</f>
        <v>26678</v>
      </c>
      <c r="AF277" s="1">
        <f>IFERROR(IF(((TArticle[[#This Row],[شناسه]]))="4.1.2",IF(TArticle[[#This Row],[کد وضعیت سند]]=1,TArticle[مبلغ],0),0),0)</f>
        <v>0</v>
      </c>
      <c r="AG277" s="1">
        <f>IFERROR(IF(INT(LEFT(TArticle[[#This Row],[شناسه]]))=1,IF(TArticle[[#This Row],[کد وضعیت سند]]=1,TArticle[مبلغ],0),0),0)</f>
        <v>0</v>
      </c>
      <c r="AH277" s="1">
        <f>IFERROR(IF(INT(LEFT(TArticle[[#This Row],[شناسه]]))=2,IF(TArticle[[#This Row],[کد وضعیت سند]]=1,TArticle[مبلغ],0),0),0)</f>
        <v>0</v>
      </c>
      <c r="AI277" s="1">
        <f>IFERROR(IF((LEFT(TArticle[[#This Row],[شناسه]],3))="5.2",IF(TArticle[[#This Row],[کد وضعیت سند]]=1,TArticle[مبلغ],0),0),0)</f>
        <v>0</v>
      </c>
      <c r="AJ277" s="1">
        <f>IF(TArticle[[#This Row],[کد وضعیت سند]]=1,1,0)</f>
        <v>1</v>
      </c>
      <c r="AK277" s="1">
        <f>IF(AND(TArticle[[#This Row],[کد وضعیت سند]]&lt;&gt;1,TArticle[[#This Row],[مبلغ]]&lt;&gt;0),1,0)</f>
        <v>0</v>
      </c>
      <c r="AL277" s="78">
        <f>IF(TArticle[[#This Row],[کد بانک]]&gt;0,TArticle[[#This Row],[مانده بانک]]-VLOOKUP(TArticle[[#This Row],[کد بانک]],TBank[],7,FALSE),"")</f>
        <v>48061</v>
      </c>
      <c r="AM277" s="69" t="str">
        <f>LEFT(TArticle[[#This Row],[تاریخ]],7)</f>
        <v>1401-12</v>
      </c>
    </row>
    <row r="278" spans="1:39" hidden="1" x14ac:dyDescent="0.25">
      <c r="A278" s="24" t="s">
        <v>174</v>
      </c>
      <c r="B278" s="49" t="str">
        <f>VLOOKUP(TArticle[[#This Row],[شناسه]],TAccount[],2,TRUE)</f>
        <v>مواد مصرفی خانه</v>
      </c>
      <c r="C278" s="49" t="str">
        <f>VLOOKUP(TArticle[[#This Row],[تاریخ]],TDays[],7,FALSE)</f>
        <v>شنبه</v>
      </c>
      <c r="D278" s="21" t="s">
        <v>555</v>
      </c>
      <c r="E278" s="1">
        <v>-16678</v>
      </c>
      <c r="F278" s="1">
        <f>TArticle[[#This Row],[مبلغ]]+IFERROR(INT(F277),30181+3667+958)</f>
        <v>33581</v>
      </c>
      <c r="G278" s="49" t="s">
        <v>2832</v>
      </c>
      <c r="K278" s="64">
        <v>1</v>
      </c>
      <c r="L278" s="171" t="str">
        <f>IF(TArticle[[#This Row],[کد وضعیت سند]]&gt;0,VLOOKUP(TArticle[[#This Row],[کد وضعیت سند]],TDocState[],2,FALSE),"")</f>
        <v>انجام شد</v>
      </c>
      <c r="N278" s="171" t="str">
        <f>IF(TArticle[[#This Row],[کد طرف حساب]]&gt;0,VLOOKUP(TArticle[[#This Row],[کد طرف حساب]],TContact[],2,FALSE),"")</f>
        <v/>
      </c>
      <c r="O278" s="61" t="str">
        <f>IF(TArticle[[#This Row],[کد طرف حساب]]&gt;0,VLOOKUP(TArticle[[#This Row],[کد طرف حساب]],TContact[],7,FALSE)-SUMIF($M$2:M278,M278,$E$2:$E278),"")</f>
        <v/>
      </c>
      <c r="P278" s="27" t="str">
        <f>RIGHT(TArticle[[#This Row],[تاریخ]],2)</f>
        <v>27</v>
      </c>
      <c r="Q278" s="27">
        <f>VLOOKUP(TArticle[[#This Row],[تاریخ]],TDays[],16,FALSE)</f>
        <v>53</v>
      </c>
      <c r="R278" s="27" t="str">
        <f>RIGHT(LEFT(TArticle[[#This Row],[تاریخ]],7),2)</f>
        <v>12</v>
      </c>
      <c r="S278" s="27" t="str">
        <f>LEFT(TArticle[[#This Row],[تاریخ]],4)</f>
        <v>1401</v>
      </c>
      <c r="U278" s="21">
        <f>VLOOKUP(TArticle[[#This Row],[شناسه]],TAccount[],7,TRUE)</f>
        <v>118128</v>
      </c>
      <c r="W278" s="21">
        <f>IF(AND(TArticle[[#This Row],[مبلغ]]&gt;0, TArticle[[#This Row],[کد وضعیت سند]]=1),TArticle[[#This Row],[مبلغ]],0)</f>
        <v>0</v>
      </c>
      <c r="X278" s="27">
        <f>IF(AND(TArticle[[#This Row],[مبلغ]]&lt;0,TArticle[[#This Row],[کد وضعیت سند]]=1),0-TArticle[[#This Row],[مبلغ]],0)</f>
        <v>16678</v>
      </c>
      <c r="Y278" s="27">
        <v>2</v>
      </c>
      <c r="Z278" s="171" t="str">
        <f>IF(TArticle[[#This Row],[کد بانک]]&gt;0,VLOOKUP(TArticle[[#This Row],[کد بانک]],TBank[],2,FALSE),"")</f>
        <v>ملی جاری</v>
      </c>
      <c r="AA278">
        <f>IF(AND(TArticle[[#This Row],[مبلغ]]&lt;0,TArticle[[#This Row],[کد وضعیت سند]]=1),0-TArticle[[#This Row],[مبلغ]],0)</f>
        <v>16678</v>
      </c>
      <c r="AB278">
        <f>IF(AND(TArticle[[#This Row],[مبلغ]]&gt;0, TArticle[[#This Row],[کد وضعیت سند]]=1),TArticle[[#This Row],[مبلغ]],0)</f>
        <v>0</v>
      </c>
      <c r="AC278" s="84">
        <f>IF(TArticle[[#This Row],[کد بانک]]&gt;0,VLOOKUP(TArticle[[#This Row],[کد بانک]],TBank[],9,FALSE)+SUMIF($Y$2:Y278,Y278,$E$2:$E278),"")</f>
        <v>31383</v>
      </c>
      <c r="AD278" s="1">
        <f>IFERROR(IF(INT(LEFT(TArticle[[#This Row],[شناسه]]))=3,IF(TArticle[[#This Row],[کد وضعیت سند]]=1,TArticle[مبلغ],0),0),0)</f>
        <v>-16678</v>
      </c>
      <c r="AE278" s="1">
        <f>IFERROR(IF(((TArticle[[#This Row],[شناسه]]))="4.1.1",IF(TArticle[[#This Row],[کد وضعیت سند]]=1,TArticle[مبلغ],0),0),0)</f>
        <v>0</v>
      </c>
      <c r="AF278" s="1">
        <f>IFERROR(IF(((TArticle[[#This Row],[شناسه]]))="4.1.2",IF(TArticle[[#This Row],[کد وضعیت سند]]=1,TArticle[مبلغ],0),0),0)</f>
        <v>0</v>
      </c>
      <c r="AG278" s="1">
        <f>IFERROR(IF(INT(LEFT(TArticle[[#This Row],[شناسه]]))=1,IF(TArticle[[#This Row],[کد وضعیت سند]]=1,TArticle[مبلغ],0),0),0)</f>
        <v>0</v>
      </c>
      <c r="AH278" s="1">
        <f>IFERROR(IF(INT(LEFT(TArticle[[#This Row],[شناسه]]))=2,IF(TArticle[[#This Row],[کد وضعیت سند]]=1,TArticle[مبلغ],0),0),0)</f>
        <v>0</v>
      </c>
      <c r="AI278" s="1">
        <f>IFERROR(IF((LEFT(TArticle[[#This Row],[شناسه]],3))="5.2",IF(TArticle[[#This Row],[کد وضعیت سند]]=1,TArticle[مبلغ],0),0),0)</f>
        <v>0</v>
      </c>
      <c r="AJ278" s="1">
        <f>IF(TArticle[[#This Row],[کد وضعیت سند]]=1,1,0)</f>
        <v>1</v>
      </c>
      <c r="AK278" s="1">
        <f>IF(AND(TArticle[[#This Row],[کد وضعیت سند]]&lt;&gt;1,TArticle[[#This Row],[مبلغ]]&lt;&gt;0),1,0)</f>
        <v>0</v>
      </c>
      <c r="AL278" s="51">
        <f>IF(TArticle[[#This Row],[کد بانک]]&gt;0,TArticle[[#This Row],[مانده بانک]]-VLOOKUP(TArticle[[#This Row],[کد بانک]],TBank[],7,FALSE),"")</f>
        <v>31383</v>
      </c>
      <c r="AM278" s="58" t="str">
        <f>LEFT(TArticle[[#This Row],[تاریخ]],7)</f>
        <v>1401-12</v>
      </c>
    </row>
    <row r="279" spans="1:39" hidden="1" x14ac:dyDescent="0.25">
      <c r="A279" s="24" t="s">
        <v>55</v>
      </c>
      <c r="B279" s="49" t="str">
        <f>VLOOKUP(TArticle[[#This Row],[شناسه]],TAccount[],2,TRUE)</f>
        <v>هزینه کلی</v>
      </c>
      <c r="C279" s="49" t="str">
        <f>VLOOKUP(TArticle[[#This Row],[تاریخ]],TDays[],7,FALSE)</f>
        <v>شنبه</v>
      </c>
      <c r="D279" s="21" t="s">
        <v>555</v>
      </c>
      <c r="E279" s="1">
        <f>25370-31383</f>
        <v>-6013</v>
      </c>
      <c r="F279" s="1">
        <f>TArticle[[#This Row],[مبلغ]]+IFERROR(INT(F278),30181+3667+958)</f>
        <v>27568</v>
      </c>
      <c r="G279" s="49" t="s">
        <v>2833</v>
      </c>
      <c r="J279" s="51"/>
      <c r="K279" s="64">
        <v>1</v>
      </c>
      <c r="L279" s="171" t="str">
        <f>IF(TArticle[[#This Row],[کد وضعیت سند]]&gt;0,VLOOKUP(TArticle[[#This Row],[کد وضعیت سند]],TDocState[],2,FALSE),"")</f>
        <v>انجام شد</v>
      </c>
      <c r="N279" s="171" t="str">
        <f>IF(TArticle[[#This Row],[کد طرف حساب]]&gt;0,VLOOKUP(TArticle[[#This Row],[کد طرف حساب]],TContact[],2,FALSE),"")</f>
        <v/>
      </c>
      <c r="O279" s="60" t="str">
        <f>IF(TArticle[[#This Row],[کد طرف حساب]]&gt;0,VLOOKUP(TArticle[[#This Row],[کد طرف حساب]],TContact[],7,FALSE)-SUMIF($M$2:M279,M279,$E$2:$E279),"")</f>
        <v/>
      </c>
      <c r="P279" s="27" t="str">
        <f>RIGHT(TArticle[[#This Row],[تاریخ]],2)</f>
        <v>27</v>
      </c>
      <c r="Q279" s="27">
        <f>VLOOKUP(TArticle[[#This Row],[تاریخ]],TDays[],16,FALSE)</f>
        <v>53</v>
      </c>
      <c r="R279" s="27" t="str">
        <f>RIGHT(LEFT(TArticle[[#This Row],[تاریخ]],7),2)</f>
        <v>12</v>
      </c>
      <c r="S279" s="27" t="str">
        <f>LEFT(TArticle[[#This Row],[تاریخ]],4)</f>
        <v>1401</v>
      </c>
      <c r="U279" s="21">
        <f>VLOOKUP(TArticle[[#This Row],[شناسه]],TAccount[],7,TRUE)</f>
        <v>364074</v>
      </c>
      <c r="W279" s="21">
        <f>IF(AND(TArticle[[#This Row],[مبلغ]]&gt;0, TArticle[[#This Row],[کد وضعیت سند]]=1),TArticle[[#This Row],[مبلغ]],0)</f>
        <v>0</v>
      </c>
      <c r="X279" s="27">
        <f>IF(AND(TArticle[[#This Row],[مبلغ]]&lt;0,TArticle[[#This Row],[کد وضعیت سند]]=1),0-TArticle[[#This Row],[مبلغ]],0)</f>
        <v>6013</v>
      </c>
      <c r="Y279" s="27">
        <v>2</v>
      </c>
      <c r="Z279" s="171" t="str">
        <f>IF(TArticle[[#This Row],[کد بانک]]&gt;0,VLOOKUP(TArticle[[#This Row],[کد بانک]],TBank[],2,FALSE),"")</f>
        <v>ملی جاری</v>
      </c>
      <c r="AA279">
        <f>IF(AND(TArticle[[#This Row],[مبلغ]]&lt;0,TArticle[[#This Row],[کد وضعیت سند]]=1),0-TArticle[[#This Row],[مبلغ]],0)</f>
        <v>6013</v>
      </c>
      <c r="AB279">
        <f>IF(AND(TArticle[[#This Row],[مبلغ]]&gt;0, TArticle[[#This Row],[کد وضعیت سند]]=1),TArticle[[#This Row],[مبلغ]],0)</f>
        <v>0</v>
      </c>
      <c r="AC279" s="92">
        <f>IF(TArticle[[#This Row],[کد بانک]]&gt;0,VLOOKUP(TArticle[[#This Row],[کد بانک]],TBank[],9,FALSE)+SUMIF($Y$2:Y279,Y279,$E$2:$E279),"")</f>
        <v>25370</v>
      </c>
      <c r="AD279" s="1">
        <f>IFERROR(IF(INT(LEFT(TArticle[[#This Row],[شناسه]]))=3,IF(TArticle[[#This Row],[کد وضعیت سند]]=1,TArticle[مبلغ],0),0),0)</f>
        <v>-6013</v>
      </c>
      <c r="AE279" s="1">
        <f>IFERROR(IF(((TArticle[[#This Row],[شناسه]]))="4.1.1",IF(TArticle[[#This Row],[کد وضعیت سند]]=1,TArticle[مبلغ],0),0),0)</f>
        <v>0</v>
      </c>
      <c r="AF279" s="1">
        <f>IFERROR(IF(((TArticle[[#This Row],[شناسه]]))="4.1.2",IF(TArticle[[#This Row],[کد وضعیت سند]]=1,TArticle[مبلغ],0),0),0)</f>
        <v>0</v>
      </c>
      <c r="AG279" s="1">
        <f>IFERROR(IF(INT(LEFT(TArticle[[#This Row],[شناسه]]))=1,IF(TArticle[[#This Row],[کد وضعیت سند]]=1,TArticle[مبلغ],0),0),0)</f>
        <v>0</v>
      </c>
      <c r="AH279" s="1">
        <f>IFERROR(IF(INT(LEFT(TArticle[[#This Row],[شناسه]]))=2,IF(TArticle[[#This Row],[کد وضعیت سند]]=1,TArticle[مبلغ],0),0),0)</f>
        <v>0</v>
      </c>
      <c r="AI279" s="1">
        <f>IFERROR(IF((LEFT(TArticle[[#This Row],[شناسه]],3))="5.2",IF(TArticle[[#This Row],[کد وضعیت سند]]=1,TArticle[مبلغ],0),0),0)</f>
        <v>0</v>
      </c>
      <c r="AJ279" s="1">
        <f>IF(TArticle[[#This Row],[کد وضعیت سند]]=1,1,0)</f>
        <v>1</v>
      </c>
      <c r="AK279" s="1">
        <f>IF(AND(TArticle[[#This Row],[کد وضعیت سند]]&lt;&gt;1,TArticle[[#This Row],[مبلغ]]&lt;&gt;0),1,0)</f>
        <v>0</v>
      </c>
      <c r="AL279" s="51">
        <f>IF(TArticle[[#This Row],[کد بانک]]&gt;0,TArticle[[#This Row],[مانده بانک]]-VLOOKUP(TArticle[[#This Row],[کد بانک]],TBank[],7,FALSE),"")</f>
        <v>25370</v>
      </c>
      <c r="AM279" s="58" t="str">
        <f>LEFT(TArticle[[#This Row],[تاریخ]],7)</f>
        <v>1401-12</v>
      </c>
    </row>
    <row r="280" spans="1:39" hidden="1" x14ac:dyDescent="0.25">
      <c r="A280" s="24" t="s">
        <v>55</v>
      </c>
      <c r="B280" s="49" t="str">
        <f>VLOOKUP(TArticle[[#This Row],[شناسه]],TAccount[],2,TRUE)</f>
        <v>هزینه کلی</v>
      </c>
      <c r="C280" s="49" t="str">
        <f>VLOOKUP(TArticle[[#This Row],[تاریخ]],TDays[],7,FALSE)</f>
        <v>یکشنبه</v>
      </c>
      <c r="D280" s="21" t="s">
        <v>556</v>
      </c>
      <c r="E280" s="1">
        <v>-670</v>
      </c>
      <c r="F280" s="1">
        <f>TArticle[[#This Row],[مبلغ]]+IFERROR(INT(F279),30181+3667+958)</f>
        <v>26898</v>
      </c>
      <c r="G280" s="49" t="s">
        <v>2837</v>
      </c>
      <c r="J280" s="51"/>
      <c r="K280" s="64">
        <v>1</v>
      </c>
      <c r="L280" s="171" t="str">
        <f>IF(TArticle[[#This Row],[کد وضعیت سند]]&gt;0,VLOOKUP(TArticle[[#This Row],[کد وضعیت سند]],TDocState[],2,FALSE),"")</f>
        <v>انجام شد</v>
      </c>
      <c r="N280" s="171" t="str">
        <f>IF(TArticle[[#This Row],[کد طرف حساب]]&gt;0,VLOOKUP(TArticle[[#This Row],[کد طرف حساب]],TContact[],2,FALSE),"")</f>
        <v/>
      </c>
      <c r="O280" s="60" t="str">
        <f>IF(TArticle[[#This Row],[کد طرف حساب]]&gt;0,VLOOKUP(TArticle[[#This Row],[کد طرف حساب]],TContact[],7,FALSE)-SUMIF($M$2:M280,M280,$E$2:$E280),"")</f>
        <v/>
      </c>
      <c r="P280" s="27" t="str">
        <f>RIGHT(TArticle[[#This Row],[تاریخ]],2)</f>
        <v>28</v>
      </c>
      <c r="Q280" s="27">
        <f>VLOOKUP(TArticle[[#This Row],[تاریخ]],TDays[],16,FALSE)</f>
        <v>53</v>
      </c>
      <c r="R280" s="27" t="str">
        <f>RIGHT(LEFT(TArticle[[#This Row],[تاریخ]],7),2)</f>
        <v>12</v>
      </c>
      <c r="S280" s="27" t="str">
        <f>LEFT(TArticle[[#This Row],[تاریخ]],4)</f>
        <v>1401</v>
      </c>
      <c r="U280" s="21">
        <f>VLOOKUP(TArticle[[#This Row],[شناسه]],TAccount[],7,TRUE)</f>
        <v>364074</v>
      </c>
      <c r="W280" s="21">
        <f>IF(AND(TArticle[[#This Row],[مبلغ]]&gt;0, TArticle[[#This Row],[کد وضعیت سند]]=1),TArticle[[#This Row],[مبلغ]],0)</f>
        <v>0</v>
      </c>
      <c r="X280" s="27">
        <f>IF(AND(TArticle[[#This Row],[مبلغ]]&lt;0,TArticle[[#This Row],[کد وضعیت سند]]=1),0-TArticle[[#This Row],[مبلغ]],0)</f>
        <v>670</v>
      </c>
      <c r="Y280" s="27">
        <v>2</v>
      </c>
      <c r="Z280" s="171" t="str">
        <f>IF(TArticle[[#This Row],[کد بانک]]&gt;0,VLOOKUP(TArticle[[#This Row],[کد بانک]],TBank[],2,FALSE),"")</f>
        <v>ملی جاری</v>
      </c>
      <c r="AA280">
        <f>IF(AND(TArticle[[#This Row],[مبلغ]]&lt;0,TArticle[[#This Row],[کد وضعیت سند]]=1),0-TArticle[[#This Row],[مبلغ]],0)</f>
        <v>670</v>
      </c>
      <c r="AB280">
        <f>IF(AND(TArticle[[#This Row],[مبلغ]]&gt;0, TArticle[[#This Row],[کد وضعیت سند]]=1),TArticle[[#This Row],[مبلغ]],0)</f>
        <v>0</v>
      </c>
      <c r="AC280" s="92">
        <f>IF(TArticle[[#This Row],[کد بانک]]&gt;0,VLOOKUP(TArticle[[#This Row],[کد بانک]],TBank[],9,FALSE)+SUMIF($Y$2:Y280,Y280,$E$2:$E280),"")</f>
        <v>24700</v>
      </c>
      <c r="AD280" s="1">
        <f>IFERROR(IF(INT(LEFT(TArticle[[#This Row],[شناسه]]))=3,IF(TArticle[[#This Row],[کد وضعیت سند]]=1,TArticle[مبلغ],0),0),0)</f>
        <v>-670</v>
      </c>
      <c r="AE280" s="1">
        <f>IFERROR(IF(((TArticle[[#This Row],[شناسه]]))="4.1.1",IF(TArticle[[#This Row],[کد وضعیت سند]]=1,TArticle[مبلغ],0),0),0)</f>
        <v>0</v>
      </c>
      <c r="AF280" s="1">
        <f>IFERROR(IF(((TArticle[[#This Row],[شناسه]]))="4.1.2",IF(TArticle[[#This Row],[کد وضعیت سند]]=1,TArticle[مبلغ],0),0),0)</f>
        <v>0</v>
      </c>
      <c r="AG280" s="1">
        <f>IFERROR(IF(INT(LEFT(TArticle[[#This Row],[شناسه]]))=1,IF(TArticle[[#This Row],[کد وضعیت سند]]=1,TArticle[مبلغ],0),0),0)</f>
        <v>0</v>
      </c>
      <c r="AH280" s="1">
        <f>IFERROR(IF(INT(LEFT(TArticle[[#This Row],[شناسه]]))=2,IF(TArticle[[#This Row],[کد وضعیت سند]]=1,TArticle[مبلغ],0),0),0)</f>
        <v>0</v>
      </c>
      <c r="AI280" s="1">
        <f>IFERROR(IF((LEFT(TArticle[[#This Row],[شناسه]],3))="5.2",IF(TArticle[[#This Row],[کد وضعیت سند]]=1,TArticle[مبلغ],0),0),0)</f>
        <v>0</v>
      </c>
      <c r="AJ280" s="1">
        <f>IF(TArticle[[#This Row],[کد وضعیت سند]]=1,1,0)</f>
        <v>1</v>
      </c>
      <c r="AK280" s="1">
        <f>IF(AND(TArticle[[#This Row],[کد وضعیت سند]]&lt;&gt;1,TArticle[[#This Row],[مبلغ]]&lt;&gt;0),1,0)</f>
        <v>0</v>
      </c>
      <c r="AL280" s="51">
        <f>IF(TArticle[[#This Row],[کد بانک]]&gt;0,TArticle[[#This Row],[مانده بانک]]-VLOOKUP(TArticle[[#This Row],[کد بانک]],TBank[],7,FALSE),"")</f>
        <v>24700</v>
      </c>
      <c r="AM280" s="58" t="str">
        <f>LEFT(TArticle[[#This Row],[تاریخ]],7)</f>
        <v>1401-12</v>
      </c>
    </row>
    <row r="281" spans="1:39" hidden="1" x14ac:dyDescent="0.25">
      <c r="A281" s="24" t="s">
        <v>55</v>
      </c>
      <c r="B281" s="49" t="str">
        <f>VLOOKUP(TArticle[[#This Row],[شناسه]],TAccount[],2,TRUE)</f>
        <v>هزینه کلی</v>
      </c>
      <c r="C281" s="49" t="str">
        <f>VLOOKUP(TArticle[[#This Row],[تاریخ]],TDays[],7,FALSE)</f>
        <v>یکشنبه</v>
      </c>
      <c r="D281" s="21" t="s">
        <v>556</v>
      </c>
      <c r="E281" s="1">
        <v>-4178</v>
      </c>
      <c r="F281" s="1">
        <f>TArticle[[#This Row],[مبلغ]]+IFERROR(INT(F280),30181+3667+958)</f>
        <v>22720</v>
      </c>
      <c r="G281" s="49" t="s">
        <v>2835</v>
      </c>
      <c r="J281" s="51"/>
      <c r="K281" s="64">
        <v>1</v>
      </c>
      <c r="L281" s="171" t="str">
        <f>IF(TArticle[[#This Row],[کد وضعیت سند]]&gt;0,VLOOKUP(TArticle[[#This Row],[کد وضعیت سند]],TDocState[],2,FALSE),"")</f>
        <v>انجام شد</v>
      </c>
      <c r="N281" s="171" t="str">
        <f>IF(TArticle[[#This Row],[کد طرف حساب]]&gt;0,VLOOKUP(TArticle[[#This Row],[کد طرف حساب]],TContact[],2,FALSE),"")</f>
        <v/>
      </c>
      <c r="O281" s="60" t="str">
        <f>IF(TArticle[[#This Row],[کد طرف حساب]]&gt;0,VLOOKUP(TArticle[[#This Row],[کد طرف حساب]],TContact[],7,FALSE)-SUMIF($M$2:M281,M281,$E$2:$E281),"")</f>
        <v/>
      </c>
      <c r="P281" s="27" t="str">
        <f>RIGHT(TArticle[[#This Row],[تاریخ]],2)</f>
        <v>28</v>
      </c>
      <c r="Q281" s="27">
        <f>VLOOKUP(TArticle[[#This Row],[تاریخ]],TDays[],16,FALSE)</f>
        <v>53</v>
      </c>
      <c r="R281" s="27" t="str">
        <f>RIGHT(LEFT(TArticle[[#This Row],[تاریخ]],7),2)</f>
        <v>12</v>
      </c>
      <c r="S281" s="27" t="str">
        <f>LEFT(TArticle[[#This Row],[تاریخ]],4)</f>
        <v>1401</v>
      </c>
      <c r="U281" s="21">
        <f>VLOOKUP(TArticle[[#This Row],[شناسه]],TAccount[],7,TRUE)</f>
        <v>364074</v>
      </c>
      <c r="W281" s="21">
        <f>IF(AND(TArticle[[#This Row],[مبلغ]]&gt;0, TArticle[[#This Row],[کد وضعیت سند]]=1),TArticle[[#This Row],[مبلغ]],0)</f>
        <v>0</v>
      </c>
      <c r="X281" s="27">
        <f>IF(AND(TArticle[[#This Row],[مبلغ]]&lt;0,TArticle[[#This Row],[کد وضعیت سند]]=1),0-TArticle[[#This Row],[مبلغ]],0)</f>
        <v>4178</v>
      </c>
      <c r="Y281" s="27">
        <v>2</v>
      </c>
      <c r="Z281" s="171" t="str">
        <f>IF(TArticle[[#This Row],[کد بانک]]&gt;0,VLOOKUP(TArticle[[#This Row],[کد بانک]],TBank[],2,FALSE),"")</f>
        <v>ملی جاری</v>
      </c>
      <c r="AA281">
        <f>IF(AND(TArticle[[#This Row],[مبلغ]]&lt;0,TArticle[[#This Row],[کد وضعیت سند]]=1),0-TArticle[[#This Row],[مبلغ]],0)</f>
        <v>4178</v>
      </c>
      <c r="AB281">
        <f>IF(AND(TArticle[[#This Row],[مبلغ]]&gt;0, TArticle[[#This Row],[کد وضعیت سند]]=1),TArticle[[#This Row],[مبلغ]],0)</f>
        <v>0</v>
      </c>
      <c r="AC281" s="92">
        <f>IF(TArticle[[#This Row],[کد بانک]]&gt;0,VLOOKUP(TArticle[[#This Row],[کد بانک]],TBank[],9,FALSE)+SUMIF($Y$2:Y281,Y281,$E$2:$E281),"")</f>
        <v>20522</v>
      </c>
      <c r="AD281" s="1">
        <f>IFERROR(IF(INT(LEFT(TArticle[[#This Row],[شناسه]]))=3,IF(TArticle[[#This Row],[کد وضعیت سند]]=1,TArticle[مبلغ],0),0),0)</f>
        <v>-4178</v>
      </c>
      <c r="AE281" s="1">
        <f>IFERROR(IF(((TArticle[[#This Row],[شناسه]]))="4.1.1",IF(TArticle[[#This Row],[کد وضعیت سند]]=1,TArticle[مبلغ],0),0),0)</f>
        <v>0</v>
      </c>
      <c r="AF281" s="1">
        <f>IFERROR(IF(((TArticle[[#This Row],[شناسه]]))="4.1.2",IF(TArticle[[#This Row],[کد وضعیت سند]]=1,TArticle[مبلغ],0),0),0)</f>
        <v>0</v>
      </c>
      <c r="AG281" s="1">
        <f>IFERROR(IF(INT(LEFT(TArticle[[#This Row],[شناسه]]))=1,IF(TArticle[[#This Row],[کد وضعیت سند]]=1,TArticle[مبلغ],0),0),0)</f>
        <v>0</v>
      </c>
      <c r="AH281" s="1">
        <f>IFERROR(IF(INT(LEFT(TArticle[[#This Row],[شناسه]]))=2,IF(TArticle[[#This Row],[کد وضعیت سند]]=1,TArticle[مبلغ],0),0),0)</f>
        <v>0</v>
      </c>
      <c r="AI281" s="1">
        <f>IFERROR(IF((LEFT(TArticle[[#This Row],[شناسه]],3))="5.2",IF(TArticle[[#This Row],[کد وضعیت سند]]=1,TArticle[مبلغ],0),0),0)</f>
        <v>0</v>
      </c>
      <c r="AJ281" s="1">
        <f>IF(TArticle[[#This Row],[کد وضعیت سند]]=1,1,0)</f>
        <v>1</v>
      </c>
      <c r="AK281" s="1">
        <f>IF(AND(TArticle[[#This Row],[کد وضعیت سند]]&lt;&gt;1,TArticle[[#This Row],[مبلغ]]&lt;&gt;0),1,0)</f>
        <v>0</v>
      </c>
      <c r="AL281" s="51">
        <f>IF(TArticle[[#This Row],[کد بانک]]&gt;0,TArticle[[#This Row],[مانده بانک]]-VLOOKUP(TArticle[[#This Row],[کد بانک]],TBank[],7,FALSE),"")</f>
        <v>20522</v>
      </c>
      <c r="AM281" s="58" t="str">
        <f>LEFT(TArticle[[#This Row],[تاریخ]],7)</f>
        <v>1401-12</v>
      </c>
    </row>
    <row r="282" spans="1:39" hidden="1" x14ac:dyDescent="0.25">
      <c r="A282" s="24" t="s">
        <v>55</v>
      </c>
      <c r="B282" s="49" t="str">
        <f>VLOOKUP(TArticle[[#This Row],[شناسه]],TAccount[],2,TRUE)</f>
        <v>هزینه کلی</v>
      </c>
      <c r="C282" s="49" t="str">
        <f>VLOOKUP(TArticle[[#This Row],[تاریخ]],TDays[],7,FALSE)</f>
        <v>دوشنبه</v>
      </c>
      <c r="D282" s="21" t="s">
        <v>557</v>
      </c>
      <c r="E282" s="1">
        <v>-1000</v>
      </c>
      <c r="F282" s="1">
        <f>TArticle[[#This Row],[مبلغ]]+IFERROR(INT(F281),30181+3667+958)</f>
        <v>21720</v>
      </c>
      <c r="G282" s="49" t="s">
        <v>2836</v>
      </c>
      <c r="K282" s="64">
        <v>1</v>
      </c>
      <c r="L282" s="171" t="str">
        <f>IF(TArticle[[#This Row],[کد وضعیت سند]]&gt;0,VLOOKUP(TArticle[[#This Row],[کد وضعیت سند]],TDocState[],2,FALSE),"")</f>
        <v>انجام شد</v>
      </c>
      <c r="N282" s="171" t="str">
        <f>IF(TArticle[[#This Row],[کد طرف حساب]]&gt;0,VLOOKUP(TArticle[[#This Row],[کد طرف حساب]],TContact[],2,FALSE),"")</f>
        <v/>
      </c>
      <c r="O282" s="51" t="str">
        <f>IF(TArticle[[#This Row],[کد طرف حساب]]&gt;0,VLOOKUP(TArticle[[#This Row],[کد طرف حساب]],TContact[],7,FALSE)-SUMIF($M$2:M282,M282,$E$2:$E282),"")</f>
        <v/>
      </c>
      <c r="P282" s="27" t="str">
        <f>RIGHT(TArticle[[#This Row],[تاریخ]],2)</f>
        <v>29</v>
      </c>
      <c r="Q282" s="27">
        <f>VLOOKUP(TArticle[[#This Row],[تاریخ]],TDays[],16,FALSE)</f>
        <v>54</v>
      </c>
      <c r="R282" s="27" t="str">
        <f>RIGHT(LEFT(TArticle[[#This Row],[تاریخ]],7),2)</f>
        <v>12</v>
      </c>
      <c r="S282" s="27" t="str">
        <f>LEFT(TArticle[[#This Row],[تاریخ]],4)</f>
        <v>1401</v>
      </c>
      <c r="U282" s="21">
        <f>VLOOKUP(TArticle[[#This Row],[شناسه]],TAccount[],7,TRUE)</f>
        <v>364074</v>
      </c>
      <c r="W282" s="21">
        <f>IF(AND(TArticle[[#This Row],[مبلغ]]&gt;0, TArticle[[#This Row],[کد وضعیت سند]]=1),TArticle[[#This Row],[مبلغ]],0)</f>
        <v>0</v>
      </c>
      <c r="X282" s="21">
        <f>IF(AND(TArticle[[#This Row],[مبلغ]]&lt;0,TArticle[[#This Row],[کد وضعیت سند]]=1),0-TArticle[[#This Row],[مبلغ]],0)</f>
        <v>1000</v>
      </c>
      <c r="Y282" s="27">
        <v>2</v>
      </c>
      <c r="Z282" s="171" t="str">
        <f>IF(TArticle[[#This Row],[کد بانک]]&gt;0,VLOOKUP(TArticle[[#This Row],[کد بانک]],TBank[],2,FALSE),"")</f>
        <v>ملی جاری</v>
      </c>
      <c r="AA282">
        <f>IF(AND(TArticle[[#This Row],[مبلغ]]&lt;0,TArticle[[#This Row],[کد وضعیت سند]]=1),0-TArticle[[#This Row],[مبلغ]],0)</f>
        <v>1000</v>
      </c>
      <c r="AB282">
        <f>IF(AND(TArticle[[#This Row],[مبلغ]]&gt;0, TArticle[[#This Row],[کد وضعیت سند]]=1),TArticle[[#This Row],[مبلغ]],0)</f>
        <v>0</v>
      </c>
      <c r="AC282" s="84">
        <f>IF(TArticle[[#This Row],[کد بانک]]&gt;0,VLOOKUP(TArticle[[#This Row],[کد بانک]],TBank[],9,FALSE)+SUMIF($Y$2:Y282,Y282,$E$2:$E282),"")</f>
        <v>19522</v>
      </c>
      <c r="AD282" s="1">
        <f>IFERROR(IF(INT(LEFT(TArticle[[#This Row],[شناسه]]))=3,IF(TArticle[[#This Row],[کد وضعیت سند]]=1,TArticle[مبلغ],0),0),0)</f>
        <v>-1000</v>
      </c>
      <c r="AE282" s="1">
        <f>IFERROR(IF(((TArticle[[#This Row],[شناسه]]))="4.1.1",IF(TArticle[[#This Row],[کد وضعیت سند]]=1,TArticle[مبلغ],0),0),0)</f>
        <v>0</v>
      </c>
      <c r="AF282" s="1">
        <f>IFERROR(IF(((TArticle[[#This Row],[شناسه]]))="4.1.2",IF(TArticle[[#This Row],[کد وضعیت سند]]=1,TArticle[مبلغ],0),0),0)</f>
        <v>0</v>
      </c>
      <c r="AG282" s="1">
        <f>IFERROR(IF(INT(LEFT(TArticle[[#This Row],[شناسه]]))=1,IF(TArticle[[#This Row],[کد وضعیت سند]]=1,TArticle[مبلغ],0),0),0)</f>
        <v>0</v>
      </c>
      <c r="AH282" s="1">
        <f>IFERROR(IF(INT(LEFT(TArticle[[#This Row],[شناسه]]))=2,IF(TArticle[[#This Row],[کد وضعیت سند]]=1,TArticle[مبلغ],0),0),0)</f>
        <v>0</v>
      </c>
      <c r="AI282" s="1">
        <f>IFERROR(IF((LEFT(TArticle[[#This Row],[شناسه]],3))="5.2",IF(TArticle[[#This Row],[کد وضعیت سند]]=1,TArticle[مبلغ],0),0),0)</f>
        <v>0</v>
      </c>
      <c r="AJ282" s="1">
        <f>IF(TArticle[[#This Row],[کد وضعیت سند]]=1,1,0)</f>
        <v>1</v>
      </c>
      <c r="AK282" s="1">
        <f>IF(AND(TArticle[[#This Row],[کد وضعیت سند]]&lt;&gt;1,TArticle[[#This Row],[مبلغ]]&lt;&gt;0),1,0)</f>
        <v>0</v>
      </c>
      <c r="AL282" s="51">
        <f>IF(TArticle[[#This Row],[کد بانک]]&gt;0,TArticle[[#This Row],[مانده بانک]]-VLOOKUP(TArticle[[#This Row],[کد بانک]],TBank[],7,FALSE),"")</f>
        <v>19522</v>
      </c>
      <c r="AM282" s="58" t="str">
        <f>LEFT(TArticle[[#This Row],[تاریخ]],7)</f>
        <v>1401-12</v>
      </c>
    </row>
    <row r="283" spans="1:39" hidden="1" x14ac:dyDescent="0.25">
      <c r="A283" s="24" t="s">
        <v>55</v>
      </c>
      <c r="B283" s="49" t="str">
        <f>VLOOKUP(TArticle[[#This Row],[شناسه]],TAccount[],2,TRUE)</f>
        <v>هزینه کلی</v>
      </c>
      <c r="C283" s="49" t="str">
        <f>VLOOKUP(TArticle[[#This Row],[تاریخ]],TDays[],7,FALSE)</f>
        <v>دوشنبه</v>
      </c>
      <c r="D283" s="21" t="s">
        <v>557</v>
      </c>
      <c r="E283" s="1">
        <v>-287</v>
      </c>
      <c r="F283" s="1">
        <f>TArticle[[#This Row],[مبلغ]]+IFERROR(INT(F282),30181+3667+958)</f>
        <v>21433</v>
      </c>
      <c r="G283" s="49" t="s">
        <v>2840</v>
      </c>
      <c r="J283" s="51"/>
      <c r="K283" s="64">
        <v>1</v>
      </c>
      <c r="L283" s="171" t="str">
        <f>IF(TArticle[[#This Row],[کد وضعیت سند]]&gt;0,VLOOKUP(TArticle[[#This Row],[کد وضعیت سند]],TDocState[],2,FALSE),"")</f>
        <v>انجام شد</v>
      </c>
      <c r="N283" s="171" t="str">
        <f>IF(TArticle[[#This Row],[کد طرف حساب]]&gt;0,VLOOKUP(TArticle[[#This Row],[کد طرف حساب]],TContact[],2,FALSE),"")</f>
        <v/>
      </c>
      <c r="O283" s="60" t="str">
        <f>IF(TArticle[[#This Row],[کد طرف حساب]]&gt;0,VLOOKUP(TArticle[[#This Row],[کد طرف حساب]],TContact[],7,FALSE)-SUMIF($M$2:M283,M283,$E$2:$E283),"")</f>
        <v/>
      </c>
      <c r="P283" s="27" t="str">
        <f>RIGHT(TArticle[[#This Row],[تاریخ]],2)</f>
        <v>29</v>
      </c>
      <c r="Q283" s="27">
        <f>VLOOKUP(TArticle[[#This Row],[تاریخ]],TDays[],16,FALSE)</f>
        <v>54</v>
      </c>
      <c r="R283" s="27" t="str">
        <f>RIGHT(LEFT(TArticle[[#This Row],[تاریخ]],7),2)</f>
        <v>12</v>
      </c>
      <c r="S283" s="27" t="str">
        <f>LEFT(TArticle[[#This Row],[تاریخ]],4)</f>
        <v>1401</v>
      </c>
      <c r="U283" s="21">
        <f>VLOOKUP(TArticle[[#This Row],[شناسه]],TAccount[],7,TRUE)</f>
        <v>364074</v>
      </c>
      <c r="V283" s="28"/>
      <c r="W283" s="21">
        <f>IF(AND(TArticle[[#This Row],[مبلغ]]&gt;0, TArticle[[#This Row],[کد وضعیت سند]]=1),TArticle[[#This Row],[مبلغ]],0)</f>
        <v>0</v>
      </c>
      <c r="X283" s="27">
        <f>IF(AND(TArticle[[#This Row],[مبلغ]]&lt;0,TArticle[[#This Row],[کد وضعیت سند]]=1),0-TArticle[[#This Row],[مبلغ]],0)</f>
        <v>287</v>
      </c>
      <c r="Y283" s="27">
        <v>2</v>
      </c>
      <c r="Z283" s="171" t="str">
        <f>IF(TArticle[[#This Row],[کد بانک]]&gt;0,VLOOKUP(TArticle[[#This Row],[کد بانک]],TBank[],2,FALSE),"")</f>
        <v>ملی جاری</v>
      </c>
      <c r="AA283">
        <f>IF(AND(TArticle[[#This Row],[مبلغ]]&lt;0,TArticle[[#This Row],[کد وضعیت سند]]=1),0-TArticle[[#This Row],[مبلغ]],0)</f>
        <v>287</v>
      </c>
      <c r="AB283">
        <f>IF(AND(TArticle[[#This Row],[مبلغ]]&gt;0, TArticle[[#This Row],[کد وضعیت سند]]=1),TArticle[[#This Row],[مبلغ]],0)</f>
        <v>0</v>
      </c>
      <c r="AC283" s="92">
        <f>IF(TArticle[[#This Row],[کد بانک]]&gt;0,VLOOKUP(TArticle[[#This Row],[کد بانک]],TBank[],9,FALSE)+SUMIF($Y$2:Y283,Y283,$E$2:$E283),"")</f>
        <v>19235</v>
      </c>
      <c r="AD283" s="1">
        <f>IFERROR(IF(INT(LEFT(TArticle[[#This Row],[شناسه]]))=3,IF(TArticle[[#This Row],[کد وضعیت سند]]=1,TArticle[مبلغ],0),0),0)</f>
        <v>-287</v>
      </c>
      <c r="AE283" s="1">
        <f>IFERROR(IF(((TArticle[[#This Row],[شناسه]]))="4.1.1",IF(TArticle[[#This Row],[کد وضعیت سند]]=1,TArticle[مبلغ],0),0),0)</f>
        <v>0</v>
      </c>
      <c r="AF283" s="1">
        <f>IFERROR(IF(((TArticle[[#This Row],[شناسه]]))="4.1.2",IF(TArticle[[#This Row],[کد وضعیت سند]]=1,TArticle[مبلغ],0),0),0)</f>
        <v>0</v>
      </c>
      <c r="AG283" s="1">
        <f>IFERROR(IF(INT(LEFT(TArticle[[#This Row],[شناسه]]))=1,IF(TArticle[[#This Row],[کد وضعیت سند]]=1,TArticle[مبلغ],0),0),0)</f>
        <v>0</v>
      </c>
      <c r="AH283" s="1">
        <f>IFERROR(IF(INT(LEFT(TArticle[[#This Row],[شناسه]]))=2,IF(TArticle[[#This Row],[کد وضعیت سند]]=1,TArticle[مبلغ],0),0),0)</f>
        <v>0</v>
      </c>
      <c r="AI283" s="1">
        <f>IFERROR(IF((LEFT(TArticle[[#This Row],[شناسه]],3))="5.2",IF(TArticle[[#This Row],[کد وضعیت سند]]=1,TArticle[مبلغ],0),0),0)</f>
        <v>0</v>
      </c>
      <c r="AJ283" s="1">
        <f>IF(TArticle[[#This Row],[کد وضعیت سند]]=1,1,0)</f>
        <v>1</v>
      </c>
      <c r="AK283" s="1">
        <f>IF(AND(TArticle[[#This Row],[کد وضعیت سند]]&lt;&gt;1,TArticle[[#This Row],[مبلغ]]&lt;&gt;0),1,0)</f>
        <v>0</v>
      </c>
      <c r="AL283" s="51">
        <f>IF(TArticle[[#This Row],[کد بانک]]&gt;0,TArticle[[#This Row],[مانده بانک]]-VLOOKUP(TArticle[[#This Row],[کد بانک]],TBank[],7,FALSE),"")</f>
        <v>19235</v>
      </c>
      <c r="AM283" s="58" t="str">
        <f>LEFT(TArticle[[#This Row],[تاریخ]],7)</f>
        <v>1401-12</v>
      </c>
    </row>
    <row r="284" spans="1:39" hidden="1" x14ac:dyDescent="0.25">
      <c r="A284" s="24" t="s">
        <v>55</v>
      </c>
      <c r="B284" s="49" t="str">
        <f>VLOOKUP(TArticle[[#This Row],[شناسه]],TAccount[],2,TRUE)</f>
        <v>هزینه کلی</v>
      </c>
      <c r="C284" s="49" t="str">
        <f>VLOOKUP(TArticle[[#This Row],[تاریخ]],TDays[],7,FALSE)</f>
        <v>دوشنبه</v>
      </c>
      <c r="D284" s="21" t="s">
        <v>557</v>
      </c>
      <c r="E284" s="1">
        <v>-520</v>
      </c>
      <c r="F284" s="1">
        <f>TArticle[[#This Row],[مبلغ]]+IFERROR(INT(F283),30181+3667+958)</f>
        <v>20913</v>
      </c>
      <c r="G284" s="49" t="s">
        <v>2839</v>
      </c>
      <c r="H284" s="64"/>
      <c r="J284" s="65"/>
      <c r="K284" s="64">
        <v>1</v>
      </c>
      <c r="L284" s="171" t="str">
        <f>IF(TArticle[[#This Row],[کد وضعیت سند]]&gt;0,VLOOKUP(TArticle[[#This Row],[کد وضعیت سند]],TDocState[],2,FALSE),"")</f>
        <v>انجام شد</v>
      </c>
      <c r="M284" s="67"/>
      <c r="N284" s="171" t="str">
        <f>IF(TArticle[[#This Row],[کد طرف حساب]]&gt;0,VLOOKUP(TArticle[[#This Row],[کد طرف حساب]],TContact[],2,FALSE),"")</f>
        <v/>
      </c>
      <c r="O284" s="68" t="str">
        <f>IF(TArticle[[#This Row],[کد طرف حساب]]&gt;0,VLOOKUP(TArticle[[#This Row],[کد طرف حساب]],TContact[],7,FALSE)-SUMIF($M$2:M284,M284,$E$2:$E284),"")</f>
        <v/>
      </c>
      <c r="P284" s="67" t="str">
        <f>RIGHT(TArticle[[#This Row],[تاریخ]],2)</f>
        <v>29</v>
      </c>
      <c r="Q284" s="67">
        <f>VLOOKUP(TArticle[[#This Row],[تاریخ]],TDays[],16,FALSE)</f>
        <v>54</v>
      </c>
      <c r="R284" s="67" t="str">
        <f>RIGHT(LEFT(TArticle[[#This Row],[تاریخ]],7),2)</f>
        <v>12</v>
      </c>
      <c r="S284" s="67" t="str">
        <f>LEFT(TArticle[[#This Row],[تاریخ]],4)</f>
        <v>1401</v>
      </c>
      <c r="T284" s="64"/>
      <c r="U284" s="64">
        <f>VLOOKUP(TArticle[[#This Row],[شناسه]],TAccount[],7,TRUE)</f>
        <v>364074</v>
      </c>
      <c r="V284" s="28"/>
      <c r="W284" s="64">
        <f>IF(AND(TArticle[[#This Row],[مبلغ]]&gt;0, TArticle[[#This Row],[کد وضعیت سند]]=1),TArticle[[#This Row],[مبلغ]],0)</f>
        <v>0</v>
      </c>
      <c r="X284" s="67">
        <f>IF(AND(TArticle[[#This Row],[مبلغ]]&lt;0,TArticle[[#This Row],[کد وضعیت سند]]=1),0-TArticle[[#This Row],[مبلغ]],0)</f>
        <v>520</v>
      </c>
      <c r="Y284" s="27">
        <v>2</v>
      </c>
      <c r="Z284" s="171" t="str">
        <f>IF(TArticle[[#This Row],[کد بانک]]&gt;0,VLOOKUP(TArticle[[#This Row],[کد بانک]],TBank[],2,FALSE),"")</f>
        <v>ملی جاری</v>
      </c>
      <c r="AA284">
        <f>IF(AND(TArticle[[#This Row],[مبلغ]]&lt;0,TArticle[[#This Row],[کد وضعیت سند]]=1),0-TArticle[[#This Row],[مبلغ]],0)</f>
        <v>520</v>
      </c>
      <c r="AB284">
        <f>IF(AND(TArticle[[#This Row],[مبلغ]]&gt;0, TArticle[[#This Row],[کد وضعیت سند]]=1),TArticle[[#This Row],[مبلغ]],0)</f>
        <v>0</v>
      </c>
      <c r="AC284" s="93">
        <f>IF(TArticle[[#This Row],[کد بانک]]&gt;0,VLOOKUP(TArticle[[#This Row],[کد بانک]],TBank[],9,FALSE)+SUMIF($Y$2:Y284,Y284,$E$2:$E284),"")</f>
        <v>18715</v>
      </c>
      <c r="AD284" s="1">
        <f>IFERROR(IF(INT(LEFT(TArticle[[#This Row],[شناسه]]))=3,IF(TArticle[[#This Row],[کد وضعیت سند]]=1,TArticle[مبلغ],0),0),0)</f>
        <v>-520</v>
      </c>
      <c r="AE284" s="1">
        <f>IFERROR(IF(((TArticle[[#This Row],[شناسه]]))="4.1.1",IF(TArticle[[#This Row],[کد وضعیت سند]]=1,TArticle[مبلغ],0),0),0)</f>
        <v>0</v>
      </c>
      <c r="AF284" s="1">
        <f>IFERROR(IF(((TArticle[[#This Row],[شناسه]]))="4.1.2",IF(TArticle[[#This Row],[کد وضعیت سند]]=1,TArticle[مبلغ],0),0),0)</f>
        <v>0</v>
      </c>
      <c r="AG284" s="1">
        <f>IFERROR(IF(INT(LEFT(TArticle[[#This Row],[شناسه]]))=1,IF(TArticle[[#This Row],[کد وضعیت سند]]=1,TArticle[مبلغ],0),0),0)</f>
        <v>0</v>
      </c>
      <c r="AH284" s="1">
        <f>IFERROR(IF(INT(LEFT(TArticle[[#This Row],[شناسه]]))=2,IF(TArticle[[#This Row],[کد وضعیت سند]]=1,TArticle[مبلغ],0),0),0)</f>
        <v>0</v>
      </c>
      <c r="AI284" s="1">
        <f>IFERROR(IF((LEFT(TArticle[[#This Row],[شناسه]],3))="5.2",IF(TArticle[[#This Row],[کد وضعیت سند]]=1,TArticle[مبلغ],0),0),0)</f>
        <v>0</v>
      </c>
      <c r="AJ284" s="1">
        <f>IF(TArticle[[#This Row],[کد وضعیت سند]]=1,1,0)</f>
        <v>1</v>
      </c>
      <c r="AK284" s="1">
        <f>IF(AND(TArticle[[#This Row],[کد وضعیت سند]]&lt;&gt;1,TArticle[[#This Row],[مبلغ]]&lt;&gt;0),1,0)</f>
        <v>0</v>
      </c>
      <c r="AL284" s="78">
        <f>IF(TArticle[[#This Row],[کد بانک]]&gt;0,TArticle[[#This Row],[مانده بانک]]-VLOOKUP(TArticle[[#This Row],[کد بانک]],TBank[],7,FALSE),"")</f>
        <v>18715</v>
      </c>
      <c r="AM284" s="69" t="str">
        <f>LEFT(TArticle[[#This Row],[تاریخ]],7)</f>
        <v>1401-12</v>
      </c>
    </row>
    <row r="285" spans="1:39" hidden="1" x14ac:dyDescent="0.25">
      <c r="A285" s="77" t="s">
        <v>55</v>
      </c>
      <c r="B285" s="49" t="str">
        <f>VLOOKUP(TArticle[[#This Row],[شناسه]],TAccount[],2,TRUE)</f>
        <v>هزینه کلی</v>
      </c>
      <c r="C285" s="49" t="str">
        <f>VLOOKUP(TArticle[[#This Row],[تاریخ]],TDays[],7,FALSE)</f>
        <v>دوشنبه</v>
      </c>
      <c r="D285" s="21" t="s">
        <v>557</v>
      </c>
      <c r="E285" s="1">
        <v>-470</v>
      </c>
      <c r="F285" s="1">
        <f>TArticle[[#This Row],[مبلغ]]+IFERROR(INT(F284),30181+3667+958)</f>
        <v>20443</v>
      </c>
      <c r="G285" s="49" t="s">
        <v>2841</v>
      </c>
      <c r="J285" s="51"/>
      <c r="K285" s="64">
        <v>1</v>
      </c>
      <c r="L285" s="171" t="str">
        <f>IF(TArticle[[#This Row],[کد وضعیت سند]]&gt;0,VLOOKUP(TArticle[[#This Row],[کد وضعیت سند]],TDocState[],2,FALSE),"")</f>
        <v>انجام شد</v>
      </c>
      <c r="N285" s="171" t="str">
        <f>IF(TArticle[[#This Row],[کد طرف حساب]]&gt;0,VLOOKUP(TArticle[[#This Row],[کد طرف حساب]],TContact[],2,FALSE),"")</f>
        <v/>
      </c>
      <c r="O285" s="60" t="str">
        <f>IF(TArticle[[#This Row],[کد طرف حساب]]&gt;0,VLOOKUP(TArticle[[#This Row],[کد طرف حساب]],TContact[],7,FALSE)-SUMIF($M$2:M285,M285,$E$2:$E285),"")</f>
        <v/>
      </c>
      <c r="P285" s="27" t="str">
        <f>RIGHT(TArticle[[#This Row],[تاریخ]],2)</f>
        <v>29</v>
      </c>
      <c r="Q285" s="27">
        <f>VLOOKUP(TArticle[[#This Row],[تاریخ]],TDays[],16,FALSE)</f>
        <v>54</v>
      </c>
      <c r="R285" s="27" t="str">
        <f>RIGHT(LEFT(TArticle[[#This Row],[تاریخ]],7),2)</f>
        <v>12</v>
      </c>
      <c r="S285" s="27" t="str">
        <f>LEFT(TArticle[[#This Row],[تاریخ]],4)</f>
        <v>1401</v>
      </c>
      <c r="U285" s="21">
        <f>VLOOKUP(TArticle[[#This Row],[شناسه]],TAccount[],7,TRUE)</f>
        <v>364074</v>
      </c>
      <c r="V285" s="28"/>
      <c r="W285" s="21">
        <f>IF(AND(TArticle[[#This Row],[مبلغ]]&gt;0, TArticle[[#This Row],[کد وضعیت سند]]=1),TArticle[[#This Row],[مبلغ]],0)</f>
        <v>0</v>
      </c>
      <c r="X285" s="27">
        <f>IF(AND(TArticle[[#This Row],[مبلغ]]&lt;0,TArticle[[#This Row],[کد وضعیت سند]]=1),0-TArticle[[#This Row],[مبلغ]],0)</f>
        <v>470</v>
      </c>
      <c r="Y285" s="27">
        <v>2</v>
      </c>
      <c r="Z285" s="171" t="str">
        <f>IF(TArticle[[#This Row],[کد بانک]]&gt;0,VLOOKUP(TArticle[[#This Row],[کد بانک]],TBank[],2,FALSE),"")</f>
        <v>ملی جاری</v>
      </c>
      <c r="AA285">
        <f>IF(AND(TArticle[[#This Row],[مبلغ]]&lt;0,TArticle[[#This Row],[کد وضعیت سند]]=1),0-TArticle[[#This Row],[مبلغ]],0)</f>
        <v>470</v>
      </c>
      <c r="AB285">
        <f>IF(AND(TArticle[[#This Row],[مبلغ]]&gt;0, TArticle[[#This Row],[کد وضعیت سند]]=1),TArticle[[#This Row],[مبلغ]],0)</f>
        <v>0</v>
      </c>
      <c r="AC285" s="92">
        <f>IF(TArticle[[#This Row],[کد بانک]]&gt;0,VLOOKUP(TArticle[[#This Row],[کد بانک]],TBank[],9,FALSE)+SUMIF($Y$2:Y285,Y285,$E$2:$E285),"")</f>
        <v>18245</v>
      </c>
      <c r="AD285" s="1">
        <f>IFERROR(IF(INT(LEFT(TArticle[[#This Row],[شناسه]]))=3,IF(TArticle[[#This Row],[کد وضعیت سند]]=1,TArticle[مبلغ],0),0),0)</f>
        <v>-470</v>
      </c>
      <c r="AE285" s="1">
        <f>IFERROR(IF(((TArticle[[#This Row],[شناسه]]))="4.1.1",IF(TArticle[[#This Row],[کد وضعیت سند]]=1,TArticle[مبلغ],0),0),0)</f>
        <v>0</v>
      </c>
      <c r="AF285" s="1">
        <f>IFERROR(IF(((TArticle[[#This Row],[شناسه]]))="4.1.2",IF(TArticle[[#This Row],[کد وضعیت سند]]=1,TArticle[مبلغ],0),0),0)</f>
        <v>0</v>
      </c>
      <c r="AG285" s="1">
        <f>IFERROR(IF(INT(LEFT(TArticle[[#This Row],[شناسه]]))=1,IF(TArticle[[#This Row],[کد وضعیت سند]]=1,TArticle[مبلغ],0),0),0)</f>
        <v>0</v>
      </c>
      <c r="AH285" s="1">
        <f>IFERROR(IF(INT(LEFT(TArticle[[#This Row],[شناسه]]))=2,IF(TArticle[[#This Row],[کد وضعیت سند]]=1,TArticle[مبلغ],0),0),0)</f>
        <v>0</v>
      </c>
      <c r="AI285" s="1">
        <f>IFERROR(IF((LEFT(TArticle[[#This Row],[شناسه]],3))="5.2",IF(TArticle[[#This Row],[کد وضعیت سند]]=1,TArticle[مبلغ],0),0),0)</f>
        <v>0</v>
      </c>
      <c r="AJ285" s="1">
        <f>IF(TArticle[[#This Row],[کد وضعیت سند]]=1,1,0)</f>
        <v>1</v>
      </c>
      <c r="AK285" s="1">
        <f>IF(AND(TArticle[[#This Row],[کد وضعیت سند]]&lt;&gt;1,TArticle[[#This Row],[مبلغ]]&lt;&gt;0),1,0)</f>
        <v>0</v>
      </c>
      <c r="AL285" s="51">
        <f>IF(TArticle[[#This Row],[کد بانک]]&gt;0,TArticle[[#This Row],[مانده بانک]]-VLOOKUP(TArticle[[#This Row],[کد بانک]],TBank[],7,FALSE),"")</f>
        <v>18245</v>
      </c>
      <c r="AM285" s="58" t="str">
        <f>LEFT(TArticle[[#This Row],[تاریخ]],7)</f>
        <v>1401-12</v>
      </c>
    </row>
    <row r="286" spans="1:39" hidden="1" x14ac:dyDescent="0.25">
      <c r="A286" s="24" t="s">
        <v>55</v>
      </c>
      <c r="B286" s="49" t="str">
        <f>VLOOKUP(TArticle[[#This Row],[شناسه]],TAccount[],2,TRUE)</f>
        <v>هزینه کلی</v>
      </c>
      <c r="C286" s="49" t="str">
        <f>VLOOKUP(TArticle[[#This Row],[تاریخ]],TDays[],7,FALSE)</f>
        <v>دوشنبه</v>
      </c>
      <c r="D286" s="21" t="s">
        <v>557</v>
      </c>
      <c r="E286" s="1">
        <v>-370</v>
      </c>
      <c r="F286" s="1">
        <f>TArticle[[#This Row],[مبلغ]]+IFERROR(INT(F285),30181+3667+958)</f>
        <v>20073</v>
      </c>
      <c r="G286" s="49" t="s">
        <v>2834</v>
      </c>
      <c r="H286" s="64"/>
      <c r="J286" s="65"/>
      <c r="K286" s="64">
        <v>1</v>
      </c>
      <c r="L286" s="171" t="str">
        <f>IF(TArticle[[#This Row],[کد وضعیت سند]]&gt;0,VLOOKUP(TArticle[[#This Row],[کد وضعیت سند]],TDocState[],2,FALSE),"")</f>
        <v>انجام شد</v>
      </c>
      <c r="M286" s="67"/>
      <c r="N286" s="171" t="str">
        <f>IF(TArticle[[#This Row],[کد طرف حساب]]&gt;0,VLOOKUP(TArticle[[#This Row],[کد طرف حساب]],TContact[],2,FALSE),"")</f>
        <v/>
      </c>
      <c r="O286" s="68" t="str">
        <f>IF(TArticle[[#This Row],[کد طرف حساب]]&gt;0,VLOOKUP(TArticle[[#This Row],[کد طرف حساب]],TContact[],7,FALSE)-SUMIF($M$2:M286,M286,$E$2:$E286),"")</f>
        <v/>
      </c>
      <c r="P286" s="67" t="str">
        <f>RIGHT(TArticle[[#This Row],[تاریخ]],2)</f>
        <v>29</v>
      </c>
      <c r="Q286" s="67">
        <f>VLOOKUP(TArticle[[#This Row],[تاریخ]],TDays[],16,FALSE)</f>
        <v>54</v>
      </c>
      <c r="R286" s="67" t="str">
        <f>RIGHT(LEFT(TArticle[[#This Row],[تاریخ]],7),2)</f>
        <v>12</v>
      </c>
      <c r="S286" s="67" t="str">
        <f>LEFT(TArticle[[#This Row],[تاریخ]],4)</f>
        <v>1401</v>
      </c>
      <c r="T286" s="64"/>
      <c r="U286" s="64">
        <f>VLOOKUP(TArticle[[#This Row],[شناسه]],TAccount[],7,TRUE)</f>
        <v>364074</v>
      </c>
      <c r="V286" s="28"/>
      <c r="W286" s="64">
        <f>IF(AND(TArticle[[#This Row],[مبلغ]]&gt;0, TArticle[[#This Row],[کد وضعیت سند]]=1),TArticle[[#This Row],[مبلغ]],0)</f>
        <v>0</v>
      </c>
      <c r="X286" s="67">
        <f>IF(AND(TArticle[[#This Row],[مبلغ]]&lt;0,TArticle[[#This Row],[کد وضعیت سند]]=1),0-TArticle[[#This Row],[مبلغ]],0)</f>
        <v>370</v>
      </c>
      <c r="Y286" s="27">
        <v>2</v>
      </c>
      <c r="Z286" s="171" t="str">
        <f>IF(TArticle[[#This Row],[کد بانک]]&gt;0,VLOOKUP(TArticle[[#This Row],[کد بانک]],TBank[],2,FALSE),"")</f>
        <v>ملی جاری</v>
      </c>
      <c r="AA286">
        <f>IF(AND(TArticle[[#This Row],[مبلغ]]&lt;0,TArticle[[#This Row],[کد وضعیت سند]]=1),0-TArticle[[#This Row],[مبلغ]],0)</f>
        <v>370</v>
      </c>
      <c r="AB286">
        <f>IF(AND(TArticle[[#This Row],[مبلغ]]&gt;0, TArticle[[#This Row],[کد وضعیت سند]]=1),TArticle[[#This Row],[مبلغ]],0)</f>
        <v>0</v>
      </c>
      <c r="AC286" s="93">
        <f>IF(TArticle[[#This Row],[کد بانک]]&gt;0,VLOOKUP(TArticle[[#This Row],[کد بانک]],TBank[],9,FALSE)+SUMIF($Y$2:Y286,Y286,$E$2:$E286),"")</f>
        <v>17875</v>
      </c>
      <c r="AD286" s="1">
        <f>IFERROR(IF(INT(LEFT(TArticle[[#This Row],[شناسه]]))=3,IF(TArticle[[#This Row],[کد وضعیت سند]]=1,TArticle[مبلغ],0),0),0)</f>
        <v>-370</v>
      </c>
      <c r="AE286" s="1">
        <f>IFERROR(IF(((TArticle[[#This Row],[شناسه]]))="4.1.1",IF(TArticle[[#This Row],[کد وضعیت سند]]=1,TArticle[مبلغ],0),0),0)</f>
        <v>0</v>
      </c>
      <c r="AF286" s="1">
        <f>IFERROR(IF(((TArticle[[#This Row],[شناسه]]))="4.1.2",IF(TArticle[[#This Row],[کد وضعیت سند]]=1,TArticle[مبلغ],0),0),0)</f>
        <v>0</v>
      </c>
      <c r="AG286" s="1">
        <f>IFERROR(IF(INT(LEFT(TArticle[[#This Row],[شناسه]]))=1,IF(TArticle[[#This Row],[کد وضعیت سند]]=1,TArticle[مبلغ],0),0),0)</f>
        <v>0</v>
      </c>
      <c r="AH286" s="1">
        <f>IFERROR(IF(INT(LEFT(TArticle[[#This Row],[شناسه]]))=2,IF(TArticle[[#This Row],[کد وضعیت سند]]=1,TArticle[مبلغ],0),0),0)</f>
        <v>0</v>
      </c>
      <c r="AI286" s="1">
        <f>IFERROR(IF((LEFT(TArticle[[#This Row],[شناسه]],3))="5.2",IF(TArticle[[#This Row],[کد وضعیت سند]]=1,TArticle[مبلغ],0),0),0)</f>
        <v>0</v>
      </c>
      <c r="AJ286" s="1">
        <f>IF(TArticle[[#This Row],[کد وضعیت سند]]=1,1,0)</f>
        <v>1</v>
      </c>
      <c r="AK286" s="1">
        <f>IF(AND(TArticle[[#This Row],[کد وضعیت سند]]&lt;&gt;1,TArticle[[#This Row],[مبلغ]]&lt;&gt;0),1,0)</f>
        <v>0</v>
      </c>
      <c r="AL286" s="78">
        <f>IF(TArticle[[#This Row],[کد بانک]]&gt;0,TArticle[[#This Row],[مانده بانک]]-VLOOKUP(TArticle[[#This Row],[کد بانک]],TBank[],7,FALSE),"")</f>
        <v>17875</v>
      </c>
      <c r="AM286" s="69" t="str">
        <f>LEFT(TArticle[[#This Row],[تاریخ]],7)</f>
        <v>1401-12</v>
      </c>
    </row>
    <row r="287" spans="1:39" hidden="1" x14ac:dyDescent="0.25">
      <c r="A287" s="24" t="s">
        <v>55</v>
      </c>
      <c r="B287" s="49" t="str">
        <f>VLOOKUP(TArticle[[#This Row],[شناسه]],TAccount[],2,TRUE)</f>
        <v>هزینه کلی</v>
      </c>
      <c r="C287" s="49" t="str">
        <f>VLOOKUP(TArticle[[#This Row],[تاریخ]],TDays[],7,FALSE)</f>
        <v>دوشنبه</v>
      </c>
      <c r="D287" s="21" t="s">
        <v>557</v>
      </c>
      <c r="E287" s="1">
        <v>-175</v>
      </c>
      <c r="F287" s="1">
        <f>TArticle[[#This Row],[مبلغ]]+IFERROR(INT(F286),30181+3667+958)</f>
        <v>19898</v>
      </c>
      <c r="G287" s="49" t="s">
        <v>2838</v>
      </c>
      <c r="K287" s="64">
        <v>1</v>
      </c>
      <c r="L287" s="171" t="str">
        <f>IF(TArticle[[#This Row],[کد وضعیت سند]]&gt;0,VLOOKUP(TArticle[[#This Row],[کد وضعیت سند]],TDocState[],2,FALSE),"")</f>
        <v>انجام شد</v>
      </c>
      <c r="N287" s="171" t="str">
        <f>IF(TArticle[[#This Row],[کد طرف حساب]]&gt;0,VLOOKUP(TArticle[[#This Row],[کد طرف حساب]],TContact[],2,FALSE),"")</f>
        <v/>
      </c>
      <c r="O287" s="51" t="str">
        <f>IF(TArticle[[#This Row],[کد طرف حساب]]&gt;0,VLOOKUP(TArticle[[#This Row],[کد طرف حساب]],TContact[],7,FALSE)-SUMIF($M$2:M287,M287,$E$2:$E287),"")</f>
        <v/>
      </c>
      <c r="P287" s="27" t="str">
        <f>RIGHT(TArticle[[#This Row],[تاریخ]],2)</f>
        <v>29</v>
      </c>
      <c r="Q287" s="27">
        <f>VLOOKUP(TArticle[[#This Row],[تاریخ]],TDays[],16,FALSE)</f>
        <v>54</v>
      </c>
      <c r="R287" s="27" t="str">
        <f>RIGHT(LEFT(TArticle[[#This Row],[تاریخ]],7),2)</f>
        <v>12</v>
      </c>
      <c r="S287" s="27" t="str">
        <f>LEFT(TArticle[[#This Row],[تاریخ]],4)</f>
        <v>1401</v>
      </c>
      <c r="U287" s="21">
        <f>VLOOKUP(TArticle[[#This Row],[شناسه]],TAccount[],7,TRUE)</f>
        <v>364074</v>
      </c>
      <c r="W287" s="21">
        <f>IF(AND(TArticle[[#This Row],[مبلغ]]&gt;0, TArticle[[#This Row],[کد وضعیت سند]]=1),TArticle[[#This Row],[مبلغ]],0)</f>
        <v>0</v>
      </c>
      <c r="X287" s="21">
        <f>IF(AND(TArticle[[#This Row],[مبلغ]]&lt;0,TArticle[[#This Row],[کد وضعیت سند]]=1),0-TArticle[[#This Row],[مبلغ]],0)</f>
        <v>175</v>
      </c>
      <c r="Y287" s="27">
        <v>2</v>
      </c>
      <c r="Z287" s="171" t="str">
        <f>IF(TArticle[[#This Row],[کد بانک]]&gt;0,VLOOKUP(TArticle[[#This Row],[کد بانک]],TBank[],2,FALSE),"")</f>
        <v>ملی جاری</v>
      </c>
      <c r="AA287">
        <f>IF(AND(TArticle[[#This Row],[مبلغ]]&lt;0,TArticle[[#This Row],[کد وضعیت سند]]=1),0-TArticle[[#This Row],[مبلغ]],0)</f>
        <v>175</v>
      </c>
      <c r="AB287">
        <f>IF(AND(TArticle[[#This Row],[مبلغ]]&gt;0, TArticle[[#This Row],[کد وضعیت سند]]=1),TArticle[[#This Row],[مبلغ]],0)</f>
        <v>0</v>
      </c>
      <c r="AC287" s="84">
        <f>IF(TArticle[[#This Row],[کد بانک]]&gt;0,VLOOKUP(TArticle[[#This Row],[کد بانک]],TBank[],9,FALSE)+SUMIF($Y$2:Y287,Y287,$E$2:$E287),"")</f>
        <v>17700</v>
      </c>
      <c r="AD287" s="1">
        <f>IFERROR(IF(INT(LEFT(TArticle[[#This Row],[شناسه]]))=3,IF(TArticle[[#This Row],[کد وضعیت سند]]=1,TArticle[مبلغ],0),0),0)</f>
        <v>-175</v>
      </c>
      <c r="AE287" s="1">
        <f>IFERROR(IF(((TArticle[[#This Row],[شناسه]]))="4.1.1",IF(TArticle[[#This Row],[کد وضعیت سند]]=1,TArticle[مبلغ],0),0),0)</f>
        <v>0</v>
      </c>
      <c r="AF287" s="1">
        <f>IFERROR(IF(((TArticle[[#This Row],[شناسه]]))="4.1.2",IF(TArticle[[#This Row],[کد وضعیت سند]]=1,TArticle[مبلغ],0),0),0)</f>
        <v>0</v>
      </c>
      <c r="AG287" s="1">
        <f>IFERROR(IF(INT(LEFT(TArticle[[#This Row],[شناسه]]))=1,IF(TArticle[[#This Row],[کد وضعیت سند]]=1,TArticle[مبلغ],0),0),0)</f>
        <v>0</v>
      </c>
      <c r="AH287" s="1">
        <f>IFERROR(IF(INT(LEFT(TArticle[[#This Row],[شناسه]]))=2,IF(TArticle[[#This Row],[کد وضعیت سند]]=1,TArticle[مبلغ],0),0),0)</f>
        <v>0</v>
      </c>
      <c r="AI287" s="1">
        <f>IFERROR(IF((LEFT(TArticle[[#This Row],[شناسه]],3))="5.2",IF(TArticle[[#This Row],[کد وضعیت سند]]=1,TArticle[مبلغ],0),0),0)</f>
        <v>0</v>
      </c>
      <c r="AJ287" s="1">
        <f>IF(TArticle[[#This Row],[کد وضعیت سند]]=1,1,0)</f>
        <v>1</v>
      </c>
      <c r="AK287" s="1">
        <f>IF(AND(TArticle[[#This Row],[کد وضعیت سند]]&lt;&gt;1,TArticle[[#This Row],[مبلغ]]&lt;&gt;0),1,0)</f>
        <v>0</v>
      </c>
      <c r="AL287" s="51">
        <f>IF(TArticle[[#This Row],[کد بانک]]&gt;0,TArticle[[#This Row],[مانده بانک]]-VLOOKUP(TArticle[[#This Row],[کد بانک]],TBank[],7,FALSE),"")</f>
        <v>17700</v>
      </c>
      <c r="AM287" s="58" t="str">
        <f>LEFT(TArticle[[#This Row],[تاریخ]],7)</f>
        <v>1401-12</v>
      </c>
    </row>
    <row r="288" spans="1:39" x14ac:dyDescent="0.25">
      <c r="A288" s="24" t="s">
        <v>55</v>
      </c>
      <c r="B288" s="49" t="str">
        <f>VLOOKUP(TArticle[[#This Row],[شناسه]],TAccount[],2,TRUE)</f>
        <v>هزینه کلی</v>
      </c>
      <c r="C288" s="49" t="str">
        <f>VLOOKUP(TArticle[[#This Row],[تاریخ]],TDays[],7,FALSE)</f>
        <v>سه شنبه</v>
      </c>
      <c r="D288" s="21" t="s">
        <v>558</v>
      </c>
      <c r="E288" s="1">
        <v>-155</v>
      </c>
      <c r="F288" s="1">
        <f>TArticle[[#This Row],[مبلغ]]+IFERROR(INT(F287),30181+3667+958)</f>
        <v>19743</v>
      </c>
      <c r="G288" s="49" t="s">
        <v>1657</v>
      </c>
      <c r="H288" s="64"/>
      <c r="J288" s="65"/>
      <c r="K288" s="64">
        <v>1</v>
      </c>
      <c r="L288" s="171" t="str">
        <f>IF(TArticle[[#This Row],[کد وضعیت سند]]&gt;0,VLOOKUP(TArticle[[#This Row],[کد وضعیت سند]],TDocState[],2,FALSE),"")</f>
        <v>انجام شد</v>
      </c>
      <c r="M288" s="67"/>
      <c r="N288" s="171" t="str">
        <f>IF(TArticle[[#This Row],[کد طرف حساب]]&gt;0,VLOOKUP(TArticle[[#This Row],[کد طرف حساب]],TContact[],2,FALSE),"")</f>
        <v/>
      </c>
      <c r="O288" s="68" t="str">
        <f>IF(TArticle[[#This Row],[کد طرف حساب]]&gt;0,VLOOKUP(TArticle[[#This Row],[کد طرف حساب]],TContact[],7,FALSE)-SUMIF($M$2:M288,M288,$E$2:$E288),"")</f>
        <v/>
      </c>
      <c r="P288" s="67" t="str">
        <f>RIGHT(TArticle[[#This Row],[تاریخ]],2)</f>
        <v>01</v>
      </c>
      <c r="Q288" s="67">
        <f>VLOOKUP(TArticle[[#This Row],[تاریخ]],TDays[],16,FALSE)</f>
        <v>1</v>
      </c>
      <c r="R288" s="67" t="str">
        <f>RIGHT(LEFT(TArticle[[#This Row],[تاریخ]],7),2)</f>
        <v>01</v>
      </c>
      <c r="S288" s="67" t="str">
        <f>LEFT(TArticle[[#This Row],[تاریخ]],4)</f>
        <v>1402</v>
      </c>
      <c r="T288" s="64"/>
      <c r="U288" s="64">
        <f>VLOOKUP(TArticle[[#This Row],[شناسه]],TAccount[],7,TRUE)</f>
        <v>364074</v>
      </c>
      <c r="W288" s="64">
        <f>IF(AND(TArticle[[#This Row],[مبلغ]]&gt;0, TArticle[[#This Row],[کد وضعیت سند]]=1),TArticle[[#This Row],[مبلغ]],0)</f>
        <v>0</v>
      </c>
      <c r="X288" s="67">
        <f>IF(AND(TArticle[[#This Row],[مبلغ]]&lt;0,TArticle[[#This Row],[کد وضعیت سند]]=1),0-TArticle[[#This Row],[مبلغ]],0)</f>
        <v>155</v>
      </c>
      <c r="Y288" s="27">
        <v>2</v>
      </c>
      <c r="Z288" s="171" t="str">
        <f>IF(TArticle[[#This Row],[کد بانک]]&gt;0,VLOOKUP(TArticle[[#This Row],[کد بانک]],TBank[],2,FALSE),"")</f>
        <v>ملی جاری</v>
      </c>
      <c r="AA288">
        <f>IF(AND(TArticle[[#This Row],[مبلغ]]&lt;0,TArticle[[#This Row],[کد وضعیت سند]]=1),0-TArticle[[#This Row],[مبلغ]],0)</f>
        <v>155</v>
      </c>
      <c r="AB288">
        <f>IF(AND(TArticle[[#This Row],[مبلغ]]&gt;0, TArticle[[#This Row],[کد وضعیت سند]]=1),TArticle[[#This Row],[مبلغ]],0)</f>
        <v>0</v>
      </c>
      <c r="AC288" s="93">
        <f>IF(TArticle[[#This Row],[کد بانک]]&gt;0,VLOOKUP(TArticle[[#This Row],[کد بانک]],TBank[],9,FALSE)+SUMIF($Y$2:Y288,Y288,$E$2:$E288),"")</f>
        <v>17545</v>
      </c>
      <c r="AD288" s="1">
        <f>IFERROR(IF(INT(LEFT(TArticle[[#This Row],[شناسه]]))=3,IF(TArticle[[#This Row],[کد وضعیت سند]]=1,TArticle[مبلغ],0),0),0)</f>
        <v>-155</v>
      </c>
      <c r="AE288" s="1">
        <f>IFERROR(IF(((TArticle[[#This Row],[شناسه]]))="4.1.1",IF(TArticle[[#This Row],[کد وضعیت سند]]=1,TArticle[مبلغ],0),0),0)</f>
        <v>0</v>
      </c>
      <c r="AF288" s="1">
        <f>IFERROR(IF(((TArticle[[#This Row],[شناسه]]))="4.1.2",IF(TArticle[[#This Row],[کد وضعیت سند]]=1,TArticle[مبلغ],0),0),0)</f>
        <v>0</v>
      </c>
      <c r="AG288" s="1">
        <f>IFERROR(IF(INT(LEFT(TArticle[[#This Row],[شناسه]]))=1,IF(TArticle[[#This Row],[کد وضعیت سند]]=1,TArticle[مبلغ],0),0),0)</f>
        <v>0</v>
      </c>
      <c r="AH288" s="1">
        <f>IFERROR(IF(INT(LEFT(TArticle[[#This Row],[شناسه]]))=2,IF(TArticle[[#This Row],[کد وضعیت سند]]=1,TArticle[مبلغ],0),0),0)</f>
        <v>0</v>
      </c>
      <c r="AI288" s="1">
        <f>IFERROR(IF((LEFT(TArticle[[#This Row],[شناسه]],3))="5.2",IF(TArticle[[#This Row],[کد وضعیت سند]]=1,TArticle[مبلغ],0),0),0)</f>
        <v>0</v>
      </c>
      <c r="AJ288" s="1">
        <f>IF(TArticle[[#This Row],[کد وضعیت سند]]=1,1,0)</f>
        <v>1</v>
      </c>
      <c r="AK288" s="1">
        <f>IF(AND(TArticle[[#This Row],[کد وضعیت سند]]&lt;&gt;1,TArticle[[#This Row],[مبلغ]]&lt;&gt;0),1,0)</f>
        <v>0</v>
      </c>
      <c r="AL288" s="78">
        <f>IF(TArticle[[#This Row],[کد بانک]]&gt;0,TArticle[[#This Row],[مانده بانک]]-VLOOKUP(TArticle[[#This Row],[کد بانک]],TBank[],7,FALSE),"")</f>
        <v>17545</v>
      </c>
      <c r="AM288" s="69" t="str">
        <f>LEFT(TArticle[[#This Row],[تاریخ]],7)</f>
        <v>1402-01</v>
      </c>
    </row>
    <row r="289" spans="1:39" x14ac:dyDescent="0.25">
      <c r="A289" s="24" t="s">
        <v>55</v>
      </c>
      <c r="B289" s="49" t="str">
        <f>VLOOKUP(TArticle[[#This Row],[شناسه]],TAccount[],2,TRUE)</f>
        <v>هزینه کلی</v>
      </c>
      <c r="C289" s="49" t="str">
        <f>VLOOKUP(TArticle[[#This Row],[تاریخ]],TDays[],7,FALSE)</f>
        <v>سه شنبه</v>
      </c>
      <c r="D289" s="21" t="s">
        <v>558</v>
      </c>
      <c r="E289" s="1">
        <v>-162</v>
      </c>
      <c r="F289" s="1">
        <f>TArticle[[#This Row],[مبلغ]]+IFERROR(INT(F288),30181+3667+958)</f>
        <v>19581</v>
      </c>
      <c r="G289" s="49" t="s">
        <v>1657</v>
      </c>
      <c r="H289" s="64"/>
      <c r="J289" s="65"/>
      <c r="K289" s="64">
        <v>1</v>
      </c>
      <c r="L289" s="171" t="str">
        <f>IF(TArticle[[#This Row],[کد وضعیت سند]]&gt;0,VLOOKUP(TArticle[[#This Row],[کد وضعیت سند]],TDocState[],2,FALSE),"")</f>
        <v>انجام شد</v>
      </c>
      <c r="M289" s="67"/>
      <c r="N289" s="171" t="str">
        <f>IF(TArticle[[#This Row],[کد طرف حساب]]&gt;0,VLOOKUP(TArticle[[#This Row],[کد طرف حساب]],TContact[],2,FALSE),"")</f>
        <v/>
      </c>
      <c r="O289" s="68" t="str">
        <f>IF(TArticle[[#This Row],[کد طرف حساب]]&gt;0,VLOOKUP(TArticle[[#This Row],[کد طرف حساب]],TContact[],7,FALSE)-SUMIF($M$2:M289,M289,$E$2:$E289),"")</f>
        <v/>
      </c>
      <c r="P289" s="67" t="str">
        <f>RIGHT(TArticle[[#This Row],[تاریخ]],2)</f>
        <v>01</v>
      </c>
      <c r="Q289" s="67">
        <f>VLOOKUP(TArticle[[#This Row],[تاریخ]],TDays[],16,FALSE)</f>
        <v>1</v>
      </c>
      <c r="R289" s="67" t="str">
        <f>RIGHT(LEFT(TArticle[[#This Row],[تاریخ]],7),2)</f>
        <v>01</v>
      </c>
      <c r="S289" s="67" t="str">
        <f>LEFT(TArticle[[#This Row],[تاریخ]],4)</f>
        <v>1402</v>
      </c>
      <c r="T289" s="64"/>
      <c r="U289" s="64">
        <f>VLOOKUP(TArticle[[#This Row],[شناسه]],TAccount[],7,TRUE)</f>
        <v>364074</v>
      </c>
      <c r="W289" s="64">
        <f>IF(AND(TArticle[[#This Row],[مبلغ]]&gt;0, TArticle[[#This Row],[کد وضعیت سند]]=1),TArticle[[#This Row],[مبلغ]],0)</f>
        <v>0</v>
      </c>
      <c r="X289" s="67">
        <f>IF(AND(TArticle[[#This Row],[مبلغ]]&lt;0,TArticle[[#This Row],[کد وضعیت سند]]=1),0-TArticle[[#This Row],[مبلغ]],0)</f>
        <v>162</v>
      </c>
      <c r="Y289" s="27">
        <v>2</v>
      </c>
      <c r="Z289" s="171" t="str">
        <f>IF(TArticle[[#This Row],[کد بانک]]&gt;0,VLOOKUP(TArticle[[#This Row],[کد بانک]],TBank[],2,FALSE),"")</f>
        <v>ملی جاری</v>
      </c>
      <c r="AA289">
        <f>IF(AND(TArticle[[#This Row],[مبلغ]]&lt;0,TArticle[[#This Row],[کد وضعیت سند]]=1),0-TArticle[[#This Row],[مبلغ]],0)</f>
        <v>162</v>
      </c>
      <c r="AB289">
        <f>IF(AND(TArticle[[#This Row],[مبلغ]]&gt;0, TArticle[[#This Row],[کد وضعیت سند]]=1),TArticle[[#This Row],[مبلغ]],0)</f>
        <v>0</v>
      </c>
      <c r="AC289" s="93">
        <f>IF(TArticle[[#This Row],[کد بانک]]&gt;0,VLOOKUP(TArticle[[#This Row],[کد بانک]],TBank[],9,FALSE)+SUMIF($Y$2:Y289,Y289,$E$2:$E289),"")</f>
        <v>17383</v>
      </c>
      <c r="AD289" s="1">
        <f>IFERROR(IF(INT(LEFT(TArticle[[#This Row],[شناسه]]))=3,IF(TArticle[[#This Row],[کد وضعیت سند]]=1,TArticle[مبلغ],0),0),0)</f>
        <v>-162</v>
      </c>
      <c r="AE289" s="1">
        <f>IFERROR(IF(((TArticle[[#This Row],[شناسه]]))="4.1.1",IF(TArticle[[#This Row],[کد وضعیت سند]]=1,TArticle[مبلغ],0),0),0)</f>
        <v>0</v>
      </c>
      <c r="AF289" s="1">
        <f>IFERROR(IF(((TArticle[[#This Row],[شناسه]]))="4.1.2",IF(TArticle[[#This Row],[کد وضعیت سند]]=1,TArticle[مبلغ],0),0),0)</f>
        <v>0</v>
      </c>
      <c r="AG289" s="1">
        <f>IFERROR(IF(INT(LEFT(TArticle[[#This Row],[شناسه]]))=1,IF(TArticle[[#This Row],[کد وضعیت سند]]=1,TArticle[مبلغ],0),0),0)</f>
        <v>0</v>
      </c>
      <c r="AH289" s="1">
        <f>IFERROR(IF(INT(LEFT(TArticle[[#This Row],[شناسه]]))=2,IF(TArticle[[#This Row],[کد وضعیت سند]]=1,TArticle[مبلغ],0),0),0)</f>
        <v>0</v>
      </c>
      <c r="AI289" s="1">
        <f>IFERROR(IF((LEFT(TArticle[[#This Row],[شناسه]],3))="5.2",IF(TArticle[[#This Row],[کد وضعیت سند]]=1,TArticle[مبلغ],0),0),0)</f>
        <v>0</v>
      </c>
      <c r="AJ289" s="1">
        <f>IF(TArticle[[#This Row],[کد وضعیت سند]]=1,1,0)</f>
        <v>1</v>
      </c>
      <c r="AK289" s="1">
        <f>IF(AND(TArticle[[#This Row],[کد وضعیت سند]]&lt;&gt;1,TArticle[[#This Row],[مبلغ]]&lt;&gt;0),1,0)</f>
        <v>0</v>
      </c>
      <c r="AL289" s="78">
        <f>IF(TArticle[[#This Row],[کد بانک]]&gt;0,TArticle[[#This Row],[مانده بانک]]-VLOOKUP(TArticle[[#This Row],[کد بانک]],TBank[],7,FALSE),"")</f>
        <v>17383</v>
      </c>
      <c r="AM289" s="69" t="str">
        <f>LEFT(TArticle[[#This Row],[تاریخ]],7)</f>
        <v>1402-01</v>
      </c>
    </row>
    <row r="290" spans="1:39" x14ac:dyDescent="0.25">
      <c r="A290" s="24" t="s">
        <v>55</v>
      </c>
      <c r="B290" s="49" t="str">
        <f>VLOOKUP(TArticle[[#This Row],[شناسه]],TAccount[],2,TRUE)</f>
        <v>هزینه کلی</v>
      </c>
      <c r="C290" s="49" t="str">
        <f>VLOOKUP(TArticle[[#This Row],[تاریخ]],TDays[],7,FALSE)</f>
        <v>سه شنبه</v>
      </c>
      <c r="D290" s="21" t="s">
        <v>558</v>
      </c>
      <c r="E290" s="1">
        <v>-131</v>
      </c>
      <c r="F290" s="1">
        <f>TArticle[[#This Row],[مبلغ]]+IFERROR(INT(F289),30181+3667+958)</f>
        <v>19450</v>
      </c>
      <c r="G290" s="49" t="s">
        <v>1657</v>
      </c>
      <c r="H290" s="64"/>
      <c r="J290" s="65"/>
      <c r="K290" s="64">
        <v>1</v>
      </c>
      <c r="L290" s="171" t="str">
        <f>IF(TArticle[[#This Row],[کد وضعیت سند]]&gt;0,VLOOKUP(TArticle[[#This Row],[کد وضعیت سند]],TDocState[],2,FALSE),"")</f>
        <v>انجام شد</v>
      </c>
      <c r="M290" s="67"/>
      <c r="N290" s="171" t="str">
        <f>IF(TArticle[[#This Row],[کد طرف حساب]]&gt;0,VLOOKUP(TArticle[[#This Row],[کد طرف حساب]],TContact[],2,FALSE),"")</f>
        <v/>
      </c>
      <c r="O290" s="68" t="str">
        <f>IF(TArticle[[#This Row],[کد طرف حساب]]&gt;0,VLOOKUP(TArticle[[#This Row],[کد طرف حساب]],TContact[],7,FALSE)-SUMIF($M$2:M290,M290,$E$2:$E290),"")</f>
        <v/>
      </c>
      <c r="P290" s="67" t="str">
        <f>RIGHT(TArticle[[#This Row],[تاریخ]],2)</f>
        <v>01</v>
      </c>
      <c r="Q290" s="67">
        <f>VLOOKUP(TArticle[[#This Row],[تاریخ]],TDays[],16,FALSE)</f>
        <v>1</v>
      </c>
      <c r="R290" s="67" t="str">
        <f>RIGHT(LEFT(TArticle[[#This Row],[تاریخ]],7),2)</f>
        <v>01</v>
      </c>
      <c r="S290" s="67" t="str">
        <f>LEFT(TArticle[[#This Row],[تاریخ]],4)</f>
        <v>1402</v>
      </c>
      <c r="T290" s="64"/>
      <c r="U290" s="64">
        <f>VLOOKUP(TArticle[[#This Row],[شناسه]],TAccount[],7,TRUE)</f>
        <v>364074</v>
      </c>
      <c r="V290" s="64"/>
      <c r="W290" s="64">
        <f>IF(AND(TArticle[[#This Row],[مبلغ]]&gt;0, TArticle[[#This Row],[کد وضعیت سند]]=1),TArticle[[#This Row],[مبلغ]],0)</f>
        <v>0</v>
      </c>
      <c r="X290" s="67">
        <f>IF(AND(TArticle[[#This Row],[مبلغ]]&lt;0,TArticle[[#This Row],[کد وضعیت سند]]=1),0-TArticle[[#This Row],[مبلغ]],0)</f>
        <v>131</v>
      </c>
      <c r="Y290" s="27">
        <v>2</v>
      </c>
      <c r="Z290" s="171" t="str">
        <f>IF(TArticle[[#This Row],[کد بانک]]&gt;0,VLOOKUP(TArticle[[#This Row],[کد بانک]],TBank[],2,FALSE),"")</f>
        <v>ملی جاری</v>
      </c>
      <c r="AA290">
        <f>IF(AND(TArticle[[#This Row],[مبلغ]]&lt;0,TArticle[[#This Row],[کد وضعیت سند]]=1),0-TArticle[[#This Row],[مبلغ]],0)</f>
        <v>131</v>
      </c>
      <c r="AB290">
        <f>IF(AND(TArticle[[#This Row],[مبلغ]]&gt;0, TArticle[[#This Row],[کد وضعیت سند]]=1),TArticle[[#This Row],[مبلغ]],0)</f>
        <v>0</v>
      </c>
      <c r="AC290" s="93">
        <f>IF(TArticle[[#This Row],[کد بانک]]&gt;0,VLOOKUP(TArticle[[#This Row],[کد بانک]],TBank[],9,FALSE)+SUMIF($Y$2:Y290,Y290,$E$2:$E290),"")</f>
        <v>17252</v>
      </c>
      <c r="AD290" s="1">
        <f>IFERROR(IF(INT(LEFT(TArticle[[#This Row],[شناسه]]))=3,IF(TArticle[[#This Row],[کد وضعیت سند]]=1,TArticle[مبلغ],0),0),0)</f>
        <v>-131</v>
      </c>
      <c r="AE290" s="1">
        <f>IFERROR(IF(((TArticle[[#This Row],[شناسه]]))="4.1.1",IF(TArticle[[#This Row],[کد وضعیت سند]]=1,TArticle[مبلغ],0),0),0)</f>
        <v>0</v>
      </c>
      <c r="AF290" s="1">
        <f>IFERROR(IF(((TArticle[[#This Row],[شناسه]]))="4.1.2",IF(TArticle[[#This Row],[کد وضعیت سند]]=1,TArticle[مبلغ],0),0),0)</f>
        <v>0</v>
      </c>
      <c r="AG290" s="1">
        <f>IFERROR(IF(INT(LEFT(TArticle[[#This Row],[شناسه]]))=1,IF(TArticle[[#This Row],[کد وضعیت سند]]=1,TArticle[مبلغ],0),0),0)</f>
        <v>0</v>
      </c>
      <c r="AH290" s="1">
        <f>IFERROR(IF(INT(LEFT(TArticle[[#This Row],[شناسه]]))=2,IF(TArticle[[#This Row],[کد وضعیت سند]]=1,TArticle[مبلغ],0),0),0)</f>
        <v>0</v>
      </c>
      <c r="AI290" s="1">
        <f>IFERROR(IF((LEFT(TArticle[[#This Row],[شناسه]],3))="5.2",IF(TArticle[[#This Row],[کد وضعیت سند]]=1,TArticle[مبلغ],0),0),0)</f>
        <v>0</v>
      </c>
      <c r="AJ290" s="1">
        <f>IF(TArticle[[#This Row],[کد وضعیت سند]]=1,1,0)</f>
        <v>1</v>
      </c>
      <c r="AK290" s="1">
        <f>IF(AND(TArticle[[#This Row],[کد وضعیت سند]]&lt;&gt;1,TArticle[[#This Row],[مبلغ]]&lt;&gt;0),1,0)</f>
        <v>0</v>
      </c>
      <c r="AL290" s="78">
        <f>IF(TArticle[[#This Row],[کد بانک]]&gt;0,TArticle[[#This Row],[مانده بانک]]-VLOOKUP(TArticle[[#This Row],[کد بانک]],TBank[],7,FALSE),"")</f>
        <v>17252</v>
      </c>
      <c r="AM290" s="69" t="str">
        <f>LEFT(TArticle[[#This Row],[تاریخ]],7)</f>
        <v>1402-01</v>
      </c>
    </row>
    <row r="291" spans="1:39" x14ac:dyDescent="0.25">
      <c r="A291" s="24" t="s">
        <v>1608</v>
      </c>
      <c r="B291" s="49" t="str">
        <f>VLOOKUP(TArticle[[#This Row],[شناسه]],TAccount[],2,TRUE)</f>
        <v>بن کارت</v>
      </c>
      <c r="C291" s="49" t="str">
        <f>VLOOKUP(TArticle[[#This Row],[تاریخ]],TDays[],7,FALSE)</f>
        <v>سه شنبه</v>
      </c>
      <c r="D291" s="21" t="s">
        <v>558</v>
      </c>
      <c r="E291" s="1">
        <v>1700</v>
      </c>
      <c r="F291" s="1">
        <f>TArticle[[#This Row],[مبلغ]]+IFERROR(INT(F290),30181+3667+958)</f>
        <v>21150</v>
      </c>
      <c r="G291" s="49"/>
      <c r="H291" s="64"/>
      <c r="J291" s="65"/>
      <c r="K291" s="64">
        <v>2</v>
      </c>
      <c r="L291" s="171" t="str">
        <f>IF(TArticle[[#This Row],[کد وضعیت سند]]&gt;0,VLOOKUP(TArticle[[#This Row],[کد وضعیت سند]],TDocState[],2,FALSE),"")</f>
        <v>قطعی</v>
      </c>
      <c r="M291" s="67"/>
      <c r="N291" s="171" t="str">
        <f>IF(TArticle[[#This Row],[کد طرف حساب]]&gt;0,VLOOKUP(TArticle[[#This Row],[کد طرف حساب]],TContact[],2,FALSE),"")</f>
        <v/>
      </c>
      <c r="O291" s="68" t="str">
        <f>IF(TArticle[[#This Row],[کد طرف حساب]]&gt;0,VLOOKUP(TArticle[[#This Row],[کد طرف حساب]],TContact[],7,FALSE)-SUMIF($M$2:M291,M291,$E$2:$E291),"")</f>
        <v/>
      </c>
      <c r="P291" s="67" t="str">
        <f>RIGHT(TArticle[[#This Row],[تاریخ]],2)</f>
        <v>01</v>
      </c>
      <c r="Q291" s="67">
        <f>VLOOKUP(TArticle[[#This Row],[تاریخ]],TDays[],16,FALSE)</f>
        <v>1</v>
      </c>
      <c r="R291" s="67" t="str">
        <f>RIGHT(LEFT(TArticle[[#This Row],[تاریخ]],7),2)</f>
        <v>01</v>
      </c>
      <c r="S291" s="67" t="str">
        <f>LEFT(TArticle[[#This Row],[تاریخ]],4)</f>
        <v>1402</v>
      </c>
      <c r="T291" s="64"/>
      <c r="U291" s="64">
        <f>VLOOKUP(TArticle[[#This Row],[شناسه]],TAccount[],7,TRUE)</f>
        <v>3000</v>
      </c>
      <c r="V291" s="64"/>
      <c r="W291" s="64">
        <f>IF(AND(TArticle[[#This Row],[مبلغ]]&gt;0, TArticle[[#This Row],[کد وضعیت سند]]=1),TArticle[[#This Row],[مبلغ]],0)</f>
        <v>0</v>
      </c>
      <c r="X291" s="67">
        <f>IF(AND(TArticle[[#This Row],[مبلغ]]&lt;0,TArticle[[#This Row],[کد وضعیت سند]]=1),0-TArticle[[#This Row],[مبلغ]],0)</f>
        <v>0</v>
      </c>
      <c r="Y291" s="27">
        <v>30</v>
      </c>
      <c r="Z291" s="171" t="str">
        <f>IF(TArticle[[#This Row],[کد بانک]]&gt;0,VLOOKUP(TArticle[[#This Row],[کد بانک]],TBank[],2,FALSE),"")</f>
        <v>بن کارت</v>
      </c>
      <c r="AA291">
        <f>IF(AND(TArticle[[#This Row],[مبلغ]]&lt;0,TArticle[[#This Row],[کد وضعیت سند]]=1),0-TArticle[[#This Row],[مبلغ]],0)</f>
        <v>0</v>
      </c>
      <c r="AB291">
        <f>IF(AND(TArticle[[#This Row],[مبلغ]]&gt;0, TArticle[[#This Row],[کد وضعیت سند]]=1),TArticle[[#This Row],[مبلغ]],0)</f>
        <v>0</v>
      </c>
      <c r="AC291" s="84">
        <f>IF(TArticle[[#This Row],[کد بانک]]&gt;0,VLOOKUP(TArticle[[#This Row],[کد بانک]],TBank[],9,FALSE)+SUMIF($Y$2:Y291,Y291,$E$2:$E291),"")</f>
        <v>2556</v>
      </c>
      <c r="AD291" s="1">
        <f>IFERROR(IF(INT(LEFT(TArticle[[#This Row],[شناسه]]))=3,IF(TArticle[[#This Row],[کد وضعیت سند]]=1,TArticle[مبلغ],0),0),0)</f>
        <v>0</v>
      </c>
      <c r="AE291" s="1">
        <f>IFERROR(IF(((TArticle[[#This Row],[شناسه]]))="4.1.1",IF(TArticle[[#This Row],[کد وضعیت سند]]=1,TArticle[مبلغ],0),0),0)</f>
        <v>0</v>
      </c>
      <c r="AF291" s="1">
        <f>IFERROR(IF(((TArticle[[#This Row],[شناسه]]))="4.1.2",IF(TArticle[[#This Row],[کد وضعیت سند]]=1,TArticle[مبلغ],0),0),0)</f>
        <v>0</v>
      </c>
      <c r="AG291" s="1">
        <f>IFERROR(IF(INT(LEFT(TArticle[[#This Row],[شناسه]]))=1,IF(TArticle[[#This Row],[کد وضعیت سند]]=1,TArticle[مبلغ],0),0),0)</f>
        <v>0</v>
      </c>
      <c r="AH291" s="1">
        <f>IFERROR(IF(INT(LEFT(TArticle[[#This Row],[شناسه]]))=2,IF(TArticle[[#This Row],[کد وضعیت سند]]=1,TArticle[مبلغ],0),0),0)</f>
        <v>0</v>
      </c>
      <c r="AI291" s="1">
        <f>IFERROR(IF((LEFT(TArticle[[#This Row],[شناسه]],3))="5.2",IF(TArticle[[#This Row],[کد وضعیت سند]]=1,TArticle[مبلغ],0),0),0)</f>
        <v>0</v>
      </c>
      <c r="AJ291" s="1">
        <f>IF(TArticle[[#This Row],[کد وضعیت سند]]=1,1,0)</f>
        <v>0</v>
      </c>
      <c r="AK291" s="1">
        <f>IF(AND(TArticle[[#This Row],[کد وضعیت سند]]&lt;&gt;1,TArticle[[#This Row],[مبلغ]]&lt;&gt;0),1,0)</f>
        <v>1</v>
      </c>
      <c r="AL291" s="78">
        <f>IF(TArticle[[#This Row],[کد بانک]]&gt;0,TArticle[[#This Row],[مانده بانک]]-VLOOKUP(TArticle[[#This Row],[کد بانک]],TBank[],7,FALSE),"")</f>
        <v>2556</v>
      </c>
      <c r="AM291" s="69" t="str">
        <f>LEFT(TArticle[[#This Row],[تاریخ]],7)</f>
        <v>1402-01</v>
      </c>
    </row>
    <row r="292" spans="1:39" x14ac:dyDescent="0.25">
      <c r="A292" s="24" t="s">
        <v>1008</v>
      </c>
      <c r="B292" s="49" t="str">
        <f>VLOOKUP(TArticle[[#This Row],[شناسه]],TAccount[],2,TRUE)</f>
        <v>حواله پرداخت/برداشت</v>
      </c>
      <c r="C292" s="49" t="str">
        <f>VLOOKUP(TArticle[[#This Row],[تاریخ]],TDays[],7,FALSE)</f>
        <v>چهارشنبه</v>
      </c>
      <c r="D292" s="21" t="s">
        <v>559</v>
      </c>
      <c r="E292" s="1">
        <v>-500</v>
      </c>
      <c r="F292" s="1">
        <f>TArticle[[#This Row],[مبلغ]]+IFERROR(INT(F291),30181+3667+958)</f>
        <v>20650</v>
      </c>
      <c r="G292" s="49" t="s">
        <v>2842</v>
      </c>
      <c r="H292" s="64"/>
      <c r="J292" s="65"/>
      <c r="K292" s="64">
        <v>1</v>
      </c>
      <c r="L292" s="171" t="str">
        <f>IF(TArticle[[#This Row],[کد وضعیت سند]]&gt;0,VLOOKUP(TArticle[[#This Row],[کد وضعیت سند]],TDocState[],2,FALSE),"")</f>
        <v>انجام شد</v>
      </c>
      <c r="M292" s="67"/>
      <c r="N292" s="171" t="str">
        <f>IF(TArticle[[#This Row],[کد طرف حساب]]&gt;0,VLOOKUP(TArticle[[#This Row],[کد طرف حساب]],TContact[],2,FALSE),"")</f>
        <v/>
      </c>
      <c r="O292" s="68" t="str">
        <f>IF(TArticle[[#This Row],[کد طرف حساب]]&gt;0,VLOOKUP(TArticle[[#This Row],[کد طرف حساب]],TContact[],7,FALSE)-SUMIF($M$2:M292,M292,$E$2:$E292),"")</f>
        <v/>
      </c>
      <c r="P292" s="67" t="str">
        <f>RIGHT(TArticle[[#This Row],[تاریخ]],2)</f>
        <v>02</v>
      </c>
      <c r="Q292" s="67">
        <f>VLOOKUP(TArticle[[#This Row],[تاریخ]],TDays[],16,FALSE)</f>
        <v>1</v>
      </c>
      <c r="R292" s="67" t="str">
        <f>RIGHT(LEFT(TArticle[[#This Row],[تاریخ]],7),2)</f>
        <v>01</v>
      </c>
      <c r="S292" s="67" t="str">
        <f>LEFT(TArticle[[#This Row],[تاریخ]],4)</f>
        <v>1402</v>
      </c>
      <c r="T292" s="64"/>
      <c r="U292" s="64">
        <f>VLOOKUP(TArticle[[#This Row],[شناسه]],TAccount[],7,TRUE)</f>
        <v>179525</v>
      </c>
      <c r="V292" s="64"/>
      <c r="W292" s="64">
        <f>IF(AND(TArticle[[#This Row],[مبلغ]]&gt;0, TArticle[[#This Row],[کد وضعیت سند]]=1),TArticle[[#This Row],[مبلغ]],0)</f>
        <v>0</v>
      </c>
      <c r="X292" s="67">
        <f>IF(AND(TArticle[[#This Row],[مبلغ]]&lt;0,TArticle[[#This Row],[کد وضعیت سند]]=1),0-TArticle[[#This Row],[مبلغ]],0)</f>
        <v>500</v>
      </c>
      <c r="Y292" s="27">
        <v>2</v>
      </c>
      <c r="Z292" s="171" t="str">
        <f>IF(TArticle[[#This Row],[کد بانک]]&gt;0,VLOOKUP(TArticle[[#This Row],[کد بانک]],TBank[],2,FALSE),"")</f>
        <v>ملی جاری</v>
      </c>
      <c r="AA292">
        <f>IF(AND(TArticle[[#This Row],[مبلغ]]&lt;0,TArticle[[#This Row],[کد وضعیت سند]]=1),0-TArticle[[#This Row],[مبلغ]],0)</f>
        <v>500</v>
      </c>
      <c r="AB292">
        <f>IF(AND(TArticle[[#This Row],[مبلغ]]&gt;0, TArticle[[#This Row],[کد وضعیت سند]]=1),TArticle[[#This Row],[مبلغ]],0)</f>
        <v>0</v>
      </c>
      <c r="AC292" s="93">
        <f>IF(TArticle[[#This Row],[کد بانک]]&gt;0,VLOOKUP(TArticle[[#This Row],[کد بانک]],TBank[],9,FALSE)+SUMIF($Y$2:Y292,Y292,$E$2:$E292),"")</f>
        <v>16752</v>
      </c>
      <c r="AD292" s="1">
        <f>IFERROR(IF(INT(LEFT(TArticle[[#This Row],[شناسه]]))=3,IF(TArticle[[#This Row],[کد وضعیت سند]]=1,TArticle[مبلغ],0),0),0)</f>
        <v>0</v>
      </c>
      <c r="AE292" s="1">
        <f>IFERROR(IF(((TArticle[[#This Row],[شناسه]]))="4.1.1",IF(TArticle[[#This Row],[کد وضعیت سند]]=1,TArticle[مبلغ],0),0),0)</f>
        <v>0</v>
      </c>
      <c r="AF292" s="1">
        <f>IFERROR(IF(((TArticle[[#This Row],[شناسه]]))="4.1.2",IF(TArticle[[#This Row],[کد وضعیت سند]]=1,TArticle[مبلغ],0),0),0)</f>
        <v>0</v>
      </c>
      <c r="AG292" s="1">
        <f>IFERROR(IF(INT(LEFT(TArticle[[#This Row],[شناسه]]))=1,IF(TArticle[[#This Row],[کد وضعیت سند]]=1,TArticle[مبلغ],0),0),0)</f>
        <v>0</v>
      </c>
      <c r="AH292" s="1">
        <f>IFERROR(IF(INT(LEFT(TArticle[[#This Row],[شناسه]]))=2,IF(TArticle[[#This Row],[کد وضعیت سند]]=1,TArticle[مبلغ],0),0),0)</f>
        <v>0</v>
      </c>
      <c r="AI292" s="1">
        <f>IFERROR(IF((LEFT(TArticle[[#This Row],[شناسه]],3))="5.2",IF(TArticle[[#This Row],[کد وضعیت سند]]=1,TArticle[مبلغ],0),0),0)</f>
        <v>0</v>
      </c>
      <c r="AJ292" s="1">
        <f>IF(TArticle[[#This Row],[کد وضعیت سند]]=1,1,0)</f>
        <v>1</v>
      </c>
      <c r="AK292" s="1">
        <f>IF(AND(TArticle[[#This Row],[کد وضعیت سند]]&lt;&gt;1,TArticle[[#This Row],[مبلغ]]&lt;&gt;0),1,0)</f>
        <v>0</v>
      </c>
      <c r="AL292" s="78">
        <f>IF(TArticle[[#This Row],[کد بانک]]&gt;0,TArticle[[#This Row],[مانده بانک]]-VLOOKUP(TArticle[[#This Row],[کد بانک]],TBank[],7,FALSE),"")</f>
        <v>16752</v>
      </c>
      <c r="AM292" s="69" t="str">
        <f>LEFT(TArticle[[#This Row],[تاریخ]],7)</f>
        <v>1402-01</v>
      </c>
    </row>
    <row r="293" spans="1:39" x14ac:dyDescent="0.25">
      <c r="A293" s="24" t="s">
        <v>112</v>
      </c>
      <c r="B293" s="49" t="str">
        <f>VLOOKUP(TArticle[[#This Row],[شناسه]],TAccount[],2,TRUE)</f>
        <v>رسید دریافت/واریز</v>
      </c>
      <c r="C293" s="49" t="str">
        <f>VLOOKUP(TArticle[[#This Row],[تاریخ]],TDays[],7,FALSE)</f>
        <v>چهارشنبه</v>
      </c>
      <c r="D293" s="21" t="s">
        <v>559</v>
      </c>
      <c r="E293" s="1">
        <v>500</v>
      </c>
      <c r="F293" s="1">
        <f>TArticle[[#This Row],[مبلغ]]+IFERROR(INT(F292),30181+3667+958)</f>
        <v>21150</v>
      </c>
      <c r="G293" s="49" t="s">
        <v>2842</v>
      </c>
      <c r="K293" s="64">
        <v>1</v>
      </c>
      <c r="L293" s="171" t="str">
        <f>IF(TArticle[[#This Row],[کد وضعیت سند]]&gt;0,VLOOKUP(TArticle[[#This Row],[کد وضعیت سند]],TDocState[],2,FALSE),"")</f>
        <v>انجام شد</v>
      </c>
      <c r="N293" s="171" t="str">
        <f>IF(TArticle[[#This Row],[کد طرف حساب]]&gt;0,VLOOKUP(TArticle[[#This Row],[کد طرف حساب]],TContact[],2,FALSE),"")</f>
        <v/>
      </c>
      <c r="O293" s="61" t="str">
        <f>IF(TArticle[[#This Row],[کد طرف حساب]]&gt;0,VLOOKUP(TArticle[[#This Row],[کد طرف حساب]],TContact[],7,FALSE)-SUMIF($M$2:M293,M293,$E$2:$E293),"")</f>
        <v/>
      </c>
      <c r="P293" s="27" t="str">
        <f>RIGHT(TArticle[[#This Row],[تاریخ]],2)</f>
        <v>02</v>
      </c>
      <c r="Q293" s="27">
        <f>VLOOKUP(TArticle[[#This Row],[تاریخ]],TDays[],16,FALSE)</f>
        <v>1</v>
      </c>
      <c r="R293" s="27" t="str">
        <f>RIGHT(LEFT(TArticle[[#This Row],[تاریخ]],7),2)</f>
        <v>01</v>
      </c>
      <c r="S293" s="27" t="str">
        <f>LEFT(TArticle[[#This Row],[تاریخ]],4)</f>
        <v>1402</v>
      </c>
      <c r="U293" s="21">
        <f>VLOOKUP(TArticle[[#This Row],[شناسه]],TAccount[],7,TRUE)</f>
        <v>257767</v>
      </c>
      <c r="W293" s="21">
        <f>IF(AND(TArticle[[#This Row],[مبلغ]]&gt;0, TArticle[[#This Row],[کد وضعیت سند]]=1),TArticle[[#This Row],[مبلغ]],0)</f>
        <v>500</v>
      </c>
      <c r="X293" s="27">
        <f>IF(AND(TArticle[[#This Row],[مبلغ]]&lt;0,TArticle[[#This Row],[کد وضعیت سند]]=1),0-TArticle[[#This Row],[مبلغ]],0)</f>
        <v>0</v>
      </c>
      <c r="Y293" s="27">
        <v>28</v>
      </c>
      <c r="Z293" s="171" t="str">
        <f>IF(TArticle[[#This Row],[کد بانک]]&gt;0,VLOOKUP(TArticle[[#This Row],[کد بانک]],TBank[],2,FALSE),"")</f>
        <v>Nobitex</v>
      </c>
      <c r="AA293">
        <f>IF(AND(TArticle[[#This Row],[مبلغ]]&lt;0,TArticle[[#This Row],[کد وضعیت سند]]=1),0-TArticle[[#This Row],[مبلغ]],0)</f>
        <v>0</v>
      </c>
      <c r="AB293">
        <f>IF(AND(TArticle[[#This Row],[مبلغ]]&gt;0, TArticle[[#This Row],[کد وضعیت سند]]=1),TArticle[[#This Row],[مبلغ]],0)</f>
        <v>500</v>
      </c>
      <c r="AC293" s="84">
        <f>IF(TArticle[[#This Row],[کد بانک]]&gt;0,VLOOKUP(TArticle[[#This Row],[کد بانک]],TBank[],9,FALSE)+SUMIF($Y$2:Y293,Y293,$E$2:$E293),"")</f>
        <v>550</v>
      </c>
      <c r="AD293" s="1">
        <f>IFERROR(IF(INT(LEFT(TArticle[[#This Row],[شناسه]]))=3,IF(TArticle[[#This Row],[کد وضعیت سند]]=1,TArticle[مبلغ],0),0),0)</f>
        <v>0</v>
      </c>
      <c r="AE293" s="1">
        <f>IFERROR(IF(((TArticle[[#This Row],[شناسه]]))="4.1.1",IF(TArticle[[#This Row],[کد وضعیت سند]]=1,TArticle[مبلغ],0),0),0)</f>
        <v>0</v>
      </c>
      <c r="AF293" s="1">
        <f>IFERROR(IF(((TArticle[[#This Row],[شناسه]]))="4.1.2",IF(TArticle[[#This Row],[کد وضعیت سند]]=1,TArticle[مبلغ],0),0),0)</f>
        <v>0</v>
      </c>
      <c r="AG293" s="1">
        <f>IFERROR(IF(INT(LEFT(TArticle[[#This Row],[شناسه]]))=1,IF(TArticle[[#This Row],[کد وضعیت سند]]=1,TArticle[مبلغ],0),0),0)</f>
        <v>0</v>
      </c>
      <c r="AH293" s="1">
        <f>IFERROR(IF(INT(LEFT(TArticle[[#This Row],[شناسه]]))=2,IF(TArticle[[#This Row],[کد وضعیت سند]]=1,TArticle[مبلغ],0),0),0)</f>
        <v>0</v>
      </c>
      <c r="AI293" s="1">
        <f>IFERROR(IF((LEFT(TArticle[[#This Row],[شناسه]],3))="5.2",IF(TArticle[[#This Row],[کد وضعیت سند]]=1,TArticle[مبلغ],0),0),0)</f>
        <v>0</v>
      </c>
      <c r="AJ293" s="1">
        <f>IF(TArticle[[#This Row],[کد وضعیت سند]]=1,1,0)</f>
        <v>1</v>
      </c>
      <c r="AK293" s="1">
        <f>IF(AND(TArticle[[#This Row],[کد وضعیت سند]]&lt;&gt;1,TArticle[[#This Row],[مبلغ]]&lt;&gt;0),1,0)</f>
        <v>0</v>
      </c>
      <c r="AL293" s="51">
        <f>IF(TArticle[[#This Row],[کد بانک]]&gt;0,TArticle[[#This Row],[مانده بانک]]-VLOOKUP(TArticle[[#This Row],[کد بانک]],TBank[],7,FALSE),"")</f>
        <v>500</v>
      </c>
      <c r="AM293" s="58" t="str">
        <f>LEFT(TArticle[[#This Row],[تاریخ]],7)</f>
        <v>1402-01</v>
      </c>
    </row>
    <row r="294" spans="1:39" x14ac:dyDescent="0.25">
      <c r="A294" s="24" t="s">
        <v>55</v>
      </c>
      <c r="B294" s="49" t="str">
        <f>VLOOKUP(TArticle[[#This Row],[شناسه]],TAccount[],2,TRUE)</f>
        <v>هزینه کلی</v>
      </c>
      <c r="C294" s="49" t="str">
        <f>VLOOKUP(TArticle[[#This Row],[تاریخ]],TDays[],7,FALSE)</f>
        <v>چهارشنبه</v>
      </c>
      <c r="D294" s="21" t="s">
        <v>559</v>
      </c>
      <c r="E294" s="1">
        <v>-250</v>
      </c>
      <c r="F294" s="1">
        <f>TArticle[[#This Row],[مبلغ]]+IFERROR(INT(F293),30181+3667+958)</f>
        <v>20900</v>
      </c>
      <c r="G294" s="49" t="s">
        <v>2834</v>
      </c>
      <c r="K294" s="21">
        <v>1</v>
      </c>
      <c r="L294" s="171" t="str">
        <f>IF(TArticle[[#This Row],[کد وضعیت سند]]&gt;0,VLOOKUP(TArticle[[#This Row],[کد وضعیت سند]],TDocState[],2,FALSE),"")</f>
        <v>انجام شد</v>
      </c>
      <c r="N294" s="171" t="str">
        <f>IF(TArticle[[#This Row],[کد طرف حساب]]&gt;0,VLOOKUP(TArticle[[#This Row],[کد طرف حساب]],TContact[],2,FALSE),"")</f>
        <v/>
      </c>
      <c r="O294" s="61" t="str">
        <f>IF(TArticle[[#This Row],[کد طرف حساب]]&gt;0,VLOOKUP(TArticle[[#This Row],[کد طرف حساب]],TContact[],7,FALSE)-SUMIF($M$2:M294,M294,$E$2:$E294),"")</f>
        <v/>
      </c>
      <c r="P294" s="27" t="str">
        <f>RIGHT(TArticle[[#This Row],[تاریخ]],2)</f>
        <v>02</v>
      </c>
      <c r="Q294" s="27">
        <f>VLOOKUP(TArticle[[#This Row],[تاریخ]],TDays[],16,FALSE)</f>
        <v>1</v>
      </c>
      <c r="R294" s="27" t="str">
        <f>RIGHT(LEFT(TArticle[[#This Row],[تاریخ]],7),2)</f>
        <v>01</v>
      </c>
      <c r="S294" s="27" t="str">
        <f>LEFT(TArticle[[#This Row],[تاریخ]],4)</f>
        <v>1402</v>
      </c>
      <c r="U294" s="21">
        <f>VLOOKUP(TArticle[[#This Row],[شناسه]],TAccount[],7,TRUE)</f>
        <v>364074</v>
      </c>
      <c r="W294" s="21">
        <f>IF(AND(TArticle[[#This Row],[مبلغ]]&gt;0, TArticle[[#This Row],[کد وضعیت سند]]=1),TArticle[[#This Row],[مبلغ]],0)</f>
        <v>0</v>
      </c>
      <c r="X294" s="27">
        <f>IF(AND(TArticle[[#This Row],[مبلغ]]&lt;0,TArticle[[#This Row],[کد وضعیت سند]]=1),0-TArticle[[#This Row],[مبلغ]],0)</f>
        <v>250</v>
      </c>
      <c r="Y294" s="27">
        <v>2</v>
      </c>
      <c r="Z294" s="171" t="str">
        <f>IF(TArticle[[#This Row],[کد بانک]]&gt;0,VLOOKUP(TArticle[[#This Row],[کد بانک]],TBank[],2,FALSE),"")</f>
        <v>ملی جاری</v>
      </c>
      <c r="AA294">
        <f>IF(AND(TArticle[[#This Row],[مبلغ]]&lt;0,TArticle[[#This Row],[کد وضعیت سند]]=1),0-TArticle[[#This Row],[مبلغ]],0)</f>
        <v>250</v>
      </c>
      <c r="AB294">
        <f>IF(AND(TArticle[[#This Row],[مبلغ]]&gt;0, TArticle[[#This Row],[کد وضعیت سند]]=1),TArticle[[#This Row],[مبلغ]],0)</f>
        <v>0</v>
      </c>
      <c r="AC294" s="84">
        <f>IF(TArticle[[#This Row],[کد بانک]]&gt;0,VLOOKUP(TArticle[[#This Row],[کد بانک]],TBank[],9,FALSE)+SUMIF($Y$2:Y294,Y294,$E$2:$E294),"")</f>
        <v>16502</v>
      </c>
      <c r="AD294" s="1">
        <f>IFERROR(IF(INT(LEFT(TArticle[[#This Row],[شناسه]]))=3,IF(TArticle[[#This Row],[کد وضعیت سند]]=1,TArticle[مبلغ],0),0),0)</f>
        <v>-250</v>
      </c>
      <c r="AE294" s="1">
        <f>IFERROR(IF(((TArticle[[#This Row],[شناسه]]))="4.1.1",IF(TArticle[[#This Row],[کد وضعیت سند]]=1,TArticle[مبلغ],0),0),0)</f>
        <v>0</v>
      </c>
      <c r="AF294" s="1">
        <f>IFERROR(IF(((TArticle[[#This Row],[شناسه]]))="4.1.2",IF(TArticle[[#This Row],[کد وضعیت سند]]=1,TArticle[مبلغ],0),0),0)</f>
        <v>0</v>
      </c>
      <c r="AG294" s="1">
        <f>IFERROR(IF(INT(LEFT(TArticle[[#This Row],[شناسه]]))=1,IF(TArticle[[#This Row],[کد وضعیت سند]]=1,TArticle[مبلغ],0),0),0)</f>
        <v>0</v>
      </c>
      <c r="AH294" s="1">
        <f>IFERROR(IF(INT(LEFT(TArticle[[#This Row],[شناسه]]))=2,IF(TArticle[[#This Row],[کد وضعیت سند]]=1,TArticle[مبلغ],0),0),0)</f>
        <v>0</v>
      </c>
      <c r="AI294" s="1">
        <f>IFERROR(IF((LEFT(TArticle[[#This Row],[شناسه]],3))="5.2",IF(TArticle[[#This Row],[کد وضعیت سند]]=1,TArticle[مبلغ],0),0),0)</f>
        <v>0</v>
      </c>
      <c r="AJ294" s="1">
        <f>IF(TArticle[[#This Row],[کد وضعیت سند]]=1,1,0)</f>
        <v>1</v>
      </c>
      <c r="AK294" s="1">
        <f>IF(AND(TArticle[[#This Row],[کد وضعیت سند]]&lt;&gt;1,TArticle[[#This Row],[مبلغ]]&lt;&gt;0),1,0)</f>
        <v>0</v>
      </c>
      <c r="AL294" s="51">
        <f>IF(TArticle[[#This Row],[کد بانک]]&gt;0,TArticle[[#This Row],[مانده بانک]]-VLOOKUP(TArticle[[#This Row],[کد بانک]],TBank[],7,FALSE),"")</f>
        <v>16502</v>
      </c>
      <c r="AM294" s="58" t="str">
        <f>LEFT(TArticle[[#This Row],[تاریخ]],7)</f>
        <v>1402-01</v>
      </c>
    </row>
    <row r="295" spans="1:39" x14ac:dyDescent="0.25">
      <c r="A295" s="24" t="s">
        <v>55</v>
      </c>
      <c r="B295" s="49" t="str">
        <f>VLOOKUP(TArticle[[#This Row],[شناسه]],TAccount[],2,TRUE)</f>
        <v>هزینه کلی</v>
      </c>
      <c r="C295" s="49" t="str">
        <f>VLOOKUP(TArticle[[#This Row],[تاریخ]],TDays[],7,FALSE)</f>
        <v>چهارشنبه</v>
      </c>
      <c r="D295" s="21" t="s">
        <v>559</v>
      </c>
      <c r="E295" s="1">
        <v>-40</v>
      </c>
      <c r="F295" s="1">
        <f>TArticle[[#This Row],[مبلغ]]+IFERROR(INT(F294),30181+3667+958)</f>
        <v>20860</v>
      </c>
      <c r="G295" s="49"/>
      <c r="J295" s="65"/>
      <c r="K295" s="49">
        <v>1</v>
      </c>
      <c r="L295" s="171" t="str">
        <f>IF(TArticle[[#This Row],[کد وضعیت سند]]&gt;0,VLOOKUP(TArticle[[#This Row],[کد وضعیت سند]],TDocState[],2,FALSE),"")</f>
        <v>انجام شد</v>
      </c>
      <c r="M295" s="67"/>
      <c r="N295" s="171" t="str">
        <f>IF(TArticle[[#This Row],[کد طرف حساب]]&gt;0,VLOOKUP(TArticle[[#This Row],[کد طرف حساب]],TContact[],2,FALSE),"")</f>
        <v/>
      </c>
      <c r="O295" s="68" t="str">
        <f>IF(TArticle[[#This Row],[کد طرف حساب]]&gt;0,VLOOKUP(TArticle[[#This Row],[کد طرف حساب]],TContact[],7,FALSE)-SUMIF($M$2:M295,M295,$E$2:$E295),"")</f>
        <v/>
      </c>
      <c r="P295" s="67" t="str">
        <f>RIGHT(TArticle[[#This Row],[تاریخ]],2)</f>
        <v>02</v>
      </c>
      <c r="Q295" s="67">
        <f>VLOOKUP(TArticle[[#This Row],[تاریخ]],TDays[],16,FALSE)</f>
        <v>1</v>
      </c>
      <c r="R295" s="67" t="str">
        <f>RIGHT(LEFT(TArticle[[#This Row],[تاریخ]],7),2)</f>
        <v>01</v>
      </c>
      <c r="S295" s="67" t="str">
        <f>LEFT(TArticle[[#This Row],[تاریخ]],4)</f>
        <v>1402</v>
      </c>
      <c r="T295" s="64"/>
      <c r="U295" s="64">
        <f>VLOOKUP(TArticle[[#This Row],[شناسه]],TAccount[],7,TRUE)</f>
        <v>364074</v>
      </c>
      <c r="V295" s="64"/>
      <c r="W295" s="64">
        <f>IF(AND(TArticle[[#This Row],[مبلغ]]&gt;0, TArticle[[#This Row],[کد وضعیت سند]]=1),TArticle[[#This Row],[مبلغ]],0)</f>
        <v>0</v>
      </c>
      <c r="X295" s="67">
        <f>IF(AND(TArticle[[#This Row],[مبلغ]]&lt;0,TArticle[[#This Row],[کد وضعیت سند]]=1),0-TArticle[[#This Row],[مبلغ]],0)</f>
        <v>40</v>
      </c>
      <c r="Y295" s="27">
        <v>2</v>
      </c>
      <c r="Z295" s="171" t="str">
        <f>IF(TArticle[[#This Row],[کد بانک]]&gt;0,VLOOKUP(TArticle[[#This Row],[کد بانک]],TBank[],2,FALSE),"")</f>
        <v>ملی جاری</v>
      </c>
      <c r="AA295">
        <f>IF(AND(TArticle[[#This Row],[مبلغ]]&lt;0,TArticle[[#This Row],[کد وضعیت سند]]=1),0-TArticle[[#This Row],[مبلغ]],0)</f>
        <v>40</v>
      </c>
      <c r="AB295">
        <f>IF(AND(TArticle[[#This Row],[مبلغ]]&gt;0, TArticle[[#This Row],[کد وضعیت سند]]=1),TArticle[[#This Row],[مبلغ]],0)</f>
        <v>0</v>
      </c>
      <c r="AC295" s="93">
        <f>IF(TArticle[[#This Row],[کد بانک]]&gt;0,VLOOKUP(TArticle[[#This Row],[کد بانک]],TBank[],9,FALSE)+SUMIF($Y$2:Y295,Y295,$E$2:$E295),"")</f>
        <v>16462</v>
      </c>
      <c r="AD295" s="1">
        <f>IFERROR(IF(INT(LEFT(TArticle[[#This Row],[شناسه]]))=3,IF(TArticle[[#This Row],[کد وضعیت سند]]=1,TArticle[مبلغ],0),0),0)</f>
        <v>-40</v>
      </c>
      <c r="AE295" s="1">
        <f>IFERROR(IF(((TArticle[[#This Row],[شناسه]]))="4.1.1",IF(TArticle[[#This Row],[کد وضعیت سند]]=1,TArticle[مبلغ],0),0),0)</f>
        <v>0</v>
      </c>
      <c r="AF295" s="1">
        <f>IFERROR(IF(((TArticle[[#This Row],[شناسه]]))="4.1.2",IF(TArticle[[#This Row],[کد وضعیت سند]]=1,TArticle[مبلغ],0),0),0)</f>
        <v>0</v>
      </c>
      <c r="AG295" s="1">
        <f>IFERROR(IF(INT(LEFT(TArticle[[#This Row],[شناسه]]))=1,IF(TArticle[[#This Row],[کد وضعیت سند]]=1,TArticle[مبلغ],0),0),0)</f>
        <v>0</v>
      </c>
      <c r="AH295" s="1">
        <f>IFERROR(IF(INT(LEFT(TArticle[[#This Row],[شناسه]]))=2,IF(TArticle[[#This Row],[کد وضعیت سند]]=1,TArticle[مبلغ],0),0),0)</f>
        <v>0</v>
      </c>
      <c r="AI295" s="1">
        <f>IFERROR(IF((LEFT(TArticle[[#This Row],[شناسه]],3))="5.2",IF(TArticle[[#This Row],[کد وضعیت سند]]=1,TArticle[مبلغ],0),0),0)</f>
        <v>0</v>
      </c>
      <c r="AJ295" s="1">
        <f>IF(TArticle[[#This Row],[کد وضعیت سند]]=1,1,0)</f>
        <v>1</v>
      </c>
      <c r="AK295" s="1">
        <f>IF(AND(TArticle[[#This Row],[کد وضعیت سند]]&lt;&gt;1,TArticle[[#This Row],[مبلغ]]&lt;&gt;0),1,0)</f>
        <v>0</v>
      </c>
      <c r="AL295" s="78">
        <f>IF(TArticle[[#This Row],[کد بانک]]&gt;0,TArticle[[#This Row],[مانده بانک]]-VLOOKUP(TArticle[[#This Row],[کد بانک]],TBank[],7,FALSE),"")</f>
        <v>16462</v>
      </c>
      <c r="AM295" s="58" t="str">
        <f>LEFT(TArticle[[#This Row],[تاریخ]],7)</f>
        <v>1402-01</v>
      </c>
    </row>
    <row r="296" spans="1:39" x14ac:dyDescent="0.25">
      <c r="A296" s="24" t="s">
        <v>1008</v>
      </c>
      <c r="B296" s="49" t="str">
        <f>VLOOKUP(TArticle[[#This Row],[شناسه]],TAccount[],2,TRUE)</f>
        <v>حواله پرداخت/برداشت</v>
      </c>
      <c r="C296" s="49" t="str">
        <f>VLOOKUP(TArticle[[#This Row],[تاریخ]],TDays[],7,FALSE)</f>
        <v>چهارشنبه</v>
      </c>
      <c r="D296" s="21" t="s">
        <v>559</v>
      </c>
      <c r="E296" s="1">
        <v>-100</v>
      </c>
      <c r="F296" s="1">
        <f>TArticle[[#This Row],[مبلغ]]+IFERROR(INT(F295),30181+3667+958)</f>
        <v>20760</v>
      </c>
      <c r="G296" s="49" t="s">
        <v>2844</v>
      </c>
      <c r="K296" s="21">
        <v>1</v>
      </c>
      <c r="L296" s="171" t="str">
        <f>IF(TArticle[[#This Row],[کد وضعیت سند]]&gt;0,VLOOKUP(TArticle[[#This Row],[کد وضعیت سند]],TDocState[],2,FALSE),"")</f>
        <v>انجام شد</v>
      </c>
      <c r="N296" s="171" t="str">
        <f>IF(TArticle[[#This Row],[کد طرف حساب]]&gt;0,VLOOKUP(TArticle[[#This Row],[کد طرف حساب]],TContact[],2,FALSE),"")</f>
        <v/>
      </c>
      <c r="O296" s="60" t="str">
        <f>IF(TArticle[[#This Row],[کد طرف حساب]]&gt;0,VLOOKUP(TArticle[[#This Row],[کد طرف حساب]],TContact[],7,FALSE)-SUMIF($M$2:M296,M296,$E$2:$E296),"")</f>
        <v/>
      </c>
      <c r="P296" s="27" t="str">
        <f>RIGHT(TArticle[[#This Row],[تاریخ]],2)</f>
        <v>02</v>
      </c>
      <c r="Q296" s="27">
        <f>VLOOKUP(TArticle[[#This Row],[تاریخ]],TDays[],16,FALSE)</f>
        <v>1</v>
      </c>
      <c r="R296" s="27" t="str">
        <f>RIGHT(LEFT(TArticle[[#This Row],[تاریخ]],7),2)</f>
        <v>01</v>
      </c>
      <c r="S296" s="27" t="str">
        <f>LEFT(TArticle[[#This Row],[تاریخ]],4)</f>
        <v>1402</v>
      </c>
      <c r="U296" s="21">
        <f>VLOOKUP(TArticle[[#This Row],[شناسه]],TAccount[],7,TRUE)</f>
        <v>179525</v>
      </c>
      <c r="V296" s="28"/>
      <c r="W296" s="21">
        <f>IF(AND(TArticle[[#This Row],[مبلغ]]&gt;0, TArticle[[#This Row],[کد وضعیت سند]]=1),TArticle[[#This Row],[مبلغ]],0)</f>
        <v>0</v>
      </c>
      <c r="X296" s="27">
        <f>IF(AND(TArticle[[#This Row],[مبلغ]]&lt;0,TArticle[[#This Row],[کد وضعیت سند]]=1),0-TArticle[[#This Row],[مبلغ]],0)</f>
        <v>100</v>
      </c>
      <c r="Y296" s="27">
        <v>2</v>
      </c>
      <c r="Z296" s="171" t="str">
        <f>IF(TArticle[[#This Row],[کد بانک]]&gt;0,VLOOKUP(TArticle[[#This Row],[کد بانک]],TBank[],2,FALSE),"")</f>
        <v>ملی جاری</v>
      </c>
      <c r="AA296">
        <f>IF(AND(TArticle[[#This Row],[مبلغ]]&lt;0,TArticle[[#This Row],[کد وضعیت سند]]=1),0-TArticle[[#This Row],[مبلغ]],0)</f>
        <v>100</v>
      </c>
      <c r="AB296">
        <f>IF(AND(TArticle[[#This Row],[مبلغ]]&gt;0, TArticle[[#This Row],[کد وضعیت سند]]=1),TArticle[[#This Row],[مبلغ]],0)</f>
        <v>0</v>
      </c>
      <c r="AC296" s="84">
        <f>IF(TArticle[[#This Row],[کد بانک]]&gt;0,VLOOKUP(TArticle[[#This Row],[کد بانک]],TBank[],9,FALSE)+SUMIF($Y$2:Y296,Y296,$E$2:$E296),"")</f>
        <v>16362</v>
      </c>
      <c r="AD296" s="1">
        <f>IFERROR(IF(INT(LEFT(TArticle[[#This Row],[شناسه]]))=3,IF(TArticle[[#This Row],[کد وضعیت سند]]=1,TArticle[مبلغ],0),0),0)</f>
        <v>0</v>
      </c>
      <c r="AE296" s="1">
        <f>IFERROR(IF(((TArticle[[#This Row],[شناسه]]))="4.1.1",IF(TArticle[[#This Row],[کد وضعیت سند]]=1,TArticle[مبلغ],0),0),0)</f>
        <v>0</v>
      </c>
      <c r="AF296" s="1">
        <f>IFERROR(IF(((TArticle[[#This Row],[شناسه]]))="4.1.2",IF(TArticle[[#This Row],[کد وضعیت سند]]=1,TArticle[مبلغ],0),0),0)</f>
        <v>0</v>
      </c>
      <c r="AG296" s="1">
        <f>IFERROR(IF(INT(LEFT(TArticle[[#This Row],[شناسه]]))=1,IF(TArticle[[#This Row],[کد وضعیت سند]]=1,TArticle[مبلغ],0),0),0)</f>
        <v>0</v>
      </c>
      <c r="AH296" s="1">
        <f>IFERROR(IF(INT(LEFT(TArticle[[#This Row],[شناسه]]))=2,IF(TArticle[[#This Row],[کد وضعیت سند]]=1,TArticle[مبلغ],0),0),0)</f>
        <v>0</v>
      </c>
      <c r="AI296" s="1">
        <f>IFERROR(IF((LEFT(TArticle[[#This Row],[شناسه]],3))="5.2",IF(TArticle[[#This Row],[کد وضعیت سند]]=1,TArticle[مبلغ],0),0),0)</f>
        <v>0</v>
      </c>
      <c r="AJ296" s="1">
        <f>IF(TArticle[[#This Row],[کد وضعیت سند]]=1,1,0)</f>
        <v>1</v>
      </c>
      <c r="AK296" s="1">
        <f>IF(AND(TArticle[[#This Row],[کد وضعیت سند]]&lt;&gt;1,TArticle[[#This Row],[مبلغ]]&lt;&gt;0),1,0)</f>
        <v>0</v>
      </c>
      <c r="AL296" s="51">
        <f>IF(TArticle[[#This Row],[کد بانک]]&gt;0,TArticle[[#This Row],[مانده بانک]]-VLOOKUP(TArticle[[#This Row],[کد بانک]],TBank[],7,FALSE),"")</f>
        <v>16362</v>
      </c>
      <c r="AM296" s="58" t="str">
        <f>LEFT(TArticle[[#This Row],[تاریخ]],7)</f>
        <v>1402-01</v>
      </c>
    </row>
    <row r="297" spans="1:39" x14ac:dyDescent="0.25">
      <c r="A297" s="24" t="s">
        <v>112</v>
      </c>
      <c r="B297" s="49" t="str">
        <f>VLOOKUP(TArticle[[#This Row],[شناسه]],TAccount[],2,TRUE)</f>
        <v>رسید دریافت/واریز</v>
      </c>
      <c r="C297" s="49" t="str">
        <f>VLOOKUP(TArticle[[#This Row],[تاریخ]],TDays[],7,FALSE)</f>
        <v>چهارشنبه</v>
      </c>
      <c r="D297" s="21" t="s">
        <v>559</v>
      </c>
      <c r="E297" s="1">
        <v>100</v>
      </c>
      <c r="F297" s="1">
        <f>TArticle[[#This Row],[مبلغ]]+IFERROR(INT(F296),30181+3667+958)</f>
        <v>20860</v>
      </c>
      <c r="G297" s="49" t="s">
        <v>2845</v>
      </c>
      <c r="J297" s="65"/>
      <c r="K297" s="49">
        <v>1</v>
      </c>
      <c r="L297" s="171" t="str">
        <f>IF(TArticle[[#This Row],[کد وضعیت سند]]&gt;0,VLOOKUP(TArticle[[#This Row],[کد وضعیت سند]],TDocState[],2,FALSE),"")</f>
        <v>انجام شد</v>
      </c>
      <c r="M297" s="67"/>
      <c r="N297" s="171" t="str">
        <f>IF(TArticle[[#This Row],[کد طرف حساب]]&gt;0,VLOOKUP(TArticle[[#This Row],[کد طرف حساب]],TContact[],2,FALSE),"")</f>
        <v/>
      </c>
      <c r="O297" s="68" t="str">
        <f>IF(TArticle[[#This Row],[کد طرف حساب]]&gt;0,VLOOKUP(TArticle[[#This Row],[کد طرف حساب]],TContact[],7,FALSE)-SUMIF($M$2:M297,M297,$E$2:$E297),"")</f>
        <v/>
      </c>
      <c r="P297" s="67" t="str">
        <f>RIGHT(TArticle[[#This Row],[تاریخ]],2)</f>
        <v>02</v>
      </c>
      <c r="Q297" s="67">
        <f>VLOOKUP(TArticle[[#This Row],[تاریخ]],TDays[],16,FALSE)</f>
        <v>1</v>
      </c>
      <c r="R297" s="67" t="str">
        <f>RIGHT(LEFT(TArticle[[#This Row],[تاریخ]],7),2)</f>
        <v>01</v>
      </c>
      <c r="S297" s="67" t="str">
        <f>LEFT(TArticle[[#This Row],[تاریخ]],4)</f>
        <v>1402</v>
      </c>
      <c r="T297" s="64"/>
      <c r="U297" s="64">
        <f>VLOOKUP(TArticle[[#This Row],[شناسه]],TAccount[],7,TRUE)</f>
        <v>257767</v>
      </c>
      <c r="V297" s="64"/>
      <c r="W297" s="64">
        <f>IF(AND(TArticle[[#This Row],[مبلغ]]&gt;0, TArticle[[#This Row],[کد وضعیت سند]]=1),TArticle[[#This Row],[مبلغ]],0)</f>
        <v>100</v>
      </c>
      <c r="X297" s="67">
        <f>IF(AND(TArticle[[#This Row],[مبلغ]]&lt;0,TArticle[[#This Row],[کد وضعیت سند]]=1),0-TArticle[[#This Row],[مبلغ]],0)</f>
        <v>0</v>
      </c>
      <c r="Y297" s="27">
        <v>1</v>
      </c>
      <c r="Z297" s="171" t="str">
        <f>IF(TArticle[[#This Row],[کد بانک]]&gt;0,VLOOKUP(TArticle[[#This Row],[کد بانک]],TBank[],2,FALSE),"")</f>
        <v>کیف پول</v>
      </c>
      <c r="AA297">
        <f>IF(AND(TArticle[[#This Row],[مبلغ]]&lt;0,TArticle[[#This Row],[کد وضعیت سند]]=1),0-TArticle[[#This Row],[مبلغ]],0)</f>
        <v>0</v>
      </c>
      <c r="AB297">
        <f>IF(AND(TArticle[[#This Row],[مبلغ]]&gt;0, TArticle[[#This Row],[کد وضعیت سند]]=1),TArticle[[#This Row],[مبلغ]],0)</f>
        <v>100</v>
      </c>
      <c r="AC297" s="93">
        <f>IF(TArticle[[#This Row],[کد بانک]]&gt;0,VLOOKUP(TArticle[[#This Row],[کد بانک]],TBank[],9,FALSE)+SUMIF($Y$2:Y297,Y297,$E$2:$E297),"")</f>
        <v>100</v>
      </c>
      <c r="AD297" s="1">
        <f>IFERROR(IF(INT(LEFT(TArticle[[#This Row],[شناسه]]))=3,IF(TArticle[[#This Row],[کد وضعیت سند]]=1,TArticle[مبلغ],0),0),0)</f>
        <v>0</v>
      </c>
      <c r="AE297" s="1">
        <f>IFERROR(IF(((TArticle[[#This Row],[شناسه]]))="4.1.1",IF(TArticle[[#This Row],[کد وضعیت سند]]=1,TArticle[مبلغ],0),0),0)</f>
        <v>0</v>
      </c>
      <c r="AF297" s="1">
        <f>IFERROR(IF(((TArticle[[#This Row],[شناسه]]))="4.1.2",IF(TArticle[[#This Row],[کد وضعیت سند]]=1,TArticle[مبلغ],0),0),0)</f>
        <v>0</v>
      </c>
      <c r="AG297" s="1">
        <f>IFERROR(IF(INT(LEFT(TArticle[[#This Row],[شناسه]]))=1,IF(TArticle[[#This Row],[کد وضعیت سند]]=1,TArticle[مبلغ],0),0),0)</f>
        <v>0</v>
      </c>
      <c r="AH297" s="1">
        <f>IFERROR(IF(INT(LEFT(TArticle[[#This Row],[شناسه]]))=2,IF(TArticle[[#This Row],[کد وضعیت سند]]=1,TArticle[مبلغ],0),0),0)</f>
        <v>0</v>
      </c>
      <c r="AI297" s="1">
        <f>IFERROR(IF((LEFT(TArticle[[#This Row],[شناسه]],3))="5.2",IF(TArticle[[#This Row],[کد وضعیت سند]]=1,TArticle[مبلغ],0),0),0)</f>
        <v>0</v>
      </c>
      <c r="AJ297" s="1">
        <f>IF(TArticle[[#This Row],[کد وضعیت سند]]=1,1,0)</f>
        <v>1</v>
      </c>
      <c r="AK297" s="1">
        <f>IF(AND(TArticle[[#This Row],[کد وضعیت سند]]&lt;&gt;1,TArticle[[#This Row],[مبلغ]]&lt;&gt;0),1,0)</f>
        <v>0</v>
      </c>
      <c r="AL297" s="78">
        <f>IF(TArticle[[#This Row],[کد بانک]]&gt;0,TArticle[[#This Row],[مانده بانک]]-VLOOKUP(TArticle[[#This Row],[کد بانک]],TBank[],7,FALSE),"")</f>
        <v>100</v>
      </c>
      <c r="AM297" s="69" t="str">
        <f>LEFT(TArticle[[#This Row],[تاریخ]],7)</f>
        <v>1402-01</v>
      </c>
    </row>
    <row r="298" spans="1:39" x14ac:dyDescent="0.25">
      <c r="A298" s="24" t="s">
        <v>55</v>
      </c>
      <c r="B298" s="49" t="str">
        <f>VLOOKUP(TArticle[[#This Row],[شناسه]],TAccount[],2,TRUE)</f>
        <v>هزینه کلی</v>
      </c>
      <c r="C298" s="49" t="str">
        <f>VLOOKUP(TArticle[[#This Row],[تاریخ]],TDays[],7,FALSE)</f>
        <v>پنجشنبه</v>
      </c>
      <c r="D298" s="21" t="s">
        <v>560</v>
      </c>
      <c r="E298" s="1">
        <f>15840-16502</f>
        <v>-662</v>
      </c>
      <c r="F298" s="1">
        <f>TArticle[[#This Row],[مبلغ]]+IFERROR(INT(F297),30181+3667+958)</f>
        <v>20198</v>
      </c>
      <c r="G298" s="49" t="s">
        <v>2834</v>
      </c>
      <c r="K298" s="21">
        <v>1</v>
      </c>
      <c r="L298" s="171" t="str">
        <f>IF(TArticle[[#This Row],[کد وضعیت سند]]&gt;0,VLOOKUP(TArticle[[#This Row],[کد وضعیت سند]],TDocState[],2,FALSE),"")</f>
        <v>انجام شد</v>
      </c>
      <c r="N298" s="171" t="str">
        <f>IF(TArticle[[#This Row],[کد طرف حساب]]&gt;0,VLOOKUP(TArticle[[#This Row],[کد طرف حساب]],TContact[],2,FALSE),"")</f>
        <v/>
      </c>
      <c r="O298" s="51" t="str">
        <f>IF(TArticle[[#This Row],[کد طرف حساب]]&gt;0,VLOOKUP(TArticle[[#This Row],[کد طرف حساب]],TContact[],7,FALSE)-SUMIF($M$2:M298,M298,$E$2:$E298),"")</f>
        <v/>
      </c>
      <c r="P298" s="27" t="str">
        <f>RIGHT(TArticle[[#This Row],[تاریخ]],2)</f>
        <v>03</v>
      </c>
      <c r="Q298" s="27">
        <f>VLOOKUP(TArticle[[#This Row],[تاریخ]],TDays[],16,FALSE)</f>
        <v>1</v>
      </c>
      <c r="R298" s="27" t="str">
        <f>RIGHT(LEFT(TArticle[[#This Row],[تاریخ]],7),2)</f>
        <v>01</v>
      </c>
      <c r="S298" s="27" t="str">
        <f>LEFT(TArticle[[#This Row],[تاریخ]],4)</f>
        <v>1402</v>
      </c>
      <c r="U298" s="21">
        <f>VLOOKUP(TArticle[[#This Row],[شناسه]],TAccount[],7,TRUE)</f>
        <v>364074</v>
      </c>
      <c r="W298" s="21">
        <f>IF(AND(TArticle[[#This Row],[مبلغ]]&gt;0, TArticle[[#This Row],[کد وضعیت سند]]=1),TArticle[[#This Row],[مبلغ]],0)</f>
        <v>0</v>
      </c>
      <c r="X298" s="21">
        <f>IF(AND(TArticle[[#This Row],[مبلغ]]&lt;0,TArticle[[#This Row],[کد وضعیت سند]]=1),0-TArticle[[#This Row],[مبلغ]],0)</f>
        <v>662</v>
      </c>
      <c r="Y298" s="27">
        <v>2</v>
      </c>
      <c r="Z298" s="171" t="str">
        <f>IF(TArticle[[#This Row],[کد بانک]]&gt;0,VLOOKUP(TArticle[[#This Row],[کد بانک]],TBank[],2,FALSE),"")</f>
        <v>ملی جاری</v>
      </c>
      <c r="AA298">
        <f>IF(AND(TArticle[[#This Row],[مبلغ]]&lt;0,TArticle[[#This Row],[کد وضعیت سند]]=1),0-TArticle[[#This Row],[مبلغ]],0)</f>
        <v>662</v>
      </c>
      <c r="AB298">
        <f>IF(AND(TArticle[[#This Row],[مبلغ]]&gt;0, TArticle[[#This Row],[کد وضعیت سند]]=1),TArticle[[#This Row],[مبلغ]],0)</f>
        <v>0</v>
      </c>
      <c r="AC298" s="84">
        <f>IF(TArticle[[#This Row],[کد بانک]]&gt;0,VLOOKUP(TArticle[[#This Row],[کد بانک]],TBank[],9,FALSE)+SUMIF($Y$2:Y298,Y298,$E$2:$E298),"")</f>
        <v>15700</v>
      </c>
      <c r="AD298" s="1">
        <f>IFERROR(IF(INT(LEFT(TArticle[[#This Row],[شناسه]]))=3,IF(TArticle[[#This Row],[کد وضعیت سند]]=1,TArticle[مبلغ],0),0),0)</f>
        <v>-662</v>
      </c>
      <c r="AE298" s="1">
        <f>IFERROR(IF(((TArticle[[#This Row],[شناسه]]))="4.1.1",IF(TArticle[[#This Row],[کد وضعیت سند]]=1,TArticle[مبلغ],0),0),0)</f>
        <v>0</v>
      </c>
      <c r="AF298" s="1">
        <f>IFERROR(IF(((TArticle[[#This Row],[شناسه]]))="4.1.2",IF(TArticle[[#This Row],[کد وضعیت سند]]=1,TArticle[مبلغ],0),0),0)</f>
        <v>0</v>
      </c>
      <c r="AG298" s="1">
        <f>IFERROR(IF(INT(LEFT(TArticle[[#This Row],[شناسه]]))=1,IF(TArticle[[#This Row],[کد وضعیت سند]]=1,TArticle[مبلغ],0),0),0)</f>
        <v>0</v>
      </c>
      <c r="AH298" s="1">
        <f>IFERROR(IF(INT(LEFT(TArticle[[#This Row],[شناسه]]))=2,IF(TArticle[[#This Row],[کد وضعیت سند]]=1,TArticle[مبلغ],0),0),0)</f>
        <v>0</v>
      </c>
      <c r="AI298" s="1">
        <f>IFERROR(IF((LEFT(TArticle[[#This Row],[شناسه]],3))="5.2",IF(TArticle[[#This Row],[کد وضعیت سند]]=1,TArticle[مبلغ],0),0),0)</f>
        <v>0</v>
      </c>
      <c r="AJ298" s="1">
        <f>IF(TArticle[[#This Row],[کد وضعیت سند]]=1,1,0)</f>
        <v>1</v>
      </c>
      <c r="AK298" s="1">
        <f>IF(AND(TArticle[[#This Row],[کد وضعیت سند]]&lt;&gt;1,TArticle[[#This Row],[مبلغ]]&lt;&gt;0),1,0)</f>
        <v>0</v>
      </c>
      <c r="AL298" s="51">
        <f>IF(TArticle[[#This Row],[کد بانک]]&gt;0,TArticle[[#This Row],[مانده بانک]]-VLOOKUP(TArticle[[#This Row],[کد بانک]],TBank[],7,FALSE),"")</f>
        <v>15700</v>
      </c>
      <c r="AM298" s="58" t="str">
        <f>LEFT(TArticle[[#This Row],[تاریخ]],7)</f>
        <v>1402-01</v>
      </c>
    </row>
    <row r="299" spans="1:39" x14ac:dyDescent="0.25">
      <c r="A299" s="24" t="s">
        <v>1008</v>
      </c>
      <c r="B299" s="49" t="str">
        <f>VLOOKUP(TArticle[[#This Row],[شناسه]],TAccount[],2,TRUE)</f>
        <v>حواله پرداخت/برداشت</v>
      </c>
      <c r="C299" s="49" t="str">
        <f>VLOOKUP(TArticle[[#This Row],[تاریخ]],TDays[],7,FALSE)</f>
        <v>پنجشنبه</v>
      </c>
      <c r="D299" s="21" t="s">
        <v>560</v>
      </c>
      <c r="E299" s="1">
        <v>-2000</v>
      </c>
      <c r="F299" s="1">
        <f>TArticle[[#This Row],[مبلغ]]+IFERROR(INT(F298),30181+3667+958)</f>
        <v>18198</v>
      </c>
      <c r="G299" s="49" t="s">
        <v>2843</v>
      </c>
      <c r="K299" s="64">
        <v>1</v>
      </c>
      <c r="L299" s="171" t="str">
        <f>IF(TArticle[[#This Row],[کد وضعیت سند]]&gt;0,VLOOKUP(TArticle[[#This Row],[کد وضعیت سند]],TDocState[],2,FALSE),"")</f>
        <v>انجام شد</v>
      </c>
      <c r="N299" s="171" t="str">
        <f>IF(TArticle[[#This Row],[کد طرف حساب]]&gt;0,VLOOKUP(TArticle[[#This Row],[کد طرف حساب]],TContact[],2,FALSE),"")</f>
        <v/>
      </c>
      <c r="O299" s="61" t="str">
        <f>IF(TArticle[[#This Row],[کد طرف حساب]]&gt;0,VLOOKUP(TArticle[[#This Row],[کد طرف حساب]],TContact[],7,FALSE)-SUMIF($M$2:M299,M299,$E$2:$E299),"")</f>
        <v/>
      </c>
      <c r="P299" s="27" t="str">
        <f>RIGHT(TArticle[[#This Row],[تاریخ]],2)</f>
        <v>03</v>
      </c>
      <c r="Q299" s="27">
        <f>VLOOKUP(TArticle[[#This Row],[تاریخ]],TDays[],16,FALSE)</f>
        <v>1</v>
      </c>
      <c r="R299" s="27" t="str">
        <f>RIGHT(LEFT(TArticle[[#This Row],[تاریخ]],7),2)</f>
        <v>01</v>
      </c>
      <c r="S299" s="27" t="str">
        <f>LEFT(TArticle[[#This Row],[تاریخ]],4)</f>
        <v>1402</v>
      </c>
      <c r="U299" s="21">
        <f>VLOOKUP(TArticle[[#This Row],[شناسه]],TAccount[],7,TRUE)</f>
        <v>179525</v>
      </c>
      <c r="W299" s="21">
        <f>IF(AND(TArticle[[#This Row],[مبلغ]]&gt;0, TArticle[[#This Row],[کد وضعیت سند]]=1),TArticle[[#This Row],[مبلغ]],0)</f>
        <v>0</v>
      </c>
      <c r="X299" s="27">
        <f>IF(AND(TArticle[[#This Row],[مبلغ]]&lt;0,TArticle[[#This Row],[کد وضعیت سند]]=1),0-TArticle[[#This Row],[مبلغ]],0)</f>
        <v>2000</v>
      </c>
      <c r="Y299" s="27">
        <v>2</v>
      </c>
      <c r="Z299" s="171" t="str">
        <f>IF(TArticle[[#This Row],[کد بانک]]&gt;0,VLOOKUP(TArticle[[#This Row],[کد بانک]],TBank[],2,FALSE),"")</f>
        <v>ملی جاری</v>
      </c>
      <c r="AA299">
        <f>IF(AND(TArticle[[#This Row],[مبلغ]]&lt;0,TArticle[[#This Row],[کد وضعیت سند]]=1),0-TArticle[[#This Row],[مبلغ]],0)</f>
        <v>2000</v>
      </c>
      <c r="AB299">
        <f>IF(AND(TArticle[[#This Row],[مبلغ]]&gt;0, TArticle[[#This Row],[کد وضعیت سند]]=1),TArticle[[#This Row],[مبلغ]],0)</f>
        <v>0</v>
      </c>
      <c r="AC299" s="84">
        <f>IF(TArticle[[#This Row],[کد بانک]]&gt;0,VLOOKUP(TArticle[[#This Row],[کد بانک]],TBank[],9,FALSE)+SUMIF($Y$2:Y299,Y299,$E$2:$E299),"")</f>
        <v>13700</v>
      </c>
      <c r="AD299" s="1">
        <f>IFERROR(IF(INT(LEFT(TArticle[[#This Row],[شناسه]]))=3,IF(TArticle[[#This Row],[کد وضعیت سند]]=1,TArticle[مبلغ],0),0),0)</f>
        <v>0</v>
      </c>
      <c r="AE299" s="1">
        <f>IFERROR(IF(((TArticle[[#This Row],[شناسه]]))="4.1.1",IF(TArticle[[#This Row],[کد وضعیت سند]]=1,TArticle[مبلغ],0),0),0)</f>
        <v>0</v>
      </c>
      <c r="AF299" s="1">
        <f>IFERROR(IF(((TArticle[[#This Row],[شناسه]]))="4.1.2",IF(TArticle[[#This Row],[کد وضعیت سند]]=1,TArticle[مبلغ],0),0),0)</f>
        <v>0</v>
      </c>
      <c r="AG299" s="1">
        <f>IFERROR(IF(INT(LEFT(TArticle[[#This Row],[شناسه]]))=1,IF(TArticle[[#This Row],[کد وضعیت سند]]=1,TArticle[مبلغ],0),0),0)</f>
        <v>0</v>
      </c>
      <c r="AH299" s="1">
        <f>IFERROR(IF(INT(LEFT(TArticle[[#This Row],[شناسه]]))=2,IF(TArticle[[#This Row],[کد وضعیت سند]]=1,TArticle[مبلغ],0),0),0)</f>
        <v>0</v>
      </c>
      <c r="AI299" s="1">
        <f>IFERROR(IF((LEFT(TArticle[[#This Row],[شناسه]],3))="5.2",IF(TArticle[[#This Row],[کد وضعیت سند]]=1,TArticle[مبلغ],0),0),0)</f>
        <v>0</v>
      </c>
      <c r="AJ299" s="1">
        <f>IF(TArticle[[#This Row],[کد وضعیت سند]]=1,1,0)</f>
        <v>1</v>
      </c>
      <c r="AK299" s="1">
        <f>IF(AND(TArticle[[#This Row],[کد وضعیت سند]]&lt;&gt;1,TArticle[[#This Row],[مبلغ]]&lt;&gt;0),1,0)</f>
        <v>0</v>
      </c>
      <c r="AL299" s="51">
        <f>IF(TArticle[[#This Row],[کد بانک]]&gt;0,TArticle[[#This Row],[مانده بانک]]-VLOOKUP(TArticle[[#This Row],[کد بانک]],TBank[],7,FALSE),"")</f>
        <v>13700</v>
      </c>
      <c r="AM299" s="58" t="str">
        <f>LEFT(TArticle[[#This Row],[تاریخ]],7)</f>
        <v>1402-01</v>
      </c>
    </row>
    <row r="300" spans="1:39" x14ac:dyDescent="0.25">
      <c r="A300" s="24" t="s">
        <v>112</v>
      </c>
      <c r="B300" s="49" t="str">
        <f>VLOOKUP(TArticle[[#This Row],[شناسه]],TAccount[],2,TRUE)</f>
        <v>رسید دریافت/واریز</v>
      </c>
      <c r="C300" s="49" t="str">
        <f>VLOOKUP(TArticle[[#This Row],[تاریخ]],TDays[],7,FALSE)</f>
        <v>پنجشنبه</v>
      </c>
      <c r="D300" s="21" t="s">
        <v>560</v>
      </c>
      <c r="E300" s="1">
        <v>2000</v>
      </c>
      <c r="F300" s="1">
        <f>TArticle[[#This Row],[مبلغ]]+IFERROR(INT(F299),30181+3667+958)</f>
        <v>20198</v>
      </c>
      <c r="G300" s="49" t="s">
        <v>2843</v>
      </c>
      <c r="K300" s="64">
        <v>1</v>
      </c>
      <c r="L300" s="171" t="str">
        <f>IF(TArticle[[#This Row],[کد وضعیت سند]]&gt;0,VLOOKUP(TArticle[[#This Row],[کد وضعیت سند]],TDocState[],2,FALSE),"")</f>
        <v>انجام شد</v>
      </c>
      <c r="N300" s="171" t="str">
        <f>IF(TArticle[[#This Row],[کد طرف حساب]]&gt;0,VLOOKUP(TArticle[[#This Row],[کد طرف حساب]],TContact[],2,FALSE),"")</f>
        <v/>
      </c>
      <c r="O300" s="51" t="str">
        <f>IF(TArticle[[#This Row],[کد طرف حساب]]&gt;0,VLOOKUP(TArticle[[#This Row],[کد طرف حساب]],TContact[],7,FALSE)-SUMIF($M$2:M300,M300,$E$2:$E300),"")</f>
        <v/>
      </c>
      <c r="P300" s="27" t="str">
        <f>RIGHT(TArticle[[#This Row],[تاریخ]],2)</f>
        <v>03</v>
      </c>
      <c r="Q300" s="27">
        <f>VLOOKUP(TArticle[[#This Row],[تاریخ]],TDays[],16,FALSE)</f>
        <v>1</v>
      </c>
      <c r="R300" s="27" t="str">
        <f>RIGHT(LEFT(TArticle[[#This Row],[تاریخ]],7),2)</f>
        <v>01</v>
      </c>
      <c r="S300" s="27" t="str">
        <f>LEFT(TArticle[[#This Row],[تاریخ]],4)</f>
        <v>1402</v>
      </c>
      <c r="U300" s="21">
        <f>VLOOKUP(TArticle[[#This Row],[شناسه]],TAccount[],7,TRUE)</f>
        <v>257767</v>
      </c>
      <c r="W300" s="21">
        <f>IF(AND(TArticle[[#This Row],[مبلغ]]&gt;0, TArticle[[#This Row],[کد وضعیت سند]]=1),TArticle[[#This Row],[مبلغ]],0)</f>
        <v>2000</v>
      </c>
      <c r="X300" s="21">
        <f>IF(AND(TArticle[[#This Row],[مبلغ]]&lt;0,TArticle[[#This Row],[کد وضعیت سند]]=1),0-TArticle[[#This Row],[مبلغ]],0)</f>
        <v>0</v>
      </c>
      <c r="Y300" s="27">
        <v>27</v>
      </c>
      <c r="Z300" s="171" t="str">
        <f>IF(TArticle[[#This Row],[کد بانک]]&gt;0,VLOOKUP(TArticle[[#This Row],[کد بانک]],TBank[],2,FALSE),"")</f>
        <v>Bit Pin</v>
      </c>
      <c r="AA300">
        <f>IF(AND(TArticle[[#This Row],[مبلغ]]&lt;0,TArticle[[#This Row],[کد وضعیت سند]]=1),0-TArticle[[#This Row],[مبلغ]],0)</f>
        <v>0</v>
      </c>
      <c r="AB300">
        <f>IF(AND(TArticle[[#This Row],[مبلغ]]&gt;0, TArticle[[#This Row],[کد وضعیت سند]]=1),TArticle[[#This Row],[مبلغ]],0)</f>
        <v>2000</v>
      </c>
      <c r="AC300" s="84">
        <f>IF(TArticle[[#This Row],[کد بانک]]&gt;0,VLOOKUP(TArticle[[#This Row],[کد بانک]],TBank[],9,FALSE)+SUMIF($Y$2:Y300,Y300,$E$2:$E300),"")</f>
        <v>2000</v>
      </c>
      <c r="AD300" s="1">
        <f>IFERROR(IF(INT(LEFT(TArticle[[#This Row],[شناسه]]))=3,IF(TArticle[[#This Row],[کد وضعیت سند]]=1,TArticle[مبلغ],0),0),0)</f>
        <v>0</v>
      </c>
      <c r="AE300" s="1">
        <f>IFERROR(IF(((TArticle[[#This Row],[شناسه]]))="4.1.1",IF(TArticle[[#This Row],[کد وضعیت سند]]=1,TArticle[مبلغ],0),0),0)</f>
        <v>0</v>
      </c>
      <c r="AF300" s="1">
        <f>IFERROR(IF(((TArticle[[#This Row],[شناسه]]))="4.1.2",IF(TArticle[[#This Row],[کد وضعیت سند]]=1,TArticle[مبلغ],0),0),0)</f>
        <v>0</v>
      </c>
      <c r="AG300" s="1">
        <f>IFERROR(IF(INT(LEFT(TArticle[[#This Row],[شناسه]]))=1,IF(TArticle[[#This Row],[کد وضعیت سند]]=1,TArticle[مبلغ],0),0),0)</f>
        <v>0</v>
      </c>
      <c r="AH300" s="1">
        <f>IFERROR(IF(INT(LEFT(TArticle[[#This Row],[شناسه]]))=2,IF(TArticle[[#This Row],[کد وضعیت سند]]=1,TArticle[مبلغ],0),0),0)</f>
        <v>0</v>
      </c>
      <c r="AI300" s="1">
        <f>IFERROR(IF((LEFT(TArticle[[#This Row],[شناسه]],3))="5.2",IF(TArticle[[#This Row],[کد وضعیت سند]]=1,TArticle[مبلغ],0),0),0)</f>
        <v>0</v>
      </c>
      <c r="AJ300" s="1">
        <f>IF(TArticle[[#This Row],[کد وضعیت سند]]=1,1,0)</f>
        <v>1</v>
      </c>
      <c r="AK300" s="1">
        <f>IF(AND(TArticle[[#This Row],[کد وضعیت سند]]&lt;&gt;1,TArticle[[#This Row],[مبلغ]]&lt;&gt;0),1,0)</f>
        <v>0</v>
      </c>
      <c r="AL300" s="51">
        <f>IF(TArticle[[#This Row],[کد بانک]]&gt;0,TArticle[[#This Row],[مانده بانک]]-VLOOKUP(TArticle[[#This Row],[کد بانک]],TBank[],7,FALSE),"")</f>
        <v>2000</v>
      </c>
      <c r="AM300" s="58" t="str">
        <f>LEFT(TArticle[[#This Row],[تاریخ]],7)</f>
        <v>1402-01</v>
      </c>
    </row>
    <row r="301" spans="1:39" x14ac:dyDescent="0.25">
      <c r="A301" s="24" t="s">
        <v>1008</v>
      </c>
      <c r="B301" s="49" t="str">
        <f>VLOOKUP(TArticle[[#This Row],[شناسه]],TAccount[],2,TRUE)</f>
        <v>حواله پرداخت/برداشت</v>
      </c>
      <c r="C301" s="49" t="str">
        <f>VLOOKUP(TArticle[[#This Row],[تاریخ]],TDays[],7,FALSE)</f>
        <v>جمعه</v>
      </c>
      <c r="D301" s="21" t="s">
        <v>561</v>
      </c>
      <c r="E301" s="1">
        <v>-200</v>
      </c>
      <c r="F301" s="1">
        <f>TArticle[[#This Row],[مبلغ]]+IFERROR(INT(F300),30181+3667+958)</f>
        <v>19998</v>
      </c>
      <c r="G301" s="49" t="s">
        <v>2844</v>
      </c>
      <c r="J301" s="51"/>
      <c r="K301" s="49">
        <v>1</v>
      </c>
      <c r="L301" s="171" t="str">
        <f>IF(TArticle[[#This Row],[کد وضعیت سند]]&gt;0,VLOOKUP(TArticle[[#This Row],[کد وضعیت سند]],TDocState[],2,FALSE),"")</f>
        <v>انجام شد</v>
      </c>
      <c r="N301" s="171" t="str">
        <f>IF(TArticle[[#This Row],[کد طرف حساب]]&gt;0,VLOOKUP(TArticle[[#This Row],[کد طرف حساب]],TContact[],2,FALSE),"")</f>
        <v/>
      </c>
      <c r="O301" s="60" t="str">
        <f>IF(TArticle[[#This Row],[کد طرف حساب]]&gt;0,VLOOKUP(TArticle[[#This Row],[کد طرف حساب]],TContact[],7,FALSE)-SUMIF($M$2:M301,M301,$E$2:$E301),"")</f>
        <v/>
      </c>
      <c r="P301" s="27" t="str">
        <f>RIGHT(TArticle[[#This Row],[تاریخ]],2)</f>
        <v>04</v>
      </c>
      <c r="Q301" s="27">
        <f>VLOOKUP(TArticle[[#This Row],[تاریخ]],TDays[],16,FALSE)</f>
        <v>1</v>
      </c>
      <c r="R301" s="27" t="str">
        <f>RIGHT(LEFT(TArticle[[#This Row],[تاریخ]],7),2)</f>
        <v>01</v>
      </c>
      <c r="S301" s="27" t="str">
        <f>LEFT(TArticle[[#This Row],[تاریخ]],4)</f>
        <v>1402</v>
      </c>
      <c r="U301" s="21">
        <f>VLOOKUP(TArticle[[#This Row],[شناسه]],TAccount[],7,TRUE)</f>
        <v>179525</v>
      </c>
      <c r="W301" s="21">
        <f>IF(AND(TArticle[[#This Row],[مبلغ]]&gt;0, TArticle[[#This Row],[کد وضعیت سند]]=1),TArticle[[#This Row],[مبلغ]],0)</f>
        <v>0</v>
      </c>
      <c r="X301" s="27">
        <f>IF(AND(TArticle[[#This Row],[مبلغ]]&lt;0,TArticle[[#This Row],[کد وضعیت سند]]=1),0-TArticle[[#This Row],[مبلغ]],0)</f>
        <v>200</v>
      </c>
      <c r="Y301" s="27">
        <v>2</v>
      </c>
      <c r="Z301" s="171" t="str">
        <f>IF(TArticle[[#This Row],[کد بانک]]&gt;0,VLOOKUP(TArticle[[#This Row],[کد بانک]],TBank[],2,FALSE),"")</f>
        <v>ملی جاری</v>
      </c>
      <c r="AA301">
        <f>IF(AND(TArticle[[#This Row],[مبلغ]]&lt;0,TArticle[[#This Row],[کد وضعیت سند]]=1),0-TArticle[[#This Row],[مبلغ]],0)</f>
        <v>200</v>
      </c>
      <c r="AB301">
        <f>IF(AND(TArticle[[#This Row],[مبلغ]]&gt;0, TArticle[[#This Row],[کد وضعیت سند]]=1),TArticle[[#This Row],[مبلغ]],0)</f>
        <v>0</v>
      </c>
      <c r="AC301" s="92">
        <f>IF(TArticle[[#This Row],[کد بانک]]&gt;0,VLOOKUP(TArticle[[#This Row],[کد بانک]],TBank[],9,FALSE)+SUMIF($Y$2:Y301,Y301,$E$2:$E301),"")</f>
        <v>13500</v>
      </c>
      <c r="AD301" s="1">
        <f>IFERROR(IF(INT(LEFT(TArticle[[#This Row],[شناسه]]))=3,IF(TArticle[[#This Row],[کد وضعیت سند]]=1,TArticle[مبلغ],0),0),0)</f>
        <v>0</v>
      </c>
      <c r="AE301" s="1">
        <f>IFERROR(IF(((TArticle[[#This Row],[شناسه]]))="4.1.1",IF(TArticle[[#This Row],[کد وضعیت سند]]=1,TArticle[مبلغ],0),0),0)</f>
        <v>0</v>
      </c>
      <c r="AF301" s="1">
        <f>IFERROR(IF(((TArticle[[#This Row],[شناسه]]))="4.1.2",IF(TArticle[[#This Row],[کد وضعیت سند]]=1,TArticle[مبلغ],0),0),0)</f>
        <v>0</v>
      </c>
      <c r="AG301" s="1">
        <f>IFERROR(IF(INT(LEFT(TArticle[[#This Row],[شناسه]]))=1,IF(TArticle[[#This Row],[کد وضعیت سند]]=1,TArticle[مبلغ],0),0),0)</f>
        <v>0</v>
      </c>
      <c r="AH301" s="1">
        <f>IFERROR(IF(INT(LEFT(TArticle[[#This Row],[شناسه]]))=2,IF(TArticle[[#This Row],[کد وضعیت سند]]=1,TArticle[مبلغ],0),0),0)</f>
        <v>0</v>
      </c>
      <c r="AI301" s="1">
        <f>IFERROR(IF((LEFT(TArticle[[#This Row],[شناسه]],3))="5.2",IF(TArticle[[#This Row],[کد وضعیت سند]]=1,TArticle[مبلغ],0),0),0)</f>
        <v>0</v>
      </c>
      <c r="AJ301" s="1">
        <f>IF(TArticle[[#This Row],[کد وضعیت سند]]=1,1,0)</f>
        <v>1</v>
      </c>
      <c r="AK301" s="1">
        <f>IF(AND(TArticle[[#This Row],[کد وضعیت سند]]&lt;&gt;1,TArticle[[#This Row],[مبلغ]]&lt;&gt;0),1,0)</f>
        <v>0</v>
      </c>
      <c r="AL301" s="51">
        <f>IF(TArticle[[#This Row],[کد بانک]]&gt;0,TArticle[[#This Row],[مانده بانک]]-VLOOKUP(TArticle[[#This Row],[کد بانک]],TBank[],7,FALSE),"")</f>
        <v>13500</v>
      </c>
      <c r="AM301" s="58" t="str">
        <f>LEFT(TArticle[[#This Row],[تاریخ]],7)</f>
        <v>1402-01</v>
      </c>
    </row>
    <row r="302" spans="1:39" x14ac:dyDescent="0.25">
      <c r="A302" s="24" t="s">
        <v>112</v>
      </c>
      <c r="B302" s="49" t="str">
        <f>VLOOKUP(TArticle[[#This Row],[شناسه]],TAccount[],2,TRUE)</f>
        <v>رسید دریافت/واریز</v>
      </c>
      <c r="C302" s="49" t="str">
        <f>VLOOKUP(TArticle[[#This Row],[تاریخ]],TDays[],7,FALSE)</f>
        <v>جمعه</v>
      </c>
      <c r="D302" s="21" t="s">
        <v>561</v>
      </c>
      <c r="E302" s="1">
        <v>200</v>
      </c>
      <c r="F302" s="1">
        <f>TArticle[[#This Row],[مبلغ]]+IFERROR(INT(F301),30181+3667+958)</f>
        <v>20198</v>
      </c>
      <c r="G302" s="49" t="s">
        <v>2845</v>
      </c>
      <c r="J302" s="51"/>
      <c r="K302" s="49">
        <v>1</v>
      </c>
      <c r="L302" s="171" t="str">
        <f>IF(TArticle[[#This Row],[کد وضعیت سند]]&gt;0,VLOOKUP(TArticle[[#This Row],[کد وضعیت سند]],TDocState[],2,FALSE),"")</f>
        <v>انجام شد</v>
      </c>
      <c r="N302" s="171" t="str">
        <f>IF(TArticle[[#This Row],[کد طرف حساب]]&gt;0,VLOOKUP(TArticle[[#This Row],[کد طرف حساب]],TContact[],2,FALSE),"")</f>
        <v/>
      </c>
      <c r="O302" s="60" t="str">
        <f>IF(TArticle[[#This Row],[کد طرف حساب]]&gt;0,VLOOKUP(TArticle[[#This Row],[کد طرف حساب]],TContact[],7,FALSE)-SUMIF($M$2:M302,M302,$E$2:$E302),"")</f>
        <v/>
      </c>
      <c r="P302" s="27" t="str">
        <f>RIGHT(TArticle[[#This Row],[تاریخ]],2)</f>
        <v>04</v>
      </c>
      <c r="Q302" s="27">
        <f>VLOOKUP(TArticle[[#This Row],[تاریخ]],TDays[],16,FALSE)</f>
        <v>1</v>
      </c>
      <c r="R302" s="27" t="str">
        <f>RIGHT(LEFT(TArticle[[#This Row],[تاریخ]],7),2)</f>
        <v>01</v>
      </c>
      <c r="S302" s="27" t="str">
        <f>LEFT(TArticle[[#This Row],[تاریخ]],4)</f>
        <v>1402</v>
      </c>
      <c r="U302" s="21">
        <f>VLOOKUP(TArticle[[#This Row],[شناسه]],TAccount[],7,TRUE)</f>
        <v>257767</v>
      </c>
      <c r="W302" s="21">
        <f>IF(AND(TArticle[[#This Row],[مبلغ]]&gt;0, TArticle[[#This Row],[کد وضعیت سند]]=1),TArticle[[#This Row],[مبلغ]],0)</f>
        <v>200</v>
      </c>
      <c r="X302" s="27">
        <f>IF(AND(TArticle[[#This Row],[مبلغ]]&lt;0,TArticle[[#This Row],[کد وضعیت سند]]=1),0-TArticle[[#This Row],[مبلغ]],0)</f>
        <v>0</v>
      </c>
      <c r="Y302" s="27">
        <v>1</v>
      </c>
      <c r="Z302" s="171" t="str">
        <f>IF(TArticle[[#This Row],[کد بانک]]&gt;0,VLOOKUP(TArticle[[#This Row],[کد بانک]],TBank[],2,FALSE),"")</f>
        <v>کیف پول</v>
      </c>
      <c r="AA302">
        <f>IF(AND(TArticle[[#This Row],[مبلغ]]&lt;0,TArticle[[#This Row],[کد وضعیت سند]]=1),0-TArticle[[#This Row],[مبلغ]],0)</f>
        <v>0</v>
      </c>
      <c r="AB302">
        <f>IF(AND(TArticle[[#This Row],[مبلغ]]&gt;0, TArticle[[#This Row],[کد وضعیت سند]]=1),TArticle[[#This Row],[مبلغ]],0)</f>
        <v>200</v>
      </c>
      <c r="AC302" s="92">
        <f>IF(TArticle[[#This Row],[کد بانک]]&gt;0,VLOOKUP(TArticle[[#This Row],[کد بانک]],TBank[],9,FALSE)+SUMIF($Y$2:Y302,Y302,$E$2:$E302),"")</f>
        <v>300</v>
      </c>
      <c r="AD302" s="1">
        <f>IFERROR(IF(INT(LEFT(TArticle[[#This Row],[شناسه]]))=3,IF(TArticle[[#This Row],[کد وضعیت سند]]=1,TArticle[مبلغ],0),0),0)</f>
        <v>0</v>
      </c>
      <c r="AE302" s="1">
        <f>IFERROR(IF(((TArticle[[#This Row],[شناسه]]))="4.1.1",IF(TArticle[[#This Row],[کد وضعیت سند]]=1,TArticle[مبلغ],0),0),0)</f>
        <v>0</v>
      </c>
      <c r="AF302" s="1">
        <f>IFERROR(IF(((TArticle[[#This Row],[شناسه]]))="4.1.2",IF(TArticle[[#This Row],[کد وضعیت سند]]=1,TArticle[مبلغ],0),0),0)</f>
        <v>0</v>
      </c>
      <c r="AG302" s="1">
        <f>IFERROR(IF(INT(LEFT(TArticle[[#This Row],[شناسه]]))=1,IF(TArticle[[#This Row],[کد وضعیت سند]]=1,TArticle[مبلغ],0),0),0)</f>
        <v>0</v>
      </c>
      <c r="AH302" s="1">
        <f>IFERROR(IF(INT(LEFT(TArticle[[#This Row],[شناسه]]))=2,IF(TArticle[[#This Row],[کد وضعیت سند]]=1,TArticle[مبلغ],0),0),0)</f>
        <v>0</v>
      </c>
      <c r="AI302" s="1">
        <f>IFERROR(IF((LEFT(TArticle[[#This Row],[شناسه]],3))="5.2",IF(TArticle[[#This Row],[کد وضعیت سند]]=1,TArticle[مبلغ],0),0),0)</f>
        <v>0</v>
      </c>
      <c r="AJ302" s="1">
        <f>IF(TArticle[[#This Row],[کد وضعیت سند]]=1,1,0)</f>
        <v>1</v>
      </c>
      <c r="AK302" s="1">
        <f>IF(AND(TArticle[[#This Row],[کد وضعیت سند]]&lt;&gt;1,TArticle[[#This Row],[مبلغ]]&lt;&gt;0),1,0)</f>
        <v>0</v>
      </c>
      <c r="AL302" s="51">
        <f>IF(TArticle[[#This Row],[کد بانک]]&gt;0,TArticle[[#This Row],[مانده بانک]]-VLOOKUP(TArticle[[#This Row],[کد بانک]],TBank[],7,FALSE),"")</f>
        <v>300</v>
      </c>
      <c r="AM302" s="58" t="str">
        <f>LEFT(TArticle[[#This Row],[تاریخ]],7)</f>
        <v>1402-01</v>
      </c>
    </row>
    <row r="303" spans="1:39" x14ac:dyDescent="0.25">
      <c r="A303" s="24" t="s">
        <v>55</v>
      </c>
      <c r="B303" s="49" t="str">
        <f>VLOOKUP(TArticle[[#This Row],[شناسه]],TAccount[],2,TRUE)</f>
        <v>هزینه کلی</v>
      </c>
      <c r="C303" s="49" t="str">
        <f>VLOOKUP(TArticle[[#This Row],[تاریخ]],TDays[],7,FALSE)</f>
        <v>جمعه</v>
      </c>
      <c r="D303" s="21" t="s">
        <v>561</v>
      </c>
      <c r="E303" s="1">
        <f>15389-15640</f>
        <v>-251</v>
      </c>
      <c r="F303" s="1">
        <f>TArticle[[#This Row],[مبلغ]]+IFERROR(INT(F302),30181+3667+958)</f>
        <v>19947</v>
      </c>
      <c r="G303" s="49" t="s">
        <v>931</v>
      </c>
      <c r="H303" s="64"/>
      <c r="J303" s="65"/>
      <c r="K303" s="21">
        <v>1</v>
      </c>
      <c r="L303" s="171" t="str">
        <f>IF(TArticle[[#This Row],[کد وضعیت سند]]&gt;0,VLOOKUP(TArticle[[#This Row],[کد وضعیت سند]],TDocState[],2,FALSE),"")</f>
        <v>انجام شد</v>
      </c>
      <c r="M303" s="67"/>
      <c r="N303" s="171" t="str">
        <f>IF(TArticle[[#This Row],[کد طرف حساب]]&gt;0,VLOOKUP(TArticle[[#This Row],[کد طرف حساب]],TContact[],2,FALSE),"")</f>
        <v/>
      </c>
      <c r="O303" s="68" t="str">
        <f>IF(TArticle[[#This Row],[کد طرف حساب]]&gt;0,VLOOKUP(TArticle[[#This Row],[کد طرف حساب]],TContact[],7,FALSE)-SUMIF($M$2:M303,M303,$E$2:$E303),"")</f>
        <v/>
      </c>
      <c r="P303" s="67" t="str">
        <f>RIGHT(TArticle[[#This Row],[تاریخ]],2)</f>
        <v>04</v>
      </c>
      <c r="Q303" s="67">
        <f>VLOOKUP(TArticle[[#This Row],[تاریخ]],TDays[],16,FALSE)</f>
        <v>1</v>
      </c>
      <c r="R303" s="67" t="str">
        <f>RIGHT(LEFT(TArticle[[#This Row],[تاریخ]],7),2)</f>
        <v>01</v>
      </c>
      <c r="S303" s="67" t="str">
        <f>LEFT(TArticle[[#This Row],[تاریخ]],4)</f>
        <v>1402</v>
      </c>
      <c r="T303" s="64"/>
      <c r="U303" s="64">
        <f>VLOOKUP(TArticle[[#This Row],[شناسه]],TAccount[],7,TRUE)</f>
        <v>364074</v>
      </c>
      <c r="V303" s="64"/>
      <c r="W303" s="64">
        <f>IF(AND(TArticle[[#This Row],[مبلغ]]&gt;0, TArticle[[#This Row],[کد وضعیت سند]]=1),TArticle[[#This Row],[مبلغ]],0)</f>
        <v>0</v>
      </c>
      <c r="X303" s="67">
        <f>IF(AND(TArticle[[#This Row],[مبلغ]]&lt;0,TArticle[[#This Row],[کد وضعیت سند]]=1),0-TArticle[[#This Row],[مبلغ]],0)</f>
        <v>251</v>
      </c>
      <c r="Y303" s="27">
        <v>2</v>
      </c>
      <c r="Z303" s="171" t="str">
        <f>IF(TArticle[[#This Row],[کد بانک]]&gt;0,VLOOKUP(TArticle[[#This Row],[کد بانک]],TBank[],2,FALSE),"")</f>
        <v>ملی جاری</v>
      </c>
      <c r="AA303">
        <f>IF(AND(TArticle[[#This Row],[مبلغ]]&lt;0,TArticle[[#This Row],[کد وضعیت سند]]=1),0-TArticle[[#This Row],[مبلغ]],0)</f>
        <v>251</v>
      </c>
      <c r="AB303">
        <f>IF(AND(TArticle[[#This Row],[مبلغ]]&gt;0, TArticle[[#This Row],[کد وضعیت سند]]=1),TArticle[[#This Row],[مبلغ]],0)</f>
        <v>0</v>
      </c>
      <c r="AC303" s="93">
        <f>IF(TArticle[[#This Row],[کد بانک]]&gt;0,VLOOKUP(TArticle[[#This Row],[کد بانک]],TBank[],9,FALSE)+SUMIF($Y$2:Y303,Y303,$E$2:$E303),"")</f>
        <v>13249</v>
      </c>
      <c r="AD303" s="1">
        <f>IFERROR(IF(INT(LEFT(TArticle[[#This Row],[شناسه]]))=3,IF(TArticle[[#This Row],[کد وضعیت سند]]=1,TArticle[مبلغ],0),0),0)</f>
        <v>-251</v>
      </c>
      <c r="AE303" s="1">
        <f>IFERROR(IF(((TArticle[[#This Row],[شناسه]]))="4.1.1",IF(TArticle[[#This Row],[کد وضعیت سند]]=1,TArticle[مبلغ],0),0),0)</f>
        <v>0</v>
      </c>
      <c r="AF303" s="1">
        <f>IFERROR(IF(((TArticle[[#This Row],[شناسه]]))="4.1.2",IF(TArticle[[#This Row],[کد وضعیت سند]]=1,TArticle[مبلغ],0),0),0)</f>
        <v>0</v>
      </c>
      <c r="AG303" s="1">
        <f>IFERROR(IF(INT(LEFT(TArticle[[#This Row],[شناسه]]))=1,IF(TArticle[[#This Row],[کد وضعیت سند]]=1,TArticle[مبلغ],0),0),0)</f>
        <v>0</v>
      </c>
      <c r="AH303" s="1">
        <f>IFERROR(IF(INT(LEFT(TArticle[[#This Row],[شناسه]]))=2,IF(TArticle[[#This Row],[کد وضعیت سند]]=1,TArticle[مبلغ],0),0),0)</f>
        <v>0</v>
      </c>
      <c r="AI303" s="1">
        <f>IFERROR(IF((LEFT(TArticle[[#This Row],[شناسه]],3))="5.2",IF(TArticle[[#This Row],[کد وضعیت سند]]=1,TArticle[مبلغ],0),0),0)</f>
        <v>0</v>
      </c>
      <c r="AJ303" s="1">
        <f>IF(TArticle[[#This Row],[کد وضعیت سند]]=1,1,0)</f>
        <v>1</v>
      </c>
      <c r="AK303" s="1">
        <f>IF(AND(TArticle[[#This Row],[کد وضعیت سند]]&lt;&gt;1,TArticle[[#This Row],[مبلغ]]&lt;&gt;0),1,0)</f>
        <v>0</v>
      </c>
      <c r="AL303" s="78">
        <f>IF(TArticle[[#This Row],[کد بانک]]&gt;0,TArticle[[#This Row],[مانده بانک]]-VLOOKUP(TArticle[[#This Row],[کد بانک]],TBank[],7,FALSE),"")</f>
        <v>13249</v>
      </c>
      <c r="AM303" s="58" t="str">
        <f>LEFT(TArticle[[#This Row],[تاریخ]],7)</f>
        <v>1402-01</v>
      </c>
    </row>
    <row r="304" spans="1:39" x14ac:dyDescent="0.25">
      <c r="A304" s="24" t="s">
        <v>1110</v>
      </c>
      <c r="B304" s="49" t="str">
        <f>VLOOKUP(TArticle[[#This Row],[شناسه]],TAccount[],2,TRUE)</f>
        <v>قسط وام بانکی</v>
      </c>
      <c r="C304" s="49" t="str">
        <f>VLOOKUP(TArticle[[#This Row],[تاریخ]],TDays[],7,FALSE)</f>
        <v>چهارشنبه</v>
      </c>
      <c r="D304" s="21" t="s">
        <v>566</v>
      </c>
      <c r="E304" s="1">
        <v>-1830</v>
      </c>
      <c r="F304" s="1">
        <f>TArticle[[#This Row],[مبلغ]]+IFERROR(INT(F303),30181+3667+958)</f>
        <v>18117</v>
      </c>
      <c r="G304" s="49" t="s">
        <v>1591</v>
      </c>
      <c r="H304" s="21">
        <v>22</v>
      </c>
      <c r="K304" s="21">
        <v>1</v>
      </c>
      <c r="L304" s="171" t="str">
        <f>IF(TArticle[[#This Row],[کد وضعیت سند]]&gt;0,VLOOKUP(TArticle[[#This Row],[کد وضعیت سند]],TDocState[],2,FALSE),"")</f>
        <v>انجام شد</v>
      </c>
      <c r="M304" s="27">
        <v>110</v>
      </c>
      <c r="N304" s="171" t="str">
        <f>IF(TArticle[[#This Row],[کد طرف حساب]]&gt;0,VLOOKUP(TArticle[[#This Row],[کد طرف حساب]],TContact[],2,FALSE),"")</f>
        <v>وام ملت</v>
      </c>
      <c r="O304" s="61">
        <f>IF(TArticle[[#This Row],[کد طرف حساب]]&gt;0,VLOOKUP(TArticle[[#This Row],[کد طرف حساب]],TContact[],7,FALSE)-SUMIF($M$2:M304,M304,$E$2:$E304),"")</f>
        <v>-24380</v>
      </c>
      <c r="P304" s="27" t="str">
        <f>RIGHT(TArticle[[#This Row],[تاریخ]],2)</f>
        <v>09</v>
      </c>
      <c r="Q304" s="27">
        <f>VLOOKUP(TArticle[[#This Row],[تاریخ]],TDays[],16,FALSE)</f>
        <v>2</v>
      </c>
      <c r="R304" s="27" t="str">
        <f>RIGHT(LEFT(TArticle[[#This Row],[تاریخ]],7),2)</f>
        <v>01</v>
      </c>
      <c r="S304" s="27" t="str">
        <f>LEFT(TArticle[[#This Row],[تاریخ]],4)</f>
        <v>1402</v>
      </c>
      <c r="U304" s="21">
        <f>VLOOKUP(TArticle[[#This Row],[شناسه]],TAccount[],7,TRUE)</f>
        <v>81652</v>
      </c>
      <c r="V304" s="21" t="s">
        <v>560</v>
      </c>
      <c r="W304" s="21">
        <f>IF(AND(TArticle[[#This Row],[مبلغ]]&gt;0, TArticle[[#This Row],[کد وضعیت سند]]=1),TArticle[[#This Row],[مبلغ]],0)</f>
        <v>0</v>
      </c>
      <c r="X304" s="27">
        <f>IF(AND(TArticle[[#This Row],[مبلغ]]&lt;0,TArticle[[#This Row],[کد وضعیت سند]]=1),0-TArticle[[#This Row],[مبلغ]],0)</f>
        <v>1830</v>
      </c>
      <c r="Y304" s="27">
        <v>2</v>
      </c>
      <c r="Z304" s="171" t="str">
        <f>IF(TArticle[[#This Row],[کد بانک]]&gt;0,VLOOKUP(TArticle[[#This Row],[کد بانک]],TBank[],2,FALSE),"")</f>
        <v>ملی جاری</v>
      </c>
      <c r="AA304">
        <f>IF(AND(TArticle[[#This Row],[مبلغ]]&lt;0,TArticle[[#This Row],[کد وضعیت سند]]=1),0-TArticle[[#This Row],[مبلغ]],0)</f>
        <v>1830</v>
      </c>
      <c r="AB304">
        <f>IF(AND(TArticle[[#This Row],[مبلغ]]&gt;0, TArticle[[#This Row],[کد وضعیت سند]]=1),TArticle[[#This Row],[مبلغ]],0)</f>
        <v>0</v>
      </c>
      <c r="AC304" s="84">
        <f>IF(TArticle[[#This Row],[کد بانک]]&gt;0,VLOOKUP(TArticle[[#This Row],[کد بانک]],TBank[],9,FALSE)+SUMIF($Y$2:Y304,Y304,$E$2:$E304),"")</f>
        <v>11419</v>
      </c>
      <c r="AD304" s="1">
        <f>IFERROR(IF(INT(LEFT(TArticle[[#This Row],[شناسه]]))=3,IF(TArticle[[#This Row],[کد وضعیت سند]]=1,TArticle[مبلغ],0),0),0)</f>
        <v>0</v>
      </c>
      <c r="AE304" s="1">
        <f>IFERROR(IF(((TArticle[[#This Row],[شناسه]]))="4.1.1",IF(TArticle[[#This Row],[کد وضعیت سند]]=1,TArticle[مبلغ],0),0),0)</f>
        <v>0</v>
      </c>
      <c r="AF304" s="1">
        <f>IFERROR(IF(((TArticle[[#This Row],[شناسه]]))="4.1.2",IF(TArticle[[#This Row],[کد وضعیت سند]]=1,TArticle[مبلغ],0),0),0)</f>
        <v>0</v>
      </c>
      <c r="AG304" s="1">
        <f>IFERROR(IF(INT(LEFT(TArticle[[#This Row],[شناسه]]))=1,IF(TArticle[[#This Row],[کد وضعیت سند]]=1,TArticle[مبلغ],0),0),0)</f>
        <v>-1830</v>
      </c>
      <c r="AH304" s="1">
        <f>IFERROR(IF(INT(LEFT(TArticle[[#This Row],[شناسه]]))=2,IF(TArticle[[#This Row],[کد وضعیت سند]]=1,TArticle[مبلغ],0),0),0)</f>
        <v>0</v>
      </c>
      <c r="AI304" s="1">
        <f>IFERROR(IF((LEFT(TArticle[[#This Row],[شناسه]],3))="5.2",IF(TArticle[[#This Row],[کد وضعیت سند]]=1,TArticle[مبلغ],0),0),0)</f>
        <v>0</v>
      </c>
      <c r="AJ304" s="1">
        <f>IF(TArticle[[#This Row],[کد وضعیت سند]]=1,1,0)</f>
        <v>1</v>
      </c>
      <c r="AK304" s="1">
        <f>IF(AND(TArticle[[#This Row],[کد وضعیت سند]]&lt;&gt;1,TArticle[[#This Row],[مبلغ]]&lt;&gt;0),1,0)</f>
        <v>0</v>
      </c>
      <c r="AL304" s="51">
        <f>IF(TArticle[[#This Row],[کد بانک]]&gt;0,TArticle[[#This Row],[مانده بانک]]-VLOOKUP(TArticle[[#This Row],[کد بانک]],TBank[],7,FALSE),"")</f>
        <v>11419</v>
      </c>
      <c r="AM304" s="49" t="str">
        <f>LEFT(TArticle[[#This Row],[تاریخ]],7)</f>
        <v>1402-01</v>
      </c>
    </row>
    <row r="305" spans="1:39" x14ac:dyDescent="0.25">
      <c r="A305" s="24" t="s">
        <v>1110</v>
      </c>
      <c r="B305" s="49" t="str">
        <f>VLOOKUP(TArticle[[#This Row],[شناسه]],TAccount[],2,TRUE)</f>
        <v>قسط وام بانکی</v>
      </c>
      <c r="C305" s="49" t="str">
        <f>VLOOKUP(TArticle[[#This Row],[تاریخ]],TDays[],7,FALSE)</f>
        <v>چهارشنبه</v>
      </c>
      <c r="D305" s="21" t="s">
        <v>566</v>
      </c>
      <c r="E305" s="1">
        <v>-1830</v>
      </c>
      <c r="F305" s="1">
        <f>TArticle[[#This Row],[مبلغ]]+IFERROR(INT(F304),30181+3667+958)</f>
        <v>16287</v>
      </c>
      <c r="G305" s="49" t="s">
        <v>1591</v>
      </c>
      <c r="H305" s="21">
        <v>22</v>
      </c>
      <c r="K305" s="21">
        <v>1</v>
      </c>
      <c r="L305" s="171" t="str">
        <f>IF(TArticle[[#This Row],[کد وضعیت سند]]&gt;0,VLOOKUP(TArticle[[#This Row],[کد وضعیت سند]],TDocState[],2,FALSE),"")</f>
        <v>انجام شد</v>
      </c>
      <c r="M305" s="27">
        <v>111</v>
      </c>
      <c r="N305" s="171" t="str">
        <f>IF(TArticle[[#This Row],[کد طرف حساب]]&gt;0,VLOOKUP(TArticle[[#This Row],[کد طرف حساب]],TContact[],2,FALSE),"")</f>
        <v>وام ملت ف</v>
      </c>
      <c r="O305" s="61">
        <f>IF(TArticle[[#This Row],[کد طرف حساب]]&gt;0,VLOOKUP(TArticle[[#This Row],[کد طرف حساب]],TContact[],7,FALSE)-SUMIF($M$2:M305,M305,$E$2:$E305),"")</f>
        <v>-24380</v>
      </c>
      <c r="P305" s="27" t="str">
        <f>RIGHT(TArticle[[#This Row],[تاریخ]],2)</f>
        <v>09</v>
      </c>
      <c r="Q305" s="27">
        <f>VLOOKUP(TArticle[[#This Row],[تاریخ]],TDays[],16,FALSE)</f>
        <v>2</v>
      </c>
      <c r="R305" s="27" t="str">
        <f>RIGHT(LEFT(TArticle[[#This Row],[تاریخ]],7),2)</f>
        <v>01</v>
      </c>
      <c r="S305" s="27" t="str">
        <f>LEFT(TArticle[[#This Row],[تاریخ]],4)</f>
        <v>1402</v>
      </c>
      <c r="U305" s="21">
        <f>VLOOKUP(TArticle[[#This Row],[شناسه]],TAccount[],7,TRUE)</f>
        <v>81652</v>
      </c>
      <c r="V305" s="21" t="s">
        <v>560</v>
      </c>
      <c r="W305" s="21">
        <f>IF(AND(TArticle[[#This Row],[مبلغ]]&gt;0, TArticle[[#This Row],[کد وضعیت سند]]=1),TArticle[[#This Row],[مبلغ]],0)</f>
        <v>0</v>
      </c>
      <c r="X305" s="27">
        <f>IF(AND(TArticle[[#This Row],[مبلغ]]&lt;0,TArticle[[#This Row],[کد وضعیت سند]]=1),0-TArticle[[#This Row],[مبلغ]],0)</f>
        <v>1830</v>
      </c>
      <c r="Y305" s="27">
        <v>2</v>
      </c>
      <c r="Z305" s="171" t="str">
        <f>IF(TArticle[[#This Row],[کد بانک]]&gt;0,VLOOKUP(TArticle[[#This Row],[کد بانک]],TBank[],2,FALSE),"")</f>
        <v>ملی جاری</v>
      </c>
      <c r="AA305">
        <f>IF(AND(TArticle[[#This Row],[مبلغ]]&lt;0,TArticle[[#This Row],[کد وضعیت سند]]=1),0-TArticle[[#This Row],[مبلغ]],0)</f>
        <v>1830</v>
      </c>
      <c r="AB305">
        <f>IF(AND(TArticle[[#This Row],[مبلغ]]&gt;0, TArticle[[#This Row],[کد وضعیت سند]]=1),TArticle[[#This Row],[مبلغ]],0)</f>
        <v>0</v>
      </c>
      <c r="AC305" s="84">
        <f>IF(TArticle[[#This Row],[کد بانک]]&gt;0,VLOOKUP(TArticle[[#This Row],[کد بانک]],TBank[],9,FALSE)+SUMIF($Y$2:Y305,Y305,$E$2:$E305),"")</f>
        <v>9589</v>
      </c>
      <c r="AD305" s="1">
        <f>IFERROR(IF(INT(LEFT(TArticle[[#This Row],[شناسه]]))=3,IF(TArticle[[#This Row],[کد وضعیت سند]]=1,TArticle[مبلغ],0),0),0)</f>
        <v>0</v>
      </c>
      <c r="AE305" s="1">
        <f>IFERROR(IF(((TArticle[[#This Row],[شناسه]]))="4.1.1",IF(TArticle[[#This Row],[کد وضعیت سند]]=1,TArticle[مبلغ],0),0),0)</f>
        <v>0</v>
      </c>
      <c r="AF305" s="1">
        <f>IFERROR(IF(((TArticle[[#This Row],[شناسه]]))="4.1.2",IF(TArticle[[#This Row],[کد وضعیت سند]]=1,TArticle[مبلغ],0),0),0)</f>
        <v>0</v>
      </c>
      <c r="AG305" s="1">
        <f>IFERROR(IF(INT(LEFT(TArticle[[#This Row],[شناسه]]))=1,IF(TArticle[[#This Row],[کد وضعیت سند]]=1,TArticle[مبلغ],0),0),0)</f>
        <v>-1830</v>
      </c>
      <c r="AH305" s="1">
        <f>IFERROR(IF(INT(LEFT(TArticle[[#This Row],[شناسه]]))=2,IF(TArticle[[#This Row],[کد وضعیت سند]]=1,TArticle[مبلغ],0),0),0)</f>
        <v>0</v>
      </c>
      <c r="AI305" s="1">
        <f>IFERROR(IF((LEFT(TArticle[[#This Row],[شناسه]],3))="5.2",IF(TArticle[[#This Row],[کد وضعیت سند]]=1,TArticle[مبلغ],0),0),0)</f>
        <v>0</v>
      </c>
      <c r="AJ305" s="1">
        <f>IF(TArticle[[#This Row],[کد وضعیت سند]]=1,1,0)</f>
        <v>1</v>
      </c>
      <c r="AK305" s="1">
        <f>IF(AND(TArticle[[#This Row],[کد وضعیت سند]]&lt;&gt;1,TArticle[[#This Row],[مبلغ]]&lt;&gt;0),1,0)</f>
        <v>0</v>
      </c>
      <c r="AL305" s="51">
        <f>IF(TArticle[[#This Row],[کد بانک]]&gt;0,TArticle[[#This Row],[مانده بانک]]-VLOOKUP(TArticle[[#This Row],[کد بانک]],TBank[],7,FALSE),"")</f>
        <v>9589</v>
      </c>
      <c r="AM305" s="49" t="str">
        <f>LEFT(TArticle[[#This Row],[تاریخ]],7)</f>
        <v>1402-01</v>
      </c>
    </row>
    <row r="306" spans="1:39" x14ac:dyDescent="0.25">
      <c r="A306" s="24"/>
      <c r="B306" s="49" t="str">
        <f>VLOOKUP(TArticle[[#This Row],[شناسه]],TAccount[],2,TRUE)</f>
        <v>---</v>
      </c>
      <c r="C306" s="49" t="str">
        <f>VLOOKUP(TArticle[[#This Row],[تاریخ]],TDays[],7,FALSE)</f>
        <v>پنجشنبه</v>
      </c>
      <c r="D306" s="21" t="s">
        <v>567</v>
      </c>
      <c r="F306" s="1">
        <f>TArticle[[#This Row],[مبلغ]]+IFERROR(INT(F305),30181+3667+958)</f>
        <v>16287</v>
      </c>
      <c r="G306" s="49"/>
      <c r="H306" s="49"/>
      <c r="J306" s="51"/>
      <c r="K306" s="49"/>
      <c r="L306" s="171" t="str">
        <f>IF(TArticle[[#This Row],[کد وضعیت سند]]&gt;0,VLOOKUP(TArticle[[#This Row],[کد وضعیت سند]],TDocState[],2,FALSE),"")</f>
        <v/>
      </c>
      <c r="N306" s="171" t="str">
        <f>IF(TArticle[[#This Row],[کد طرف حساب]]&gt;0,VLOOKUP(TArticle[[#This Row],[کد طرف حساب]],TContact[],2,FALSE),"")</f>
        <v/>
      </c>
      <c r="O306" s="60" t="str">
        <f>IF(TArticle[[#This Row],[کد طرف حساب]]&gt;0,VLOOKUP(TArticle[[#This Row],[کد طرف حساب]],TContact[],7,FALSE)-SUMIF($M$2:M306,M306,$E$2:$E306),"")</f>
        <v/>
      </c>
      <c r="P306" s="27" t="str">
        <f>RIGHT(TArticle[[#This Row],[تاریخ]],2)</f>
        <v>10</v>
      </c>
      <c r="Q306" s="27">
        <f>VLOOKUP(TArticle[[#This Row],[تاریخ]],TDays[],16,FALSE)</f>
        <v>2</v>
      </c>
      <c r="R306" s="27" t="str">
        <f>RIGHT(LEFT(TArticle[[#This Row],[تاریخ]],7),2)</f>
        <v>01</v>
      </c>
      <c r="S306" s="27" t="str">
        <f>LEFT(TArticle[[#This Row],[تاریخ]],4)</f>
        <v>1402</v>
      </c>
      <c r="U306" s="21">
        <f>VLOOKUP(TArticle[[#This Row],[شناسه]],TAccount[],7,TRUE)</f>
        <v>0</v>
      </c>
      <c r="W306" s="21">
        <f>IF(AND(TArticle[[#This Row],[مبلغ]]&gt;0, TArticle[[#This Row],[کد وضعیت سند]]=1),TArticle[[#This Row],[مبلغ]],0)</f>
        <v>0</v>
      </c>
      <c r="X306" s="27">
        <f>IF(AND(TArticle[[#This Row],[مبلغ]]&lt;0,TArticle[[#This Row],[کد وضعیت سند]]=1),0-TArticle[[#This Row],[مبلغ]],0)</f>
        <v>0</v>
      </c>
      <c r="Y306" s="27">
        <v>2</v>
      </c>
      <c r="Z306" s="171" t="str">
        <f>IF(TArticle[[#This Row],[کد بانک]]&gt;0,VLOOKUP(TArticle[[#This Row],[کد بانک]],TBank[],2,FALSE),"")</f>
        <v>ملی جاری</v>
      </c>
      <c r="AA306">
        <f>IF(AND(TArticle[[#This Row],[مبلغ]]&lt;0,TArticle[[#This Row],[کد وضعیت سند]]=1),0-TArticle[[#This Row],[مبلغ]],0)</f>
        <v>0</v>
      </c>
      <c r="AB306">
        <f>IF(AND(TArticle[[#This Row],[مبلغ]]&gt;0, TArticle[[#This Row],[کد وضعیت سند]]=1),TArticle[[#This Row],[مبلغ]],0)</f>
        <v>0</v>
      </c>
      <c r="AC306" s="92">
        <f>IF(TArticle[[#This Row],[کد بانک]]&gt;0,VLOOKUP(TArticle[[#This Row],[کد بانک]],TBank[],9,FALSE)+SUMIF($Y$2:Y306,Y306,$E$2:$E306),"")</f>
        <v>9589</v>
      </c>
      <c r="AD306" s="1">
        <f>IFERROR(IF(INT(LEFT(TArticle[[#This Row],[شناسه]]))=3,IF(TArticle[[#This Row],[کد وضعیت سند]]=1,TArticle[مبلغ],0),0),0)</f>
        <v>0</v>
      </c>
      <c r="AE306" s="1">
        <f>IFERROR(IF(((TArticle[[#This Row],[شناسه]]))="4.1.1",IF(TArticle[[#This Row],[کد وضعیت سند]]=1,TArticle[مبلغ],0),0),0)</f>
        <v>0</v>
      </c>
      <c r="AF306" s="1">
        <f>IFERROR(IF(((TArticle[[#This Row],[شناسه]]))="4.1.2",IF(TArticle[[#This Row],[کد وضعیت سند]]=1,TArticle[مبلغ],0),0),0)</f>
        <v>0</v>
      </c>
      <c r="AG306" s="1">
        <f>IFERROR(IF(INT(LEFT(TArticle[[#This Row],[شناسه]]))=1,IF(TArticle[[#This Row],[کد وضعیت سند]]=1,TArticle[مبلغ],0),0),0)</f>
        <v>0</v>
      </c>
      <c r="AH306" s="1">
        <f>IFERROR(IF(INT(LEFT(TArticle[[#This Row],[شناسه]]))=2,IF(TArticle[[#This Row],[کد وضعیت سند]]=1,TArticle[مبلغ],0),0),0)</f>
        <v>0</v>
      </c>
      <c r="AI306" s="1">
        <f>IFERROR(IF((LEFT(TArticle[[#This Row],[شناسه]],3))="5.2",IF(TArticle[[#This Row],[کد وضعیت سند]]=1,TArticle[مبلغ],0),0),0)</f>
        <v>0</v>
      </c>
      <c r="AJ306" s="1">
        <f>IF(TArticle[[#This Row],[کد وضعیت سند]]=1,1,0)</f>
        <v>0</v>
      </c>
      <c r="AK306" s="1">
        <f>IF(AND(TArticle[[#This Row],[کد وضعیت سند]]&lt;&gt;1,TArticle[[#This Row],[مبلغ]]&lt;&gt;0),1,0)</f>
        <v>0</v>
      </c>
      <c r="AL306" s="51">
        <f>IF(TArticle[[#This Row],[کد بانک]]&gt;0,TArticle[[#This Row],[مانده بانک]]-VLOOKUP(TArticle[[#This Row],[کد بانک]],TBank[],7,FALSE),"")</f>
        <v>9589</v>
      </c>
      <c r="AM306" s="58" t="str">
        <f>LEFT(TArticle[[#This Row],[تاریخ]],7)</f>
        <v>1402-01</v>
      </c>
    </row>
    <row r="307" spans="1:39" x14ac:dyDescent="0.25">
      <c r="A307" s="24" t="s">
        <v>78</v>
      </c>
      <c r="B307" s="49" t="str">
        <f>VLOOKUP(TArticle[[#This Row],[شناسه]],TAccount[],2,TRUE)</f>
        <v>چک</v>
      </c>
      <c r="C307" s="49" t="str">
        <f>VLOOKUP(TArticle[[#This Row],[تاریخ]],TDays[],7,FALSE)</f>
        <v>پنجشنبه</v>
      </c>
      <c r="D307" s="21" t="s">
        <v>567</v>
      </c>
      <c r="E307" s="1">
        <v>-5000</v>
      </c>
      <c r="F307" s="1">
        <f>TArticle[[#This Row],[مبلغ]]+IFERROR(INT(F306),30181+3667+958)</f>
        <v>11287</v>
      </c>
      <c r="G307" s="49" t="s">
        <v>53</v>
      </c>
      <c r="H307" s="49">
        <v>131257</v>
      </c>
      <c r="J307" s="65"/>
      <c r="K307" s="64">
        <v>2</v>
      </c>
      <c r="L307" s="171" t="str">
        <f>IF(TArticle[[#This Row],[کد وضعیت سند]]&gt;0,VLOOKUP(TArticle[[#This Row],[کد وضعیت سند]],TDocState[],2,FALSE),"")</f>
        <v>قطعی</v>
      </c>
      <c r="M307" s="67"/>
      <c r="N307" s="171" t="str">
        <f>IF(TArticle[[#This Row],[کد طرف حساب]]&gt;0,VLOOKUP(TArticle[[#This Row],[کد طرف حساب]],TContact[],2,FALSE),"")</f>
        <v/>
      </c>
      <c r="O307" s="68" t="str">
        <f>IF(TArticle[[#This Row],[کد طرف حساب]]&gt;0,VLOOKUP(TArticle[[#This Row],[کد طرف حساب]],TContact[],7,FALSE)-SUMIF($M$2:M307,M307,$E$2:$E307),"")</f>
        <v/>
      </c>
      <c r="P307" s="67" t="str">
        <f>RIGHT(TArticle[[#This Row],[تاریخ]],2)</f>
        <v>10</v>
      </c>
      <c r="Q307" s="67">
        <f>VLOOKUP(TArticle[[#This Row],[تاریخ]],TDays[],16,FALSE)</f>
        <v>2</v>
      </c>
      <c r="R307" s="67" t="str">
        <f>RIGHT(LEFT(TArticle[[#This Row],[تاریخ]],7),2)</f>
        <v>01</v>
      </c>
      <c r="S307" s="67" t="str">
        <f>LEFT(TArticle[[#This Row],[تاریخ]],4)</f>
        <v>1402</v>
      </c>
      <c r="T307" s="64"/>
      <c r="U307" s="64">
        <f>VLOOKUP(TArticle[[#This Row],[شناسه]],TAccount[],7,TRUE)</f>
        <v>57000</v>
      </c>
      <c r="V307" s="21" t="s">
        <v>562</v>
      </c>
      <c r="W307" s="64">
        <f>IF(AND(TArticle[[#This Row],[مبلغ]]&gt;0, TArticle[[#This Row],[کد وضعیت سند]]=1),TArticle[[#This Row],[مبلغ]],0)</f>
        <v>0</v>
      </c>
      <c r="X307" s="67">
        <f>IF(AND(TArticle[[#This Row],[مبلغ]]&lt;0,TArticle[[#This Row],[کد وضعیت سند]]=1),0-TArticle[[#This Row],[مبلغ]],0)</f>
        <v>0</v>
      </c>
      <c r="Y307" s="27">
        <v>2</v>
      </c>
      <c r="Z307" s="171" t="str">
        <f>IF(TArticle[[#This Row],[کد بانک]]&gt;0,VLOOKUP(TArticle[[#This Row],[کد بانک]],TBank[],2,FALSE),"")</f>
        <v>ملی جاری</v>
      </c>
      <c r="AA307">
        <f>IF(AND(TArticle[[#This Row],[مبلغ]]&lt;0,TArticle[[#This Row],[کد وضعیت سند]]=1),0-TArticle[[#This Row],[مبلغ]],0)</f>
        <v>0</v>
      </c>
      <c r="AB307">
        <f>IF(AND(TArticle[[#This Row],[مبلغ]]&gt;0, TArticle[[#This Row],[کد وضعیت سند]]=1),TArticle[[#This Row],[مبلغ]],0)</f>
        <v>0</v>
      </c>
      <c r="AC307" s="93">
        <f>IF(TArticle[[#This Row],[کد بانک]]&gt;0,VLOOKUP(TArticle[[#This Row],[کد بانک]],TBank[],9,FALSE)+SUMIF($Y$2:Y307,Y307,$E$2:$E307),"")</f>
        <v>4589</v>
      </c>
      <c r="AD307" s="1">
        <f>IFERROR(IF(INT(LEFT(TArticle[[#This Row],[شناسه]]))=3,IF(TArticle[[#This Row],[کد وضعیت سند]]=1,TArticle[مبلغ],0),0),0)</f>
        <v>0</v>
      </c>
      <c r="AE307" s="1">
        <f>IFERROR(IF(((TArticle[[#This Row],[شناسه]]))="4.1.1",IF(TArticle[[#This Row],[کد وضعیت سند]]=1,TArticle[مبلغ],0),0),0)</f>
        <v>0</v>
      </c>
      <c r="AF307" s="1">
        <f>IFERROR(IF(((TArticle[[#This Row],[شناسه]]))="4.1.2",IF(TArticle[[#This Row],[کد وضعیت سند]]=1,TArticle[مبلغ],0),0),0)</f>
        <v>0</v>
      </c>
      <c r="AG307" s="1">
        <f>IFERROR(IF(INT(LEFT(TArticle[[#This Row],[شناسه]]))=1,IF(TArticle[[#This Row],[کد وضعیت سند]]=1,TArticle[مبلغ],0),0),0)</f>
        <v>0</v>
      </c>
      <c r="AH307" s="1">
        <f>IFERROR(IF(INT(LEFT(TArticle[[#This Row],[شناسه]]))=2,IF(TArticle[[#This Row],[کد وضعیت سند]]=1,TArticle[مبلغ],0),0),0)</f>
        <v>0</v>
      </c>
      <c r="AI307" s="1">
        <f>IFERROR(IF((LEFT(TArticle[[#This Row],[شناسه]],3))="5.2",IF(TArticle[[#This Row],[کد وضعیت سند]]=1,TArticle[مبلغ],0),0),0)</f>
        <v>0</v>
      </c>
      <c r="AJ307" s="1">
        <f>IF(TArticle[[#This Row],[کد وضعیت سند]]=1,1,0)</f>
        <v>0</v>
      </c>
      <c r="AK307" s="1">
        <f>IF(AND(TArticle[[#This Row],[کد وضعیت سند]]&lt;&gt;1,TArticle[[#This Row],[مبلغ]]&lt;&gt;0),1,0)</f>
        <v>1</v>
      </c>
      <c r="AL307" s="78">
        <f>IF(TArticle[[#This Row],[کد بانک]]&gt;0,TArticle[[#This Row],[مانده بانک]]-VLOOKUP(TArticle[[#This Row],[کد بانک]],TBank[],7,FALSE),"")</f>
        <v>4589</v>
      </c>
      <c r="AM307" s="69" t="str">
        <f>LEFT(TArticle[[#This Row],[تاریخ]],7)</f>
        <v>1402-01</v>
      </c>
    </row>
    <row r="308" spans="1:39" x14ac:dyDescent="0.25">
      <c r="A308" s="24" t="s">
        <v>41</v>
      </c>
      <c r="B308" s="49" t="str">
        <f>VLOOKUP(TArticle[[#This Row],[شناسه]],TAccount[],2,TRUE)</f>
        <v>قرعه هجده (43)</v>
      </c>
      <c r="C308" s="49" t="str">
        <f>VLOOKUP(TArticle[[#This Row],[تاریخ]],TDays[],7,FALSE)</f>
        <v>دوشنبه</v>
      </c>
      <c r="D308" s="21" t="s">
        <v>70</v>
      </c>
      <c r="E308" s="1">
        <v>-350</v>
      </c>
      <c r="F308" s="1">
        <f>TArticle[[#This Row],[مبلغ]]+IFERROR(INT(F307),30181+3667+958)</f>
        <v>10937</v>
      </c>
      <c r="G308" s="49"/>
      <c r="H308" s="21">
        <v>48</v>
      </c>
      <c r="K308" s="21">
        <v>2</v>
      </c>
      <c r="L308" s="171" t="str">
        <f>IF(TArticle[[#This Row],[کد وضعیت سند]]&gt;0,VLOOKUP(TArticle[[#This Row],[کد وضعیت سند]],TDocState[],2,FALSE),"")</f>
        <v>قطعی</v>
      </c>
      <c r="M308" s="27">
        <v>103</v>
      </c>
      <c r="N308" s="171" t="str">
        <f>IF(TArticle[[#This Row],[کد طرف حساب]]&gt;0,VLOOKUP(TArticle[[#This Row],[کد طرف حساب]],TContact[],2,FALSE),"")</f>
        <v>قرعه 18م (43)</v>
      </c>
      <c r="O308" s="51">
        <f>IF(TArticle[[#This Row],[کد طرف حساب]]&gt;0,VLOOKUP(TArticle[[#This Row],[کد طرف حساب]],TContact[],7,FALSE)-SUMIF($M$2:M308,M308,$E$2:$E308),"")</f>
        <v>-1750</v>
      </c>
      <c r="P308" s="27" t="str">
        <f>RIGHT(TArticle[[#This Row],[تاریخ]],2)</f>
        <v>14</v>
      </c>
      <c r="Q308" s="27">
        <f>VLOOKUP(TArticle[[#This Row],[تاریخ]],TDays[],16,FALSE)</f>
        <v>3</v>
      </c>
      <c r="R308" s="27" t="str">
        <f>RIGHT(LEFT(TArticle[[#This Row],[تاریخ]],7),2)</f>
        <v>01</v>
      </c>
      <c r="S308" s="27" t="str">
        <f>LEFT(TArticle[[#This Row],[تاریخ]],4)</f>
        <v>1402</v>
      </c>
      <c r="U308" s="21">
        <f>VLOOKUP(TArticle[[#This Row],[شناسه]],TAccount[],7,TRUE)</f>
        <v>4200</v>
      </c>
      <c r="V308" s="21" t="s">
        <v>70</v>
      </c>
      <c r="W308" s="21">
        <f>IF(AND(TArticle[[#This Row],[مبلغ]]&gt;0, TArticle[[#This Row],[کد وضعیت سند]]=1),TArticle[[#This Row],[مبلغ]],0)</f>
        <v>0</v>
      </c>
      <c r="X308" s="21">
        <f>IF(AND(TArticle[[#This Row],[مبلغ]]&lt;0,TArticle[[#This Row],[کد وضعیت سند]]=1),0-TArticle[[#This Row],[مبلغ]],0)</f>
        <v>0</v>
      </c>
      <c r="Y308" s="27">
        <v>2</v>
      </c>
      <c r="Z308" s="171" t="str">
        <f>IF(TArticle[[#This Row],[کد بانک]]&gt;0,VLOOKUP(TArticle[[#This Row],[کد بانک]],TBank[],2,FALSE),"")</f>
        <v>ملی جاری</v>
      </c>
      <c r="AA308">
        <f>IF(AND(TArticle[[#This Row],[مبلغ]]&lt;0,TArticle[[#This Row],[کد وضعیت سند]]=1),0-TArticle[[#This Row],[مبلغ]],0)</f>
        <v>0</v>
      </c>
      <c r="AB308">
        <f>IF(AND(TArticle[[#This Row],[مبلغ]]&gt;0, TArticle[[#This Row],[کد وضعیت سند]]=1),TArticle[[#This Row],[مبلغ]],0)</f>
        <v>0</v>
      </c>
      <c r="AC308" s="84">
        <f>IF(TArticle[[#This Row],[کد بانک]]&gt;0,VLOOKUP(TArticle[[#This Row],[کد بانک]],TBank[],9,FALSE)+SUMIF($Y$2:Y308,Y308,$E$2:$E308),"")</f>
        <v>4239</v>
      </c>
      <c r="AD308" s="1">
        <f>IFERROR(IF(INT(LEFT(TArticle[[#This Row],[شناسه]]))=3,IF(TArticle[[#This Row],[کد وضعیت سند]]=1,TArticle[مبلغ],0),0),0)</f>
        <v>0</v>
      </c>
      <c r="AE308" s="1">
        <f>IFERROR(IF(((TArticle[[#This Row],[شناسه]]))="4.1.1",IF(TArticle[[#This Row],[کد وضعیت سند]]=1,TArticle[مبلغ],0),0),0)</f>
        <v>0</v>
      </c>
      <c r="AF308" s="1">
        <f>IFERROR(IF(((TArticle[[#This Row],[شناسه]]))="4.1.2",IF(TArticle[[#This Row],[کد وضعیت سند]]=1,TArticle[مبلغ],0),0),0)</f>
        <v>0</v>
      </c>
      <c r="AG308" s="1">
        <f>IFERROR(IF(INT(LEFT(TArticle[[#This Row],[شناسه]]))=1,IF(TArticle[[#This Row],[کد وضعیت سند]]=1,TArticle[مبلغ],0),0),0)</f>
        <v>0</v>
      </c>
      <c r="AH308" s="1">
        <f>IFERROR(IF(INT(LEFT(TArticle[[#This Row],[شناسه]]))=2,IF(TArticle[[#This Row],[کد وضعیت سند]]=1,TArticle[مبلغ],0),0),0)</f>
        <v>0</v>
      </c>
      <c r="AI308" s="1">
        <f>IFERROR(IF((LEFT(TArticle[[#This Row],[شناسه]],3))="5.2",IF(TArticle[[#This Row],[کد وضعیت سند]]=1,TArticle[مبلغ],0),0),0)</f>
        <v>0</v>
      </c>
      <c r="AJ308" s="1">
        <f>IF(TArticle[[#This Row],[کد وضعیت سند]]=1,1,0)</f>
        <v>0</v>
      </c>
      <c r="AK308" s="1">
        <f>IF(AND(TArticle[[#This Row],[کد وضعیت سند]]&lt;&gt;1,TArticle[[#This Row],[مبلغ]]&lt;&gt;0),1,0)</f>
        <v>1</v>
      </c>
      <c r="AL308" s="51">
        <f>IF(TArticle[[#This Row],[کد بانک]]&gt;0,TArticle[[#This Row],[مانده بانک]]-VLOOKUP(TArticle[[#This Row],[کد بانک]],TBank[],7,FALSE),"")</f>
        <v>4239</v>
      </c>
      <c r="AM308" s="58" t="str">
        <f>LEFT(TArticle[[#This Row],[تاریخ]],7)</f>
        <v>1402-01</v>
      </c>
    </row>
    <row r="309" spans="1:39" x14ac:dyDescent="0.25">
      <c r="A309" s="24" t="s">
        <v>1008</v>
      </c>
      <c r="B309" s="49" t="str">
        <f>VLOOKUP(TArticle[[#This Row],[شناسه]],TAccount[],2,TRUE)</f>
        <v>حواله پرداخت/برداشت</v>
      </c>
      <c r="C309" s="49" t="str">
        <f>VLOOKUP(TArticle[[#This Row],[تاریخ]],TDays[],7,FALSE)</f>
        <v>پنجشنبه</v>
      </c>
      <c r="D309" s="21" t="s">
        <v>573</v>
      </c>
      <c r="E309" s="1">
        <v>-4250</v>
      </c>
      <c r="F309" s="1">
        <f>TArticle[[#This Row],[مبلغ]]+IFERROR(INT(F308),30181+3667+958)</f>
        <v>6687</v>
      </c>
      <c r="G309" s="49" t="s">
        <v>2846</v>
      </c>
      <c r="H309" s="64"/>
      <c r="J309" s="65"/>
      <c r="K309" s="64">
        <v>2</v>
      </c>
      <c r="L309" s="171" t="str">
        <f>IF(TArticle[[#This Row],[کد وضعیت سند]]&gt;0,VLOOKUP(TArticle[[#This Row],[کد وضعیت سند]],TDocState[],2,FALSE),"")</f>
        <v>قطعی</v>
      </c>
      <c r="M309" s="67"/>
      <c r="N309" s="171" t="str">
        <f>IF(TArticle[[#This Row],[کد طرف حساب]]&gt;0,VLOOKUP(TArticle[[#This Row],[کد طرف حساب]],TContact[],2,FALSE),"")</f>
        <v/>
      </c>
      <c r="O309" s="68" t="str">
        <f>IF(TArticle[[#This Row],[کد طرف حساب]]&gt;0,VLOOKUP(TArticle[[#This Row],[کد طرف حساب]],TContact[],7,FALSE)-SUMIF($M$2:M309,M309,$E$2:$E309),"")</f>
        <v/>
      </c>
      <c r="P309" s="67" t="str">
        <f>RIGHT(TArticle[[#This Row],[تاریخ]],2)</f>
        <v>17</v>
      </c>
      <c r="Q309" s="67">
        <f>VLOOKUP(TArticle[[#This Row],[تاریخ]],TDays[],16,FALSE)</f>
        <v>3</v>
      </c>
      <c r="R309" s="67" t="str">
        <f>RIGHT(LEFT(TArticle[[#This Row],[تاریخ]],7),2)</f>
        <v>01</v>
      </c>
      <c r="S309" s="67" t="str">
        <f>LEFT(TArticle[[#This Row],[تاریخ]],4)</f>
        <v>1402</v>
      </c>
      <c r="T309" s="64"/>
      <c r="U309" s="64">
        <f>VLOOKUP(TArticle[[#This Row],[شناسه]],TAccount[],7,TRUE)</f>
        <v>179525</v>
      </c>
      <c r="V309" s="64"/>
      <c r="W309" s="64">
        <f>IF(AND(TArticle[[#This Row],[مبلغ]]&gt;0, TArticle[[#This Row],[کد وضعیت سند]]=1),TArticle[[#This Row],[مبلغ]],0)</f>
        <v>0</v>
      </c>
      <c r="X309" s="67">
        <f>IF(AND(TArticle[[#This Row],[مبلغ]]&lt;0,TArticle[[#This Row],[کد وضعیت سند]]=1),0-TArticle[[#This Row],[مبلغ]],0)</f>
        <v>0</v>
      </c>
      <c r="Y309" s="27">
        <v>2</v>
      </c>
      <c r="Z309" s="171" t="str">
        <f>IF(TArticle[[#This Row],[کد بانک]]&gt;0,VLOOKUP(TArticle[[#This Row],[کد بانک]],TBank[],2,FALSE),"")</f>
        <v>ملی جاری</v>
      </c>
      <c r="AA309">
        <f>IF(AND(TArticle[[#This Row],[مبلغ]]&lt;0,TArticle[[#This Row],[کد وضعیت سند]]=1),0-TArticle[[#This Row],[مبلغ]],0)</f>
        <v>0</v>
      </c>
      <c r="AB309">
        <f>IF(AND(TArticle[[#This Row],[مبلغ]]&gt;0, TArticle[[#This Row],[کد وضعیت سند]]=1),TArticle[[#This Row],[مبلغ]],0)</f>
        <v>0</v>
      </c>
      <c r="AC309" s="93">
        <f>IF(TArticle[[#This Row],[کد بانک]]&gt;0,VLOOKUP(TArticle[[#This Row],[کد بانک]],TBank[],9,FALSE)+SUMIF($Y$2:Y309,Y309,$E$2:$E309),"")</f>
        <v>-11</v>
      </c>
      <c r="AD309" s="1">
        <f>IFERROR(IF(INT(LEFT(TArticle[[#This Row],[شناسه]]))=3,IF(TArticle[[#This Row],[کد وضعیت سند]]=1,TArticle[مبلغ],0),0),0)</f>
        <v>0</v>
      </c>
      <c r="AE309" s="1">
        <f>IFERROR(IF(((TArticle[[#This Row],[شناسه]]))="4.1.1",IF(TArticle[[#This Row],[کد وضعیت سند]]=1,TArticle[مبلغ],0),0),0)</f>
        <v>0</v>
      </c>
      <c r="AF309" s="1">
        <f>IFERROR(IF(((TArticle[[#This Row],[شناسه]]))="4.1.2",IF(TArticle[[#This Row],[کد وضعیت سند]]=1,TArticle[مبلغ],0),0),0)</f>
        <v>0</v>
      </c>
      <c r="AG309" s="1">
        <f>IFERROR(IF(INT(LEFT(TArticle[[#This Row],[شناسه]]))=1,IF(TArticle[[#This Row],[کد وضعیت سند]]=1,TArticle[مبلغ],0),0),0)</f>
        <v>0</v>
      </c>
      <c r="AH309" s="1">
        <f>IFERROR(IF(INT(LEFT(TArticle[[#This Row],[شناسه]]))=2,IF(TArticle[[#This Row],[کد وضعیت سند]]=1,TArticle[مبلغ],0),0),0)</f>
        <v>0</v>
      </c>
      <c r="AI309" s="1">
        <f>IFERROR(IF((LEFT(TArticle[[#This Row],[شناسه]],3))="5.2",IF(TArticle[[#This Row],[کد وضعیت سند]]=1,TArticle[مبلغ],0),0),0)</f>
        <v>0</v>
      </c>
      <c r="AJ309" s="1">
        <f>IF(TArticle[[#This Row],[کد وضعیت سند]]=1,1,0)</f>
        <v>0</v>
      </c>
      <c r="AK309" s="1">
        <f>IF(AND(TArticle[[#This Row],[کد وضعیت سند]]&lt;&gt;1,TArticle[[#This Row],[مبلغ]]&lt;&gt;0),1,0)</f>
        <v>1</v>
      </c>
      <c r="AL309" s="78">
        <f>IF(TArticle[[#This Row],[کد بانک]]&gt;0,TArticle[[#This Row],[مانده بانک]]-VLOOKUP(TArticle[[#This Row],[کد بانک]],TBank[],7,FALSE),"")</f>
        <v>-11</v>
      </c>
      <c r="AM309" s="69" t="str">
        <f>LEFT(TArticle[[#This Row],[تاریخ]],7)</f>
        <v>1402-01</v>
      </c>
    </row>
    <row r="310" spans="1:39" x14ac:dyDescent="0.25">
      <c r="A310" s="24" t="s">
        <v>112</v>
      </c>
      <c r="B310" s="49" t="str">
        <f>VLOOKUP(TArticle[[#This Row],[شناسه]],TAccount[],2,TRUE)</f>
        <v>رسید دریافت/واریز</v>
      </c>
      <c r="C310" s="49" t="str">
        <f>VLOOKUP(TArticle[[#This Row],[تاریخ]],TDays[],7,FALSE)</f>
        <v>پنجشنبه</v>
      </c>
      <c r="D310" s="21" t="s">
        <v>573</v>
      </c>
      <c r="E310" s="1">
        <v>4250</v>
      </c>
      <c r="F310" s="1">
        <f>TArticle[[#This Row],[مبلغ]]+IFERROR(INT(F309),30181+3667+958)</f>
        <v>10937</v>
      </c>
      <c r="G310" s="49" t="s">
        <v>2846</v>
      </c>
      <c r="H310" s="64"/>
      <c r="J310" s="65"/>
      <c r="K310" s="64">
        <v>2</v>
      </c>
      <c r="L310" s="171" t="str">
        <f>IF(TArticle[[#This Row],[کد وضعیت سند]]&gt;0,VLOOKUP(TArticle[[#This Row],[کد وضعیت سند]],TDocState[],2,FALSE),"")</f>
        <v>قطعی</v>
      </c>
      <c r="M310" s="67"/>
      <c r="N310" s="171" t="str">
        <f>IF(TArticle[[#This Row],[کد طرف حساب]]&gt;0,VLOOKUP(TArticle[[#This Row],[کد طرف حساب]],TContact[],2,FALSE),"")</f>
        <v/>
      </c>
      <c r="O310" s="68" t="str">
        <f>IF(TArticle[[#This Row],[کد طرف حساب]]&gt;0,VLOOKUP(TArticle[[#This Row],[کد طرف حساب]],TContact[],7,FALSE)-SUMIF($M$2:M310,M310,$E$2:$E310),"")</f>
        <v/>
      </c>
      <c r="P310" s="67" t="str">
        <f>RIGHT(TArticle[[#This Row],[تاریخ]],2)</f>
        <v>17</v>
      </c>
      <c r="Q310" s="67">
        <f>VLOOKUP(TArticle[[#This Row],[تاریخ]],TDays[],16,FALSE)</f>
        <v>3</v>
      </c>
      <c r="R310" s="67" t="str">
        <f>RIGHT(LEFT(TArticle[[#This Row],[تاریخ]],7),2)</f>
        <v>01</v>
      </c>
      <c r="S310" s="67" t="str">
        <f>LEFT(TArticle[[#This Row],[تاریخ]],4)</f>
        <v>1402</v>
      </c>
      <c r="T310" s="64"/>
      <c r="U310" s="64">
        <f>VLOOKUP(TArticle[[#This Row],[شناسه]],TAccount[],7,TRUE)</f>
        <v>257767</v>
      </c>
      <c r="V310" s="64"/>
      <c r="W310" s="64">
        <f>IF(AND(TArticle[[#This Row],[مبلغ]]&gt;0, TArticle[[#This Row],[کد وضعیت سند]]=1),TArticle[[#This Row],[مبلغ]],0)</f>
        <v>0</v>
      </c>
      <c r="X310" s="67">
        <f>IF(AND(TArticle[[#This Row],[مبلغ]]&lt;0,TArticle[[#This Row],[کد وضعیت سند]]=1),0-TArticle[[#This Row],[مبلغ]],0)</f>
        <v>0</v>
      </c>
      <c r="Y310" s="27">
        <v>4</v>
      </c>
      <c r="Z310" s="171" t="str">
        <f>IF(TArticle[[#This Row],[کد بانک]]&gt;0,VLOOKUP(TArticle[[#This Row],[کد بانک]],TBank[],2,FALSE),"")</f>
        <v>سپه</v>
      </c>
      <c r="AA310">
        <f>IF(AND(TArticle[[#This Row],[مبلغ]]&lt;0,TArticle[[#This Row],[کد وضعیت سند]]=1),0-TArticle[[#This Row],[مبلغ]],0)</f>
        <v>0</v>
      </c>
      <c r="AB310">
        <f>IF(AND(TArticle[[#This Row],[مبلغ]]&gt;0, TArticle[[#This Row],[کد وضعیت سند]]=1),TArticle[[#This Row],[مبلغ]],0)</f>
        <v>0</v>
      </c>
      <c r="AC310" s="93">
        <f>IF(TArticle[[#This Row],[کد بانک]]&gt;0,VLOOKUP(TArticle[[#This Row],[کد بانک]],TBank[],9,FALSE)+SUMIF($Y$2:Y310,Y310,$E$2:$E310),"")</f>
        <v>4252</v>
      </c>
      <c r="AD310" s="1">
        <f>IFERROR(IF(INT(LEFT(TArticle[[#This Row],[شناسه]]))=3,IF(TArticle[[#This Row],[کد وضعیت سند]]=1,TArticle[مبلغ],0),0),0)</f>
        <v>0</v>
      </c>
      <c r="AE310" s="1">
        <f>IFERROR(IF(((TArticle[[#This Row],[شناسه]]))="4.1.1",IF(TArticle[[#This Row],[کد وضعیت سند]]=1,TArticle[مبلغ],0),0),0)</f>
        <v>0</v>
      </c>
      <c r="AF310" s="1">
        <f>IFERROR(IF(((TArticle[[#This Row],[شناسه]]))="4.1.2",IF(TArticle[[#This Row],[کد وضعیت سند]]=1,TArticle[مبلغ],0),0),0)</f>
        <v>0</v>
      </c>
      <c r="AG310" s="1">
        <f>IFERROR(IF(INT(LEFT(TArticle[[#This Row],[شناسه]]))=1,IF(TArticle[[#This Row],[کد وضعیت سند]]=1,TArticle[مبلغ],0),0),0)</f>
        <v>0</v>
      </c>
      <c r="AH310" s="1">
        <f>IFERROR(IF(INT(LEFT(TArticle[[#This Row],[شناسه]]))=2,IF(TArticle[[#This Row],[کد وضعیت سند]]=1,TArticle[مبلغ],0),0),0)</f>
        <v>0</v>
      </c>
      <c r="AI310" s="1">
        <f>IFERROR(IF((LEFT(TArticle[[#This Row],[شناسه]],3))="5.2",IF(TArticle[[#This Row],[کد وضعیت سند]]=1,TArticle[مبلغ],0),0),0)</f>
        <v>0</v>
      </c>
      <c r="AJ310" s="1">
        <f>IF(TArticle[[#This Row],[کد وضعیت سند]]=1,1,0)</f>
        <v>0</v>
      </c>
      <c r="AK310" s="1">
        <f>IF(AND(TArticle[[#This Row],[کد وضعیت سند]]&lt;&gt;1,TArticle[[#This Row],[مبلغ]]&lt;&gt;0),1,0)</f>
        <v>1</v>
      </c>
      <c r="AL310" s="78">
        <f>IF(TArticle[[#This Row],[کد بانک]]&gt;0,TArticle[[#This Row],[مانده بانک]]-VLOOKUP(TArticle[[#This Row],[کد بانک]],TBank[],7,FALSE),"")</f>
        <v>4250</v>
      </c>
      <c r="AM310" s="69" t="str">
        <f>LEFT(TArticle[[#This Row],[تاریخ]],7)</f>
        <v>1402-01</v>
      </c>
    </row>
    <row r="311" spans="1:39" x14ac:dyDescent="0.25">
      <c r="A311" s="13" t="s">
        <v>78</v>
      </c>
      <c r="B311" s="49" t="str">
        <f>VLOOKUP(TArticle[[#This Row],[شناسه]],TAccount[],2,TRUE)</f>
        <v>چک</v>
      </c>
      <c r="C311" s="49" t="str">
        <f>VLOOKUP(TArticle[[#This Row],[تاریخ]],TDays[],7,FALSE)</f>
        <v>پنجشنبه</v>
      </c>
      <c r="D311" s="21" t="s">
        <v>573</v>
      </c>
      <c r="E311" s="1">
        <v>-4250</v>
      </c>
      <c r="F311" s="1">
        <f>TArticle[[#This Row],[مبلغ]]+IFERROR(INT(F310),30181+3667+958)</f>
        <v>6687</v>
      </c>
      <c r="G311" s="167">
        <v>290878</v>
      </c>
      <c r="H311" s="21">
        <v>1</v>
      </c>
      <c r="J311" s="51"/>
      <c r="K311" s="64">
        <v>2</v>
      </c>
      <c r="L311" s="171" t="str">
        <f>IF(TArticle[[#This Row],[کد وضعیت سند]]&gt;0,VLOOKUP(TArticle[[#This Row],[کد وضعیت سند]],TDocState[],2,FALSE),"")</f>
        <v>قطعی</v>
      </c>
      <c r="M311" s="27">
        <v>117</v>
      </c>
      <c r="N311" s="171" t="str">
        <f>IF(TArticle[[#This Row],[کد طرف حساب]]&gt;0,VLOOKUP(TArticle[[#This Row],[کد طرف حساب]],TContact[],2,FALSE),"")</f>
        <v>وام سرویس خواب</v>
      </c>
      <c r="O311" s="60">
        <f>IF(TArticle[[#This Row],[کد طرف حساب]]&gt;0,VLOOKUP(TArticle[[#This Row],[کد طرف حساب]],TContact[],7,FALSE)-SUMIF($M$2:M311,M311,$E$2:$E311),"")</f>
        <v>-46750</v>
      </c>
      <c r="P311" s="27" t="str">
        <f>RIGHT(TArticle[[#This Row],[تاریخ]],2)</f>
        <v>17</v>
      </c>
      <c r="Q311" s="27">
        <f>VLOOKUP(TArticle[[#This Row],[تاریخ]],TDays[],16,FALSE)</f>
        <v>3</v>
      </c>
      <c r="R311" s="27" t="str">
        <f>RIGHT(LEFT(TArticle[[#This Row],[تاریخ]],7),2)</f>
        <v>01</v>
      </c>
      <c r="S311" s="27" t="str">
        <f>LEFT(TArticle[[#This Row],[تاریخ]],4)</f>
        <v>1402</v>
      </c>
      <c r="U311" s="21">
        <f>VLOOKUP(TArticle[[#This Row],[شناسه]],TAccount[],7,TRUE)</f>
        <v>57000</v>
      </c>
      <c r="V311" s="21" t="s">
        <v>573</v>
      </c>
      <c r="W311" s="21">
        <f>IF(AND(TArticle[[#This Row],[مبلغ]]&gt;0, TArticle[[#This Row],[کد وضعیت سند]]=1),TArticle[[#This Row],[مبلغ]],0)</f>
        <v>0</v>
      </c>
      <c r="X311" s="27">
        <f>IF(AND(TArticle[[#This Row],[مبلغ]]&lt;0,TArticle[[#This Row],[کد وضعیت سند]]=1),0-TArticle[[#This Row],[مبلغ]],0)</f>
        <v>0</v>
      </c>
      <c r="Y311" s="27">
        <v>4</v>
      </c>
      <c r="Z311" s="171" t="str">
        <f>IF(TArticle[[#This Row],[کد بانک]]&gt;0,VLOOKUP(TArticle[[#This Row],[کد بانک]],TBank[],2,FALSE),"")</f>
        <v>سپه</v>
      </c>
      <c r="AA311">
        <f>IF(AND(TArticle[[#This Row],[مبلغ]]&lt;0,TArticle[[#This Row],[کد وضعیت سند]]=1),0-TArticle[[#This Row],[مبلغ]],0)</f>
        <v>0</v>
      </c>
      <c r="AB311">
        <f>IF(AND(TArticle[[#This Row],[مبلغ]]&gt;0, TArticle[[#This Row],[کد وضعیت سند]]=1),TArticle[[#This Row],[مبلغ]],0)</f>
        <v>0</v>
      </c>
      <c r="AC311" s="92">
        <f>IF(TArticle[[#This Row],[کد بانک]]&gt;0,VLOOKUP(TArticle[[#This Row],[کد بانک]],TBank[],9,FALSE)+SUMIF($Y$2:Y311,Y311,$E$2:$E311),"")</f>
        <v>2</v>
      </c>
      <c r="AD311" s="1">
        <f>IFERROR(IF(INT(LEFT(TArticle[[#This Row],[شناسه]]))=3,IF(TArticle[[#This Row],[کد وضعیت سند]]=1,TArticle[مبلغ],0),0),0)</f>
        <v>0</v>
      </c>
      <c r="AE311" s="1">
        <f>IFERROR(IF(((TArticle[[#This Row],[شناسه]]))="4.1.1",IF(TArticle[[#This Row],[کد وضعیت سند]]=1,TArticle[مبلغ],0),0),0)</f>
        <v>0</v>
      </c>
      <c r="AF311" s="1">
        <f>IFERROR(IF(((TArticle[[#This Row],[شناسه]]))="4.1.2",IF(TArticle[[#This Row],[کد وضعیت سند]]=1,TArticle[مبلغ],0),0),0)</f>
        <v>0</v>
      </c>
      <c r="AG311" s="1">
        <f>IFERROR(IF(INT(LEFT(TArticle[[#This Row],[شناسه]]))=1,IF(TArticle[[#This Row],[کد وضعیت سند]]=1,TArticle[مبلغ],0),0),0)</f>
        <v>0</v>
      </c>
      <c r="AH311" s="1">
        <f>IFERROR(IF(INT(LEFT(TArticle[[#This Row],[شناسه]]))=2,IF(TArticle[[#This Row],[کد وضعیت سند]]=1,TArticle[مبلغ],0),0),0)</f>
        <v>0</v>
      </c>
      <c r="AI311" s="1">
        <f>IFERROR(IF((LEFT(TArticle[[#This Row],[شناسه]],3))="5.2",IF(TArticle[[#This Row],[کد وضعیت سند]]=1,TArticle[مبلغ],0),0),0)</f>
        <v>0</v>
      </c>
      <c r="AJ311" s="1">
        <f>IF(TArticle[[#This Row],[کد وضعیت سند]]=1,1,0)</f>
        <v>0</v>
      </c>
      <c r="AK311" s="1">
        <f>IF(AND(TArticle[[#This Row],[کد وضعیت سند]]&lt;&gt;1,TArticle[[#This Row],[مبلغ]]&lt;&gt;0),1,0)</f>
        <v>1</v>
      </c>
      <c r="AL311" s="51">
        <f>IF(TArticle[[#This Row],[کد بانک]]&gt;0,TArticle[[#This Row],[مانده بانک]]-VLOOKUP(TArticle[[#This Row],[کد بانک]],TBank[],7,FALSE),"")</f>
        <v>0</v>
      </c>
      <c r="AM311" s="58" t="str">
        <f>LEFT(TArticle[[#This Row],[تاریخ]],7)</f>
        <v>1402-01</v>
      </c>
    </row>
    <row r="312" spans="1:39" x14ac:dyDescent="0.25">
      <c r="A312" s="24" t="s">
        <v>1110</v>
      </c>
      <c r="B312" s="49" t="str">
        <f>VLOOKUP(TArticle[[#This Row],[شناسه]],TAccount[],2,TRUE)</f>
        <v>قسط وام بانکی</v>
      </c>
      <c r="C312" s="49" t="str">
        <f>VLOOKUP(TArticle[[#This Row],[تاریخ]],TDays[],7,FALSE)</f>
        <v>شنبه</v>
      </c>
      <c r="D312" s="21" t="s">
        <v>575</v>
      </c>
      <c r="E312" s="1">
        <f>'طرف حساب'!$J$29</f>
        <v>-3616</v>
      </c>
      <c r="F312" s="1">
        <f>TArticle[[#This Row],[مبلغ]]+IFERROR(INT(F311),30181+3667+958)</f>
        <v>3071</v>
      </c>
      <c r="G312" s="49"/>
      <c r="H312" s="21">
        <v>2</v>
      </c>
      <c r="J312" s="51"/>
      <c r="K312" s="64">
        <v>2</v>
      </c>
      <c r="L312" s="171" t="str">
        <f>IF(TArticle[[#This Row],[کد وضعیت سند]]&gt;0,VLOOKUP(TArticle[[#This Row],[کد وضعیت سند]],TDocState[],2,FALSE),"")</f>
        <v>قطعی</v>
      </c>
      <c r="M312" s="67">
        <v>114</v>
      </c>
      <c r="N312" s="171" t="str">
        <f>IF(TArticle[[#This Row],[کد طرف حساب]]&gt;0,VLOOKUP(TArticle[[#This Row],[کد طرف حساب]],TContact[],2,FALSE),"")</f>
        <v>وام کارت ملی ف</v>
      </c>
      <c r="O312" s="60">
        <f>IF(TArticle[[#This Row],[کد طرف حساب]]&gt;0,VLOOKUP(TArticle[[#This Row],[کد طرف حساب]],TContact[],7,FALSE)-SUMIF($M$2:M312,M312,$E$2:$E312),"")</f>
        <v>-124226</v>
      </c>
      <c r="P312" s="27" t="str">
        <f>RIGHT(TArticle[[#This Row],[تاریخ]],2)</f>
        <v>19</v>
      </c>
      <c r="Q312" s="27">
        <f>VLOOKUP(TArticle[[#This Row],[تاریخ]],TDays[],16,FALSE)</f>
        <v>3</v>
      </c>
      <c r="R312" s="27" t="str">
        <f>RIGHT(LEFT(TArticle[[#This Row],[تاریخ]],7),2)</f>
        <v>01</v>
      </c>
      <c r="S312" s="27" t="str">
        <f>LEFT(TArticle[[#This Row],[تاریخ]],4)</f>
        <v>1402</v>
      </c>
      <c r="U312" s="21">
        <f>VLOOKUP(TArticle[[#This Row],[شناسه]],TAccount[],7,TRUE)</f>
        <v>81652</v>
      </c>
      <c r="W312" s="21">
        <f>IF(AND(TArticle[[#This Row],[مبلغ]]&gt;0, TArticle[[#This Row],[کد وضعیت سند]]=1),TArticle[[#This Row],[مبلغ]],0)</f>
        <v>0</v>
      </c>
      <c r="X312" s="27">
        <f>IF(AND(TArticle[[#This Row],[مبلغ]]&lt;0,TArticle[[#This Row],[کد وضعیت سند]]=1),0-TArticle[[#This Row],[مبلغ]],0)</f>
        <v>0</v>
      </c>
      <c r="Y312" s="27">
        <v>2</v>
      </c>
      <c r="Z312" s="171" t="str">
        <f>IF(TArticle[[#This Row],[کد بانک]]&gt;0,VLOOKUP(TArticle[[#This Row],[کد بانک]],TBank[],2,FALSE),"")</f>
        <v>ملی جاری</v>
      </c>
      <c r="AA312">
        <f>IF(AND(TArticle[[#This Row],[مبلغ]]&lt;0,TArticle[[#This Row],[کد وضعیت سند]]=1),0-TArticle[[#This Row],[مبلغ]],0)</f>
        <v>0</v>
      </c>
      <c r="AB312">
        <f>IF(AND(TArticle[[#This Row],[مبلغ]]&gt;0, TArticle[[#This Row],[کد وضعیت سند]]=1),TArticle[[#This Row],[مبلغ]],0)</f>
        <v>0</v>
      </c>
      <c r="AC312" s="92">
        <f>IF(TArticle[[#This Row],[کد بانک]]&gt;0,VLOOKUP(TArticle[[#This Row],[کد بانک]],TBank[],9,FALSE)+SUMIF($Y$2:Y312,Y312,$E$2:$E312),"")</f>
        <v>-3627</v>
      </c>
      <c r="AD312" s="1">
        <f>IFERROR(IF(INT(LEFT(TArticle[[#This Row],[شناسه]]))=3,IF(TArticle[[#This Row],[کد وضعیت سند]]=1,TArticle[مبلغ],0),0),0)</f>
        <v>0</v>
      </c>
      <c r="AE312" s="1">
        <f>IFERROR(IF(((TArticle[[#This Row],[شناسه]]))="4.1.1",IF(TArticle[[#This Row],[کد وضعیت سند]]=1,TArticle[مبلغ],0),0),0)</f>
        <v>0</v>
      </c>
      <c r="AF312" s="1">
        <f>IFERROR(IF(((TArticle[[#This Row],[شناسه]]))="4.1.2",IF(TArticle[[#This Row],[کد وضعیت سند]]=1,TArticle[مبلغ],0),0),0)</f>
        <v>0</v>
      </c>
      <c r="AG312" s="1">
        <f>IFERROR(IF(INT(LEFT(TArticle[[#This Row],[شناسه]]))=1,IF(TArticle[[#This Row],[کد وضعیت سند]]=1,TArticle[مبلغ],0),0),0)</f>
        <v>0</v>
      </c>
      <c r="AH312" s="1">
        <f>IFERROR(IF(INT(LEFT(TArticle[[#This Row],[شناسه]]))=2,IF(TArticle[[#This Row],[کد وضعیت سند]]=1,TArticle[مبلغ],0),0),0)</f>
        <v>0</v>
      </c>
      <c r="AI312" s="1">
        <f>IFERROR(IF((LEFT(TArticle[[#This Row],[شناسه]],3))="5.2",IF(TArticle[[#This Row],[کد وضعیت سند]]=1,TArticle[مبلغ],0),0),0)</f>
        <v>0</v>
      </c>
      <c r="AJ312" s="1">
        <f>IF(TArticle[[#This Row],[کد وضعیت سند]]=1,1,0)</f>
        <v>0</v>
      </c>
      <c r="AK312" s="1">
        <f>IF(AND(TArticle[[#This Row],[کد وضعیت سند]]&lt;&gt;1,TArticle[[#This Row],[مبلغ]]&lt;&gt;0),1,0)</f>
        <v>1</v>
      </c>
      <c r="AL312" s="51">
        <f>IF(TArticle[[#This Row],[کد بانک]]&gt;0,TArticle[[#This Row],[مانده بانک]]-VLOOKUP(TArticle[[#This Row],[کد بانک]],TBank[],7,FALSE),"")</f>
        <v>-3627</v>
      </c>
      <c r="AM312" s="58" t="str">
        <f>LEFT(TArticle[[#This Row],[تاریخ]],7)</f>
        <v>1402-01</v>
      </c>
    </row>
    <row r="313" spans="1:39" x14ac:dyDescent="0.25">
      <c r="A313" s="24" t="s">
        <v>43</v>
      </c>
      <c r="B313" s="49" t="str">
        <f>VLOOKUP(TArticle[[#This Row],[شناسه]],TAccount[],2,TRUE)</f>
        <v>حقوق</v>
      </c>
      <c r="C313" s="49" t="str">
        <f>VLOOKUP(TArticle[[#This Row],[تاریخ]],TDays[],7,FALSE)</f>
        <v>یکشنبه</v>
      </c>
      <c r="D313" s="21" t="s">
        <v>576</v>
      </c>
      <c r="E313" s="1">
        <v>5000</v>
      </c>
      <c r="F313" s="1">
        <f>TArticle[[#This Row],[مبلغ]]+IFERROR(INT(F312),30181+3667+958)</f>
        <v>8071</v>
      </c>
      <c r="G313" s="49" t="s">
        <v>2831</v>
      </c>
      <c r="H313" s="64"/>
      <c r="J313" s="65"/>
      <c r="K313" s="64"/>
      <c r="L313" s="171" t="str">
        <f>IF(TArticle[[#This Row],[کد وضعیت سند]]&gt;0,VLOOKUP(TArticle[[#This Row],[کد وضعیت سند]],TDocState[],2,FALSE),"")</f>
        <v/>
      </c>
      <c r="M313" s="67"/>
      <c r="N313" s="171" t="str">
        <f>IF(TArticle[[#This Row],[کد طرف حساب]]&gt;0,VLOOKUP(TArticle[[#This Row],[کد طرف حساب]],TContact[],2,FALSE),"")</f>
        <v/>
      </c>
      <c r="O313" s="68" t="str">
        <f>IF(TArticle[[#This Row],[کد طرف حساب]]&gt;0,VLOOKUP(TArticle[[#This Row],[کد طرف حساب]],TContact[],7,FALSE)-SUMIF($M$2:M313,M313,$E$2:$E313),"")</f>
        <v/>
      </c>
      <c r="P313" s="67" t="str">
        <f>RIGHT(TArticle[[#This Row],[تاریخ]],2)</f>
        <v>20</v>
      </c>
      <c r="Q313" s="67">
        <f>VLOOKUP(TArticle[[#This Row],[تاریخ]],TDays[],16,FALSE)</f>
        <v>4</v>
      </c>
      <c r="R313" s="67" t="str">
        <f>RIGHT(LEFT(TArticle[[#This Row],[تاریخ]],7),2)</f>
        <v>01</v>
      </c>
      <c r="S313" s="67" t="str">
        <f>LEFT(TArticle[[#This Row],[تاریخ]],4)</f>
        <v>1402</v>
      </c>
      <c r="T313" s="64"/>
      <c r="U313" s="64">
        <f>VLOOKUP(TArticle[[#This Row],[شناسه]],TAccount[],7,TRUE)</f>
        <v>416023</v>
      </c>
      <c r="V313" s="64"/>
      <c r="W313" s="64">
        <f>IF(AND(TArticle[[#This Row],[مبلغ]]&gt;0, TArticle[[#This Row],[کد وضعیت سند]]=1),TArticle[[#This Row],[مبلغ]],0)</f>
        <v>0</v>
      </c>
      <c r="X313" s="67">
        <f>IF(AND(TArticle[[#This Row],[مبلغ]]&lt;0,TArticle[[#This Row],[کد وضعیت سند]]=1),0-TArticle[[#This Row],[مبلغ]],0)</f>
        <v>0</v>
      </c>
      <c r="Y313" s="27">
        <v>2</v>
      </c>
      <c r="Z313" s="171" t="str">
        <f>IF(TArticle[[#This Row],[کد بانک]]&gt;0,VLOOKUP(TArticle[[#This Row],[کد بانک]],TBank[],2,FALSE),"")</f>
        <v>ملی جاری</v>
      </c>
      <c r="AA313">
        <f>IF(AND(TArticle[[#This Row],[مبلغ]]&lt;0,TArticle[[#This Row],[کد وضعیت سند]]=1),0-TArticle[[#This Row],[مبلغ]],0)</f>
        <v>0</v>
      </c>
      <c r="AB313">
        <f>IF(AND(TArticle[[#This Row],[مبلغ]]&gt;0, TArticle[[#This Row],[کد وضعیت سند]]=1),TArticle[[#This Row],[مبلغ]],0)</f>
        <v>0</v>
      </c>
      <c r="AC313" s="93">
        <f>IF(TArticle[[#This Row],[کد بانک]]&gt;0,VLOOKUP(TArticle[[#This Row],[کد بانک]],TBank[],9,FALSE)+SUMIF($Y$2:Y313,Y313,$E$2:$E313),"")</f>
        <v>1373</v>
      </c>
      <c r="AD313" s="1">
        <f>IFERROR(IF(INT(LEFT(TArticle[[#This Row],[شناسه]]))=3,IF(TArticle[[#This Row],[کد وضعیت سند]]=1,TArticle[مبلغ],0),0),0)</f>
        <v>0</v>
      </c>
      <c r="AE313" s="1">
        <f>IFERROR(IF(((TArticle[[#This Row],[شناسه]]))="4.1.1",IF(TArticle[[#This Row],[کد وضعیت سند]]=1,TArticle[مبلغ],0),0),0)</f>
        <v>0</v>
      </c>
      <c r="AF313" s="1">
        <f>IFERROR(IF(((TArticle[[#This Row],[شناسه]]))="4.1.2",IF(TArticle[[#This Row],[کد وضعیت سند]]=1,TArticle[مبلغ],0),0),0)</f>
        <v>0</v>
      </c>
      <c r="AG313" s="1">
        <f>IFERROR(IF(INT(LEFT(TArticle[[#This Row],[شناسه]]))=1,IF(TArticle[[#This Row],[کد وضعیت سند]]=1,TArticle[مبلغ],0),0),0)</f>
        <v>0</v>
      </c>
      <c r="AH313" s="1">
        <f>IFERROR(IF(INT(LEFT(TArticle[[#This Row],[شناسه]]))=2,IF(TArticle[[#This Row],[کد وضعیت سند]]=1,TArticle[مبلغ],0),0),0)</f>
        <v>0</v>
      </c>
      <c r="AI313" s="1">
        <f>IFERROR(IF((LEFT(TArticle[[#This Row],[شناسه]],3))="5.2",IF(TArticle[[#This Row],[کد وضعیت سند]]=1,TArticle[مبلغ],0),0),0)</f>
        <v>0</v>
      </c>
      <c r="AJ313" s="1">
        <f>IF(TArticle[[#This Row],[کد وضعیت سند]]=1,1,0)</f>
        <v>0</v>
      </c>
      <c r="AK313" s="1">
        <f>IF(AND(TArticle[[#This Row],[کد وضعیت سند]]&lt;&gt;1,TArticle[[#This Row],[مبلغ]]&lt;&gt;0),1,0)</f>
        <v>1</v>
      </c>
      <c r="AL313" s="78">
        <f>IF(TArticle[[#This Row],[کد بانک]]&gt;0,TArticle[[#This Row],[مانده بانک]]-VLOOKUP(TArticle[[#This Row],[کد بانک]],TBank[],7,FALSE),"")</f>
        <v>1373</v>
      </c>
      <c r="AM313" s="69" t="str">
        <f>LEFT(TArticle[[#This Row],[تاریخ]],7)</f>
        <v>1402-01</v>
      </c>
    </row>
    <row r="314" spans="1:39" x14ac:dyDescent="0.25">
      <c r="A314" s="24" t="s">
        <v>1013</v>
      </c>
      <c r="B314" s="49" t="str">
        <f>VLOOKUP(TArticle[[#This Row],[شناسه]],TAccount[],2,TRUE)</f>
        <v>یارانه</v>
      </c>
      <c r="C314" s="49" t="str">
        <f>VLOOKUP(TArticle[[#This Row],[تاریخ]],TDays[],7,FALSE)</f>
        <v>یکشنبه</v>
      </c>
      <c r="D314" s="21" t="s">
        <v>576</v>
      </c>
      <c r="E314" s="1">
        <v>1500</v>
      </c>
      <c r="F314" s="1">
        <f>TArticle[[#This Row],[مبلغ]]+IFERROR(INT(F313),30181+3667+958)</f>
        <v>9571</v>
      </c>
      <c r="G314" s="49"/>
      <c r="K314" s="64">
        <v>2</v>
      </c>
      <c r="L314" s="171" t="str">
        <f>IF(TArticle[[#This Row],[کد وضعیت سند]]&gt;0,VLOOKUP(TArticle[[#This Row],[کد وضعیت سند]],TDocState[],2,FALSE),"")</f>
        <v>قطعی</v>
      </c>
      <c r="N314" s="171" t="str">
        <f>IF(TArticle[[#This Row],[کد طرف حساب]]&gt;0,VLOOKUP(TArticle[[#This Row],[کد طرف حساب]],TContact[],2,FALSE),"")</f>
        <v/>
      </c>
      <c r="O314" s="51" t="str">
        <f>IF(TArticle[[#This Row],[کد طرف حساب]]&gt;0,VLOOKUP(TArticle[[#This Row],[کد طرف حساب]],TContact[],7,FALSE)-SUMIF($M$2:M314,M314,$E$2:$E314),"")</f>
        <v/>
      </c>
      <c r="P314" s="27" t="str">
        <f>RIGHT(TArticle[[#This Row],[تاریخ]],2)</f>
        <v>20</v>
      </c>
      <c r="Q314" s="27">
        <f>VLOOKUP(TArticle[[#This Row],[تاریخ]],TDays[],16,FALSE)</f>
        <v>4</v>
      </c>
      <c r="R314" s="27" t="str">
        <f>RIGHT(LEFT(TArticle[[#This Row],[تاریخ]],7),2)</f>
        <v>01</v>
      </c>
      <c r="S314" s="27" t="str">
        <f>LEFT(TArticle[[#This Row],[تاریخ]],4)</f>
        <v>1402</v>
      </c>
      <c r="U314" s="21">
        <f>VLOOKUP(TArticle[[#This Row],[شناسه]],TAccount[],7,TRUE)</f>
        <v>12565</v>
      </c>
      <c r="W314" s="21">
        <f>IF(AND(TArticle[[#This Row],[مبلغ]]&gt;0, TArticle[[#This Row],[کد وضعیت سند]]=1),TArticle[[#This Row],[مبلغ]],0)</f>
        <v>0</v>
      </c>
      <c r="X314" s="21">
        <f>IF(AND(TArticle[[#This Row],[مبلغ]]&lt;0,TArticle[[#This Row],[کد وضعیت سند]]=1),0-TArticle[[#This Row],[مبلغ]],0)</f>
        <v>0</v>
      </c>
      <c r="Y314" s="27">
        <v>2</v>
      </c>
      <c r="Z314" s="171" t="str">
        <f>IF(TArticle[[#This Row],[کد بانک]]&gt;0,VLOOKUP(TArticle[[#This Row],[کد بانک]],TBank[],2,FALSE),"")</f>
        <v>ملی جاری</v>
      </c>
      <c r="AA314">
        <f>IF(AND(TArticle[[#This Row],[مبلغ]]&lt;0,TArticle[[#This Row],[کد وضعیت سند]]=1),0-TArticle[[#This Row],[مبلغ]],0)</f>
        <v>0</v>
      </c>
      <c r="AB314">
        <f>IF(AND(TArticle[[#This Row],[مبلغ]]&gt;0, TArticle[[#This Row],[کد وضعیت سند]]=1),TArticle[[#This Row],[مبلغ]],0)</f>
        <v>0</v>
      </c>
      <c r="AC314" s="84">
        <f>IF(TArticle[[#This Row],[کد بانک]]&gt;0,VLOOKUP(TArticle[[#This Row],[کد بانک]],TBank[],9,FALSE)+SUMIF($Y$2:Y314,Y314,$E$2:$E314),"")</f>
        <v>2873</v>
      </c>
      <c r="AD314" s="1">
        <f>IFERROR(IF(INT(LEFT(TArticle[[#This Row],[شناسه]]))=3,IF(TArticle[[#This Row],[کد وضعیت سند]]=1,TArticle[مبلغ],0),0),0)</f>
        <v>0</v>
      </c>
      <c r="AE314" s="1">
        <f>IFERROR(IF(((TArticle[[#This Row],[شناسه]]))="4.1.1",IF(TArticle[[#This Row],[کد وضعیت سند]]=1,TArticle[مبلغ],0),0),0)</f>
        <v>0</v>
      </c>
      <c r="AF314" s="1">
        <f>IFERROR(IF(((TArticle[[#This Row],[شناسه]]))="4.1.2",IF(TArticle[[#This Row],[کد وضعیت سند]]=1,TArticle[مبلغ],0),0),0)</f>
        <v>0</v>
      </c>
      <c r="AG314" s="1">
        <f>IFERROR(IF(INT(LEFT(TArticle[[#This Row],[شناسه]]))=1,IF(TArticle[[#This Row],[کد وضعیت سند]]=1,TArticle[مبلغ],0),0),0)</f>
        <v>0</v>
      </c>
      <c r="AH314" s="1">
        <f>IFERROR(IF(INT(LEFT(TArticle[[#This Row],[شناسه]]))=2,IF(TArticle[[#This Row],[کد وضعیت سند]]=1,TArticle[مبلغ],0),0),0)</f>
        <v>0</v>
      </c>
      <c r="AI314" s="1">
        <f>IFERROR(IF((LEFT(TArticle[[#This Row],[شناسه]],3))="5.2",IF(TArticle[[#This Row],[کد وضعیت سند]]=1,TArticle[مبلغ],0),0),0)</f>
        <v>0</v>
      </c>
      <c r="AJ314" s="1">
        <f>IF(TArticle[[#This Row],[کد وضعیت سند]]=1,1,0)</f>
        <v>0</v>
      </c>
      <c r="AK314" s="1">
        <f>IF(AND(TArticle[[#This Row],[کد وضعیت سند]]&lt;&gt;1,TArticle[[#This Row],[مبلغ]]&lt;&gt;0),1,0)</f>
        <v>1</v>
      </c>
      <c r="AL314" s="51">
        <f>IF(TArticle[[#This Row],[کد بانک]]&gt;0,TArticle[[#This Row],[مانده بانک]]-VLOOKUP(TArticle[[#This Row],[کد بانک]],TBank[],7,FALSE),"")</f>
        <v>2873</v>
      </c>
      <c r="AM314" s="58" t="str">
        <f>LEFT(TArticle[[#This Row],[تاریخ]],7)</f>
        <v>1402-01</v>
      </c>
    </row>
    <row r="315" spans="1:39" x14ac:dyDescent="0.25">
      <c r="A315" s="24" t="s">
        <v>1110</v>
      </c>
      <c r="B315" s="49" t="str">
        <f>VLOOKUP(TArticle[[#This Row],[شناسه]],TAccount[],2,TRUE)</f>
        <v>قسط وام بانکی</v>
      </c>
      <c r="C315" s="49" t="str">
        <f>VLOOKUP(TArticle[[#This Row],[تاریخ]],TDays[],7,FALSE)</f>
        <v>دوشنبه</v>
      </c>
      <c r="D315" s="21" t="s">
        <v>584</v>
      </c>
      <c r="E315" s="1">
        <v>-1808</v>
      </c>
      <c r="F315" s="1">
        <f>TArticle[[#This Row],[مبلغ]]+IFERROR(INT(F314),30181+3667+958)</f>
        <v>7763</v>
      </c>
      <c r="G315" s="49" t="s">
        <v>1597</v>
      </c>
      <c r="H315" s="64">
        <v>18</v>
      </c>
      <c r="J315" s="65"/>
      <c r="K315" s="21">
        <v>2</v>
      </c>
      <c r="L315" s="171" t="str">
        <f>IF(TArticle[[#This Row],[کد وضعیت سند]]&gt;0,VLOOKUP(TArticle[[#This Row],[کد وضعیت سند]],TDocState[],2,FALSE),"")</f>
        <v>قطعی</v>
      </c>
      <c r="M315" s="67">
        <v>112</v>
      </c>
      <c r="N315" s="171" t="str">
        <f>IF(TArticle[[#This Row],[کد طرف حساب]]&gt;0,VLOOKUP(TArticle[[#This Row],[کد طرف حساب]],TContact[],2,FALSE),"")</f>
        <v>وام ملی</v>
      </c>
      <c r="O315" s="68">
        <f>IF(TArticle[[#This Row],[کد طرف حساب]]&gt;0,VLOOKUP(TArticle[[#This Row],[کد طرف حساب]],TContact[],7,FALSE)-SUMIF($M$2:M315,M315,$E$2:$E315),"")</f>
        <v>-30112</v>
      </c>
      <c r="P315" s="67" t="str">
        <f>RIGHT(TArticle[[#This Row],[تاریخ]],2)</f>
        <v>28</v>
      </c>
      <c r="Q315" s="67">
        <f>VLOOKUP(TArticle[[#This Row],[تاریخ]],TDays[],16,FALSE)</f>
        <v>5</v>
      </c>
      <c r="R315" s="67" t="str">
        <f>RIGHT(LEFT(TArticle[[#This Row],[تاریخ]],7),2)</f>
        <v>01</v>
      </c>
      <c r="S315" s="67" t="str">
        <f>LEFT(TArticle[[#This Row],[تاریخ]],4)</f>
        <v>1402</v>
      </c>
      <c r="T315" s="64"/>
      <c r="U315" s="64">
        <f>VLOOKUP(TArticle[[#This Row],[شناسه]],TAccount[],7,TRUE)</f>
        <v>81652</v>
      </c>
      <c r="V315" s="21" t="s">
        <v>584</v>
      </c>
      <c r="W315" s="64">
        <f>IF(AND(TArticle[[#This Row],[مبلغ]]&gt;0, TArticle[[#This Row],[کد وضعیت سند]]=1),TArticle[[#This Row],[مبلغ]],0)</f>
        <v>0</v>
      </c>
      <c r="X315" s="67">
        <f>IF(AND(TArticle[[#This Row],[مبلغ]]&lt;0,TArticle[[#This Row],[کد وضعیت سند]]=1),0-TArticle[[#This Row],[مبلغ]],0)</f>
        <v>0</v>
      </c>
      <c r="Y315" s="67">
        <v>2</v>
      </c>
      <c r="Z315" s="171" t="str">
        <f>IF(TArticle[[#This Row],[کد بانک]]&gt;0,VLOOKUP(TArticle[[#This Row],[کد بانک]],TBank[],2,FALSE),"")</f>
        <v>ملی جاری</v>
      </c>
      <c r="AA315">
        <f>IF(AND(TArticle[[#This Row],[مبلغ]]&lt;0,TArticle[[#This Row],[کد وضعیت سند]]=1),0-TArticle[[#This Row],[مبلغ]],0)</f>
        <v>0</v>
      </c>
      <c r="AB315">
        <f>IF(AND(TArticle[[#This Row],[مبلغ]]&gt;0, TArticle[[#This Row],[کد وضعیت سند]]=1),TArticle[[#This Row],[مبلغ]],0)</f>
        <v>0</v>
      </c>
      <c r="AC315" s="93">
        <f>IF(TArticle[[#This Row],[کد بانک]]&gt;0,VLOOKUP(TArticle[[#This Row],[کد بانک]],TBank[],9,FALSE)+SUMIF($Y$2:Y315,Y315,$E$2:$E315),"")</f>
        <v>1065</v>
      </c>
      <c r="AD315" s="1">
        <f>IFERROR(IF(INT(LEFT(TArticle[[#This Row],[شناسه]]))=3,IF(TArticle[[#This Row],[کد وضعیت سند]]=1,TArticle[مبلغ],0),0),0)</f>
        <v>0</v>
      </c>
      <c r="AE315" s="1">
        <f>IFERROR(IF(((TArticle[[#This Row],[شناسه]]))="4.1.1",IF(TArticle[[#This Row],[کد وضعیت سند]]=1,TArticle[مبلغ],0),0),0)</f>
        <v>0</v>
      </c>
      <c r="AF315" s="1">
        <f>IFERROR(IF(((TArticle[[#This Row],[شناسه]]))="4.1.2",IF(TArticle[[#This Row],[کد وضعیت سند]]=1,TArticle[مبلغ],0),0),0)</f>
        <v>0</v>
      </c>
      <c r="AG315" s="1">
        <f>IFERROR(IF(INT(LEFT(TArticle[[#This Row],[شناسه]]))=1,IF(TArticle[[#This Row],[کد وضعیت سند]]=1,TArticle[مبلغ],0),0),0)</f>
        <v>0</v>
      </c>
      <c r="AH315" s="1">
        <f>IFERROR(IF(INT(LEFT(TArticle[[#This Row],[شناسه]]))=2,IF(TArticle[[#This Row],[کد وضعیت سند]]=1,TArticle[مبلغ],0),0),0)</f>
        <v>0</v>
      </c>
      <c r="AI315" s="1">
        <f>IFERROR(IF((LEFT(TArticle[[#This Row],[شناسه]],3))="5.2",IF(TArticle[[#This Row],[کد وضعیت سند]]=1,TArticle[مبلغ],0),0),0)</f>
        <v>0</v>
      </c>
      <c r="AJ315" s="1">
        <f>IF(TArticle[[#This Row],[کد وضعیت سند]]=1,1,0)</f>
        <v>0</v>
      </c>
      <c r="AK315" s="1">
        <f>IF(AND(TArticle[[#This Row],[کد وضعیت سند]]&lt;&gt;1,TArticle[[#This Row],[مبلغ]]&lt;&gt;0),1,0)</f>
        <v>1</v>
      </c>
      <c r="AL315" s="78">
        <f>IF(TArticle[[#This Row],[کد بانک]]&gt;0,TArticle[[#This Row],[مانده بانک]]-VLOOKUP(TArticle[[#This Row],[کد بانک]],TBank[],7,FALSE),"")</f>
        <v>1065</v>
      </c>
      <c r="AM315" s="58" t="str">
        <f>LEFT(TArticle[[#This Row],[تاریخ]],7)</f>
        <v>1402-01</v>
      </c>
    </row>
    <row r="316" spans="1:39" x14ac:dyDescent="0.25">
      <c r="A316" s="13"/>
      <c r="B316" s="49" t="str">
        <f>VLOOKUP(TArticle[[#This Row],[شناسه]],TAccount[],2,TRUE)</f>
        <v>---</v>
      </c>
      <c r="C316" s="49" t="str">
        <f>VLOOKUP(TArticle[[#This Row],[تاریخ]],TDays[],7,FALSE)</f>
        <v>جمعه</v>
      </c>
      <c r="D316" s="21" t="s">
        <v>588</v>
      </c>
      <c r="F316" s="1">
        <f>TArticle[[#This Row],[مبلغ]]+IFERROR(INT(F315),30181+3667+958)</f>
        <v>7763</v>
      </c>
      <c r="G316" s="49"/>
      <c r="H316" s="64"/>
      <c r="J316" s="51"/>
      <c r="K316" s="49"/>
      <c r="L316" s="171" t="str">
        <f>IF(TArticle[[#This Row],[کد وضعیت سند]]&gt;0,VLOOKUP(TArticle[[#This Row],[کد وضعیت سند]],TDocState[],2,FALSE),"")</f>
        <v/>
      </c>
      <c r="N316" s="171" t="str">
        <f>IF(TArticle[[#This Row],[کد طرف حساب]]&gt;0,VLOOKUP(TArticle[[#This Row],[کد طرف حساب]],TContact[],2,FALSE),"")</f>
        <v/>
      </c>
      <c r="O316" s="60" t="str">
        <f>IF(TArticle[[#This Row],[کد طرف حساب]]&gt;0,VLOOKUP(TArticle[[#This Row],[کد طرف حساب]],TContact[],7,FALSE)-SUMIF($M$2:M316,M316,$E$2:$E316),"")</f>
        <v/>
      </c>
      <c r="P316" s="27" t="str">
        <f>RIGHT(TArticle[[#This Row],[تاریخ]],2)</f>
        <v>01</v>
      </c>
      <c r="Q316" s="27">
        <f>VLOOKUP(TArticle[[#This Row],[تاریخ]],TDays[],16,FALSE)</f>
        <v>5</v>
      </c>
      <c r="R316" s="27" t="str">
        <f>RIGHT(LEFT(TArticle[[#This Row],[تاریخ]],7),2)</f>
        <v>02</v>
      </c>
      <c r="S316" s="27" t="str">
        <f>LEFT(TArticle[[#This Row],[تاریخ]],4)</f>
        <v>1402</v>
      </c>
      <c r="U316" s="21">
        <f>VLOOKUP(TArticle[[#This Row],[شناسه]],TAccount[],7,TRUE)</f>
        <v>0</v>
      </c>
      <c r="W316" s="21">
        <f>IF(AND(TArticle[[#This Row],[مبلغ]]&gt;0, TArticle[[#This Row],[کد وضعیت سند]]=1),TArticle[[#This Row],[مبلغ]],0)</f>
        <v>0</v>
      </c>
      <c r="X316" s="27">
        <f>IF(AND(TArticle[[#This Row],[مبلغ]]&lt;0,TArticle[[#This Row],[کد وضعیت سند]]=1),0-TArticle[[#This Row],[مبلغ]],0)</f>
        <v>0</v>
      </c>
      <c r="Y316" s="27">
        <v>2</v>
      </c>
      <c r="Z316" s="171" t="str">
        <f>IF(TArticle[[#This Row],[کد بانک]]&gt;0,VLOOKUP(TArticle[[#This Row],[کد بانک]],TBank[],2,FALSE),"")</f>
        <v>ملی جاری</v>
      </c>
      <c r="AA316">
        <f>IF(AND(TArticle[[#This Row],[مبلغ]]&lt;0,TArticle[[#This Row],[کد وضعیت سند]]=1),0-TArticle[[#This Row],[مبلغ]],0)</f>
        <v>0</v>
      </c>
      <c r="AB316">
        <f>IF(AND(TArticle[[#This Row],[مبلغ]]&gt;0, TArticle[[#This Row],[کد وضعیت سند]]=1),TArticle[[#This Row],[مبلغ]],0)</f>
        <v>0</v>
      </c>
      <c r="AC316" s="92">
        <f>IF(TArticle[[#This Row],[کد بانک]]&gt;0,VLOOKUP(TArticle[[#This Row],[کد بانک]],TBank[],9,FALSE)+SUMIF($Y$2:Y316,Y316,$E$2:$E316),"")</f>
        <v>1065</v>
      </c>
      <c r="AD316" s="1">
        <f>IFERROR(IF(INT(LEFT(TArticle[[#This Row],[شناسه]]))=3,IF(TArticle[[#This Row],[کد وضعیت سند]]=1,TArticle[مبلغ],0),0),0)</f>
        <v>0</v>
      </c>
      <c r="AE316" s="1">
        <f>IFERROR(IF(((TArticle[[#This Row],[شناسه]]))="4.1.1",IF(TArticle[[#This Row],[کد وضعیت سند]]=1,TArticle[مبلغ],0),0),0)</f>
        <v>0</v>
      </c>
      <c r="AF316" s="1">
        <f>IFERROR(IF(((TArticle[[#This Row],[شناسه]]))="4.1.2",IF(TArticle[[#This Row],[کد وضعیت سند]]=1,TArticle[مبلغ],0),0),0)</f>
        <v>0</v>
      </c>
      <c r="AG316" s="1">
        <f>IFERROR(IF(INT(LEFT(TArticle[[#This Row],[شناسه]]))=1,IF(TArticle[[#This Row],[کد وضعیت سند]]=1,TArticle[مبلغ],0),0),0)</f>
        <v>0</v>
      </c>
      <c r="AH316" s="1">
        <f>IFERROR(IF(INT(LEFT(TArticle[[#This Row],[شناسه]]))=2,IF(TArticle[[#This Row],[کد وضعیت سند]]=1,TArticle[مبلغ],0),0),0)</f>
        <v>0</v>
      </c>
      <c r="AI316" s="1">
        <f>IFERROR(IF((LEFT(TArticle[[#This Row],[شناسه]],3))="5.2",IF(TArticle[[#This Row],[کد وضعیت سند]]=1,TArticle[مبلغ],0),0),0)</f>
        <v>0</v>
      </c>
      <c r="AJ316" s="1">
        <f>IF(TArticle[[#This Row],[کد وضعیت سند]]=1,1,0)</f>
        <v>0</v>
      </c>
      <c r="AK316" s="1">
        <f>IF(AND(TArticle[[#This Row],[کد وضعیت سند]]&lt;&gt;1,TArticle[[#This Row],[مبلغ]]&lt;&gt;0),1,0)</f>
        <v>0</v>
      </c>
      <c r="AL316" s="51">
        <f>IF(TArticle[[#This Row],[کد بانک]]&gt;0,TArticle[[#This Row],[مانده بانک]]-VLOOKUP(TArticle[[#This Row],[کد بانک]],TBank[],7,FALSE),"")</f>
        <v>1065</v>
      </c>
      <c r="AM316" s="58" t="str">
        <f>LEFT(TArticle[[#This Row],[تاریخ]],7)</f>
        <v>1402-02</v>
      </c>
    </row>
    <row r="317" spans="1:39" x14ac:dyDescent="0.25">
      <c r="A317" s="24"/>
      <c r="B317" s="49" t="str">
        <f>VLOOKUP(TArticle[[#This Row],[شناسه]],TAccount[],2,TRUE)</f>
        <v>---</v>
      </c>
      <c r="C317" s="49" t="str">
        <f>VLOOKUP(TArticle[[#This Row],[تاریخ]],TDays[],7,FALSE)</f>
        <v>جمعه</v>
      </c>
      <c r="D317" s="21" t="s">
        <v>588</v>
      </c>
      <c r="F317" s="1">
        <f>TArticle[[#This Row],[مبلغ]]+IFERROR(INT(F316),30181+3667+958)</f>
        <v>7763</v>
      </c>
      <c r="G317" s="49"/>
      <c r="L317" s="171" t="str">
        <f>IF(TArticle[[#This Row],[کد وضعیت سند]]&gt;0,VLOOKUP(TArticle[[#This Row],[کد وضعیت سند]],TDocState[],2,FALSE),"")</f>
        <v/>
      </c>
      <c r="N317" s="171" t="str">
        <f>IF(TArticle[[#This Row],[کد طرف حساب]]&gt;0,VLOOKUP(TArticle[[#This Row],[کد طرف حساب]],TContact[],2,FALSE),"")</f>
        <v/>
      </c>
      <c r="O317" s="51" t="str">
        <f>IF(TArticle[[#This Row],[کد طرف حساب]]&gt;0,VLOOKUP(TArticle[[#This Row],[کد طرف حساب]],TContact[],7,FALSE)-SUMIF($M$2:M317,M317,$E$2:$E317),"")</f>
        <v/>
      </c>
      <c r="P317" s="27" t="str">
        <f>RIGHT(TArticle[[#This Row],[تاریخ]],2)</f>
        <v>01</v>
      </c>
      <c r="Q317" s="27">
        <f>VLOOKUP(TArticle[[#This Row],[تاریخ]],TDays[],16,FALSE)</f>
        <v>5</v>
      </c>
      <c r="R317" s="27" t="str">
        <f>RIGHT(LEFT(TArticle[[#This Row],[تاریخ]],7),2)</f>
        <v>02</v>
      </c>
      <c r="S317" s="27" t="str">
        <f>LEFT(TArticle[[#This Row],[تاریخ]],4)</f>
        <v>1402</v>
      </c>
      <c r="U317" s="21">
        <f>VLOOKUP(TArticle[[#This Row],[شناسه]],TAccount[],7,TRUE)</f>
        <v>0</v>
      </c>
      <c r="W317" s="21">
        <f>IF(AND(TArticle[[#This Row],[مبلغ]]&gt;0, TArticle[[#This Row],[کد وضعیت سند]]=1),TArticle[[#This Row],[مبلغ]],0)</f>
        <v>0</v>
      </c>
      <c r="X317" s="27">
        <f>IF(AND(TArticle[[#This Row],[مبلغ]]&lt;0,TArticle[[#This Row],[کد وضعیت سند]]=1),0-TArticle[[#This Row],[مبلغ]],0)</f>
        <v>0</v>
      </c>
      <c r="Y317" s="27">
        <v>2</v>
      </c>
      <c r="Z317" s="171" t="str">
        <f>IF(TArticle[[#This Row],[کد بانک]]&gt;0,VLOOKUP(TArticle[[#This Row],[کد بانک]],TBank[],2,FALSE),"")</f>
        <v>ملی جاری</v>
      </c>
      <c r="AA317">
        <f>IF(AND(TArticle[[#This Row],[مبلغ]]&lt;0,TArticle[[#This Row],[کد وضعیت سند]]=1),0-TArticle[[#This Row],[مبلغ]],0)</f>
        <v>0</v>
      </c>
      <c r="AB317">
        <f>IF(AND(TArticle[[#This Row],[مبلغ]]&gt;0, TArticle[[#This Row],[کد وضعیت سند]]=1),TArticle[[#This Row],[مبلغ]],0)</f>
        <v>0</v>
      </c>
      <c r="AC317" s="84">
        <f>IF(TArticle[[#This Row],[کد بانک]]&gt;0,VLOOKUP(TArticle[[#This Row],[کد بانک]],TBank[],9,FALSE)+SUMIF($Y$2:Y317,Y317,$E$2:$E317),"")</f>
        <v>1065</v>
      </c>
      <c r="AD317" s="1">
        <f>IFERROR(IF(INT(LEFT(TArticle[[#This Row],[شناسه]]))=3,IF(TArticle[[#This Row],[کد وضعیت سند]]=1,TArticle[مبلغ],0),0),0)</f>
        <v>0</v>
      </c>
      <c r="AE317" s="1">
        <f>IFERROR(IF(((TArticle[[#This Row],[شناسه]]))="4.1.1",IF(TArticle[[#This Row],[کد وضعیت سند]]=1,TArticle[مبلغ],0),0),0)</f>
        <v>0</v>
      </c>
      <c r="AF317" s="1">
        <f>IFERROR(IF(((TArticle[[#This Row],[شناسه]]))="4.1.2",IF(TArticle[[#This Row],[کد وضعیت سند]]=1,TArticle[مبلغ],0),0),0)</f>
        <v>0</v>
      </c>
      <c r="AG317" s="1">
        <f>IFERROR(IF(INT(LEFT(TArticle[[#This Row],[شناسه]]))=1,IF(TArticle[[#This Row],[کد وضعیت سند]]=1,TArticle[مبلغ],0),0),0)</f>
        <v>0</v>
      </c>
      <c r="AH317" s="1">
        <f>IFERROR(IF(INT(LEFT(TArticle[[#This Row],[شناسه]]))=2,IF(TArticle[[#This Row],[کد وضعیت سند]]=1,TArticle[مبلغ],0),0),0)</f>
        <v>0</v>
      </c>
      <c r="AI317" s="1">
        <f>IFERROR(IF((LEFT(TArticle[[#This Row],[شناسه]],3))="5.2",IF(TArticle[[#This Row],[کد وضعیت سند]]=1,TArticle[مبلغ],0),0),0)</f>
        <v>0</v>
      </c>
      <c r="AJ317" s="1">
        <f>IF(TArticle[[#This Row],[کد وضعیت سند]]=1,1,0)</f>
        <v>0</v>
      </c>
      <c r="AK317" s="1">
        <f>IF(AND(TArticle[[#This Row],[کد وضعیت سند]]&lt;&gt;1,TArticle[[#This Row],[مبلغ]]&lt;&gt;0),1,0)</f>
        <v>0</v>
      </c>
      <c r="AL317" s="51">
        <f>IF(TArticle[[#This Row],[کد بانک]]&gt;0,TArticle[[#This Row],[مانده بانک]]-VLOOKUP(TArticle[[#This Row],[کد بانک]],TBank[],7,FALSE),"")</f>
        <v>1065</v>
      </c>
      <c r="AM317" s="49" t="str">
        <f>LEFT(TArticle[[#This Row],[تاریخ]],7)</f>
        <v>1402-02</v>
      </c>
    </row>
    <row r="318" spans="1:39" x14ac:dyDescent="0.25">
      <c r="A318" s="24"/>
      <c r="B318" s="49" t="str">
        <f>VLOOKUP(TArticle[[#This Row],[شناسه]],TAccount[],2,TRUE)</f>
        <v>---</v>
      </c>
      <c r="C318" s="49" t="str">
        <f>VLOOKUP(TArticle[[#This Row],[تاریخ]],TDays[],7,FALSE)</f>
        <v>جمعه</v>
      </c>
      <c r="D318" s="21" t="s">
        <v>588</v>
      </c>
      <c r="F318" s="1">
        <f>TArticle[[#This Row],[مبلغ]]+IFERROR(INT(F317),30181+3667+958)</f>
        <v>7763</v>
      </c>
      <c r="G318" s="49"/>
      <c r="L318" s="171" t="str">
        <f>IF(TArticle[[#This Row],[کد وضعیت سند]]&gt;0,VLOOKUP(TArticle[[#This Row],[کد وضعیت سند]],TDocState[],2,FALSE),"")</f>
        <v/>
      </c>
      <c r="N318" s="171" t="str">
        <f>IF(TArticle[[#This Row],[کد طرف حساب]]&gt;0,VLOOKUP(TArticle[[#This Row],[کد طرف حساب]],TContact[],2,FALSE),"")</f>
        <v/>
      </c>
      <c r="O318" s="61" t="str">
        <f>IF(TArticle[[#This Row],[کد طرف حساب]]&gt;0,VLOOKUP(TArticle[[#This Row],[کد طرف حساب]],TContact[],7,FALSE)-SUMIF($M$2:M318,M318,$E$2:$E318),"")</f>
        <v/>
      </c>
      <c r="P318" s="27" t="str">
        <f>RIGHT(TArticle[[#This Row],[تاریخ]],2)</f>
        <v>01</v>
      </c>
      <c r="Q318" s="27">
        <f>VLOOKUP(TArticle[[#This Row],[تاریخ]],TDays[],16,FALSE)</f>
        <v>5</v>
      </c>
      <c r="R318" s="27" t="str">
        <f>RIGHT(LEFT(TArticle[[#This Row],[تاریخ]],7),2)</f>
        <v>02</v>
      </c>
      <c r="S318" s="27" t="str">
        <f>LEFT(TArticle[[#This Row],[تاریخ]],4)</f>
        <v>1402</v>
      </c>
      <c r="U318" s="21">
        <f>VLOOKUP(TArticle[[#This Row],[شناسه]],TAccount[],7,TRUE)</f>
        <v>0</v>
      </c>
      <c r="W318" s="21">
        <f>IF(AND(TArticle[[#This Row],[مبلغ]]&gt;0, TArticle[[#This Row],[کد وضعیت سند]]=1),TArticle[[#This Row],[مبلغ]],0)</f>
        <v>0</v>
      </c>
      <c r="X318" s="27">
        <f>IF(AND(TArticle[[#This Row],[مبلغ]]&lt;0,TArticle[[#This Row],[کد وضعیت سند]]=1),0-TArticle[[#This Row],[مبلغ]],0)</f>
        <v>0</v>
      </c>
      <c r="Y318" s="27">
        <v>2</v>
      </c>
      <c r="Z318" s="171" t="str">
        <f>IF(TArticle[[#This Row],[کد بانک]]&gt;0,VLOOKUP(TArticle[[#This Row],[کد بانک]],TBank[],2,FALSE),"")</f>
        <v>ملی جاری</v>
      </c>
      <c r="AA318">
        <f>IF(AND(TArticle[[#This Row],[مبلغ]]&lt;0,TArticle[[#This Row],[کد وضعیت سند]]=1),0-TArticle[[#This Row],[مبلغ]],0)</f>
        <v>0</v>
      </c>
      <c r="AB318">
        <f>IF(AND(TArticle[[#This Row],[مبلغ]]&gt;0, TArticle[[#This Row],[کد وضعیت سند]]=1),TArticle[[#This Row],[مبلغ]],0)</f>
        <v>0</v>
      </c>
      <c r="AC318" s="84">
        <f>IF(TArticle[[#This Row],[کد بانک]]&gt;0,VLOOKUP(TArticle[[#This Row],[کد بانک]],TBank[],9,FALSE)+SUMIF($Y$2:Y318,Y318,$E$2:$E318),"")</f>
        <v>1065</v>
      </c>
      <c r="AD318" s="1">
        <f>IFERROR(IF(INT(LEFT(TArticle[[#This Row],[شناسه]]))=3,IF(TArticle[[#This Row],[کد وضعیت سند]]=1,TArticle[مبلغ],0),0),0)</f>
        <v>0</v>
      </c>
      <c r="AE318" s="1">
        <f>IFERROR(IF(((TArticle[[#This Row],[شناسه]]))="4.1.1",IF(TArticle[[#This Row],[کد وضعیت سند]]=1,TArticle[مبلغ],0),0),0)</f>
        <v>0</v>
      </c>
      <c r="AF318" s="1">
        <f>IFERROR(IF(((TArticle[[#This Row],[شناسه]]))="4.1.2",IF(TArticle[[#This Row],[کد وضعیت سند]]=1,TArticle[مبلغ],0),0),0)</f>
        <v>0</v>
      </c>
      <c r="AG318" s="1">
        <f>IFERROR(IF(INT(LEFT(TArticle[[#This Row],[شناسه]]))=1,IF(TArticle[[#This Row],[کد وضعیت سند]]=1,TArticle[مبلغ],0),0),0)</f>
        <v>0</v>
      </c>
      <c r="AH318" s="1">
        <f>IFERROR(IF(INT(LEFT(TArticle[[#This Row],[شناسه]]))=2,IF(TArticle[[#This Row],[کد وضعیت سند]]=1,TArticle[مبلغ],0),0),0)</f>
        <v>0</v>
      </c>
      <c r="AI318" s="1">
        <f>IFERROR(IF((LEFT(TArticle[[#This Row],[شناسه]],3))="5.2",IF(TArticle[[#This Row],[کد وضعیت سند]]=1,TArticle[مبلغ],0),0),0)</f>
        <v>0</v>
      </c>
      <c r="AJ318" s="1">
        <f>IF(TArticle[[#This Row],[کد وضعیت سند]]=1,1,0)</f>
        <v>0</v>
      </c>
      <c r="AK318" s="1">
        <f>IF(AND(TArticle[[#This Row],[کد وضعیت سند]]&lt;&gt;1,TArticle[[#This Row],[مبلغ]]&lt;&gt;0),1,0)</f>
        <v>0</v>
      </c>
      <c r="AL318" s="51">
        <f>IF(TArticle[[#This Row],[کد بانک]]&gt;0,TArticle[[#This Row],[مانده بانک]]-VLOOKUP(TArticle[[#This Row],[کد بانک]],TBank[],7,FALSE),"")</f>
        <v>1065</v>
      </c>
      <c r="AM318" s="69" t="str">
        <f>LEFT(TArticle[[#This Row],[تاریخ]],7)</f>
        <v>1402-02</v>
      </c>
    </row>
    <row r="319" spans="1:39" x14ac:dyDescent="0.25">
      <c r="A319" s="24"/>
      <c r="B319" s="49" t="str">
        <f>VLOOKUP(TArticle[[#This Row],[شناسه]],TAccount[],2,TRUE)</f>
        <v>---</v>
      </c>
      <c r="C319" s="49" t="str">
        <f>VLOOKUP(TArticle[[#This Row],[تاریخ]],TDays[],7,FALSE)</f>
        <v>جمعه</v>
      </c>
      <c r="D319" s="21" t="s">
        <v>588</v>
      </c>
      <c r="F319" s="1">
        <f>TArticle[[#This Row],[مبلغ]]+IFERROR(INT(F318),30181+3667+958)</f>
        <v>7763</v>
      </c>
      <c r="G319" s="49"/>
      <c r="L319" s="171" t="str">
        <f>IF(TArticle[[#This Row],[کد وضعیت سند]]&gt;0,VLOOKUP(TArticle[[#This Row],[کد وضعیت سند]],TDocState[],2,FALSE),"")</f>
        <v/>
      </c>
      <c r="N319" s="171" t="str">
        <f>IF(TArticle[[#This Row],[کد طرف حساب]]&gt;0,VLOOKUP(TArticle[[#This Row],[کد طرف حساب]],TContact[],2,FALSE),"")</f>
        <v/>
      </c>
      <c r="O319" s="61" t="str">
        <f>IF(TArticle[[#This Row],[کد طرف حساب]]&gt;0,VLOOKUP(TArticle[[#This Row],[کد طرف حساب]],TContact[],7,FALSE)-SUMIF($M$2:M319,M319,$E$2:$E319),"")</f>
        <v/>
      </c>
      <c r="P319" s="27" t="str">
        <f>RIGHT(TArticle[[#This Row],[تاریخ]],2)</f>
        <v>01</v>
      </c>
      <c r="Q319" s="27">
        <f>VLOOKUP(TArticle[[#This Row],[تاریخ]],TDays[],16,FALSE)</f>
        <v>5</v>
      </c>
      <c r="R319" s="27" t="str">
        <f>RIGHT(LEFT(TArticle[[#This Row],[تاریخ]],7),2)</f>
        <v>02</v>
      </c>
      <c r="S319" s="27" t="str">
        <f>LEFT(TArticle[[#This Row],[تاریخ]],4)</f>
        <v>1402</v>
      </c>
      <c r="U319" s="21">
        <f>VLOOKUP(TArticle[[#This Row],[شناسه]],TAccount[],7,TRUE)</f>
        <v>0</v>
      </c>
      <c r="W319" s="21">
        <f>IF(AND(TArticle[[#This Row],[مبلغ]]&gt;0, TArticle[[#This Row],[کد وضعیت سند]]=1),TArticle[[#This Row],[مبلغ]],0)</f>
        <v>0</v>
      </c>
      <c r="X319" s="27">
        <f>IF(AND(TArticle[[#This Row],[مبلغ]]&lt;0,TArticle[[#This Row],[کد وضعیت سند]]=1),0-TArticle[[#This Row],[مبلغ]],0)</f>
        <v>0</v>
      </c>
      <c r="Y319" s="27">
        <v>2</v>
      </c>
      <c r="Z319" s="171" t="str">
        <f>IF(TArticle[[#This Row],[کد بانک]]&gt;0,VLOOKUP(TArticle[[#This Row],[کد بانک]],TBank[],2,FALSE),"")</f>
        <v>ملی جاری</v>
      </c>
      <c r="AA319">
        <f>IF(AND(TArticle[[#This Row],[مبلغ]]&lt;0,TArticle[[#This Row],[کد وضعیت سند]]=1),0-TArticle[[#This Row],[مبلغ]],0)</f>
        <v>0</v>
      </c>
      <c r="AB319">
        <f>IF(AND(TArticle[[#This Row],[مبلغ]]&gt;0, TArticle[[#This Row],[کد وضعیت سند]]=1),TArticle[[#This Row],[مبلغ]],0)</f>
        <v>0</v>
      </c>
      <c r="AC319" s="84">
        <f>IF(TArticle[[#This Row],[کد بانک]]&gt;0,VLOOKUP(TArticle[[#This Row],[کد بانک]],TBank[],9,FALSE)+SUMIF($Y$2:Y319,Y319,$E$2:$E319),"")</f>
        <v>1065</v>
      </c>
      <c r="AD319" s="1">
        <f>IFERROR(IF(INT(LEFT(TArticle[[#This Row],[شناسه]]))=3,IF(TArticle[[#This Row],[کد وضعیت سند]]=1,TArticle[مبلغ],0),0),0)</f>
        <v>0</v>
      </c>
      <c r="AE319" s="1">
        <f>IFERROR(IF(((TArticle[[#This Row],[شناسه]]))="4.1.1",IF(TArticle[[#This Row],[کد وضعیت سند]]=1,TArticle[مبلغ],0),0),0)</f>
        <v>0</v>
      </c>
      <c r="AF319" s="1">
        <f>IFERROR(IF(((TArticle[[#This Row],[شناسه]]))="4.1.2",IF(TArticle[[#This Row],[کد وضعیت سند]]=1,TArticle[مبلغ],0),0),0)</f>
        <v>0</v>
      </c>
      <c r="AG319" s="1">
        <f>IFERROR(IF(INT(LEFT(TArticle[[#This Row],[شناسه]]))=1,IF(TArticle[[#This Row],[کد وضعیت سند]]=1,TArticle[مبلغ],0),0),0)</f>
        <v>0</v>
      </c>
      <c r="AH319" s="1">
        <f>IFERROR(IF(INT(LEFT(TArticle[[#This Row],[شناسه]]))=2,IF(TArticle[[#This Row],[کد وضعیت سند]]=1,TArticle[مبلغ],0),0),0)</f>
        <v>0</v>
      </c>
      <c r="AI319" s="1">
        <f>IFERROR(IF((LEFT(TArticle[[#This Row],[شناسه]],3))="5.2",IF(TArticle[[#This Row],[کد وضعیت سند]]=1,TArticle[مبلغ],0),0),0)</f>
        <v>0</v>
      </c>
      <c r="AJ319" s="1">
        <f>IF(TArticle[[#This Row],[کد وضعیت سند]]=1,1,0)</f>
        <v>0</v>
      </c>
      <c r="AK319" s="1">
        <f>IF(AND(TArticle[[#This Row],[کد وضعیت سند]]&lt;&gt;1,TArticle[[#This Row],[مبلغ]]&lt;&gt;0),1,0)</f>
        <v>0</v>
      </c>
      <c r="AL319" s="51">
        <f>IF(TArticle[[#This Row],[کد بانک]]&gt;0,TArticle[[#This Row],[مانده بانک]]-VLOOKUP(TArticle[[#This Row],[کد بانک]],TBank[],7,FALSE),"")</f>
        <v>1065</v>
      </c>
      <c r="AM319" s="69" t="str">
        <f>LEFT(TArticle[[#This Row],[تاریخ]],7)</f>
        <v>1402-02</v>
      </c>
    </row>
    <row r="320" spans="1:39" x14ac:dyDescent="0.25">
      <c r="A320" s="63"/>
      <c r="B320" s="49" t="str">
        <f>VLOOKUP(TArticle[[#This Row],[شناسه]],TAccount[],2,TRUE)</f>
        <v>---</v>
      </c>
      <c r="C320" s="49" t="str">
        <f>VLOOKUP(TArticle[[#This Row],[تاریخ]],TDays[],7,FALSE)</f>
        <v>جمعه</v>
      </c>
      <c r="D320" s="21" t="s">
        <v>588</v>
      </c>
      <c r="F320" s="1">
        <f>TArticle[[#This Row],[مبلغ]]+IFERROR(INT(F319),30181+3667+958)</f>
        <v>7763</v>
      </c>
      <c r="G320" s="49"/>
      <c r="H320" s="64"/>
      <c r="J320" s="65"/>
      <c r="K320" s="64"/>
      <c r="L320" s="171" t="str">
        <f>IF(TArticle[[#This Row],[کد وضعیت سند]]&gt;0,VLOOKUP(TArticle[[#This Row],[کد وضعیت سند]],TDocState[],2,FALSE),"")</f>
        <v/>
      </c>
      <c r="M320" s="67"/>
      <c r="N320" s="171" t="str">
        <f>IF(TArticle[[#This Row],[کد طرف حساب]]&gt;0,VLOOKUP(TArticle[[#This Row],[کد طرف حساب]],TContact[],2,FALSE),"")</f>
        <v/>
      </c>
      <c r="O320" s="68" t="str">
        <f>IF(TArticle[[#This Row],[کد طرف حساب]]&gt;0,VLOOKUP(TArticle[[#This Row],[کد طرف حساب]],TContact[],7,FALSE)-SUMIF($M$2:M320,M320,$E$2:$E320),"")</f>
        <v/>
      </c>
      <c r="P320" s="67" t="str">
        <f>RIGHT(TArticle[[#This Row],[تاریخ]],2)</f>
        <v>01</v>
      </c>
      <c r="Q320" s="67">
        <f>VLOOKUP(TArticle[[#This Row],[تاریخ]],TDays[],16,FALSE)</f>
        <v>5</v>
      </c>
      <c r="R320" s="67" t="str">
        <f>RIGHT(LEFT(TArticle[[#This Row],[تاریخ]],7),2)</f>
        <v>02</v>
      </c>
      <c r="S320" s="67" t="str">
        <f>LEFT(TArticle[[#This Row],[تاریخ]],4)</f>
        <v>1402</v>
      </c>
      <c r="T320" s="64"/>
      <c r="U320" s="64">
        <f>VLOOKUP(TArticle[[#This Row],[شناسه]],TAccount[],7,TRUE)</f>
        <v>0</v>
      </c>
      <c r="W320" s="64">
        <f>IF(AND(TArticle[[#This Row],[مبلغ]]&gt;0, TArticle[[#This Row],[کد وضعیت سند]]=1),TArticle[[#This Row],[مبلغ]],0)</f>
        <v>0</v>
      </c>
      <c r="X320" s="67">
        <f>IF(AND(TArticle[[#This Row],[مبلغ]]&lt;0,TArticle[[#This Row],[کد وضعیت سند]]=1),0-TArticle[[#This Row],[مبلغ]],0)</f>
        <v>0</v>
      </c>
      <c r="Y320" s="27">
        <v>2</v>
      </c>
      <c r="Z320" s="171" t="str">
        <f>IF(TArticle[[#This Row],[کد بانک]]&gt;0,VLOOKUP(TArticle[[#This Row],[کد بانک]],TBank[],2,FALSE),"")</f>
        <v>ملی جاری</v>
      </c>
      <c r="AA320">
        <f>IF(AND(TArticle[[#This Row],[مبلغ]]&lt;0,TArticle[[#This Row],[کد وضعیت سند]]=1),0-TArticle[[#This Row],[مبلغ]],0)</f>
        <v>0</v>
      </c>
      <c r="AB320">
        <f>IF(AND(TArticle[[#This Row],[مبلغ]]&gt;0, TArticle[[#This Row],[کد وضعیت سند]]=1),TArticle[[#This Row],[مبلغ]],0)</f>
        <v>0</v>
      </c>
      <c r="AC320" s="93">
        <f>IF(TArticle[[#This Row],[کد بانک]]&gt;0,VLOOKUP(TArticle[[#This Row],[کد بانک]],TBank[],9,FALSE)+SUMIF($Y$2:Y320,Y320,$E$2:$E320),"")</f>
        <v>1065</v>
      </c>
      <c r="AD320" s="1">
        <f>IFERROR(IF(INT(LEFT(TArticle[[#This Row],[شناسه]]))=3,IF(TArticle[[#This Row],[کد وضعیت سند]]=1,TArticle[مبلغ],0),0),0)</f>
        <v>0</v>
      </c>
      <c r="AE320" s="1">
        <f>IFERROR(IF(((TArticle[[#This Row],[شناسه]]))="4.1.1",IF(TArticle[[#This Row],[کد وضعیت سند]]=1,TArticle[مبلغ],0),0),0)</f>
        <v>0</v>
      </c>
      <c r="AF320" s="1">
        <f>IFERROR(IF(((TArticle[[#This Row],[شناسه]]))="4.1.2",IF(TArticle[[#This Row],[کد وضعیت سند]]=1,TArticle[مبلغ],0),0),0)</f>
        <v>0</v>
      </c>
      <c r="AG320" s="1">
        <f>IFERROR(IF(INT(LEFT(TArticle[[#This Row],[شناسه]]))=1,IF(TArticle[[#This Row],[کد وضعیت سند]]=1,TArticle[مبلغ],0),0),0)</f>
        <v>0</v>
      </c>
      <c r="AH320" s="1">
        <f>IFERROR(IF(INT(LEFT(TArticle[[#This Row],[شناسه]]))=2,IF(TArticle[[#This Row],[کد وضعیت سند]]=1,TArticle[مبلغ],0),0),0)</f>
        <v>0</v>
      </c>
      <c r="AI320" s="1">
        <f>IFERROR(IF((LEFT(TArticle[[#This Row],[شناسه]],3))="5.2",IF(TArticle[[#This Row],[کد وضعیت سند]]=1,TArticle[مبلغ],0),0),0)</f>
        <v>0</v>
      </c>
      <c r="AJ320" s="1">
        <f>IF(TArticle[[#This Row],[کد وضعیت سند]]=1,1,0)</f>
        <v>0</v>
      </c>
      <c r="AK320" s="1">
        <f>IF(AND(TArticle[[#This Row],[کد وضعیت سند]]&lt;&gt;1,TArticle[[#This Row],[مبلغ]]&lt;&gt;0),1,0)</f>
        <v>0</v>
      </c>
      <c r="AL320" s="78">
        <f>IF(TArticle[[#This Row],[کد بانک]]&gt;0,TArticle[[#This Row],[مانده بانک]]-VLOOKUP(TArticle[[#This Row],[کد بانک]],TBank[],7,FALSE),"")</f>
        <v>1065</v>
      </c>
      <c r="AM320" s="69" t="str">
        <f>LEFT(TArticle[[#This Row],[تاریخ]],7)</f>
        <v>1402-02</v>
      </c>
    </row>
    <row r="321" spans="1:39" x14ac:dyDescent="0.25">
      <c r="A321" s="24"/>
      <c r="B321" s="49" t="str">
        <f>VLOOKUP(TArticle[[#This Row],[شناسه]],TAccount[],2,TRUE)</f>
        <v>---</v>
      </c>
      <c r="C321" s="49" t="str">
        <f>VLOOKUP(TArticle[[#This Row],[تاریخ]],TDays[],7,FALSE)</f>
        <v>جمعه</v>
      </c>
      <c r="D321" s="21" t="s">
        <v>588</v>
      </c>
      <c r="F321" s="1">
        <f>TArticle[[#This Row],[مبلغ]]+IFERROR(INT(F320),30181+3667+958)</f>
        <v>7763</v>
      </c>
      <c r="G321" s="49"/>
      <c r="H321" s="64"/>
      <c r="J321" s="65"/>
      <c r="K321" s="64"/>
      <c r="L321" s="171" t="str">
        <f>IF(TArticle[[#This Row],[کد وضعیت سند]]&gt;0,VLOOKUP(TArticle[[#This Row],[کد وضعیت سند]],TDocState[],2,FALSE),"")</f>
        <v/>
      </c>
      <c r="M321" s="67"/>
      <c r="N321" s="171" t="str">
        <f>IF(TArticle[[#This Row],[کد طرف حساب]]&gt;0,VLOOKUP(TArticle[[#This Row],[کد طرف حساب]],TContact[],2,FALSE),"")</f>
        <v/>
      </c>
      <c r="O321" s="68" t="str">
        <f>IF(TArticle[[#This Row],[کد طرف حساب]]&gt;0,VLOOKUP(TArticle[[#This Row],[کد طرف حساب]],TContact[],7,FALSE)-SUMIF($M$2:M321,M321,$E$2:$E321),"")</f>
        <v/>
      </c>
      <c r="P321" s="67" t="str">
        <f>RIGHT(TArticle[[#This Row],[تاریخ]],2)</f>
        <v>01</v>
      </c>
      <c r="Q321" s="67">
        <f>VLOOKUP(TArticle[[#This Row],[تاریخ]],TDays[],16,FALSE)</f>
        <v>5</v>
      </c>
      <c r="R321" s="67" t="str">
        <f>RIGHT(LEFT(TArticle[[#This Row],[تاریخ]],7),2)</f>
        <v>02</v>
      </c>
      <c r="S321" s="67" t="str">
        <f>LEFT(TArticle[[#This Row],[تاریخ]],4)</f>
        <v>1402</v>
      </c>
      <c r="T321" s="64"/>
      <c r="U321" s="64">
        <f>VLOOKUP(TArticle[[#This Row],[شناسه]],TAccount[],7,TRUE)</f>
        <v>0</v>
      </c>
      <c r="V321" s="64"/>
      <c r="W321" s="64">
        <f>IF(AND(TArticle[[#This Row],[مبلغ]]&gt;0, TArticle[[#This Row],[کد وضعیت سند]]=1),TArticle[[#This Row],[مبلغ]],0)</f>
        <v>0</v>
      </c>
      <c r="X321" s="67">
        <f>IF(AND(TArticle[[#This Row],[مبلغ]]&lt;0,TArticle[[#This Row],[کد وضعیت سند]]=1),0-TArticle[[#This Row],[مبلغ]],0)</f>
        <v>0</v>
      </c>
      <c r="Y321" s="27">
        <v>2</v>
      </c>
      <c r="Z321" s="171" t="str">
        <f>IF(TArticle[[#This Row],[کد بانک]]&gt;0,VLOOKUP(TArticle[[#This Row],[کد بانک]],TBank[],2,FALSE),"")</f>
        <v>ملی جاری</v>
      </c>
      <c r="AA321">
        <f>IF(AND(TArticle[[#This Row],[مبلغ]]&lt;0,TArticle[[#This Row],[کد وضعیت سند]]=1),0-TArticle[[#This Row],[مبلغ]],0)</f>
        <v>0</v>
      </c>
      <c r="AB321">
        <f>IF(AND(TArticle[[#This Row],[مبلغ]]&gt;0, TArticle[[#This Row],[کد وضعیت سند]]=1),TArticle[[#This Row],[مبلغ]],0)</f>
        <v>0</v>
      </c>
      <c r="AC321" s="93">
        <f>IF(TArticle[[#This Row],[کد بانک]]&gt;0,VLOOKUP(TArticle[[#This Row],[کد بانک]],TBank[],9,FALSE)+SUMIF($Y$2:Y321,Y321,$E$2:$E321),"")</f>
        <v>1065</v>
      </c>
      <c r="AD321" s="1">
        <f>IFERROR(IF(INT(LEFT(TArticle[[#This Row],[شناسه]]))=3,IF(TArticle[[#This Row],[کد وضعیت سند]]=1,TArticle[مبلغ],0),0),0)</f>
        <v>0</v>
      </c>
      <c r="AE321" s="1">
        <f>IFERROR(IF(((TArticle[[#This Row],[شناسه]]))="4.1.1",IF(TArticle[[#This Row],[کد وضعیت سند]]=1,TArticle[مبلغ],0),0),0)</f>
        <v>0</v>
      </c>
      <c r="AF321" s="1">
        <f>IFERROR(IF(((TArticle[[#This Row],[شناسه]]))="4.1.2",IF(TArticle[[#This Row],[کد وضعیت سند]]=1,TArticle[مبلغ],0),0),0)</f>
        <v>0</v>
      </c>
      <c r="AG321" s="1">
        <f>IFERROR(IF(INT(LEFT(TArticle[[#This Row],[شناسه]]))=1,IF(TArticle[[#This Row],[کد وضعیت سند]]=1,TArticle[مبلغ],0),0),0)</f>
        <v>0</v>
      </c>
      <c r="AH321" s="1">
        <f>IFERROR(IF(INT(LEFT(TArticle[[#This Row],[شناسه]]))=2,IF(TArticle[[#This Row],[کد وضعیت سند]]=1,TArticle[مبلغ],0),0),0)</f>
        <v>0</v>
      </c>
      <c r="AI321" s="1">
        <f>IFERROR(IF((LEFT(TArticle[[#This Row],[شناسه]],3))="5.2",IF(TArticle[[#This Row],[کد وضعیت سند]]=1,TArticle[مبلغ],0),0),0)</f>
        <v>0</v>
      </c>
      <c r="AJ321" s="1">
        <f>IF(TArticle[[#This Row],[کد وضعیت سند]]=1,1,0)</f>
        <v>0</v>
      </c>
      <c r="AK321" s="1">
        <f>IF(AND(TArticle[[#This Row],[کد وضعیت سند]]&lt;&gt;1,TArticle[[#This Row],[مبلغ]]&lt;&gt;0),1,0)</f>
        <v>0</v>
      </c>
      <c r="AL321" s="78">
        <f>IF(TArticle[[#This Row],[کد بانک]]&gt;0,TArticle[[#This Row],[مانده بانک]]-VLOOKUP(TArticle[[#This Row],[کد بانک]],TBank[],7,FALSE),"")</f>
        <v>1065</v>
      </c>
      <c r="AM321" s="69" t="str">
        <f>LEFT(TArticle[[#This Row],[تاریخ]],7)</f>
        <v>1402-02</v>
      </c>
    </row>
    <row r="322" spans="1:39" x14ac:dyDescent="0.25">
      <c r="A322" s="24"/>
      <c r="B322" s="49" t="str">
        <f>VLOOKUP(TArticle[[#This Row],[شناسه]],TAccount[],2,TRUE)</f>
        <v>---</v>
      </c>
      <c r="C322" s="49" t="str">
        <f>VLOOKUP(TArticle[[#This Row],[تاریخ]],TDays[],7,FALSE)</f>
        <v>جمعه</v>
      </c>
      <c r="D322" s="21" t="s">
        <v>588</v>
      </c>
      <c r="F322" s="1">
        <f>TArticle[[#This Row],[مبلغ]]+IFERROR(INT(F321),30181+3667+958)</f>
        <v>7763</v>
      </c>
      <c r="G322" s="49"/>
      <c r="L322" s="171" t="str">
        <f>IF(TArticle[[#This Row],[کد وضعیت سند]]&gt;0,VLOOKUP(TArticle[[#This Row],[کد وضعیت سند]],TDocState[],2,FALSE),"")</f>
        <v/>
      </c>
      <c r="N322" s="171" t="str">
        <f>IF(TArticle[[#This Row],[کد طرف حساب]]&gt;0,VLOOKUP(TArticle[[#This Row],[کد طرف حساب]],TContact[],2,FALSE),"")</f>
        <v/>
      </c>
      <c r="O322" s="61" t="str">
        <f>IF(TArticle[[#This Row],[کد طرف حساب]]&gt;0,VLOOKUP(TArticle[[#This Row],[کد طرف حساب]],TContact[],7,FALSE)-SUMIF($M$2:M322,M322,$E$2:$E322),"")</f>
        <v/>
      </c>
      <c r="P322" s="27" t="str">
        <f>RIGHT(TArticle[[#This Row],[تاریخ]],2)</f>
        <v>01</v>
      </c>
      <c r="Q322" s="27">
        <f>VLOOKUP(TArticle[[#This Row],[تاریخ]],TDays[],16,FALSE)</f>
        <v>5</v>
      </c>
      <c r="R322" s="27" t="str">
        <f>RIGHT(LEFT(TArticle[[#This Row],[تاریخ]],7),2)</f>
        <v>02</v>
      </c>
      <c r="S322" s="27" t="str">
        <f>LEFT(TArticle[[#This Row],[تاریخ]],4)</f>
        <v>1402</v>
      </c>
      <c r="U322" s="21">
        <f>VLOOKUP(TArticle[[#This Row],[شناسه]],TAccount[],7,TRUE)</f>
        <v>0</v>
      </c>
      <c r="W322" s="21">
        <f>IF(AND(TArticle[[#This Row],[مبلغ]]&gt;0, TArticle[[#This Row],[کد وضعیت سند]]=1),TArticle[[#This Row],[مبلغ]],0)</f>
        <v>0</v>
      </c>
      <c r="X322" s="27">
        <f>IF(AND(TArticle[[#This Row],[مبلغ]]&lt;0,TArticle[[#This Row],[کد وضعیت سند]]=1),0-TArticle[[#This Row],[مبلغ]],0)</f>
        <v>0</v>
      </c>
      <c r="Y322" s="27">
        <v>2</v>
      </c>
      <c r="Z322" s="171" t="str">
        <f>IF(TArticle[[#This Row],[کد بانک]]&gt;0,VLOOKUP(TArticle[[#This Row],[کد بانک]],TBank[],2,FALSE),"")</f>
        <v>ملی جاری</v>
      </c>
      <c r="AA322">
        <f>IF(AND(TArticle[[#This Row],[مبلغ]]&lt;0,TArticle[[#This Row],[کد وضعیت سند]]=1),0-TArticle[[#This Row],[مبلغ]],0)</f>
        <v>0</v>
      </c>
      <c r="AB322">
        <f>IF(AND(TArticle[[#This Row],[مبلغ]]&gt;0, TArticle[[#This Row],[کد وضعیت سند]]=1),TArticle[[#This Row],[مبلغ]],0)</f>
        <v>0</v>
      </c>
      <c r="AC322" s="84">
        <f>IF(TArticle[[#This Row],[کد بانک]]&gt;0,VLOOKUP(TArticle[[#This Row],[کد بانک]],TBank[],9,FALSE)+SUMIF($Y$2:Y322,Y322,$E$2:$E322),"")</f>
        <v>1065</v>
      </c>
      <c r="AD322" s="1">
        <f>IFERROR(IF(INT(LEFT(TArticle[[#This Row],[شناسه]]))=3,IF(TArticle[[#This Row],[کد وضعیت سند]]=1,TArticle[مبلغ],0),0),0)</f>
        <v>0</v>
      </c>
      <c r="AE322" s="1">
        <f>IFERROR(IF(((TArticle[[#This Row],[شناسه]]))="4.1.1",IF(TArticle[[#This Row],[کد وضعیت سند]]=1,TArticle[مبلغ],0),0),0)</f>
        <v>0</v>
      </c>
      <c r="AF322" s="1">
        <f>IFERROR(IF(((TArticle[[#This Row],[شناسه]]))="4.1.2",IF(TArticle[[#This Row],[کد وضعیت سند]]=1,TArticle[مبلغ],0),0),0)</f>
        <v>0</v>
      </c>
      <c r="AG322" s="1">
        <f>IFERROR(IF(INT(LEFT(TArticle[[#This Row],[شناسه]]))=1,IF(TArticle[[#This Row],[کد وضعیت سند]]=1,TArticle[مبلغ],0),0),0)</f>
        <v>0</v>
      </c>
      <c r="AH322" s="1">
        <f>IFERROR(IF(INT(LEFT(TArticle[[#This Row],[شناسه]]))=2,IF(TArticle[[#This Row],[کد وضعیت سند]]=1,TArticle[مبلغ],0),0),0)</f>
        <v>0</v>
      </c>
      <c r="AI322" s="1">
        <f>IFERROR(IF((LEFT(TArticle[[#This Row],[شناسه]],3))="5.2",IF(TArticle[[#This Row],[کد وضعیت سند]]=1,TArticle[مبلغ],0),0),0)</f>
        <v>0</v>
      </c>
      <c r="AJ322" s="1">
        <f>IF(TArticle[[#This Row],[کد وضعیت سند]]=1,1,0)</f>
        <v>0</v>
      </c>
      <c r="AK322" s="1">
        <f>IF(AND(TArticle[[#This Row],[کد وضعیت سند]]&lt;&gt;1,TArticle[[#This Row],[مبلغ]]&lt;&gt;0),1,0)</f>
        <v>0</v>
      </c>
      <c r="AL322" s="51">
        <f>IF(TArticle[[#This Row],[کد بانک]]&gt;0,TArticle[[#This Row],[مانده بانک]]-VLOOKUP(TArticle[[#This Row],[کد بانک]],TBank[],7,FALSE),"")</f>
        <v>1065</v>
      </c>
      <c r="AM322" s="58" t="str">
        <f>LEFT(TArticle[[#This Row],[تاریخ]],7)</f>
        <v>1402-02</v>
      </c>
    </row>
    <row r="323" spans="1:39" x14ac:dyDescent="0.25">
      <c r="A323" s="24"/>
      <c r="B323" s="49" t="str">
        <f>VLOOKUP(TArticle[[#This Row],[شناسه]],TAccount[],2,TRUE)</f>
        <v>---</v>
      </c>
      <c r="C323" s="49" t="str">
        <f>VLOOKUP(TArticle[[#This Row],[تاریخ]],TDays[],7,FALSE)</f>
        <v>جمعه</v>
      </c>
      <c r="D323" s="21" t="s">
        <v>588</v>
      </c>
      <c r="F323" s="1">
        <f>TArticle[[#This Row],[مبلغ]]+IFERROR(INT(F322),30181+3667+958)</f>
        <v>7763</v>
      </c>
      <c r="G323" s="49"/>
      <c r="L323" s="171" t="str">
        <f>IF(TArticle[[#This Row],[کد وضعیت سند]]&gt;0,VLOOKUP(TArticle[[#This Row],[کد وضعیت سند]],TDocState[],2,FALSE),"")</f>
        <v/>
      </c>
      <c r="N323" s="171" t="str">
        <f>IF(TArticle[[#This Row],[کد طرف حساب]]&gt;0,VLOOKUP(TArticle[[#This Row],[کد طرف حساب]],TContact[],2,FALSE),"")</f>
        <v/>
      </c>
      <c r="O323" s="61" t="str">
        <f>IF(TArticle[[#This Row],[کد طرف حساب]]&gt;0,VLOOKUP(TArticle[[#This Row],[کد طرف حساب]],TContact[],7,FALSE)-SUMIF($M$2:M323,M323,$E$2:$E323),"")</f>
        <v/>
      </c>
      <c r="P323" s="27" t="str">
        <f>RIGHT(TArticle[[#This Row],[تاریخ]],2)</f>
        <v>01</v>
      </c>
      <c r="Q323" s="27">
        <f>VLOOKUP(TArticle[[#This Row],[تاریخ]],TDays[],16,FALSE)</f>
        <v>5</v>
      </c>
      <c r="R323" s="27" t="str">
        <f>RIGHT(LEFT(TArticle[[#This Row],[تاریخ]],7),2)</f>
        <v>02</v>
      </c>
      <c r="S323" s="27" t="str">
        <f>LEFT(TArticle[[#This Row],[تاریخ]],4)</f>
        <v>1402</v>
      </c>
      <c r="U323" s="21">
        <f>VLOOKUP(TArticle[[#This Row],[شناسه]],TAccount[],7,TRUE)</f>
        <v>0</v>
      </c>
      <c r="W323" s="21">
        <f>IF(AND(TArticle[[#This Row],[مبلغ]]&gt;0, TArticle[[#This Row],[کد وضعیت سند]]=1),TArticle[[#This Row],[مبلغ]],0)</f>
        <v>0</v>
      </c>
      <c r="X323" s="27">
        <f>IF(AND(TArticle[[#This Row],[مبلغ]]&lt;0,TArticle[[#This Row],[کد وضعیت سند]]=1),0-TArticle[[#This Row],[مبلغ]],0)</f>
        <v>0</v>
      </c>
      <c r="Y323" s="27">
        <v>2</v>
      </c>
      <c r="Z323" s="171" t="str">
        <f>IF(TArticle[[#This Row],[کد بانک]]&gt;0,VLOOKUP(TArticle[[#This Row],[کد بانک]],TBank[],2,FALSE),"")</f>
        <v>ملی جاری</v>
      </c>
      <c r="AA323">
        <f>IF(AND(TArticle[[#This Row],[مبلغ]]&lt;0,TArticle[[#This Row],[کد وضعیت سند]]=1),0-TArticle[[#This Row],[مبلغ]],0)</f>
        <v>0</v>
      </c>
      <c r="AB323">
        <f>IF(AND(TArticle[[#This Row],[مبلغ]]&gt;0, TArticle[[#This Row],[کد وضعیت سند]]=1),TArticle[[#This Row],[مبلغ]],0)</f>
        <v>0</v>
      </c>
      <c r="AC323" s="84">
        <f>IF(TArticle[[#This Row],[کد بانک]]&gt;0,VLOOKUP(TArticle[[#This Row],[کد بانک]],TBank[],9,FALSE)+SUMIF($Y$2:Y323,Y323,$E$2:$E323),"")</f>
        <v>1065</v>
      </c>
      <c r="AD323" s="1">
        <f>IFERROR(IF(INT(LEFT(TArticle[[#This Row],[شناسه]]))=3,IF(TArticle[[#This Row],[کد وضعیت سند]]=1,TArticle[مبلغ],0),0),0)</f>
        <v>0</v>
      </c>
      <c r="AE323" s="1">
        <f>IFERROR(IF(((TArticle[[#This Row],[شناسه]]))="4.1.1",IF(TArticle[[#This Row],[کد وضعیت سند]]=1,TArticle[مبلغ],0),0),0)</f>
        <v>0</v>
      </c>
      <c r="AF323" s="1">
        <f>IFERROR(IF(((TArticle[[#This Row],[شناسه]]))="4.1.2",IF(TArticle[[#This Row],[کد وضعیت سند]]=1,TArticle[مبلغ],0),0),0)</f>
        <v>0</v>
      </c>
      <c r="AG323" s="1">
        <f>IFERROR(IF(INT(LEFT(TArticle[[#This Row],[شناسه]]))=1,IF(TArticle[[#This Row],[کد وضعیت سند]]=1,TArticle[مبلغ],0),0),0)</f>
        <v>0</v>
      </c>
      <c r="AH323" s="1">
        <f>IFERROR(IF(INT(LEFT(TArticle[[#This Row],[شناسه]]))=2,IF(TArticle[[#This Row],[کد وضعیت سند]]=1,TArticle[مبلغ],0),0),0)</f>
        <v>0</v>
      </c>
      <c r="AI323" s="1">
        <f>IFERROR(IF((LEFT(TArticle[[#This Row],[شناسه]],3))="5.2",IF(TArticle[[#This Row],[کد وضعیت سند]]=1,TArticle[مبلغ],0),0),0)</f>
        <v>0</v>
      </c>
      <c r="AJ323" s="1">
        <f>IF(TArticle[[#This Row],[کد وضعیت سند]]=1,1,0)</f>
        <v>0</v>
      </c>
      <c r="AK323" s="1">
        <f>IF(AND(TArticle[[#This Row],[کد وضعیت سند]]&lt;&gt;1,TArticle[[#This Row],[مبلغ]]&lt;&gt;0),1,0)</f>
        <v>0</v>
      </c>
      <c r="AL323" s="51">
        <f>IF(TArticle[[#This Row],[کد بانک]]&gt;0,TArticle[[#This Row],[مانده بانک]]-VLOOKUP(TArticle[[#This Row],[کد بانک]],TBank[],7,FALSE),"")</f>
        <v>1065</v>
      </c>
      <c r="AM323" s="58" t="str">
        <f>LEFT(TArticle[[#This Row],[تاریخ]],7)</f>
        <v>1402-02</v>
      </c>
    </row>
    <row r="324" spans="1:39" x14ac:dyDescent="0.25">
      <c r="A324" s="24"/>
      <c r="B324" s="49" t="str">
        <f>VLOOKUP(TArticle[[#This Row],[شناسه]],TAccount[],2,TRUE)</f>
        <v>---</v>
      </c>
      <c r="C324" s="49" t="str">
        <f>VLOOKUP(TArticle[[#This Row],[تاریخ]],TDays[],7,FALSE)</f>
        <v>جمعه</v>
      </c>
      <c r="D324" s="21" t="s">
        <v>588</v>
      </c>
      <c r="F324" s="1">
        <f>TArticle[[#This Row],[مبلغ]]+IFERROR(INT(F323),30181+3667+958)</f>
        <v>7763</v>
      </c>
      <c r="G324" s="49"/>
      <c r="L324" s="171" t="str">
        <f>IF(TArticle[[#This Row],[کد وضعیت سند]]&gt;0,VLOOKUP(TArticle[[#This Row],[کد وضعیت سند]],TDocState[],2,FALSE),"")</f>
        <v/>
      </c>
      <c r="N324" s="171" t="str">
        <f>IF(TArticle[[#This Row],[کد طرف حساب]]&gt;0,VLOOKUP(TArticle[[#This Row],[کد طرف حساب]],TContact[],2,FALSE),"")</f>
        <v/>
      </c>
      <c r="O324" s="51" t="str">
        <f>IF(TArticle[[#This Row],[کد طرف حساب]]&gt;0,VLOOKUP(TArticle[[#This Row],[کد طرف حساب]],TContact[],7,FALSE)-SUMIF($M$2:M324,M324,$E$2:$E324),"")</f>
        <v/>
      </c>
      <c r="P324" s="27" t="str">
        <f>RIGHT(TArticle[[#This Row],[تاریخ]],2)</f>
        <v>01</v>
      </c>
      <c r="Q324" s="27">
        <f>VLOOKUP(TArticle[[#This Row],[تاریخ]],TDays[],16,FALSE)</f>
        <v>5</v>
      </c>
      <c r="R324" s="27" t="str">
        <f>RIGHT(LEFT(TArticle[[#This Row],[تاریخ]],7),2)</f>
        <v>02</v>
      </c>
      <c r="S324" s="27" t="str">
        <f>LEFT(TArticle[[#This Row],[تاریخ]],4)</f>
        <v>1402</v>
      </c>
      <c r="U324" s="21">
        <f>VLOOKUP(TArticle[[#This Row],[شناسه]],TAccount[],7,TRUE)</f>
        <v>0</v>
      </c>
      <c r="W324" s="21">
        <f>IF(AND(TArticle[[#This Row],[مبلغ]]&gt;0, TArticle[[#This Row],[کد وضعیت سند]]=1),TArticle[[#This Row],[مبلغ]],0)</f>
        <v>0</v>
      </c>
      <c r="X324" s="21">
        <f>IF(AND(TArticle[[#This Row],[مبلغ]]&lt;0,TArticle[[#This Row],[کد وضعیت سند]]=1),0-TArticle[[#This Row],[مبلغ]],0)</f>
        <v>0</v>
      </c>
      <c r="Y324" s="27">
        <v>2</v>
      </c>
      <c r="Z324" s="171" t="str">
        <f>IF(TArticle[[#This Row],[کد بانک]]&gt;0,VLOOKUP(TArticle[[#This Row],[کد بانک]],TBank[],2,FALSE),"")</f>
        <v>ملی جاری</v>
      </c>
      <c r="AA324">
        <f>IF(AND(TArticle[[#This Row],[مبلغ]]&lt;0,TArticle[[#This Row],[کد وضعیت سند]]=1),0-TArticle[[#This Row],[مبلغ]],0)</f>
        <v>0</v>
      </c>
      <c r="AB324">
        <f>IF(AND(TArticle[[#This Row],[مبلغ]]&gt;0, TArticle[[#This Row],[کد وضعیت سند]]=1),TArticle[[#This Row],[مبلغ]],0)</f>
        <v>0</v>
      </c>
      <c r="AC324" s="84">
        <f>IF(TArticle[[#This Row],[کد بانک]]&gt;0,VLOOKUP(TArticle[[#This Row],[کد بانک]],TBank[],9,FALSE)+SUMIF($Y$2:Y324,Y324,$E$2:$E324),"")</f>
        <v>1065</v>
      </c>
      <c r="AD324" s="1">
        <f>IFERROR(IF(INT(LEFT(TArticle[[#This Row],[شناسه]]))=3,IF(TArticle[[#This Row],[کد وضعیت سند]]=1,TArticle[مبلغ],0),0),0)</f>
        <v>0</v>
      </c>
      <c r="AE324" s="1">
        <f>IFERROR(IF(((TArticle[[#This Row],[شناسه]]))="4.1.1",IF(TArticle[[#This Row],[کد وضعیت سند]]=1,TArticle[مبلغ],0),0),0)</f>
        <v>0</v>
      </c>
      <c r="AF324" s="1">
        <f>IFERROR(IF(((TArticle[[#This Row],[شناسه]]))="4.1.2",IF(TArticle[[#This Row],[کد وضعیت سند]]=1,TArticle[مبلغ],0),0),0)</f>
        <v>0</v>
      </c>
      <c r="AG324" s="1">
        <f>IFERROR(IF(INT(LEFT(TArticle[[#This Row],[شناسه]]))=1,IF(TArticle[[#This Row],[کد وضعیت سند]]=1,TArticle[مبلغ],0),0),0)</f>
        <v>0</v>
      </c>
      <c r="AH324" s="1">
        <f>IFERROR(IF(INT(LEFT(TArticle[[#This Row],[شناسه]]))=2,IF(TArticle[[#This Row],[کد وضعیت سند]]=1,TArticle[مبلغ],0),0),0)</f>
        <v>0</v>
      </c>
      <c r="AI324" s="1">
        <f>IFERROR(IF((LEFT(TArticle[[#This Row],[شناسه]],3))="5.2",IF(TArticle[[#This Row],[کد وضعیت سند]]=1,TArticle[مبلغ],0),0),0)</f>
        <v>0</v>
      </c>
      <c r="AJ324" s="1">
        <f>IF(TArticle[[#This Row],[کد وضعیت سند]]=1,1,0)</f>
        <v>0</v>
      </c>
      <c r="AK324" s="1">
        <f>IF(AND(TArticle[[#This Row],[کد وضعیت سند]]&lt;&gt;1,TArticle[[#This Row],[مبلغ]]&lt;&gt;0),1,0)</f>
        <v>0</v>
      </c>
      <c r="AL324" s="51">
        <f>IF(TArticle[[#This Row],[کد بانک]]&gt;0,TArticle[[#This Row],[مانده بانک]]-VLOOKUP(TArticle[[#This Row],[کد بانک]],TBank[],7,FALSE),"")</f>
        <v>1065</v>
      </c>
      <c r="AM324" s="58" t="str">
        <f>LEFT(TArticle[[#This Row],[تاریخ]],7)</f>
        <v>1402-02</v>
      </c>
    </row>
    <row r="325" spans="1:39" x14ac:dyDescent="0.25">
      <c r="A325" s="24"/>
      <c r="B325" s="49" t="str">
        <f>VLOOKUP(TArticle[[#This Row],[شناسه]],TAccount[],2,TRUE)</f>
        <v>---</v>
      </c>
      <c r="C325" s="49" t="str">
        <f>VLOOKUP(TArticle[[#This Row],[تاریخ]],TDays[],7,FALSE)</f>
        <v>جمعه</v>
      </c>
      <c r="D325" s="21" t="s">
        <v>588</v>
      </c>
      <c r="F325" s="1">
        <f>TArticle[[#This Row],[مبلغ]]+IFERROR(INT(F324),30181+3667+958)</f>
        <v>7763</v>
      </c>
      <c r="G325" s="49"/>
      <c r="J325" s="51"/>
      <c r="K325" s="49"/>
      <c r="L325" s="171" t="str">
        <f>IF(TArticle[[#This Row],[کد وضعیت سند]]&gt;0,VLOOKUP(TArticle[[#This Row],[کد وضعیت سند]],TDocState[],2,FALSE),"")</f>
        <v/>
      </c>
      <c r="N325" s="171" t="str">
        <f>IF(TArticle[[#This Row],[کد طرف حساب]]&gt;0,VLOOKUP(TArticle[[#This Row],[کد طرف حساب]],TContact[],2,FALSE),"")</f>
        <v/>
      </c>
      <c r="O325" s="60" t="str">
        <f>IF(TArticle[[#This Row],[کد طرف حساب]]&gt;0,VLOOKUP(TArticle[[#This Row],[کد طرف حساب]],TContact[],7,FALSE)-SUMIF($M$2:M325,M325,$E$2:$E325),"")</f>
        <v/>
      </c>
      <c r="P325" s="27" t="str">
        <f>RIGHT(TArticle[[#This Row],[تاریخ]],2)</f>
        <v>01</v>
      </c>
      <c r="Q325" s="27">
        <f>VLOOKUP(TArticle[[#This Row],[تاریخ]],TDays[],16,FALSE)</f>
        <v>5</v>
      </c>
      <c r="R325" s="27" t="str">
        <f>RIGHT(LEFT(TArticle[[#This Row],[تاریخ]],7),2)</f>
        <v>02</v>
      </c>
      <c r="S325" s="27" t="str">
        <f>LEFT(TArticle[[#This Row],[تاریخ]],4)</f>
        <v>1402</v>
      </c>
      <c r="U325" s="21">
        <f>VLOOKUP(TArticle[[#This Row],[شناسه]],TAccount[],7,TRUE)</f>
        <v>0</v>
      </c>
      <c r="W325" s="21">
        <f>IF(AND(TArticle[[#This Row],[مبلغ]]&gt;0, TArticle[[#This Row],[کد وضعیت سند]]=1),TArticle[[#This Row],[مبلغ]],0)</f>
        <v>0</v>
      </c>
      <c r="X325" s="27">
        <f>IF(AND(TArticle[[#This Row],[مبلغ]]&lt;0,TArticle[[#This Row],[کد وضعیت سند]]=1),0-TArticle[[#This Row],[مبلغ]],0)</f>
        <v>0</v>
      </c>
      <c r="Y325" s="27">
        <v>2</v>
      </c>
      <c r="Z325" s="171" t="str">
        <f>IF(TArticle[[#This Row],[کد بانک]]&gt;0,VLOOKUP(TArticle[[#This Row],[کد بانک]],TBank[],2,FALSE),"")</f>
        <v>ملی جاری</v>
      </c>
      <c r="AA325">
        <f>IF(AND(TArticle[[#This Row],[مبلغ]]&lt;0,TArticle[[#This Row],[کد وضعیت سند]]=1),0-TArticle[[#This Row],[مبلغ]],0)</f>
        <v>0</v>
      </c>
      <c r="AB325">
        <f>IF(AND(TArticle[[#This Row],[مبلغ]]&gt;0, TArticle[[#This Row],[کد وضعیت سند]]=1),TArticle[[#This Row],[مبلغ]],0)</f>
        <v>0</v>
      </c>
      <c r="AC325" s="92">
        <f>IF(TArticle[[#This Row],[کد بانک]]&gt;0,VLOOKUP(TArticle[[#This Row],[کد بانک]],TBank[],9,FALSE)+SUMIF($Y$2:Y325,Y325,$E$2:$E325),"")</f>
        <v>1065</v>
      </c>
      <c r="AD325" s="1">
        <f>IFERROR(IF(INT(LEFT(TArticle[[#This Row],[شناسه]]))=3,IF(TArticle[[#This Row],[کد وضعیت سند]]=1,TArticle[مبلغ],0),0),0)</f>
        <v>0</v>
      </c>
      <c r="AE325" s="1">
        <f>IFERROR(IF(((TArticle[[#This Row],[شناسه]]))="4.1.1",IF(TArticle[[#This Row],[کد وضعیت سند]]=1,TArticle[مبلغ],0),0),0)</f>
        <v>0</v>
      </c>
      <c r="AF325" s="1">
        <f>IFERROR(IF(((TArticle[[#This Row],[شناسه]]))="4.1.2",IF(TArticle[[#This Row],[کد وضعیت سند]]=1,TArticle[مبلغ],0),0),0)</f>
        <v>0</v>
      </c>
      <c r="AG325" s="1">
        <f>IFERROR(IF(INT(LEFT(TArticle[[#This Row],[شناسه]]))=1,IF(TArticle[[#This Row],[کد وضعیت سند]]=1,TArticle[مبلغ],0),0),0)</f>
        <v>0</v>
      </c>
      <c r="AH325" s="1">
        <f>IFERROR(IF(INT(LEFT(TArticle[[#This Row],[شناسه]]))=2,IF(TArticle[[#This Row],[کد وضعیت سند]]=1,TArticle[مبلغ],0),0),0)</f>
        <v>0</v>
      </c>
      <c r="AI325" s="1">
        <f>IFERROR(IF((LEFT(TArticle[[#This Row],[شناسه]],3))="5.2",IF(TArticle[[#This Row],[کد وضعیت سند]]=1,TArticle[مبلغ],0),0),0)</f>
        <v>0</v>
      </c>
      <c r="AJ325" s="1">
        <f>IF(TArticle[[#This Row],[کد وضعیت سند]]=1,1,0)</f>
        <v>0</v>
      </c>
      <c r="AK325" s="1">
        <f>IF(AND(TArticle[[#This Row],[کد وضعیت سند]]&lt;&gt;1,TArticle[[#This Row],[مبلغ]]&lt;&gt;0),1,0)</f>
        <v>0</v>
      </c>
      <c r="AL325" s="51">
        <f>IF(TArticle[[#This Row],[کد بانک]]&gt;0,TArticle[[#This Row],[مانده بانک]]-VLOOKUP(TArticle[[#This Row],[کد بانک]],TBank[],7,FALSE),"")</f>
        <v>1065</v>
      </c>
      <c r="AM325" s="58" t="str">
        <f>LEFT(TArticle[[#This Row],[تاریخ]],7)</f>
        <v>1402-02</v>
      </c>
    </row>
    <row r="326" spans="1:39" x14ac:dyDescent="0.25">
      <c r="A326" s="24"/>
      <c r="B326" s="49" t="str">
        <f>VLOOKUP(TArticle[[#This Row],[شناسه]],TAccount[],2,TRUE)</f>
        <v>---</v>
      </c>
      <c r="C326" s="49" t="str">
        <f>VLOOKUP(TArticle[[#This Row],[تاریخ]],TDays[],7,FALSE)</f>
        <v>جمعه</v>
      </c>
      <c r="D326" s="21" t="s">
        <v>588</v>
      </c>
      <c r="F326" s="1">
        <f>TArticle[[#This Row],[مبلغ]]+IFERROR(INT(F325),30181+3667+958)</f>
        <v>7763</v>
      </c>
      <c r="G326" s="49"/>
      <c r="L326" s="171" t="str">
        <f>IF(TArticle[[#This Row],[کد وضعیت سند]]&gt;0,VLOOKUP(TArticle[[#This Row],[کد وضعیت سند]],TDocState[],2,FALSE),"")</f>
        <v/>
      </c>
      <c r="N326" s="171" t="str">
        <f>IF(TArticle[[#This Row],[کد طرف حساب]]&gt;0,VLOOKUP(TArticle[[#This Row],[کد طرف حساب]],TContact[],2,FALSE),"")</f>
        <v/>
      </c>
      <c r="O326" s="51" t="str">
        <f>IF(TArticle[[#This Row],[کد طرف حساب]]&gt;0,VLOOKUP(TArticle[[#This Row],[کد طرف حساب]],TContact[],7,FALSE)-SUMIF($M$2:M326,M326,$E$2:$E326),"")</f>
        <v/>
      </c>
      <c r="P326" s="27" t="str">
        <f>RIGHT(TArticle[[#This Row],[تاریخ]],2)</f>
        <v>01</v>
      </c>
      <c r="Q326" s="27">
        <f>VLOOKUP(TArticle[[#This Row],[تاریخ]],TDays[],16,FALSE)</f>
        <v>5</v>
      </c>
      <c r="R326" s="27" t="str">
        <f>RIGHT(LEFT(TArticle[[#This Row],[تاریخ]],7),2)</f>
        <v>02</v>
      </c>
      <c r="S326" s="27" t="str">
        <f>LEFT(TArticle[[#This Row],[تاریخ]],4)</f>
        <v>1402</v>
      </c>
      <c r="U326" s="21">
        <f>VLOOKUP(TArticle[[#This Row],[شناسه]],TAccount[],7,TRUE)</f>
        <v>0</v>
      </c>
      <c r="W326" s="21">
        <f>IF(AND(TArticle[[#This Row],[مبلغ]]&gt;0, TArticle[[#This Row],[کد وضعیت سند]]=1),TArticle[[#This Row],[مبلغ]],0)</f>
        <v>0</v>
      </c>
      <c r="X326" s="27">
        <f>IF(AND(TArticle[[#This Row],[مبلغ]]&lt;0,TArticle[[#This Row],[کد وضعیت سند]]=1),0-TArticle[[#This Row],[مبلغ]],0)</f>
        <v>0</v>
      </c>
      <c r="Y326" s="27">
        <v>2</v>
      </c>
      <c r="Z326" s="171" t="str">
        <f>IF(TArticle[[#This Row],[کد بانک]]&gt;0,VLOOKUP(TArticle[[#This Row],[کد بانک]],TBank[],2,FALSE),"")</f>
        <v>ملی جاری</v>
      </c>
      <c r="AA326">
        <f>IF(AND(TArticle[[#This Row],[مبلغ]]&lt;0,TArticle[[#This Row],[کد وضعیت سند]]=1),0-TArticle[[#This Row],[مبلغ]],0)</f>
        <v>0</v>
      </c>
      <c r="AB326">
        <f>IF(AND(TArticle[[#This Row],[مبلغ]]&gt;0, TArticle[[#This Row],[کد وضعیت سند]]=1),TArticle[[#This Row],[مبلغ]],0)</f>
        <v>0</v>
      </c>
      <c r="AC326" s="84">
        <f>IF(TArticle[[#This Row],[کد بانک]]&gt;0,VLOOKUP(TArticle[[#This Row],[کد بانک]],TBank[],9,FALSE)+SUMIF($Y$2:Y326,Y326,$E$2:$E326),"")</f>
        <v>1065</v>
      </c>
      <c r="AD326" s="1">
        <f>IFERROR(IF(INT(LEFT(TArticle[[#This Row],[شناسه]]))=3,IF(TArticle[[#This Row],[کد وضعیت سند]]=1,TArticle[مبلغ],0),0),0)</f>
        <v>0</v>
      </c>
      <c r="AE326" s="1">
        <f>IFERROR(IF(((TArticle[[#This Row],[شناسه]]))="4.1.1",IF(TArticle[[#This Row],[کد وضعیت سند]]=1,TArticle[مبلغ],0),0),0)</f>
        <v>0</v>
      </c>
      <c r="AF326" s="1">
        <f>IFERROR(IF(((TArticle[[#This Row],[شناسه]]))="4.1.2",IF(TArticle[[#This Row],[کد وضعیت سند]]=1,TArticle[مبلغ],0),0),0)</f>
        <v>0</v>
      </c>
      <c r="AG326" s="1">
        <f>IFERROR(IF(INT(LEFT(TArticle[[#This Row],[شناسه]]))=1,IF(TArticle[[#This Row],[کد وضعیت سند]]=1,TArticle[مبلغ],0),0),0)</f>
        <v>0</v>
      </c>
      <c r="AH326" s="1">
        <f>IFERROR(IF(INT(LEFT(TArticle[[#This Row],[شناسه]]))=2,IF(TArticle[[#This Row],[کد وضعیت سند]]=1,TArticle[مبلغ],0),0),0)</f>
        <v>0</v>
      </c>
      <c r="AI326" s="1">
        <f>IFERROR(IF((LEFT(TArticle[[#This Row],[شناسه]],3))="5.2",IF(TArticle[[#This Row],[کد وضعیت سند]]=1,TArticle[مبلغ],0),0),0)</f>
        <v>0</v>
      </c>
      <c r="AJ326" s="1">
        <f>IF(TArticle[[#This Row],[کد وضعیت سند]]=1,1,0)</f>
        <v>0</v>
      </c>
      <c r="AK326" s="1">
        <f>IF(AND(TArticle[[#This Row],[کد وضعیت سند]]&lt;&gt;1,TArticle[[#This Row],[مبلغ]]&lt;&gt;0),1,0)</f>
        <v>0</v>
      </c>
      <c r="AL326" s="51">
        <f>IF(TArticle[[#This Row],[کد بانک]]&gt;0,TArticle[[#This Row],[مانده بانک]]-VLOOKUP(TArticle[[#This Row],[کد بانک]],TBank[],7,FALSE),"")</f>
        <v>1065</v>
      </c>
      <c r="AM326" s="49" t="str">
        <f>LEFT(TArticle[[#This Row],[تاریخ]],7)</f>
        <v>1402-02</v>
      </c>
    </row>
    <row r="327" spans="1:39" x14ac:dyDescent="0.25">
      <c r="A327" s="63"/>
      <c r="B327" s="49" t="str">
        <f>VLOOKUP(TArticle[[#This Row],[شناسه]],TAccount[],2,TRUE)</f>
        <v>---</v>
      </c>
      <c r="C327" s="49" t="str">
        <f>VLOOKUP(TArticle[[#This Row],[تاریخ]],TDays[],7,FALSE)</f>
        <v>جمعه</v>
      </c>
      <c r="D327" s="21" t="s">
        <v>588</v>
      </c>
      <c r="F327" s="1">
        <f>TArticle[[#This Row],[مبلغ]]+IFERROR(INT(F326),30181+3667+958)</f>
        <v>7763</v>
      </c>
      <c r="G327" s="49"/>
      <c r="H327" s="64"/>
      <c r="J327" s="65"/>
      <c r="K327" s="64"/>
      <c r="L327" s="171" t="str">
        <f>IF(TArticle[[#This Row],[کد وضعیت سند]]&gt;0,VLOOKUP(TArticle[[#This Row],[کد وضعیت سند]],TDocState[],2,FALSE),"")</f>
        <v/>
      </c>
      <c r="M327" s="67"/>
      <c r="N327" s="171" t="str">
        <f>IF(TArticle[[#This Row],[کد طرف حساب]]&gt;0,VLOOKUP(TArticle[[#This Row],[کد طرف حساب]],TContact[],2,FALSE),"")</f>
        <v/>
      </c>
      <c r="O327" s="68" t="str">
        <f>IF(TArticle[[#This Row],[کد طرف حساب]]&gt;0,VLOOKUP(TArticle[[#This Row],[کد طرف حساب]],TContact[],7,FALSE)-SUMIF($M$2:M327,M327,$E$2:$E327),"")</f>
        <v/>
      </c>
      <c r="P327" s="67" t="str">
        <f>RIGHT(TArticle[[#This Row],[تاریخ]],2)</f>
        <v>01</v>
      </c>
      <c r="Q327" s="67">
        <f>VLOOKUP(TArticle[[#This Row],[تاریخ]],TDays[],16,FALSE)</f>
        <v>5</v>
      </c>
      <c r="R327" s="67" t="str">
        <f>RIGHT(LEFT(TArticle[[#This Row],[تاریخ]],7),2)</f>
        <v>02</v>
      </c>
      <c r="S327" s="67" t="str">
        <f>LEFT(TArticle[[#This Row],[تاریخ]],4)</f>
        <v>1402</v>
      </c>
      <c r="T327" s="64"/>
      <c r="U327" s="64">
        <f>VLOOKUP(TArticle[[#This Row],[شناسه]],TAccount[],7,TRUE)</f>
        <v>0</v>
      </c>
      <c r="W327" s="64">
        <f>IF(AND(TArticle[[#This Row],[مبلغ]]&gt;0, TArticle[[#This Row],[کد وضعیت سند]]=1),TArticle[[#This Row],[مبلغ]],0)</f>
        <v>0</v>
      </c>
      <c r="X327" s="67">
        <f>IF(AND(TArticle[[#This Row],[مبلغ]]&lt;0,TArticle[[#This Row],[کد وضعیت سند]]=1),0-TArticle[[#This Row],[مبلغ]],0)</f>
        <v>0</v>
      </c>
      <c r="Y327" s="27">
        <v>2</v>
      </c>
      <c r="Z327" s="171" t="str">
        <f>IF(TArticle[[#This Row],[کد بانک]]&gt;0,VLOOKUP(TArticle[[#This Row],[کد بانک]],TBank[],2,FALSE),"")</f>
        <v>ملی جاری</v>
      </c>
      <c r="AA327">
        <f>IF(AND(TArticle[[#This Row],[مبلغ]]&lt;0,TArticle[[#This Row],[کد وضعیت سند]]=1),0-TArticle[[#This Row],[مبلغ]],0)</f>
        <v>0</v>
      </c>
      <c r="AB327">
        <f>IF(AND(TArticle[[#This Row],[مبلغ]]&gt;0, TArticle[[#This Row],[کد وضعیت سند]]=1),TArticle[[#This Row],[مبلغ]],0)</f>
        <v>0</v>
      </c>
      <c r="AC327" s="93">
        <f>IF(TArticle[[#This Row],[کد بانک]]&gt;0,VLOOKUP(TArticle[[#This Row],[کد بانک]],TBank[],9,FALSE)+SUMIF($Y$2:Y327,Y327,$E$2:$E327),"")</f>
        <v>1065</v>
      </c>
      <c r="AD327" s="1">
        <f>IFERROR(IF(INT(LEFT(TArticle[[#This Row],[شناسه]]))=3,IF(TArticle[[#This Row],[کد وضعیت سند]]=1,TArticle[مبلغ],0),0),0)</f>
        <v>0</v>
      </c>
      <c r="AE327" s="1">
        <f>IFERROR(IF(((TArticle[[#This Row],[شناسه]]))="4.1.1",IF(TArticle[[#This Row],[کد وضعیت سند]]=1,TArticle[مبلغ],0),0),0)</f>
        <v>0</v>
      </c>
      <c r="AF327" s="1">
        <f>IFERROR(IF(((TArticle[[#This Row],[شناسه]]))="4.1.2",IF(TArticle[[#This Row],[کد وضعیت سند]]=1,TArticle[مبلغ],0),0),0)</f>
        <v>0</v>
      </c>
      <c r="AG327" s="1">
        <f>IFERROR(IF(INT(LEFT(TArticle[[#This Row],[شناسه]]))=1,IF(TArticle[[#This Row],[کد وضعیت سند]]=1,TArticle[مبلغ],0),0),0)</f>
        <v>0</v>
      </c>
      <c r="AH327" s="1">
        <f>IFERROR(IF(INT(LEFT(TArticle[[#This Row],[شناسه]]))=2,IF(TArticle[[#This Row],[کد وضعیت سند]]=1,TArticle[مبلغ],0),0),0)</f>
        <v>0</v>
      </c>
      <c r="AI327" s="1">
        <f>IFERROR(IF((LEFT(TArticle[[#This Row],[شناسه]],3))="5.2",IF(TArticle[[#This Row],[کد وضعیت سند]]=1,TArticle[مبلغ],0),0),0)</f>
        <v>0</v>
      </c>
      <c r="AJ327" s="1">
        <f>IF(TArticle[[#This Row],[کد وضعیت سند]]=1,1,0)</f>
        <v>0</v>
      </c>
      <c r="AK327" s="1">
        <f>IF(AND(TArticle[[#This Row],[کد وضعیت سند]]&lt;&gt;1,TArticle[[#This Row],[مبلغ]]&lt;&gt;0),1,0)</f>
        <v>0</v>
      </c>
      <c r="AL327" s="78">
        <f>IF(TArticle[[#This Row],[کد بانک]]&gt;0,TArticle[[#This Row],[مانده بانک]]-VLOOKUP(TArticle[[#This Row],[کد بانک]],TBank[],7,FALSE),"")</f>
        <v>1065</v>
      </c>
      <c r="AM327" s="58" t="str">
        <f>LEFT(TArticle[[#This Row],[تاریخ]],7)</f>
        <v>1402-02</v>
      </c>
    </row>
    <row r="328" spans="1:39" x14ac:dyDescent="0.25">
      <c r="A328" s="24"/>
      <c r="B328" s="49" t="str">
        <f>VLOOKUP(TArticle[[#This Row],[شناسه]],TAccount[],2,TRUE)</f>
        <v>---</v>
      </c>
      <c r="C328" s="49" t="str">
        <f>VLOOKUP(TArticle[[#This Row],[تاریخ]],TDays[],7,FALSE)</f>
        <v>جمعه</v>
      </c>
      <c r="D328" s="21" t="s">
        <v>588</v>
      </c>
      <c r="F328" s="1">
        <f>TArticle[[#This Row],[مبلغ]]+IFERROR(INT(F327),30181+3667+958)</f>
        <v>7763</v>
      </c>
      <c r="G328" s="49"/>
      <c r="L328" s="171" t="str">
        <f>IF(TArticle[[#This Row],[کد وضعیت سند]]&gt;0,VLOOKUP(TArticle[[#This Row],[کد وضعیت سند]],TDocState[],2,FALSE),"")</f>
        <v/>
      </c>
      <c r="N328" s="171" t="str">
        <f>IF(TArticle[[#This Row],[کد طرف حساب]]&gt;0,VLOOKUP(TArticle[[#This Row],[کد طرف حساب]],TContact[],2,FALSE),"")</f>
        <v/>
      </c>
      <c r="O328" s="61" t="str">
        <f>IF(TArticle[[#This Row],[کد طرف حساب]]&gt;0,VLOOKUP(TArticle[[#This Row],[کد طرف حساب]],TContact[],7,FALSE)-SUMIF($M$2:M328,M328,$E$2:$E328),"")</f>
        <v/>
      </c>
      <c r="P328" s="27" t="str">
        <f>RIGHT(TArticle[[#This Row],[تاریخ]],2)</f>
        <v>01</v>
      </c>
      <c r="Q328" s="27">
        <f>VLOOKUP(TArticle[[#This Row],[تاریخ]],TDays[],16,FALSE)</f>
        <v>5</v>
      </c>
      <c r="R328" s="27" t="str">
        <f>RIGHT(LEFT(TArticle[[#This Row],[تاریخ]],7),2)</f>
        <v>02</v>
      </c>
      <c r="S328" s="27" t="str">
        <f>LEFT(TArticle[[#This Row],[تاریخ]],4)</f>
        <v>1402</v>
      </c>
      <c r="U328" s="21">
        <f>VLOOKUP(TArticle[[#This Row],[شناسه]],TAccount[],7,TRUE)</f>
        <v>0</v>
      </c>
      <c r="W328" s="21">
        <f>IF(AND(TArticle[[#This Row],[مبلغ]]&gt;0, TArticle[[#This Row],[کد وضعیت سند]]=1),TArticle[[#This Row],[مبلغ]],0)</f>
        <v>0</v>
      </c>
      <c r="X328" s="27">
        <f>IF(AND(TArticle[[#This Row],[مبلغ]]&lt;0,TArticle[[#This Row],[کد وضعیت سند]]=1),0-TArticle[[#This Row],[مبلغ]],0)</f>
        <v>0</v>
      </c>
      <c r="Y328" s="27">
        <v>2</v>
      </c>
      <c r="Z328" s="171" t="str">
        <f>IF(TArticle[[#This Row],[کد بانک]]&gt;0,VLOOKUP(TArticle[[#This Row],[کد بانک]],TBank[],2,FALSE),"")</f>
        <v>ملی جاری</v>
      </c>
      <c r="AA328">
        <f>IF(AND(TArticle[[#This Row],[مبلغ]]&lt;0,TArticle[[#This Row],[کد وضعیت سند]]=1),0-TArticle[[#This Row],[مبلغ]],0)</f>
        <v>0</v>
      </c>
      <c r="AB328">
        <f>IF(AND(TArticle[[#This Row],[مبلغ]]&gt;0, TArticle[[#This Row],[کد وضعیت سند]]=1),TArticle[[#This Row],[مبلغ]],0)</f>
        <v>0</v>
      </c>
      <c r="AC328" s="84">
        <f>IF(TArticle[[#This Row],[کد بانک]]&gt;0,VLOOKUP(TArticle[[#This Row],[کد بانک]],TBank[],9,FALSE)+SUMIF($Y$2:Y328,Y328,$E$2:$E328),"")</f>
        <v>1065</v>
      </c>
      <c r="AD328" s="1">
        <f>IFERROR(IF(INT(LEFT(TArticle[[#This Row],[شناسه]]))=3,IF(TArticle[[#This Row],[کد وضعیت سند]]=1,TArticle[مبلغ],0),0),0)</f>
        <v>0</v>
      </c>
      <c r="AE328" s="1">
        <f>IFERROR(IF(((TArticle[[#This Row],[شناسه]]))="4.1.1",IF(TArticle[[#This Row],[کد وضعیت سند]]=1,TArticle[مبلغ],0),0),0)</f>
        <v>0</v>
      </c>
      <c r="AF328" s="1">
        <f>IFERROR(IF(((TArticle[[#This Row],[شناسه]]))="4.1.2",IF(TArticle[[#This Row],[کد وضعیت سند]]=1,TArticle[مبلغ],0),0),0)</f>
        <v>0</v>
      </c>
      <c r="AG328" s="1">
        <f>IFERROR(IF(INT(LEFT(TArticle[[#This Row],[شناسه]]))=1,IF(TArticle[[#This Row],[کد وضعیت سند]]=1,TArticle[مبلغ],0),0),0)</f>
        <v>0</v>
      </c>
      <c r="AH328" s="1">
        <f>IFERROR(IF(INT(LEFT(TArticle[[#This Row],[شناسه]]))=2,IF(TArticle[[#This Row],[کد وضعیت سند]]=1,TArticle[مبلغ],0),0),0)</f>
        <v>0</v>
      </c>
      <c r="AI328" s="1">
        <f>IFERROR(IF((LEFT(TArticle[[#This Row],[شناسه]],3))="5.2",IF(TArticle[[#This Row],[کد وضعیت سند]]=1,TArticle[مبلغ],0),0),0)</f>
        <v>0</v>
      </c>
      <c r="AJ328" s="1">
        <f>IF(TArticle[[#This Row],[کد وضعیت سند]]=1,1,0)</f>
        <v>0</v>
      </c>
      <c r="AK328" s="1">
        <f>IF(AND(TArticle[[#This Row],[کد وضعیت سند]]&lt;&gt;1,TArticle[[#This Row],[مبلغ]]&lt;&gt;0),1,0)</f>
        <v>0</v>
      </c>
      <c r="AL328" s="51">
        <f>IF(TArticle[[#This Row],[کد بانک]]&gt;0,TArticle[[#This Row],[مانده بانک]]-VLOOKUP(TArticle[[#This Row],[کد بانک]],TBank[],7,FALSE),"")</f>
        <v>1065</v>
      </c>
      <c r="AM328" s="58" t="str">
        <f>LEFT(TArticle[[#This Row],[تاریخ]],7)</f>
        <v>1402-02</v>
      </c>
    </row>
    <row r="329" spans="1:39" x14ac:dyDescent="0.25">
      <c r="A329" s="24"/>
      <c r="B329" s="49" t="str">
        <f>VLOOKUP(TArticle[[#This Row],[شناسه]],TAccount[],2,TRUE)</f>
        <v>---</v>
      </c>
      <c r="C329" s="49" t="str">
        <f>VLOOKUP(TArticle[[#This Row],[تاریخ]],TDays[],7,FALSE)</f>
        <v>جمعه</v>
      </c>
      <c r="D329" s="21" t="s">
        <v>588</v>
      </c>
      <c r="F329" s="1">
        <f>TArticle[[#This Row],[مبلغ]]+IFERROR(INT(F328),30181+3667+958)</f>
        <v>7763</v>
      </c>
      <c r="G329" s="49"/>
      <c r="L329" s="171" t="str">
        <f>IF(TArticle[[#This Row],[کد وضعیت سند]]&gt;0,VLOOKUP(TArticle[[#This Row],[کد وضعیت سند]],TDocState[],2,FALSE),"")</f>
        <v/>
      </c>
      <c r="N329" s="171" t="str">
        <f>IF(TArticle[[#This Row],[کد طرف حساب]]&gt;0,VLOOKUP(TArticle[[#This Row],[کد طرف حساب]],TContact[],2,FALSE),"")</f>
        <v/>
      </c>
      <c r="O329" s="61" t="str">
        <f>IF(TArticle[[#This Row],[کد طرف حساب]]&gt;0,VLOOKUP(TArticle[[#This Row],[کد طرف حساب]],TContact[],7,FALSE)-SUMIF($M$2:M329,M329,$E$2:$E329),"")</f>
        <v/>
      </c>
      <c r="P329" s="27" t="str">
        <f>RIGHT(TArticle[[#This Row],[تاریخ]],2)</f>
        <v>01</v>
      </c>
      <c r="Q329" s="27">
        <f>VLOOKUP(TArticle[[#This Row],[تاریخ]],TDays[],16,FALSE)</f>
        <v>5</v>
      </c>
      <c r="R329" s="27" t="str">
        <f>RIGHT(LEFT(TArticle[[#This Row],[تاریخ]],7),2)</f>
        <v>02</v>
      </c>
      <c r="S329" s="27" t="str">
        <f>LEFT(TArticle[[#This Row],[تاریخ]],4)</f>
        <v>1402</v>
      </c>
      <c r="U329" s="21">
        <f>VLOOKUP(TArticle[[#This Row],[شناسه]],TAccount[],7,TRUE)</f>
        <v>0</v>
      </c>
      <c r="W329" s="21">
        <f>IF(AND(TArticle[[#This Row],[مبلغ]]&gt;0, TArticle[[#This Row],[کد وضعیت سند]]=1),TArticle[[#This Row],[مبلغ]],0)</f>
        <v>0</v>
      </c>
      <c r="X329" s="27">
        <f>IF(AND(TArticle[[#This Row],[مبلغ]]&lt;0,TArticle[[#This Row],[کد وضعیت سند]]=1),0-TArticle[[#This Row],[مبلغ]],0)</f>
        <v>0</v>
      </c>
      <c r="Y329" s="27">
        <v>2</v>
      </c>
      <c r="Z329" s="171" t="str">
        <f>IF(TArticle[[#This Row],[کد بانک]]&gt;0,VLOOKUP(TArticle[[#This Row],[کد بانک]],TBank[],2,FALSE),"")</f>
        <v>ملی جاری</v>
      </c>
      <c r="AA329">
        <f>IF(AND(TArticle[[#This Row],[مبلغ]]&lt;0,TArticle[[#This Row],[کد وضعیت سند]]=1),0-TArticle[[#This Row],[مبلغ]],0)</f>
        <v>0</v>
      </c>
      <c r="AB329">
        <f>IF(AND(TArticle[[#This Row],[مبلغ]]&gt;0, TArticle[[#This Row],[کد وضعیت سند]]=1),TArticle[[#This Row],[مبلغ]],0)</f>
        <v>0</v>
      </c>
      <c r="AC329" s="84">
        <f>IF(TArticle[[#This Row],[کد بانک]]&gt;0,VLOOKUP(TArticle[[#This Row],[کد بانک]],TBank[],9,FALSE)+SUMIF($Y$2:Y329,Y329,$E$2:$E329),"")</f>
        <v>1065</v>
      </c>
      <c r="AD329" s="1">
        <f>IFERROR(IF(INT(LEFT(TArticle[[#This Row],[شناسه]]))=3,IF(TArticle[[#This Row],[کد وضعیت سند]]=1,TArticle[مبلغ],0),0),0)</f>
        <v>0</v>
      </c>
      <c r="AE329" s="1">
        <f>IFERROR(IF(((TArticle[[#This Row],[شناسه]]))="4.1.1",IF(TArticle[[#This Row],[کد وضعیت سند]]=1,TArticle[مبلغ],0),0),0)</f>
        <v>0</v>
      </c>
      <c r="AF329" s="1">
        <f>IFERROR(IF(((TArticle[[#This Row],[شناسه]]))="4.1.2",IF(TArticle[[#This Row],[کد وضعیت سند]]=1,TArticle[مبلغ],0),0),0)</f>
        <v>0</v>
      </c>
      <c r="AG329" s="1">
        <f>IFERROR(IF(INT(LEFT(TArticle[[#This Row],[شناسه]]))=1,IF(TArticle[[#This Row],[کد وضعیت سند]]=1,TArticle[مبلغ],0),0),0)</f>
        <v>0</v>
      </c>
      <c r="AH329" s="1">
        <f>IFERROR(IF(INT(LEFT(TArticle[[#This Row],[شناسه]]))=2,IF(TArticle[[#This Row],[کد وضعیت سند]]=1,TArticle[مبلغ],0),0),0)</f>
        <v>0</v>
      </c>
      <c r="AI329" s="1">
        <f>IFERROR(IF((LEFT(TArticle[[#This Row],[شناسه]],3))="5.2",IF(TArticle[[#This Row],[کد وضعیت سند]]=1,TArticle[مبلغ],0),0),0)</f>
        <v>0</v>
      </c>
      <c r="AJ329" s="1">
        <f>IF(TArticle[[#This Row],[کد وضعیت سند]]=1,1,0)</f>
        <v>0</v>
      </c>
      <c r="AK329" s="1">
        <f>IF(AND(TArticle[[#This Row],[کد وضعیت سند]]&lt;&gt;1,TArticle[[#This Row],[مبلغ]]&lt;&gt;0),1,0)</f>
        <v>0</v>
      </c>
      <c r="AL329" s="51">
        <f>IF(TArticle[[#This Row],[کد بانک]]&gt;0,TArticle[[#This Row],[مانده بانک]]-VLOOKUP(TArticle[[#This Row],[کد بانک]],TBank[],7,FALSE),"")</f>
        <v>1065</v>
      </c>
      <c r="AM329" s="58" t="str">
        <f>LEFT(TArticle[[#This Row],[تاریخ]],7)</f>
        <v>1402-02</v>
      </c>
    </row>
    <row r="330" spans="1:39" x14ac:dyDescent="0.25">
      <c r="A330" s="24"/>
      <c r="B330" s="49" t="str">
        <f>VLOOKUP(TArticle[[#This Row],[شناسه]],TAccount[],2,TRUE)</f>
        <v>---</v>
      </c>
      <c r="C330" s="49" t="str">
        <f>VLOOKUP(TArticle[[#This Row],[تاریخ]],TDays[],7,FALSE)</f>
        <v>جمعه</v>
      </c>
      <c r="D330" s="21" t="s">
        <v>588</v>
      </c>
      <c r="F330" s="1">
        <f>TArticle[[#This Row],[مبلغ]]+IFERROR(INT(F329),30181+3667+958)</f>
        <v>7763</v>
      </c>
      <c r="G330" s="49"/>
      <c r="L330" s="171" t="str">
        <f>IF(TArticle[[#This Row],[کد وضعیت سند]]&gt;0,VLOOKUP(TArticle[[#This Row],[کد وضعیت سند]],TDocState[],2,FALSE),"")</f>
        <v/>
      </c>
      <c r="N330" s="171" t="str">
        <f>IF(TArticle[[#This Row],[کد طرف حساب]]&gt;0,VLOOKUP(TArticle[[#This Row],[کد طرف حساب]],TContact[],2,FALSE),"")</f>
        <v/>
      </c>
      <c r="O330" s="51" t="str">
        <f>IF(TArticle[[#This Row],[کد طرف حساب]]&gt;0,VLOOKUP(TArticle[[#This Row],[کد طرف حساب]],TContact[],7,FALSE)-SUMIF($M$2:M330,M330,$E$2:$E330),"")</f>
        <v/>
      </c>
      <c r="P330" s="27" t="str">
        <f>RIGHT(TArticle[[#This Row],[تاریخ]],2)</f>
        <v>01</v>
      </c>
      <c r="Q330" s="27">
        <f>VLOOKUP(TArticle[[#This Row],[تاریخ]],TDays[],16,FALSE)</f>
        <v>5</v>
      </c>
      <c r="R330" s="27" t="str">
        <f>RIGHT(LEFT(TArticle[[#This Row],[تاریخ]],7),2)</f>
        <v>02</v>
      </c>
      <c r="S330" s="27" t="str">
        <f>LEFT(TArticle[[#This Row],[تاریخ]],4)</f>
        <v>1402</v>
      </c>
      <c r="U330" s="21">
        <f>VLOOKUP(TArticle[[#This Row],[شناسه]],TAccount[],7,TRUE)</f>
        <v>0</v>
      </c>
      <c r="W330" s="21">
        <f>IF(AND(TArticle[[#This Row],[مبلغ]]&gt;0, TArticle[[#This Row],[کد وضعیت سند]]=1),TArticle[[#This Row],[مبلغ]],0)</f>
        <v>0</v>
      </c>
      <c r="X330" s="27">
        <f>IF(AND(TArticle[[#This Row],[مبلغ]]&lt;0,TArticle[[#This Row],[کد وضعیت سند]]=1),0-TArticle[[#This Row],[مبلغ]],0)</f>
        <v>0</v>
      </c>
      <c r="Y330" s="27">
        <v>2</v>
      </c>
      <c r="Z330" s="171" t="str">
        <f>IF(TArticle[[#This Row],[کد بانک]]&gt;0,VLOOKUP(TArticle[[#This Row],[کد بانک]],TBank[],2,FALSE),"")</f>
        <v>ملی جاری</v>
      </c>
      <c r="AA330">
        <f>IF(AND(TArticle[[#This Row],[مبلغ]]&lt;0,TArticle[[#This Row],[کد وضعیت سند]]=1),0-TArticle[[#This Row],[مبلغ]],0)</f>
        <v>0</v>
      </c>
      <c r="AB330">
        <f>IF(AND(TArticle[[#This Row],[مبلغ]]&gt;0, TArticle[[#This Row],[کد وضعیت سند]]=1),TArticle[[#This Row],[مبلغ]],0)</f>
        <v>0</v>
      </c>
      <c r="AC330" s="84">
        <f>IF(TArticle[[#This Row],[کد بانک]]&gt;0,VLOOKUP(TArticle[[#This Row],[کد بانک]],TBank[],9,FALSE)+SUMIF($Y$2:Y330,Y330,$E$2:$E330),"")</f>
        <v>1065</v>
      </c>
      <c r="AD330" s="1">
        <f>IFERROR(IF(INT(LEFT(TArticle[[#This Row],[شناسه]]))=3,IF(TArticle[[#This Row],[کد وضعیت سند]]=1,TArticle[مبلغ],0),0),0)</f>
        <v>0</v>
      </c>
      <c r="AE330" s="1">
        <f>IFERROR(IF(((TArticle[[#This Row],[شناسه]]))="4.1.1",IF(TArticle[[#This Row],[کد وضعیت سند]]=1,TArticle[مبلغ],0),0),0)</f>
        <v>0</v>
      </c>
      <c r="AF330" s="1">
        <f>IFERROR(IF(((TArticle[[#This Row],[شناسه]]))="4.1.2",IF(TArticle[[#This Row],[کد وضعیت سند]]=1,TArticle[مبلغ],0),0),0)</f>
        <v>0</v>
      </c>
      <c r="AG330" s="1">
        <f>IFERROR(IF(INT(LEFT(TArticle[[#This Row],[شناسه]]))=1,IF(TArticle[[#This Row],[کد وضعیت سند]]=1,TArticle[مبلغ],0),0),0)</f>
        <v>0</v>
      </c>
      <c r="AH330" s="1">
        <f>IFERROR(IF(INT(LEFT(TArticle[[#This Row],[شناسه]]))=2,IF(TArticle[[#This Row],[کد وضعیت سند]]=1,TArticle[مبلغ],0),0),0)</f>
        <v>0</v>
      </c>
      <c r="AI330" s="1">
        <f>IFERROR(IF((LEFT(TArticle[[#This Row],[شناسه]],3))="5.2",IF(TArticle[[#This Row],[کد وضعیت سند]]=1,TArticle[مبلغ],0),0),0)</f>
        <v>0</v>
      </c>
      <c r="AJ330" s="1">
        <f>IF(TArticle[[#This Row],[کد وضعیت سند]]=1,1,0)</f>
        <v>0</v>
      </c>
      <c r="AK330" s="1">
        <f>IF(AND(TArticle[[#This Row],[کد وضعیت سند]]&lt;&gt;1,TArticle[[#This Row],[مبلغ]]&lt;&gt;0),1,0)</f>
        <v>0</v>
      </c>
      <c r="AL330" s="51">
        <f>IF(TArticle[[#This Row],[کد بانک]]&gt;0,TArticle[[#This Row],[مانده بانک]]-VLOOKUP(TArticle[[#This Row],[کد بانک]],TBank[],7,FALSE),"")</f>
        <v>1065</v>
      </c>
      <c r="AM330" s="49" t="str">
        <f>LEFT(TArticle[[#This Row],[تاریخ]],7)</f>
        <v>1402-02</v>
      </c>
    </row>
    <row r="331" spans="1:39" x14ac:dyDescent="0.25">
      <c r="A331" s="24"/>
      <c r="B331" s="49" t="str">
        <f>VLOOKUP(TArticle[[#This Row],[شناسه]],TAccount[],2,TRUE)</f>
        <v>---</v>
      </c>
      <c r="C331" s="49" t="str">
        <f>VLOOKUP(TArticle[[#This Row],[تاریخ]],TDays[],7,FALSE)</f>
        <v>جمعه</v>
      </c>
      <c r="D331" s="21" t="s">
        <v>588</v>
      </c>
      <c r="F331" s="1">
        <f>TArticle[[#This Row],[مبلغ]]+IFERROR(INT(F330),30181+3667+958)</f>
        <v>7763</v>
      </c>
      <c r="G331" s="49"/>
      <c r="H331" s="64"/>
      <c r="J331" s="65"/>
      <c r="K331" s="64"/>
      <c r="L331" s="171" t="str">
        <f>IF(TArticle[[#This Row],[کد وضعیت سند]]&gt;0,VLOOKUP(TArticle[[#This Row],[کد وضعیت سند]],TDocState[],2,FALSE),"")</f>
        <v/>
      </c>
      <c r="M331" s="67"/>
      <c r="N331" s="171" t="str">
        <f>IF(TArticle[[#This Row],[کد طرف حساب]]&gt;0,VLOOKUP(TArticle[[#This Row],[کد طرف حساب]],TContact[],2,FALSE),"")</f>
        <v/>
      </c>
      <c r="O331" s="68" t="str">
        <f>IF(TArticle[[#This Row],[کد طرف حساب]]&gt;0,VLOOKUP(TArticle[[#This Row],[کد طرف حساب]],TContact[],7,FALSE)-SUMIF($M$2:M331,M331,$E$2:$E331),"")</f>
        <v/>
      </c>
      <c r="P331" s="67" t="str">
        <f>RIGHT(TArticle[[#This Row],[تاریخ]],2)</f>
        <v>01</v>
      </c>
      <c r="Q331" s="67">
        <f>VLOOKUP(TArticle[[#This Row],[تاریخ]],TDays[],16,FALSE)</f>
        <v>5</v>
      </c>
      <c r="R331" s="67" t="str">
        <f>RIGHT(LEFT(TArticle[[#This Row],[تاریخ]],7),2)</f>
        <v>02</v>
      </c>
      <c r="S331" s="67" t="str">
        <f>LEFT(TArticle[[#This Row],[تاریخ]],4)</f>
        <v>1402</v>
      </c>
      <c r="T331" s="64"/>
      <c r="U331" s="64">
        <f>VLOOKUP(TArticle[[#This Row],[شناسه]],TAccount[],7,TRUE)</f>
        <v>0</v>
      </c>
      <c r="V331" s="64"/>
      <c r="W331" s="64">
        <f>IF(AND(TArticle[[#This Row],[مبلغ]]&gt;0, TArticle[[#This Row],[کد وضعیت سند]]=1),TArticle[[#This Row],[مبلغ]],0)</f>
        <v>0</v>
      </c>
      <c r="X331" s="67">
        <f>IF(AND(TArticle[[#This Row],[مبلغ]]&lt;0,TArticle[[#This Row],[کد وضعیت سند]]=1),0-TArticle[[#This Row],[مبلغ]],0)</f>
        <v>0</v>
      </c>
      <c r="Y331" s="27">
        <v>2</v>
      </c>
      <c r="Z331" s="171" t="str">
        <f>IF(TArticle[[#This Row],[کد بانک]]&gt;0,VLOOKUP(TArticle[[#This Row],[کد بانک]],TBank[],2,FALSE),"")</f>
        <v>ملی جاری</v>
      </c>
      <c r="AA331">
        <f>IF(AND(TArticle[[#This Row],[مبلغ]]&lt;0,TArticle[[#This Row],[کد وضعیت سند]]=1),0-TArticle[[#This Row],[مبلغ]],0)</f>
        <v>0</v>
      </c>
      <c r="AB331">
        <f>IF(AND(TArticle[[#This Row],[مبلغ]]&gt;0, TArticle[[#This Row],[کد وضعیت سند]]=1),TArticle[[#This Row],[مبلغ]],0)</f>
        <v>0</v>
      </c>
      <c r="AC331" s="93">
        <f>IF(TArticle[[#This Row],[کد بانک]]&gt;0,VLOOKUP(TArticle[[#This Row],[کد بانک]],TBank[],9,FALSE)+SUMIF($Y$2:Y331,Y331,$E$2:$E331),"")</f>
        <v>1065</v>
      </c>
      <c r="AD331" s="1">
        <f>IFERROR(IF(INT(LEFT(TArticle[[#This Row],[شناسه]]))=3,IF(TArticle[[#This Row],[کد وضعیت سند]]=1,TArticle[مبلغ],0),0),0)</f>
        <v>0</v>
      </c>
      <c r="AE331" s="1">
        <f>IFERROR(IF(((TArticle[[#This Row],[شناسه]]))="4.1.1",IF(TArticle[[#This Row],[کد وضعیت سند]]=1,TArticle[مبلغ],0),0),0)</f>
        <v>0</v>
      </c>
      <c r="AF331" s="1">
        <f>IFERROR(IF(((TArticle[[#This Row],[شناسه]]))="4.1.2",IF(TArticle[[#This Row],[کد وضعیت سند]]=1,TArticle[مبلغ],0),0),0)</f>
        <v>0</v>
      </c>
      <c r="AG331" s="1">
        <f>IFERROR(IF(INT(LEFT(TArticle[[#This Row],[شناسه]]))=1,IF(TArticle[[#This Row],[کد وضعیت سند]]=1,TArticle[مبلغ],0),0),0)</f>
        <v>0</v>
      </c>
      <c r="AH331" s="1">
        <f>IFERROR(IF(INT(LEFT(TArticle[[#This Row],[شناسه]]))=2,IF(TArticle[[#This Row],[کد وضعیت سند]]=1,TArticle[مبلغ],0),0),0)</f>
        <v>0</v>
      </c>
      <c r="AI331" s="1">
        <f>IFERROR(IF((LEFT(TArticle[[#This Row],[شناسه]],3))="5.2",IF(TArticle[[#This Row],[کد وضعیت سند]]=1,TArticle[مبلغ],0),0),0)</f>
        <v>0</v>
      </c>
      <c r="AJ331" s="1">
        <f>IF(TArticle[[#This Row],[کد وضعیت سند]]=1,1,0)</f>
        <v>0</v>
      </c>
      <c r="AK331" s="1">
        <f>IF(AND(TArticle[[#This Row],[کد وضعیت سند]]&lt;&gt;1,TArticle[[#This Row],[مبلغ]]&lt;&gt;0),1,0)</f>
        <v>0</v>
      </c>
      <c r="AL331" s="78">
        <f>IF(TArticle[[#This Row],[کد بانک]]&gt;0,TArticle[[#This Row],[مانده بانک]]-VLOOKUP(TArticle[[#This Row],[کد بانک]],TBank[],7,FALSE),"")</f>
        <v>1065</v>
      </c>
      <c r="AM331" s="69" t="str">
        <f>LEFT(TArticle[[#This Row],[تاریخ]],7)</f>
        <v>1402-02</v>
      </c>
    </row>
    <row r="332" spans="1:39" x14ac:dyDescent="0.25">
      <c r="A332" s="24" t="s">
        <v>43</v>
      </c>
      <c r="B332" s="49" t="str">
        <f>VLOOKUP(TArticle[[#This Row],[شناسه]],TAccount[],2,TRUE)</f>
        <v>حقوق</v>
      </c>
      <c r="C332" s="49" t="str">
        <f>VLOOKUP(TArticle[[#This Row],[تاریخ]],TDays[],7,FALSE)</f>
        <v>جمعه</v>
      </c>
      <c r="D332" s="21" t="s">
        <v>588</v>
      </c>
      <c r="E332" s="1">
        <v>36000</v>
      </c>
      <c r="F332" s="1">
        <f>TArticle[[#This Row],[مبلغ]]+IFERROR(INT(F331),30181+3667+958)</f>
        <v>43763</v>
      </c>
      <c r="G332" s="49"/>
      <c r="J332" s="65"/>
      <c r="K332" s="64">
        <v>2</v>
      </c>
      <c r="L332" s="171" t="str">
        <f>IF(TArticle[[#This Row],[کد وضعیت سند]]&gt;0,VLOOKUP(TArticle[[#This Row],[کد وضعیت سند]],TDocState[],2,FALSE),"")</f>
        <v>قطعی</v>
      </c>
      <c r="M332" s="67"/>
      <c r="N332" s="171" t="str">
        <f>IF(TArticle[[#This Row],[کد طرف حساب]]&gt;0,VLOOKUP(TArticle[[#This Row],[کد طرف حساب]],TContact[],2,FALSE),"")</f>
        <v/>
      </c>
      <c r="O332" s="68" t="str">
        <f>IF(TArticle[[#This Row],[کد طرف حساب]]&gt;0,VLOOKUP(TArticle[[#This Row],[کد طرف حساب]],TContact[],7,FALSE)-SUMIF($M$2:M332,M332,$E$2:$E332),"")</f>
        <v/>
      </c>
      <c r="P332" s="67" t="str">
        <f>RIGHT(TArticle[[#This Row],[تاریخ]],2)</f>
        <v>01</v>
      </c>
      <c r="Q332" s="67">
        <f>VLOOKUP(TArticle[[#This Row],[تاریخ]],TDays[],16,FALSE)</f>
        <v>5</v>
      </c>
      <c r="R332" s="67" t="str">
        <f>RIGHT(LEFT(TArticle[[#This Row],[تاریخ]],7),2)</f>
        <v>02</v>
      </c>
      <c r="S332" s="67" t="str">
        <f>LEFT(TArticle[[#This Row],[تاریخ]],4)</f>
        <v>1402</v>
      </c>
      <c r="T332" s="64"/>
      <c r="U332" s="64">
        <f>VLOOKUP(TArticle[[#This Row],[شناسه]],TAccount[],7,TRUE)</f>
        <v>416023</v>
      </c>
      <c r="V332" s="64"/>
      <c r="W332" s="64">
        <f>IF(AND(TArticle[[#This Row],[مبلغ]]&gt;0, TArticle[[#This Row],[کد وضعیت سند]]=1),TArticle[[#This Row],[مبلغ]],0)</f>
        <v>0</v>
      </c>
      <c r="X332" s="67">
        <f>IF(AND(TArticle[[#This Row],[مبلغ]]&lt;0,TArticle[[#This Row],[کد وضعیت سند]]=1),0-TArticle[[#This Row],[مبلغ]],0)</f>
        <v>0</v>
      </c>
      <c r="Y332" s="27">
        <v>2</v>
      </c>
      <c r="Z332" s="171" t="str">
        <f>IF(TArticle[[#This Row],[کد بانک]]&gt;0,VLOOKUP(TArticle[[#This Row],[کد بانک]],TBank[],2,FALSE),"")</f>
        <v>ملی جاری</v>
      </c>
      <c r="AA332">
        <f>IF(AND(TArticle[[#This Row],[مبلغ]]&lt;0,TArticle[[#This Row],[کد وضعیت سند]]=1),0-TArticle[[#This Row],[مبلغ]],0)</f>
        <v>0</v>
      </c>
      <c r="AB332">
        <f>IF(AND(TArticle[[#This Row],[مبلغ]]&gt;0, TArticle[[#This Row],[کد وضعیت سند]]=1),TArticle[[#This Row],[مبلغ]],0)</f>
        <v>0</v>
      </c>
      <c r="AC332" s="93">
        <f>IF(TArticle[[#This Row],[کد بانک]]&gt;0,VLOOKUP(TArticle[[#This Row],[کد بانک]],TBank[],9,FALSE)+SUMIF($Y$2:Y332,Y332,$E$2:$E332),"")</f>
        <v>37065</v>
      </c>
      <c r="AD332" s="1">
        <f>IFERROR(IF(INT(LEFT(TArticle[[#This Row],[شناسه]]))=3,IF(TArticle[[#This Row],[کد وضعیت سند]]=1,TArticle[مبلغ],0),0),0)</f>
        <v>0</v>
      </c>
      <c r="AE332" s="1">
        <f>IFERROR(IF(((TArticle[[#This Row],[شناسه]]))="4.1.1",IF(TArticle[[#This Row],[کد وضعیت سند]]=1,TArticle[مبلغ],0),0),0)</f>
        <v>0</v>
      </c>
      <c r="AF332" s="1">
        <f>IFERROR(IF(((TArticle[[#This Row],[شناسه]]))="4.1.2",IF(TArticle[[#This Row],[کد وضعیت سند]]=1,TArticle[مبلغ],0),0),0)</f>
        <v>0</v>
      </c>
      <c r="AG332" s="1">
        <f>IFERROR(IF(INT(LEFT(TArticle[[#This Row],[شناسه]]))=1,IF(TArticle[[#This Row],[کد وضعیت سند]]=1,TArticle[مبلغ],0),0),0)</f>
        <v>0</v>
      </c>
      <c r="AH332" s="1">
        <f>IFERROR(IF(INT(LEFT(TArticle[[#This Row],[شناسه]]))=2,IF(TArticle[[#This Row],[کد وضعیت سند]]=1,TArticle[مبلغ],0),0),0)</f>
        <v>0</v>
      </c>
      <c r="AI332" s="1">
        <f>IFERROR(IF((LEFT(TArticle[[#This Row],[شناسه]],3))="5.2",IF(TArticle[[#This Row],[کد وضعیت سند]]=1,TArticle[مبلغ],0),0),0)</f>
        <v>0</v>
      </c>
      <c r="AJ332" s="1">
        <f>IF(TArticle[[#This Row],[کد وضعیت سند]]=1,1,0)</f>
        <v>0</v>
      </c>
      <c r="AK332" s="1">
        <f>IF(AND(TArticle[[#This Row],[کد وضعیت سند]]&lt;&gt;1,TArticle[[#This Row],[مبلغ]]&lt;&gt;0),1,0)</f>
        <v>1</v>
      </c>
      <c r="AL332" s="78">
        <f>IF(TArticle[[#This Row],[کد بانک]]&gt;0,TArticle[[#This Row],[مانده بانک]]-VLOOKUP(TArticle[[#This Row],[کد بانک]],TBank[],7,FALSE),"")</f>
        <v>37065</v>
      </c>
      <c r="AM332" s="69" t="str">
        <f>LEFT(TArticle[[#This Row],[تاریخ]],7)</f>
        <v>1402-02</v>
      </c>
    </row>
    <row r="333" spans="1:39" x14ac:dyDescent="0.25">
      <c r="A333" s="24" t="s">
        <v>1608</v>
      </c>
      <c r="B333" s="49" t="str">
        <f>VLOOKUP(TArticle[[#This Row],[شناسه]],TAccount[],2,TRUE)</f>
        <v>بن کارت</v>
      </c>
      <c r="C333" s="49" t="str">
        <f>VLOOKUP(TArticle[[#This Row],[تاریخ]],TDays[],7,FALSE)</f>
        <v>جمعه</v>
      </c>
      <c r="D333" s="21" t="s">
        <v>588</v>
      </c>
      <c r="E333" s="1">
        <v>1700</v>
      </c>
      <c r="F333" s="1">
        <f>TArticle[[#This Row],[مبلغ]]+IFERROR(INT(F332),30181+3667+958)</f>
        <v>45463</v>
      </c>
      <c r="G333" s="49"/>
      <c r="J333" s="51"/>
      <c r="K333" s="64">
        <v>2</v>
      </c>
      <c r="L333" s="171" t="str">
        <f>IF(TArticle[[#This Row],[کد وضعیت سند]]&gt;0,VLOOKUP(TArticle[[#This Row],[کد وضعیت سند]],TDocState[],2,FALSE),"")</f>
        <v>قطعی</v>
      </c>
      <c r="N333" s="171" t="str">
        <f>IF(TArticle[[#This Row],[کد طرف حساب]]&gt;0,VLOOKUP(TArticle[[#This Row],[کد طرف حساب]],TContact[],2,FALSE),"")</f>
        <v/>
      </c>
      <c r="O333" s="61" t="str">
        <f>IF(TArticle[[#This Row],[کد طرف حساب]]&gt;0,VLOOKUP(TArticle[[#This Row],[کد طرف حساب]],TContact[],7,FALSE)-SUMIF($M$2:M333,M333,$E$2:$E333),"")</f>
        <v/>
      </c>
      <c r="P333" s="21" t="str">
        <f>RIGHT(TArticle[[#This Row],[تاریخ]],2)</f>
        <v>01</v>
      </c>
      <c r="Q333" s="21">
        <f>VLOOKUP(TArticle[[#This Row],[تاریخ]],TDays[],16,FALSE)</f>
        <v>5</v>
      </c>
      <c r="R333" s="21" t="str">
        <f>RIGHT(LEFT(TArticle[[#This Row],[تاریخ]],7),2)</f>
        <v>02</v>
      </c>
      <c r="S333" s="21" t="str">
        <f>LEFT(TArticle[[#This Row],[تاریخ]],4)</f>
        <v>1402</v>
      </c>
      <c r="U333" s="21">
        <f>VLOOKUP(TArticle[[#This Row],[شناسه]],TAccount[],7,TRUE)</f>
        <v>3000</v>
      </c>
      <c r="W333" s="21">
        <f>IF(AND(TArticle[[#This Row],[مبلغ]]&gt;0, TArticle[[#This Row],[کد وضعیت سند]]=1),TArticle[[#This Row],[مبلغ]],0)</f>
        <v>0</v>
      </c>
      <c r="X333" s="21">
        <f>IF(AND(TArticle[[#This Row],[مبلغ]]&lt;0,TArticle[[#This Row],[کد وضعیت سند]]=1),0-TArticle[[#This Row],[مبلغ]],0)</f>
        <v>0</v>
      </c>
      <c r="Y333" s="27">
        <v>2</v>
      </c>
      <c r="Z333" s="171" t="str">
        <f>IF(TArticle[[#This Row],[کد بانک]]&gt;0,VLOOKUP(TArticle[[#This Row],[کد بانک]],TBank[],2,FALSE),"")</f>
        <v>ملی جاری</v>
      </c>
      <c r="AA333">
        <f>IF(AND(TArticle[[#This Row],[مبلغ]]&lt;0,TArticle[[#This Row],[کد وضعیت سند]]=1),0-TArticle[[#This Row],[مبلغ]],0)</f>
        <v>0</v>
      </c>
      <c r="AB333">
        <f>IF(AND(TArticle[[#This Row],[مبلغ]]&gt;0, TArticle[[#This Row],[کد وضعیت سند]]=1),TArticle[[#This Row],[مبلغ]],0)</f>
        <v>0</v>
      </c>
      <c r="AC333" s="92">
        <f>IF(TArticle[[#This Row],[کد بانک]]&gt;0,VLOOKUP(TArticle[[#This Row],[کد بانک]],TBank[],9,FALSE)+SUMIF($Y$2:Y333,Y333,$E$2:$E333),"")</f>
        <v>38765</v>
      </c>
      <c r="AD333" s="1">
        <f>IFERROR(IF(INT(LEFT(TArticle[[#This Row],[شناسه]]))=3,IF(TArticle[[#This Row],[کد وضعیت سند]]=1,TArticle[مبلغ],0),0),0)</f>
        <v>0</v>
      </c>
      <c r="AE333" s="1">
        <f>IFERROR(IF(((TArticle[[#This Row],[شناسه]]))="4.1.1",IF(TArticle[[#This Row],[کد وضعیت سند]]=1,TArticle[مبلغ],0),0),0)</f>
        <v>0</v>
      </c>
      <c r="AF333" s="1">
        <f>IFERROR(IF(((TArticle[[#This Row],[شناسه]]))="4.1.2",IF(TArticle[[#This Row],[کد وضعیت سند]]=1,TArticle[مبلغ],0),0),0)</f>
        <v>0</v>
      </c>
      <c r="AG333" s="1">
        <f>IFERROR(IF(INT(LEFT(TArticle[[#This Row],[شناسه]]))=1,IF(TArticle[[#This Row],[کد وضعیت سند]]=1,TArticle[مبلغ],0),0),0)</f>
        <v>0</v>
      </c>
      <c r="AH333" s="1">
        <f>IFERROR(IF(INT(LEFT(TArticle[[#This Row],[شناسه]]))=2,IF(TArticle[[#This Row],[کد وضعیت سند]]=1,TArticle[مبلغ],0),0),0)</f>
        <v>0</v>
      </c>
      <c r="AI333" s="1">
        <f>IFERROR(IF((LEFT(TArticle[[#This Row],[شناسه]],3))="5.2",IF(TArticle[[#This Row],[کد وضعیت سند]]=1,TArticle[مبلغ],0),0),0)</f>
        <v>0</v>
      </c>
      <c r="AJ333" s="1">
        <f>IF(TArticle[[#This Row],[کد وضعیت سند]]=1,1,0)</f>
        <v>0</v>
      </c>
      <c r="AK333" s="1">
        <f>IF(AND(TArticle[[#This Row],[کد وضعیت سند]]&lt;&gt;1,TArticle[[#This Row],[مبلغ]]&lt;&gt;0),1,0)</f>
        <v>1</v>
      </c>
      <c r="AL333" s="51">
        <f>IF(TArticle[[#This Row],[کد بانک]]&gt;0,TArticle[[#This Row],[مانده بانک]]-VLOOKUP(TArticle[[#This Row],[کد بانک]],TBank[],7,FALSE),"")</f>
        <v>38765</v>
      </c>
      <c r="AM333" s="58" t="str">
        <f>LEFT(TArticle[[#This Row],[تاریخ]],7)</f>
        <v>1402-02</v>
      </c>
    </row>
    <row r="334" spans="1:39" x14ac:dyDescent="0.25">
      <c r="A334" s="24" t="s">
        <v>1110</v>
      </c>
      <c r="B334" s="49" t="str">
        <f>VLOOKUP(TArticle[[#This Row],[شناسه]],TAccount[],2,TRUE)</f>
        <v>قسط وام بانکی</v>
      </c>
      <c r="C334" s="49" t="str">
        <f>VLOOKUP(TArticle[[#This Row],[تاریخ]],TDays[],7,FALSE)</f>
        <v>یکشنبه</v>
      </c>
      <c r="D334" s="21" t="s">
        <v>590</v>
      </c>
      <c r="E334" s="1">
        <v>-1830</v>
      </c>
      <c r="F334" s="1">
        <f>TArticle[[#This Row],[مبلغ]]+IFERROR(INT(F333),30181+3667+958)</f>
        <v>43633</v>
      </c>
      <c r="G334" s="49" t="s">
        <v>1591</v>
      </c>
      <c r="H334" s="21">
        <v>23</v>
      </c>
      <c r="K334" s="21">
        <v>2</v>
      </c>
      <c r="L334" s="171" t="str">
        <f>IF(TArticle[[#This Row],[کد وضعیت سند]]&gt;0,VLOOKUP(TArticle[[#This Row],[کد وضعیت سند]],TDocState[],2,FALSE),"")</f>
        <v>قطعی</v>
      </c>
      <c r="M334" s="27">
        <v>110</v>
      </c>
      <c r="N334" s="171" t="str">
        <f>IF(TArticle[[#This Row],[کد طرف حساب]]&gt;0,VLOOKUP(TArticle[[#This Row],[کد طرف حساب]],TContact[],2,FALSE),"")</f>
        <v>وام ملت</v>
      </c>
      <c r="O334" s="61">
        <f>IF(TArticle[[#This Row],[کد طرف حساب]]&gt;0,VLOOKUP(TArticle[[#This Row],[کد طرف حساب]],TContact[],7,FALSE)-SUMIF($M$2:M334,M334,$E$2:$E334),"")</f>
        <v>-22550</v>
      </c>
      <c r="P334" s="27" t="str">
        <f>RIGHT(TArticle[[#This Row],[تاریخ]],2)</f>
        <v>03</v>
      </c>
      <c r="Q334" s="27">
        <f>VLOOKUP(TArticle[[#This Row],[تاریخ]],TDays[],16,FALSE)</f>
        <v>6</v>
      </c>
      <c r="R334" s="27" t="str">
        <f>RIGHT(LEFT(TArticle[[#This Row],[تاریخ]],7),2)</f>
        <v>02</v>
      </c>
      <c r="S334" s="27" t="str">
        <f>LEFT(TArticle[[#This Row],[تاریخ]],4)</f>
        <v>1402</v>
      </c>
      <c r="U334" s="21">
        <f>VLOOKUP(TArticle[[#This Row],[شناسه]],TAccount[],7,TRUE)</f>
        <v>81652</v>
      </c>
      <c r="V334" s="21" t="s">
        <v>590</v>
      </c>
      <c r="W334" s="21">
        <f>IF(AND(TArticle[[#This Row],[مبلغ]]&gt;0, TArticle[[#This Row],[کد وضعیت سند]]=1),TArticle[[#This Row],[مبلغ]],0)</f>
        <v>0</v>
      </c>
      <c r="X334" s="27">
        <f>IF(AND(TArticle[[#This Row],[مبلغ]]&lt;0,TArticle[[#This Row],[کد وضعیت سند]]=1),0-TArticle[[#This Row],[مبلغ]],0)</f>
        <v>0</v>
      </c>
      <c r="Y334" s="27">
        <v>2</v>
      </c>
      <c r="Z334" s="171" t="str">
        <f>IF(TArticle[[#This Row],[کد بانک]]&gt;0,VLOOKUP(TArticle[[#This Row],[کد بانک]],TBank[],2,FALSE),"")</f>
        <v>ملی جاری</v>
      </c>
      <c r="AA334">
        <f>IF(AND(TArticle[[#This Row],[مبلغ]]&lt;0,TArticle[[#This Row],[کد وضعیت سند]]=1),0-TArticle[[#This Row],[مبلغ]],0)</f>
        <v>0</v>
      </c>
      <c r="AB334">
        <f>IF(AND(TArticle[[#This Row],[مبلغ]]&gt;0, TArticle[[#This Row],[کد وضعیت سند]]=1),TArticle[[#This Row],[مبلغ]],0)</f>
        <v>0</v>
      </c>
      <c r="AC334" s="84">
        <f>IF(TArticle[[#This Row],[کد بانک]]&gt;0,VLOOKUP(TArticle[[#This Row],[کد بانک]],TBank[],9,FALSE)+SUMIF($Y$2:Y334,Y334,$E$2:$E334),"")</f>
        <v>36935</v>
      </c>
      <c r="AD334" s="1">
        <f>IFERROR(IF(INT(LEFT(TArticle[[#This Row],[شناسه]]))=3,IF(TArticle[[#This Row],[کد وضعیت سند]]=1,TArticle[مبلغ],0),0),0)</f>
        <v>0</v>
      </c>
      <c r="AE334" s="1">
        <f>IFERROR(IF(((TArticle[[#This Row],[شناسه]]))="4.1.1",IF(TArticle[[#This Row],[کد وضعیت سند]]=1,TArticle[مبلغ],0),0),0)</f>
        <v>0</v>
      </c>
      <c r="AF334" s="1">
        <f>IFERROR(IF(((TArticle[[#This Row],[شناسه]]))="4.1.2",IF(TArticle[[#This Row],[کد وضعیت سند]]=1,TArticle[مبلغ],0),0),0)</f>
        <v>0</v>
      </c>
      <c r="AG334" s="1">
        <f>IFERROR(IF(INT(LEFT(TArticle[[#This Row],[شناسه]]))=1,IF(TArticle[[#This Row],[کد وضعیت سند]]=1,TArticle[مبلغ],0),0),0)</f>
        <v>0</v>
      </c>
      <c r="AH334" s="1">
        <f>IFERROR(IF(INT(LEFT(TArticle[[#This Row],[شناسه]]))=2,IF(TArticle[[#This Row],[کد وضعیت سند]]=1,TArticle[مبلغ],0),0),0)</f>
        <v>0</v>
      </c>
      <c r="AI334" s="1">
        <f>IFERROR(IF((LEFT(TArticle[[#This Row],[شناسه]],3))="5.2",IF(TArticle[[#This Row],[کد وضعیت سند]]=1,TArticle[مبلغ],0),0),0)</f>
        <v>0</v>
      </c>
      <c r="AJ334" s="1">
        <f>IF(TArticle[[#This Row],[کد وضعیت سند]]=1,1,0)</f>
        <v>0</v>
      </c>
      <c r="AK334" s="1">
        <f>IF(AND(TArticle[[#This Row],[کد وضعیت سند]]&lt;&gt;1,TArticle[[#This Row],[مبلغ]]&lt;&gt;0),1,0)</f>
        <v>1</v>
      </c>
      <c r="AL334" s="51">
        <f>IF(TArticle[[#This Row],[کد بانک]]&gt;0,TArticle[[#This Row],[مانده بانک]]-VLOOKUP(TArticle[[#This Row],[کد بانک]],TBank[],7,FALSE),"")</f>
        <v>36935</v>
      </c>
      <c r="AM334" s="49" t="str">
        <f>LEFT(TArticle[[#This Row],[تاریخ]],7)</f>
        <v>1402-02</v>
      </c>
    </row>
    <row r="335" spans="1:39" x14ac:dyDescent="0.25">
      <c r="A335" s="24" t="s">
        <v>1110</v>
      </c>
      <c r="B335" s="49" t="str">
        <f>VLOOKUP(TArticle[[#This Row],[شناسه]],TAccount[],2,TRUE)</f>
        <v>قسط وام بانکی</v>
      </c>
      <c r="C335" s="49" t="str">
        <f>VLOOKUP(TArticle[[#This Row],[تاریخ]],TDays[],7,FALSE)</f>
        <v>یکشنبه</v>
      </c>
      <c r="D335" s="21" t="s">
        <v>590</v>
      </c>
      <c r="E335" s="1">
        <v>-1830</v>
      </c>
      <c r="F335" s="1">
        <f>TArticle[[#This Row],[مبلغ]]+IFERROR(INT(F334),30181+3667+958)</f>
        <v>41803</v>
      </c>
      <c r="G335" s="49" t="s">
        <v>1591</v>
      </c>
      <c r="H335" s="21">
        <v>23</v>
      </c>
      <c r="K335" s="21">
        <v>2</v>
      </c>
      <c r="L335" s="171" t="str">
        <f>IF(TArticle[[#This Row],[کد وضعیت سند]]&gt;0,VLOOKUP(TArticle[[#This Row],[کد وضعیت سند]],TDocState[],2,FALSE),"")</f>
        <v>قطعی</v>
      </c>
      <c r="M335" s="27">
        <v>111</v>
      </c>
      <c r="N335" s="171" t="str">
        <f>IF(TArticle[[#This Row],[کد طرف حساب]]&gt;0,VLOOKUP(TArticle[[#This Row],[کد طرف حساب]],TContact[],2,FALSE),"")</f>
        <v>وام ملت ف</v>
      </c>
      <c r="O335" s="61">
        <f>IF(TArticle[[#This Row],[کد طرف حساب]]&gt;0,VLOOKUP(TArticle[[#This Row],[کد طرف حساب]],TContact[],7,FALSE)-SUMIF($M$2:M335,M335,$E$2:$E335),"")</f>
        <v>-22550</v>
      </c>
      <c r="P335" s="27" t="str">
        <f>RIGHT(TArticle[[#This Row],[تاریخ]],2)</f>
        <v>03</v>
      </c>
      <c r="Q335" s="27">
        <f>VLOOKUP(TArticle[[#This Row],[تاریخ]],TDays[],16,FALSE)</f>
        <v>6</v>
      </c>
      <c r="R335" s="27" t="str">
        <f>RIGHT(LEFT(TArticle[[#This Row],[تاریخ]],7),2)</f>
        <v>02</v>
      </c>
      <c r="S335" s="27" t="str">
        <f>LEFT(TArticle[[#This Row],[تاریخ]],4)</f>
        <v>1402</v>
      </c>
      <c r="U335" s="21">
        <f>VLOOKUP(TArticle[[#This Row],[شناسه]],TAccount[],7,TRUE)</f>
        <v>81652</v>
      </c>
      <c r="V335" s="21" t="s">
        <v>590</v>
      </c>
      <c r="W335" s="21">
        <f>IF(AND(TArticle[[#This Row],[مبلغ]]&gt;0, TArticle[[#This Row],[کد وضعیت سند]]=1),TArticle[[#This Row],[مبلغ]],0)</f>
        <v>0</v>
      </c>
      <c r="X335" s="27">
        <f>IF(AND(TArticle[[#This Row],[مبلغ]]&lt;0,TArticle[[#This Row],[کد وضعیت سند]]=1),0-TArticle[[#This Row],[مبلغ]],0)</f>
        <v>0</v>
      </c>
      <c r="Y335" s="27">
        <v>2</v>
      </c>
      <c r="Z335" s="171" t="str">
        <f>IF(TArticle[[#This Row],[کد بانک]]&gt;0,VLOOKUP(TArticle[[#This Row],[کد بانک]],TBank[],2,FALSE),"")</f>
        <v>ملی جاری</v>
      </c>
      <c r="AA335">
        <f>IF(AND(TArticle[[#This Row],[مبلغ]]&lt;0,TArticle[[#This Row],[کد وضعیت سند]]=1),0-TArticle[[#This Row],[مبلغ]],0)</f>
        <v>0</v>
      </c>
      <c r="AB335">
        <f>IF(AND(TArticle[[#This Row],[مبلغ]]&gt;0, TArticle[[#This Row],[کد وضعیت سند]]=1),TArticle[[#This Row],[مبلغ]],0)</f>
        <v>0</v>
      </c>
      <c r="AC335" s="84">
        <f>IF(TArticle[[#This Row],[کد بانک]]&gt;0,VLOOKUP(TArticle[[#This Row],[کد بانک]],TBank[],9,FALSE)+SUMIF($Y$2:Y335,Y335,$E$2:$E335),"")</f>
        <v>35105</v>
      </c>
      <c r="AD335" s="1">
        <f>IFERROR(IF(INT(LEFT(TArticle[[#This Row],[شناسه]]))=3,IF(TArticle[[#This Row],[کد وضعیت سند]]=1,TArticle[مبلغ],0),0),0)</f>
        <v>0</v>
      </c>
      <c r="AE335" s="1">
        <f>IFERROR(IF(((TArticle[[#This Row],[شناسه]]))="4.1.1",IF(TArticle[[#This Row],[کد وضعیت سند]]=1,TArticle[مبلغ],0),0),0)</f>
        <v>0</v>
      </c>
      <c r="AF335" s="1">
        <f>IFERROR(IF(((TArticle[[#This Row],[شناسه]]))="4.1.2",IF(TArticle[[#This Row],[کد وضعیت سند]]=1,TArticle[مبلغ],0),0),0)</f>
        <v>0</v>
      </c>
      <c r="AG335" s="1">
        <f>IFERROR(IF(INT(LEFT(TArticle[[#This Row],[شناسه]]))=1,IF(TArticle[[#This Row],[کد وضعیت سند]]=1,TArticle[مبلغ],0),0),0)</f>
        <v>0</v>
      </c>
      <c r="AH335" s="1">
        <f>IFERROR(IF(INT(LEFT(TArticle[[#This Row],[شناسه]]))=2,IF(TArticle[[#This Row],[کد وضعیت سند]]=1,TArticle[مبلغ],0),0),0)</f>
        <v>0</v>
      </c>
      <c r="AI335" s="1">
        <f>IFERROR(IF((LEFT(TArticle[[#This Row],[شناسه]],3))="5.2",IF(TArticle[[#This Row],[کد وضعیت سند]]=1,TArticle[مبلغ],0),0),0)</f>
        <v>0</v>
      </c>
      <c r="AJ335" s="1">
        <f>IF(TArticle[[#This Row],[کد وضعیت سند]]=1,1,0)</f>
        <v>0</v>
      </c>
      <c r="AK335" s="1">
        <f>IF(AND(TArticle[[#This Row],[کد وضعیت سند]]&lt;&gt;1,TArticle[[#This Row],[مبلغ]]&lt;&gt;0),1,0)</f>
        <v>1</v>
      </c>
      <c r="AL335" s="51">
        <f>IF(TArticle[[#This Row],[کد بانک]]&gt;0,TArticle[[#This Row],[مانده بانک]]-VLOOKUP(TArticle[[#This Row],[کد بانک]],TBank[],7,FALSE),"")</f>
        <v>35105</v>
      </c>
      <c r="AM335" s="49" t="str">
        <f>LEFT(TArticle[[#This Row],[تاریخ]],7)</f>
        <v>1402-02</v>
      </c>
    </row>
    <row r="336" spans="1:39" x14ac:dyDescent="0.25">
      <c r="A336" s="24" t="s">
        <v>1110</v>
      </c>
      <c r="B336" s="49" t="str">
        <f>VLOOKUP(TArticle[[#This Row],[شناسه]],TAccount[],2,TRUE)</f>
        <v>قسط وام بانکی</v>
      </c>
      <c r="C336" s="49" t="str">
        <f>VLOOKUP(TArticle[[#This Row],[تاریخ]],TDays[],7,FALSE)</f>
        <v>دوشنبه</v>
      </c>
      <c r="D336" s="21" t="s">
        <v>591</v>
      </c>
      <c r="E336" s="1">
        <v>-468</v>
      </c>
      <c r="F336" s="1">
        <f>TArticle[[#This Row],[مبلغ]]+IFERROR(INT(F335),30181+3667+958)</f>
        <v>41335</v>
      </c>
      <c r="G336" s="49"/>
      <c r="H336" s="21">
        <v>1</v>
      </c>
      <c r="J336" s="65"/>
      <c r="K336" s="64">
        <v>2</v>
      </c>
      <c r="L336" s="171" t="str">
        <f>IF(TArticle[[#This Row],[کد وضعیت سند]]&gt;0,VLOOKUP(TArticle[[#This Row],[کد وضعیت سند]],TDocState[],2,FALSE),"")</f>
        <v>قطعی</v>
      </c>
      <c r="M336" s="67">
        <v>116.1</v>
      </c>
      <c r="N336" s="171" t="str">
        <f>IF(TArticle[[#This Row],[کد طرف حساب]]&gt;0,VLOOKUP(TArticle[[#This Row],[کد طرف حساب]],TContact[],2,FALSE),"")</f>
        <v>سود امتیازی مهر</v>
      </c>
      <c r="O336" s="68">
        <f>IF(TArticle[[#This Row],[کد طرف حساب]]&gt;0,VLOOKUP(TArticle[[#This Row],[کد طرف حساب]],TContact[],7,FALSE)-SUMIF($M$2:M336,M336,$E$2:$E336),"")</f>
        <v>-234</v>
      </c>
      <c r="P336" s="67" t="str">
        <f>RIGHT(TArticle[[#This Row],[تاریخ]],2)</f>
        <v>04</v>
      </c>
      <c r="Q336" s="67">
        <f>VLOOKUP(TArticle[[#This Row],[تاریخ]],TDays[],16,FALSE)</f>
        <v>6</v>
      </c>
      <c r="R336" s="67" t="str">
        <f>RIGHT(LEFT(TArticle[[#This Row],[تاریخ]],7),2)</f>
        <v>02</v>
      </c>
      <c r="S336" s="67" t="str">
        <f>LEFT(TArticle[[#This Row],[تاریخ]],4)</f>
        <v>1402</v>
      </c>
      <c r="T336" s="64"/>
      <c r="U336" s="64">
        <f>VLOOKUP(TArticle[[#This Row],[شناسه]],TAccount[],7,TRUE)</f>
        <v>81652</v>
      </c>
      <c r="V336" s="64"/>
      <c r="W336" s="64">
        <f>IF(AND(TArticle[[#This Row],[مبلغ]]&gt;0, TArticle[[#This Row],[کد وضعیت سند]]=1),TArticle[[#This Row],[مبلغ]],0)</f>
        <v>0</v>
      </c>
      <c r="X336" s="67">
        <f>IF(AND(TArticle[[#This Row],[مبلغ]]&lt;0,TArticle[[#This Row],[کد وضعیت سند]]=1),0-TArticle[[#This Row],[مبلغ]],0)</f>
        <v>0</v>
      </c>
      <c r="Y336" s="27">
        <v>2</v>
      </c>
      <c r="Z336" s="171" t="str">
        <f>IF(TArticle[[#This Row],[کد بانک]]&gt;0,VLOOKUP(TArticle[[#This Row],[کد بانک]],TBank[],2,FALSE),"")</f>
        <v>ملی جاری</v>
      </c>
      <c r="AA336">
        <f>IF(AND(TArticle[[#This Row],[مبلغ]]&lt;0,TArticle[[#This Row],[کد وضعیت سند]]=1),0-TArticle[[#This Row],[مبلغ]],0)</f>
        <v>0</v>
      </c>
      <c r="AB336">
        <f>IF(AND(TArticle[[#This Row],[مبلغ]]&gt;0, TArticle[[#This Row],[کد وضعیت سند]]=1),TArticle[[#This Row],[مبلغ]],0)</f>
        <v>0</v>
      </c>
      <c r="AC336" s="93">
        <f>IF(TArticle[[#This Row],[کد بانک]]&gt;0,VLOOKUP(TArticle[[#This Row],[کد بانک]],TBank[],9,FALSE)+SUMIF($Y$2:Y336,Y336,$E$2:$E336),"")</f>
        <v>34637</v>
      </c>
      <c r="AD336" s="1">
        <f>IFERROR(IF(INT(LEFT(TArticle[[#This Row],[شناسه]]))=3,IF(TArticle[[#This Row],[کد وضعیت سند]]=1,TArticle[مبلغ],0),0),0)</f>
        <v>0</v>
      </c>
      <c r="AE336" s="1">
        <f>IFERROR(IF(((TArticle[[#This Row],[شناسه]]))="4.1.1",IF(TArticle[[#This Row],[کد وضعیت سند]]=1,TArticle[مبلغ],0),0),0)</f>
        <v>0</v>
      </c>
      <c r="AF336" s="1">
        <f>IFERROR(IF(((TArticle[[#This Row],[شناسه]]))="4.1.2",IF(TArticle[[#This Row],[کد وضعیت سند]]=1,TArticle[مبلغ],0),0),0)</f>
        <v>0</v>
      </c>
      <c r="AG336" s="1">
        <f>IFERROR(IF(INT(LEFT(TArticle[[#This Row],[شناسه]]))=1,IF(TArticle[[#This Row],[کد وضعیت سند]]=1,TArticle[مبلغ],0),0),0)</f>
        <v>0</v>
      </c>
      <c r="AH336" s="1">
        <f>IFERROR(IF(INT(LEFT(TArticle[[#This Row],[شناسه]]))=2,IF(TArticle[[#This Row],[کد وضعیت سند]]=1,TArticle[مبلغ],0),0),0)</f>
        <v>0</v>
      </c>
      <c r="AI336" s="1">
        <f>IFERROR(IF((LEFT(TArticle[[#This Row],[شناسه]],3))="5.2",IF(TArticle[[#This Row],[کد وضعیت سند]]=1,TArticle[مبلغ],0),0),0)</f>
        <v>0</v>
      </c>
      <c r="AJ336" s="1">
        <f>IF(TArticle[[#This Row],[کد وضعیت سند]]=1,1,0)</f>
        <v>0</v>
      </c>
      <c r="AK336" s="1">
        <f>IF(AND(TArticle[[#This Row],[کد وضعیت سند]]&lt;&gt;1,TArticle[[#This Row],[مبلغ]]&lt;&gt;0),1,0)</f>
        <v>1</v>
      </c>
      <c r="AL336" s="78">
        <f>IF(TArticle[[#This Row],[کد بانک]]&gt;0,TArticle[[#This Row],[مانده بانک]]-VLOOKUP(TArticle[[#This Row],[کد بانک]],TBank[],7,FALSE),"")</f>
        <v>34637</v>
      </c>
      <c r="AM336" s="69" t="str">
        <f>LEFT(TArticle[[#This Row],[تاریخ]],7)</f>
        <v>1402-02</v>
      </c>
    </row>
    <row r="337" spans="1:39" x14ac:dyDescent="0.25">
      <c r="A337" s="24" t="s">
        <v>1110</v>
      </c>
      <c r="B337" s="49" t="str">
        <f>VLOOKUP(TArticle[[#This Row],[شناسه]],TAccount[],2,TRUE)</f>
        <v>قسط وام بانکی</v>
      </c>
      <c r="C337" s="49" t="str">
        <f>VLOOKUP(TArticle[[#This Row],[تاریخ]],TDays[],7,FALSE)</f>
        <v>دوشنبه</v>
      </c>
      <c r="D337" s="21" t="s">
        <v>591</v>
      </c>
      <c r="E337" s="1">
        <v>-532</v>
      </c>
      <c r="F337" s="1">
        <f>TArticle[[#This Row],[مبلغ]]+IFERROR(INT(F336),30181+3667+958)</f>
        <v>40803</v>
      </c>
      <c r="G337" s="49"/>
      <c r="H337" s="21">
        <v>2</v>
      </c>
      <c r="J337" s="65"/>
      <c r="K337" s="64">
        <v>2</v>
      </c>
      <c r="L337" s="171" t="str">
        <f>IF(TArticle[[#This Row],[کد وضعیت سند]]&gt;0,VLOOKUP(TArticle[[#This Row],[کد وضعیت سند]],TDocState[],2,FALSE),"")</f>
        <v>قطعی</v>
      </c>
      <c r="M337" s="67">
        <v>116</v>
      </c>
      <c r="N337" s="171" t="str">
        <f>IF(TArticle[[#This Row],[کد طرف حساب]]&gt;0,VLOOKUP(TArticle[[#This Row],[کد طرف حساب]],TContact[],2,FALSE),"")</f>
        <v>وام امتیازی مهر</v>
      </c>
      <c r="O337" s="68">
        <f>IF(TArticle[[#This Row],[کد طرف حساب]]&gt;0,VLOOKUP(TArticle[[#This Row],[کد طرف حساب]],TContact[],7,FALSE)-SUMIF($M$2:M337,M337,$E$2:$E337),"")</f>
        <v>-11168</v>
      </c>
      <c r="P337" s="67" t="str">
        <f>RIGHT(TArticle[[#This Row],[تاریخ]],2)</f>
        <v>04</v>
      </c>
      <c r="Q337" s="67">
        <f>VLOOKUP(TArticle[[#This Row],[تاریخ]],TDays[],16,FALSE)</f>
        <v>6</v>
      </c>
      <c r="R337" s="67" t="str">
        <f>RIGHT(LEFT(TArticle[[#This Row],[تاریخ]],7),2)</f>
        <v>02</v>
      </c>
      <c r="S337" s="67" t="str">
        <f>LEFT(TArticle[[#This Row],[تاریخ]],4)</f>
        <v>1402</v>
      </c>
      <c r="T337" s="64"/>
      <c r="U337" s="64">
        <f>VLOOKUP(TArticle[[#This Row],[شناسه]],TAccount[],7,TRUE)</f>
        <v>81652</v>
      </c>
      <c r="V337" s="64"/>
      <c r="W337" s="64">
        <f>IF(AND(TArticle[[#This Row],[مبلغ]]&gt;0, TArticle[[#This Row],[کد وضعیت سند]]=1),TArticle[[#This Row],[مبلغ]],0)</f>
        <v>0</v>
      </c>
      <c r="X337" s="67">
        <f>IF(AND(TArticle[[#This Row],[مبلغ]]&lt;0,TArticle[[#This Row],[کد وضعیت سند]]=1),0-TArticle[[#This Row],[مبلغ]],0)</f>
        <v>0</v>
      </c>
      <c r="Y337" s="27">
        <v>2</v>
      </c>
      <c r="Z337" s="171" t="str">
        <f>IF(TArticle[[#This Row],[کد بانک]]&gt;0,VLOOKUP(TArticle[[#This Row],[کد بانک]],TBank[],2,FALSE),"")</f>
        <v>ملی جاری</v>
      </c>
      <c r="AA337">
        <f>IF(AND(TArticle[[#This Row],[مبلغ]]&lt;0,TArticle[[#This Row],[کد وضعیت سند]]=1),0-TArticle[[#This Row],[مبلغ]],0)</f>
        <v>0</v>
      </c>
      <c r="AB337">
        <f>IF(AND(TArticle[[#This Row],[مبلغ]]&gt;0, TArticle[[#This Row],[کد وضعیت سند]]=1),TArticle[[#This Row],[مبلغ]],0)</f>
        <v>0</v>
      </c>
      <c r="AC337" s="93">
        <f>IF(TArticle[[#This Row],[کد بانک]]&gt;0,VLOOKUP(TArticle[[#This Row],[کد بانک]],TBank[],9,FALSE)+SUMIF($Y$2:Y337,Y337,$E$2:$E337),"")</f>
        <v>34105</v>
      </c>
      <c r="AD337" s="1">
        <f>IFERROR(IF(INT(LEFT(TArticle[[#This Row],[شناسه]]))=3,IF(TArticle[[#This Row],[کد وضعیت سند]]=1,TArticle[مبلغ],0),0),0)</f>
        <v>0</v>
      </c>
      <c r="AE337" s="1">
        <f>IFERROR(IF(((TArticle[[#This Row],[شناسه]]))="4.1.1",IF(TArticle[[#This Row],[کد وضعیت سند]]=1,TArticle[مبلغ],0),0),0)</f>
        <v>0</v>
      </c>
      <c r="AF337" s="1">
        <f>IFERROR(IF(((TArticle[[#This Row],[شناسه]]))="4.1.2",IF(TArticle[[#This Row],[کد وضعیت سند]]=1,TArticle[مبلغ],0),0),0)</f>
        <v>0</v>
      </c>
      <c r="AG337" s="1">
        <f>IFERROR(IF(INT(LEFT(TArticle[[#This Row],[شناسه]]))=1,IF(TArticle[[#This Row],[کد وضعیت سند]]=1,TArticle[مبلغ],0),0),0)</f>
        <v>0</v>
      </c>
      <c r="AH337" s="1">
        <f>IFERROR(IF(INT(LEFT(TArticle[[#This Row],[شناسه]]))=2,IF(TArticle[[#This Row],[کد وضعیت سند]]=1,TArticle[مبلغ],0),0),0)</f>
        <v>0</v>
      </c>
      <c r="AI337" s="1">
        <f>IFERROR(IF((LEFT(TArticle[[#This Row],[شناسه]],3))="5.2",IF(TArticle[[#This Row],[کد وضعیت سند]]=1,TArticle[مبلغ],0),0),0)</f>
        <v>0</v>
      </c>
      <c r="AJ337" s="1">
        <f>IF(TArticle[[#This Row],[کد وضعیت سند]]=1,1,0)</f>
        <v>0</v>
      </c>
      <c r="AK337" s="1">
        <f>IF(AND(TArticle[[#This Row],[کد وضعیت سند]]&lt;&gt;1,TArticle[[#This Row],[مبلغ]]&lt;&gt;0),1,0)</f>
        <v>1</v>
      </c>
      <c r="AL337" s="78">
        <f>IF(TArticle[[#This Row],[کد بانک]]&gt;0,TArticle[[#This Row],[مانده بانک]]-VLOOKUP(TArticle[[#This Row],[کد بانک]],TBank[],7,FALSE),"")</f>
        <v>34105</v>
      </c>
      <c r="AM337" s="69" t="str">
        <f>LEFT(TArticle[[#This Row],[تاریخ]],7)</f>
        <v>1402-02</v>
      </c>
    </row>
    <row r="338" spans="1:39" x14ac:dyDescent="0.25">
      <c r="A338" s="24" t="s">
        <v>78</v>
      </c>
      <c r="B338" s="49" t="str">
        <f>VLOOKUP(TArticle[[#This Row],[شناسه]],TAccount[],2,TRUE)</f>
        <v>چک</v>
      </c>
      <c r="C338" s="49" t="str">
        <f>VLOOKUP(TArticle[[#This Row],[تاریخ]],TDays[],7,FALSE)</f>
        <v>سه شنبه</v>
      </c>
      <c r="D338" s="21" t="s">
        <v>592</v>
      </c>
      <c r="E338" s="1">
        <v>-5000</v>
      </c>
      <c r="F338" s="1">
        <f>TArticle[[#This Row],[مبلغ]]+IFERROR(INT(F337),30181+3667+958)</f>
        <v>35803</v>
      </c>
      <c r="G338" s="49" t="s">
        <v>53</v>
      </c>
      <c r="H338" s="49">
        <v>131258</v>
      </c>
      <c r="J338" s="65"/>
      <c r="K338" s="64">
        <v>2</v>
      </c>
      <c r="L338" s="171" t="str">
        <f>IF(TArticle[[#This Row],[کد وضعیت سند]]&gt;0,VLOOKUP(TArticle[[#This Row],[کد وضعیت سند]],TDocState[],2,FALSE),"")</f>
        <v>قطعی</v>
      </c>
      <c r="M338" s="67"/>
      <c r="N338" s="171" t="str">
        <f>IF(TArticle[[#This Row],[کد طرف حساب]]&gt;0,VLOOKUP(TArticle[[#This Row],[کد طرف حساب]],TContact[],2,FALSE),"")</f>
        <v/>
      </c>
      <c r="O338" s="68" t="str">
        <f>IF(TArticle[[#This Row],[کد طرف حساب]]&gt;0,VLOOKUP(TArticle[[#This Row],[کد طرف حساب]],TContact[],7,FALSE)-SUMIF($M$2:M338,M338,$E$2:$E338),"")</f>
        <v/>
      </c>
      <c r="P338" s="67" t="str">
        <f>RIGHT(TArticle[[#This Row],[تاریخ]],2)</f>
        <v>05</v>
      </c>
      <c r="Q338" s="67">
        <f>VLOOKUP(TArticle[[#This Row],[تاریخ]],TDays[],16,FALSE)</f>
        <v>6</v>
      </c>
      <c r="R338" s="67" t="str">
        <f>RIGHT(LEFT(TArticle[[#This Row],[تاریخ]],7),2)</f>
        <v>02</v>
      </c>
      <c r="S338" s="67" t="str">
        <f>LEFT(TArticle[[#This Row],[تاریخ]],4)</f>
        <v>1402</v>
      </c>
      <c r="T338" s="64"/>
      <c r="U338" s="64">
        <f>VLOOKUP(TArticle[[#This Row],[شناسه]],TAccount[],7,TRUE)</f>
        <v>57000</v>
      </c>
      <c r="V338" s="64"/>
      <c r="W338" s="64">
        <f>IF(AND(TArticle[[#This Row],[مبلغ]]&gt;0, TArticle[[#This Row],[کد وضعیت سند]]=1),TArticle[[#This Row],[مبلغ]],0)</f>
        <v>0</v>
      </c>
      <c r="X338" s="67">
        <f>IF(AND(TArticle[[#This Row],[مبلغ]]&lt;0,TArticle[[#This Row],[کد وضعیت سند]]=1),0-TArticle[[#This Row],[مبلغ]],0)</f>
        <v>0</v>
      </c>
      <c r="Y338" s="27">
        <v>2</v>
      </c>
      <c r="Z338" s="171" t="str">
        <f>IF(TArticle[[#This Row],[کد بانک]]&gt;0,VLOOKUP(TArticle[[#This Row],[کد بانک]],TBank[],2,FALSE),"")</f>
        <v>ملی جاری</v>
      </c>
      <c r="AA338">
        <f>IF(AND(TArticle[[#This Row],[مبلغ]]&lt;0,TArticle[[#This Row],[کد وضعیت سند]]=1),0-TArticle[[#This Row],[مبلغ]],0)</f>
        <v>0</v>
      </c>
      <c r="AB338">
        <f>IF(AND(TArticle[[#This Row],[مبلغ]]&gt;0, TArticle[[#This Row],[کد وضعیت سند]]=1),TArticle[[#This Row],[مبلغ]],0)</f>
        <v>0</v>
      </c>
      <c r="AC338" s="93">
        <f>IF(TArticle[[#This Row],[کد بانک]]&gt;0,VLOOKUP(TArticle[[#This Row],[کد بانک]],TBank[],9,FALSE)+SUMIF($Y$2:Y338,Y338,$E$2:$E338),"")</f>
        <v>29105</v>
      </c>
      <c r="AD338" s="1">
        <f>IFERROR(IF(INT(LEFT(TArticle[[#This Row],[شناسه]]))=3,IF(TArticle[[#This Row],[کد وضعیت سند]]=1,TArticle[مبلغ],0),0),0)</f>
        <v>0</v>
      </c>
      <c r="AE338" s="1">
        <f>IFERROR(IF(((TArticle[[#This Row],[شناسه]]))="4.1.1",IF(TArticle[[#This Row],[کد وضعیت سند]]=1,TArticle[مبلغ],0),0),0)</f>
        <v>0</v>
      </c>
      <c r="AF338" s="1">
        <f>IFERROR(IF(((TArticle[[#This Row],[شناسه]]))="4.1.2",IF(TArticle[[#This Row],[کد وضعیت سند]]=1,TArticle[مبلغ],0),0),0)</f>
        <v>0</v>
      </c>
      <c r="AG338" s="1">
        <f>IFERROR(IF(INT(LEFT(TArticle[[#This Row],[شناسه]]))=1,IF(TArticle[[#This Row],[کد وضعیت سند]]=1,TArticle[مبلغ],0),0),0)</f>
        <v>0</v>
      </c>
      <c r="AH338" s="1">
        <f>IFERROR(IF(INT(LEFT(TArticle[[#This Row],[شناسه]]))=2,IF(TArticle[[#This Row],[کد وضعیت سند]]=1,TArticle[مبلغ],0),0),0)</f>
        <v>0</v>
      </c>
      <c r="AI338" s="1">
        <f>IFERROR(IF((LEFT(TArticle[[#This Row],[شناسه]],3))="5.2",IF(TArticle[[#This Row],[کد وضعیت سند]]=1,TArticle[مبلغ],0),0),0)</f>
        <v>0</v>
      </c>
      <c r="AJ338" s="1">
        <f>IF(TArticle[[#This Row],[کد وضعیت سند]]=1,1,0)</f>
        <v>0</v>
      </c>
      <c r="AK338" s="1">
        <f>IF(AND(TArticle[[#This Row],[کد وضعیت سند]]&lt;&gt;1,TArticle[[#This Row],[مبلغ]]&lt;&gt;0),1,0)</f>
        <v>1</v>
      </c>
      <c r="AL338" s="78">
        <f>IF(TArticle[[#This Row],[کد بانک]]&gt;0,TArticle[[#This Row],[مانده بانک]]-VLOOKUP(TArticle[[#This Row],[کد بانک]],TBank[],7,FALSE),"")</f>
        <v>29105</v>
      </c>
      <c r="AM338" s="69" t="str">
        <f>LEFT(TArticle[[#This Row],[تاریخ]],7)</f>
        <v>1402-02</v>
      </c>
    </row>
    <row r="339" spans="1:39" x14ac:dyDescent="0.25">
      <c r="A339" s="24" t="s">
        <v>38</v>
      </c>
      <c r="B339" s="49" t="str">
        <f>VLOOKUP(TArticle[[#This Row],[شناسه]],TAccount[],2,TRUE)</f>
        <v>چک حافظان وحی</v>
      </c>
      <c r="C339" s="49" t="str">
        <f>VLOOKUP(TArticle[[#This Row],[تاریخ]],TDays[],7,FALSE)</f>
        <v>سه شنبه</v>
      </c>
      <c r="D339" s="21" t="s">
        <v>592</v>
      </c>
      <c r="E339" s="1">
        <v>-1600</v>
      </c>
      <c r="F339" s="1">
        <f>TArticle[[#This Row],[مبلغ]]+IFERROR(INT(F338),30181+3667+958)</f>
        <v>34203</v>
      </c>
      <c r="G339" s="49"/>
      <c r="J339" s="65"/>
      <c r="K339" s="64">
        <v>2</v>
      </c>
      <c r="L339" s="171" t="str">
        <f>IF(TArticle[[#This Row],[کد وضعیت سند]]&gt;0,VLOOKUP(TArticle[[#This Row],[کد وضعیت سند]],TDocState[],2,FALSE),"")</f>
        <v>قطعی</v>
      </c>
      <c r="M339" s="67"/>
      <c r="N339" s="171" t="str">
        <f>IF(TArticle[[#This Row],[کد طرف حساب]]&gt;0,VLOOKUP(TArticle[[#This Row],[کد طرف حساب]],TContact[],2,FALSE),"")</f>
        <v/>
      </c>
      <c r="O339" s="68" t="str">
        <f>IF(TArticle[[#This Row],[کد طرف حساب]]&gt;0,VLOOKUP(TArticle[[#This Row],[کد طرف حساب]],TContact[],7,FALSE)-SUMIF($M$2:M339,M339,$E$2:$E339),"")</f>
        <v/>
      </c>
      <c r="P339" s="67" t="str">
        <f>RIGHT(TArticle[[#This Row],[تاریخ]],2)</f>
        <v>05</v>
      </c>
      <c r="Q339" s="67">
        <f>VLOOKUP(TArticle[[#This Row],[تاریخ]],TDays[],16,FALSE)</f>
        <v>6</v>
      </c>
      <c r="R339" s="67" t="str">
        <f>RIGHT(LEFT(TArticle[[#This Row],[تاریخ]],7),2)</f>
        <v>02</v>
      </c>
      <c r="S339" s="67" t="str">
        <f>LEFT(TArticle[[#This Row],[تاریخ]],4)</f>
        <v>1402</v>
      </c>
      <c r="T339" s="64"/>
      <c r="U339" s="64">
        <f>VLOOKUP(TArticle[[#This Row],[شناسه]],TAccount[],7,TRUE)</f>
        <v>8000</v>
      </c>
      <c r="V339" s="64" t="s">
        <v>203</v>
      </c>
      <c r="W339" s="64">
        <f>IF(AND(TArticle[[#This Row],[مبلغ]]&gt;0, TArticle[[#This Row],[کد وضعیت سند]]=1),TArticle[[#This Row],[مبلغ]],0)</f>
        <v>0</v>
      </c>
      <c r="X339" s="67">
        <f>IF(AND(TArticle[[#This Row],[مبلغ]]&lt;0,TArticle[[#This Row],[کد وضعیت سند]]=1),0-TArticle[[#This Row],[مبلغ]],0)</f>
        <v>0</v>
      </c>
      <c r="Y339" s="27">
        <v>5</v>
      </c>
      <c r="Z339" s="171" t="str">
        <f>IF(TArticle[[#This Row],[کد بانک]]&gt;0,VLOOKUP(TArticle[[#This Row],[کد بانک]],TBank[],2,FALSE),"")</f>
        <v>انصار جاری</v>
      </c>
      <c r="AA339">
        <f>IF(AND(TArticle[[#This Row],[مبلغ]]&lt;0,TArticle[[#This Row],[کد وضعیت سند]]=1),0-TArticle[[#This Row],[مبلغ]],0)</f>
        <v>0</v>
      </c>
      <c r="AB339">
        <f>IF(AND(TArticle[[#This Row],[مبلغ]]&gt;0, TArticle[[#This Row],[کد وضعیت سند]]=1),TArticle[[#This Row],[مبلغ]],0)</f>
        <v>0</v>
      </c>
      <c r="AC339" s="93">
        <f>IF(TArticle[[#This Row],[کد بانک]]&gt;0,VLOOKUP(TArticle[[#This Row],[کد بانک]],TBank[],9,FALSE)+SUMIF($Y$2:Y339,Y339,$E$2:$E339),"")</f>
        <v>-1590</v>
      </c>
      <c r="AD339" s="1">
        <f>IFERROR(IF(INT(LEFT(TArticle[[#This Row],[شناسه]]))=3,IF(TArticle[[#This Row],[کد وضعیت سند]]=1,TArticle[مبلغ],0),0),0)</f>
        <v>0</v>
      </c>
      <c r="AE339" s="1">
        <f>IFERROR(IF(((TArticle[[#This Row],[شناسه]]))="4.1.1",IF(TArticle[[#This Row],[کد وضعیت سند]]=1,TArticle[مبلغ],0),0),0)</f>
        <v>0</v>
      </c>
      <c r="AF339" s="1">
        <f>IFERROR(IF(((TArticle[[#This Row],[شناسه]]))="4.1.2",IF(TArticle[[#This Row],[کد وضعیت سند]]=1,TArticle[مبلغ],0),0),0)</f>
        <v>0</v>
      </c>
      <c r="AG339" s="1">
        <f>IFERROR(IF(INT(LEFT(TArticle[[#This Row],[شناسه]]))=1,IF(TArticle[[#This Row],[کد وضعیت سند]]=1,TArticle[مبلغ],0),0),0)</f>
        <v>0</v>
      </c>
      <c r="AH339" s="1">
        <f>IFERROR(IF(INT(LEFT(TArticle[[#This Row],[شناسه]]))=2,IF(TArticle[[#This Row],[کد وضعیت سند]]=1,TArticle[مبلغ],0),0),0)</f>
        <v>0</v>
      </c>
      <c r="AI339" s="1">
        <f>IFERROR(IF((LEFT(TArticle[[#This Row],[شناسه]],3))="5.2",IF(TArticle[[#This Row],[کد وضعیت سند]]=1,TArticle[مبلغ],0),0),0)</f>
        <v>0</v>
      </c>
      <c r="AJ339" s="1">
        <f>IF(TArticle[[#This Row],[کد وضعیت سند]]=1,1,0)</f>
        <v>0</v>
      </c>
      <c r="AK339" s="1">
        <f>IF(AND(TArticle[[#This Row],[کد وضعیت سند]]&lt;&gt;1,TArticle[[#This Row],[مبلغ]]&lt;&gt;0),1,0)</f>
        <v>1</v>
      </c>
      <c r="AL339" s="78">
        <f>IF(TArticle[[#This Row],[کد بانک]]&gt;0,TArticle[[#This Row],[مانده بانک]]-VLOOKUP(TArticle[[#This Row],[کد بانک]],TBank[],7,FALSE),"")</f>
        <v>-1600</v>
      </c>
      <c r="AM339" s="58" t="str">
        <f>LEFT(TArticle[[#This Row],[تاریخ]],7)</f>
        <v>1402-02</v>
      </c>
    </row>
    <row r="340" spans="1:39" x14ac:dyDescent="0.25">
      <c r="A340" s="24" t="s">
        <v>1110</v>
      </c>
      <c r="B340" s="49" t="str">
        <f>VLOOKUP(TArticle[[#This Row],[شناسه]],TAccount[],2,TRUE)</f>
        <v>قسط وام بانکی</v>
      </c>
      <c r="C340" s="49" t="str">
        <f>VLOOKUP(TArticle[[#This Row],[تاریخ]],TDays[],7,FALSE)</f>
        <v>شنبه</v>
      </c>
      <c r="D340" s="21" t="s">
        <v>596</v>
      </c>
      <c r="E340" s="1">
        <f>'طرف حساب'!$J$29</f>
        <v>-3616</v>
      </c>
      <c r="F340" s="1">
        <f>TArticle[[#This Row],[مبلغ]]+IFERROR(INT(F339),30181+3667+958)</f>
        <v>30587</v>
      </c>
      <c r="G340" s="49"/>
      <c r="H340" s="21">
        <v>3</v>
      </c>
      <c r="J340" s="51"/>
      <c r="K340" s="64">
        <v>2</v>
      </c>
      <c r="L340" s="171" t="str">
        <f>IF(TArticle[[#This Row],[کد وضعیت سند]]&gt;0,VLOOKUP(TArticle[[#This Row],[کد وضعیت سند]],TDocState[],2,FALSE),"")</f>
        <v>قطعی</v>
      </c>
      <c r="M340" s="67">
        <v>114</v>
      </c>
      <c r="N340" s="171" t="str">
        <f>IF(TArticle[[#This Row],[کد طرف حساب]]&gt;0,VLOOKUP(TArticle[[#This Row],[کد طرف حساب]],TContact[],2,FALSE),"")</f>
        <v>وام کارت ملی ف</v>
      </c>
      <c r="O340" s="60">
        <f>IF(TArticle[[#This Row],[کد طرف حساب]]&gt;0,VLOOKUP(TArticle[[#This Row],[کد طرف حساب]],TContact[],7,FALSE)-SUMIF($M$2:M340,M340,$E$2:$E340),"")</f>
        <v>-120610</v>
      </c>
      <c r="P340" s="27" t="str">
        <f>RIGHT(TArticle[[#This Row],[تاریخ]],2)</f>
        <v>09</v>
      </c>
      <c r="Q340" s="27">
        <f>VLOOKUP(TArticle[[#This Row],[تاریخ]],TDays[],16,FALSE)</f>
        <v>6</v>
      </c>
      <c r="R340" s="27" t="str">
        <f>RIGHT(LEFT(TArticle[[#This Row],[تاریخ]],7),2)</f>
        <v>02</v>
      </c>
      <c r="S340" s="27" t="str">
        <f>LEFT(TArticle[[#This Row],[تاریخ]],4)</f>
        <v>1402</v>
      </c>
      <c r="U340" s="21">
        <f>VLOOKUP(TArticle[[#This Row],[شناسه]],TAccount[],7,TRUE)</f>
        <v>81652</v>
      </c>
      <c r="V340" s="28"/>
      <c r="W340" s="21">
        <f>IF(AND(TArticle[[#This Row],[مبلغ]]&gt;0, TArticle[[#This Row],[کد وضعیت سند]]=1),TArticle[[#This Row],[مبلغ]],0)</f>
        <v>0</v>
      </c>
      <c r="X340" s="27">
        <f>IF(AND(TArticle[[#This Row],[مبلغ]]&lt;0,TArticle[[#This Row],[کد وضعیت سند]]=1),0-TArticle[[#This Row],[مبلغ]],0)</f>
        <v>0</v>
      </c>
      <c r="Y340" s="27">
        <v>2</v>
      </c>
      <c r="Z340" s="171" t="str">
        <f>IF(TArticle[[#This Row],[کد بانک]]&gt;0,VLOOKUP(TArticle[[#This Row],[کد بانک]],TBank[],2,FALSE),"")</f>
        <v>ملی جاری</v>
      </c>
      <c r="AA340">
        <f>IF(AND(TArticle[[#This Row],[مبلغ]]&lt;0,TArticle[[#This Row],[کد وضعیت سند]]=1),0-TArticle[[#This Row],[مبلغ]],0)</f>
        <v>0</v>
      </c>
      <c r="AB340">
        <f>IF(AND(TArticle[[#This Row],[مبلغ]]&gt;0, TArticle[[#This Row],[کد وضعیت سند]]=1),TArticle[[#This Row],[مبلغ]],0)</f>
        <v>0</v>
      </c>
      <c r="AC340" s="92">
        <f>IF(TArticle[[#This Row],[کد بانک]]&gt;0,VLOOKUP(TArticle[[#This Row],[کد بانک]],TBank[],9,FALSE)+SUMIF($Y$2:Y340,Y340,$E$2:$E340),"")</f>
        <v>25489</v>
      </c>
      <c r="AD340" s="1">
        <f>IFERROR(IF(INT(LEFT(TArticle[[#This Row],[شناسه]]))=3,IF(TArticle[[#This Row],[کد وضعیت سند]]=1,TArticle[مبلغ],0),0),0)</f>
        <v>0</v>
      </c>
      <c r="AE340" s="1">
        <f>IFERROR(IF(((TArticle[[#This Row],[شناسه]]))="4.1.1",IF(TArticle[[#This Row],[کد وضعیت سند]]=1,TArticle[مبلغ],0),0),0)</f>
        <v>0</v>
      </c>
      <c r="AF340" s="1">
        <f>IFERROR(IF(((TArticle[[#This Row],[شناسه]]))="4.1.2",IF(TArticle[[#This Row],[کد وضعیت سند]]=1,TArticle[مبلغ],0),0),0)</f>
        <v>0</v>
      </c>
      <c r="AG340" s="1">
        <f>IFERROR(IF(INT(LEFT(TArticle[[#This Row],[شناسه]]))=1,IF(TArticle[[#This Row],[کد وضعیت سند]]=1,TArticle[مبلغ],0),0),0)</f>
        <v>0</v>
      </c>
      <c r="AH340" s="1">
        <f>IFERROR(IF(INT(LEFT(TArticle[[#This Row],[شناسه]]))=2,IF(TArticle[[#This Row],[کد وضعیت سند]]=1,TArticle[مبلغ],0),0),0)</f>
        <v>0</v>
      </c>
      <c r="AI340" s="1">
        <f>IFERROR(IF((LEFT(TArticle[[#This Row],[شناسه]],3))="5.2",IF(TArticle[[#This Row],[کد وضعیت سند]]=1,TArticle[مبلغ],0),0),0)</f>
        <v>0</v>
      </c>
      <c r="AJ340" s="1">
        <f>IF(TArticle[[#This Row],[کد وضعیت سند]]=1,1,0)</f>
        <v>0</v>
      </c>
      <c r="AK340" s="1">
        <f>IF(AND(TArticle[[#This Row],[کد وضعیت سند]]&lt;&gt;1,TArticle[[#This Row],[مبلغ]]&lt;&gt;0),1,0)</f>
        <v>1</v>
      </c>
      <c r="AL340" s="51">
        <f>IF(TArticle[[#This Row],[کد بانک]]&gt;0,TArticle[[#This Row],[مانده بانک]]-VLOOKUP(TArticle[[#This Row],[کد بانک]],TBank[],7,FALSE),"")</f>
        <v>25489</v>
      </c>
      <c r="AM340" s="58" t="str">
        <f>LEFT(TArticle[[#This Row],[تاریخ]],7)</f>
        <v>1402-02</v>
      </c>
    </row>
    <row r="341" spans="1:39" x14ac:dyDescent="0.25">
      <c r="A341" s="24" t="s">
        <v>38</v>
      </c>
      <c r="B341" s="49" t="str">
        <f>VLOOKUP(TArticle[[#This Row],[شناسه]],TAccount[],2,TRUE)</f>
        <v>چک حافظان وحی</v>
      </c>
      <c r="C341" s="49" t="str">
        <f>VLOOKUP(TArticle[[#This Row],[تاریخ]],TDays[],7,FALSE)</f>
        <v>یکشنبه</v>
      </c>
      <c r="D341" s="21" t="s">
        <v>597</v>
      </c>
      <c r="E341" s="1">
        <v>-4000</v>
      </c>
      <c r="F341" s="1">
        <f>TArticle[[#This Row],[مبلغ]]+IFERROR(INT(F340),30181+3667+958)</f>
        <v>26587</v>
      </c>
      <c r="G341" s="49"/>
      <c r="H341" s="64">
        <v>131254</v>
      </c>
      <c r="J341" s="65"/>
      <c r="K341" s="64">
        <v>2</v>
      </c>
      <c r="L341" s="171" t="str">
        <f>IF(TArticle[[#This Row],[کد وضعیت سند]]&gt;0,VLOOKUP(TArticle[[#This Row],[کد وضعیت سند]],TDocState[],2,FALSE),"")</f>
        <v>قطعی</v>
      </c>
      <c r="M341" s="67"/>
      <c r="N341" s="171" t="str">
        <f>IF(TArticle[[#This Row],[کد طرف حساب]]&gt;0,VLOOKUP(TArticle[[#This Row],[کد طرف حساب]],TContact[],2,FALSE),"")</f>
        <v/>
      </c>
      <c r="O341" s="68" t="str">
        <f>IF(TArticle[[#This Row],[کد طرف حساب]]&gt;0,VLOOKUP(TArticle[[#This Row],[کد طرف حساب]],TContact[],7,FALSE)-SUMIF($M$2:M341,M341,$E$2:$E341),"")</f>
        <v/>
      </c>
      <c r="P341" s="67" t="str">
        <f>RIGHT(TArticle[[#This Row],[تاریخ]],2)</f>
        <v>10</v>
      </c>
      <c r="Q341" s="67">
        <f>VLOOKUP(TArticle[[#This Row],[تاریخ]],TDays[],16,FALSE)</f>
        <v>7</v>
      </c>
      <c r="R341" s="67" t="str">
        <f>RIGHT(LEFT(TArticle[[#This Row],[تاریخ]],7),2)</f>
        <v>02</v>
      </c>
      <c r="S341" s="67" t="str">
        <f>LEFT(TArticle[[#This Row],[تاریخ]],4)</f>
        <v>1402</v>
      </c>
      <c r="T341" s="64"/>
      <c r="U341" s="64">
        <f>VLOOKUP(TArticle[[#This Row],[شناسه]],TAccount[],7,TRUE)</f>
        <v>8000</v>
      </c>
      <c r="V341" s="64" t="s">
        <v>331</v>
      </c>
      <c r="W341" s="64">
        <f>IF(AND(TArticle[[#This Row],[مبلغ]]&gt;0, TArticle[[#This Row],[کد وضعیت سند]]=1),TArticle[[#This Row],[مبلغ]],0)</f>
        <v>0</v>
      </c>
      <c r="X341" s="67">
        <f>IF(AND(TArticle[[#This Row],[مبلغ]]&lt;0,TArticle[[#This Row],[کد وضعیت سند]]=1),0-TArticle[[#This Row],[مبلغ]],0)</f>
        <v>0</v>
      </c>
      <c r="Y341" s="67">
        <v>2</v>
      </c>
      <c r="Z341" s="171" t="str">
        <f>IF(TArticle[[#This Row],[کد بانک]]&gt;0,VLOOKUP(TArticle[[#This Row],[کد بانک]],TBank[],2,FALSE),"")</f>
        <v>ملی جاری</v>
      </c>
      <c r="AA341">
        <f>IF(AND(TArticle[[#This Row],[مبلغ]]&lt;0,TArticle[[#This Row],[کد وضعیت سند]]=1),0-TArticle[[#This Row],[مبلغ]],0)</f>
        <v>0</v>
      </c>
      <c r="AB341">
        <f>IF(AND(TArticle[[#This Row],[مبلغ]]&gt;0, TArticle[[#This Row],[کد وضعیت سند]]=1),TArticle[[#This Row],[مبلغ]],0)</f>
        <v>0</v>
      </c>
      <c r="AC341" s="93">
        <f>IF(TArticle[[#This Row],[کد بانک]]&gt;0,VLOOKUP(TArticle[[#This Row],[کد بانک]],TBank[],9,FALSE)+SUMIF($Y$2:Y341,Y341,$E$2:$E341),"")</f>
        <v>21489</v>
      </c>
      <c r="AD341" s="1">
        <f>IFERROR(IF(INT(LEFT(TArticle[[#This Row],[شناسه]]))=3,IF(TArticle[[#This Row],[کد وضعیت سند]]=1,TArticle[مبلغ],0),0),0)</f>
        <v>0</v>
      </c>
      <c r="AE341" s="1">
        <f>IFERROR(IF(((TArticle[[#This Row],[شناسه]]))="4.1.1",IF(TArticle[[#This Row],[کد وضعیت سند]]=1,TArticle[مبلغ],0),0),0)</f>
        <v>0</v>
      </c>
      <c r="AF341" s="1">
        <f>IFERROR(IF(((TArticle[[#This Row],[شناسه]]))="4.1.2",IF(TArticle[[#This Row],[کد وضعیت سند]]=1,TArticle[مبلغ],0),0),0)</f>
        <v>0</v>
      </c>
      <c r="AG341" s="1">
        <f>IFERROR(IF(INT(LEFT(TArticle[[#This Row],[شناسه]]))=1,IF(TArticle[[#This Row],[کد وضعیت سند]]=1,TArticle[مبلغ],0),0),0)</f>
        <v>0</v>
      </c>
      <c r="AH341" s="1">
        <f>IFERROR(IF(INT(LEFT(TArticle[[#This Row],[شناسه]]))=2,IF(TArticle[[#This Row],[کد وضعیت سند]]=1,TArticle[مبلغ],0),0),0)</f>
        <v>0</v>
      </c>
      <c r="AI341" s="1">
        <f>IFERROR(IF((LEFT(TArticle[[#This Row],[شناسه]],3))="5.2",IF(TArticle[[#This Row],[کد وضعیت سند]]=1,TArticle[مبلغ],0),0),0)</f>
        <v>0</v>
      </c>
      <c r="AJ341" s="1">
        <f>IF(TArticle[[#This Row],[کد وضعیت سند]]=1,1,0)</f>
        <v>0</v>
      </c>
      <c r="AK341" s="1">
        <f>IF(AND(TArticle[[#This Row],[کد وضعیت سند]]&lt;&gt;1,TArticle[[#This Row],[مبلغ]]&lt;&gt;0),1,0)</f>
        <v>1</v>
      </c>
      <c r="AL341" s="78">
        <f>IF(TArticle[[#This Row],[کد بانک]]&gt;0,TArticle[[#This Row],[مانده بانک]]-VLOOKUP(TArticle[[#This Row],[کد بانک]],TBank[],7,FALSE),"")</f>
        <v>21489</v>
      </c>
      <c r="AM341" s="58" t="str">
        <f>LEFT(TArticle[[#This Row],[تاریخ]],7)</f>
        <v>1402-02</v>
      </c>
    </row>
    <row r="342" spans="1:39" x14ac:dyDescent="0.25">
      <c r="A342" s="24" t="s">
        <v>41</v>
      </c>
      <c r="B342" s="49" t="str">
        <f>VLOOKUP(TArticle[[#This Row],[شناسه]],TAccount[],2,TRUE)</f>
        <v>قرعه هجده (43)</v>
      </c>
      <c r="C342" s="49" t="str">
        <f>VLOOKUP(TArticle[[#This Row],[تاریخ]],TDays[],7,FALSE)</f>
        <v>پنجشنبه</v>
      </c>
      <c r="D342" s="21" t="s">
        <v>71</v>
      </c>
      <c r="E342" s="1">
        <v>-350</v>
      </c>
      <c r="F342" s="1">
        <f>TArticle[[#This Row],[مبلغ]]+IFERROR(INT(F341),30181+3667+958)</f>
        <v>26237</v>
      </c>
      <c r="G342" s="49"/>
      <c r="H342" s="21">
        <v>49</v>
      </c>
      <c r="K342" s="21">
        <v>2</v>
      </c>
      <c r="L342" s="171" t="str">
        <f>IF(TArticle[[#This Row],[کد وضعیت سند]]&gt;0,VLOOKUP(TArticle[[#This Row],[کد وضعیت سند]],TDocState[],2,FALSE),"")</f>
        <v>قطعی</v>
      </c>
      <c r="M342" s="27">
        <v>103</v>
      </c>
      <c r="N342" s="171" t="str">
        <f>IF(TArticle[[#This Row],[کد طرف حساب]]&gt;0,VLOOKUP(TArticle[[#This Row],[کد طرف حساب]],TContact[],2,FALSE),"")</f>
        <v>قرعه 18م (43)</v>
      </c>
      <c r="O342" s="51">
        <f>IF(TArticle[[#This Row],[کد طرف حساب]]&gt;0,VLOOKUP(TArticle[[#This Row],[کد طرف حساب]],TContact[],7,FALSE)-SUMIF($M$2:M342,M342,$E$2:$E342),"")</f>
        <v>-1400</v>
      </c>
      <c r="P342" s="27" t="str">
        <f>RIGHT(TArticle[[#This Row],[تاریخ]],2)</f>
        <v>14</v>
      </c>
      <c r="Q342" s="27">
        <f>VLOOKUP(TArticle[[#This Row],[تاریخ]],TDays[],16,FALSE)</f>
        <v>7</v>
      </c>
      <c r="R342" s="27" t="str">
        <f>RIGHT(LEFT(TArticle[[#This Row],[تاریخ]],7),2)</f>
        <v>02</v>
      </c>
      <c r="S342" s="27" t="str">
        <f>LEFT(TArticle[[#This Row],[تاریخ]],4)</f>
        <v>1402</v>
      </c>
      <c r="U342" s="21">
        <f>VLOOKUP(TArticle[[#This Row],[شناسه]],TAccount[],7,TRUE)</f>
        <v>4200</v>
      </c>
      <c r="V342" s="21" t="s">
        <v>71</v>
      </c>
      <c r="W342" s="21">
        <f>IF(AND(TArticle[[#This Row],[مبلغ]]&gt;0, TArticle[[#This Row],[کد وضعیت سند]]=1),TArticle[[#This Row],[مبلغ]],0)</f>
        <v>0</v>
      </c>
      <c r="X342" s="21">
        <f>IF(AND(TArticle[[#This Row],[مبلغ]]&lt;0,TArticle[[#This Row],[کد وضعیت سند]]=1),0-TArticle[[#This Row],[مبلغ]],0)</f>
        <v>0</v>
      </c>
      <c r="Y342" s="27">
        <v>2</v>
      </c>
      <c r="Z342" s="171" t="str">
        <f>IF(TArticle[[#This Row],[کد بانک]]&gt;0,VLOOKUP(TArticle[[#This Row],[کد بانک]],TBank[],2,FALSE),"")</f>
        <v>ملی جاری</v>
      </c>
      <c r="AA342">
        <f>IF(AND(TArticle[[#This Row],[مبلغ]]&lt;0,TArticle[[#This Row],[کد وضعیت سند]]=1),0-TArticle[[#This Row],[مبلغ]],0)</f>
        <v>0</v>
      </c>
      <c r="AB342">
        <f>IF(AND(TArticle[[#This Row],[مبلغ]]&gt;0, TArticle[[#This Row],[کد وضعیت سند]]=1),TArticle[[#This Row],[مبلغ]],0)</f>
        <v>0</v>
      </c>
      <c r="AC342" s="84">
        <f>IF(TArticle[[#This Row],[کد بانک]]&gt;0,VLOOKUP(TArticle[[#This Row],[کد بانک]],TBank[],9,FALSE)+SUMIF($Y$2:Y342,Y342,$E$2:$E342),"")</f>
        <v>21139</v>
      </c>
      <c r="AD342" s="1">
        <f>IFERROR(IF(INT(LEFT(TArticle[[#This Row],[شناسه]]))=3,IF(TArticle[[#This Row],[کد وضعیت سند]]=1,TArticle[مبلغ],0),0),0)</f>
        <v>0</v>
      </c>
      <c r="AE342" s="1">
        <f>IFERROR(IF(((TArticle[[#This Row],[شناسه]]))="4.1.1",IF(TArticle[[#This Row],[کد وضعیت سند]]=1,TArticle[مبلغ],0),0),0)</f>
        <v>0</v>
      </c>
      <c r="AF342" s="1">
        <f>IFERROR(IF(((TArticle[[#This Row],[شناسه]]))="4.1.2",IF(TArticle[[#This Row],[کد وضعیت سند]]=1,TArticle[مبلغ],0),0),0)</f>
        <v>0</v>
      </c>
      <c r="AG342" s="1">
        <f>IFERROR(IF(INT(LEFT(TArticle[[#This Row],[شناسه]]))=1,IF(TArticle[[#This Row],[کد وضعیت سند]]=1,TArticle[مبلغ],0),0),0)</f>
        <v>0</v>
      </c>
      <c r="AH342" s="1">
        <f>IFERROR(IF(INT(LEFT(TArticle[[#This Row],[شناسه]]))=2,IF(TArticle[[#This Row],[کد وضعیت سند]]=1,TArticle[مبلغ],0),0),0)</f>
        <v>0</v>
      </c>
      <c r="AI342" s="1">
        <f>IFERROR(IF((LEFT(TArticle[[#This Row],[شناسه]],3))="5.2",IF(TArticle[[#This Row],[کد وضعیت سند]]=1,TArticle[مبلغ],0),0),0)</f>
        <v>0</v>
      </c>
      <c r="AJ342" s="1">
        <f>IF(TArticle[[#This Row],[کد وضعیت سند]]=1,1,0)</f>
        <v>0</v>
      </c>
      <c r="AK342" s="1">
        <f>IF(AND(TArticle[[#This Row],[کد وضعیت سند]]&lt;&gt;1,TArticle[[#This Row],[مبلغ]]&lt;&gt;0),1,0)</f>
        <v>1</v>
      </c>
      <c r="AL342" s="51">
        <f>IF(TArticle[[#This Row],[کد بانک]]&gt;0,TArticle[[#This Row],[مانده بانک]]-VLOOKUP(TArticle[[#This Row],[کد بانک]],TBank[],7,FALSE),"")</f>
        <v>21139</v>
      </c>
      <c r="AM342" s="58" t="str">
        <f>LEFT(TArticle[[#This Row],[تاریخ]],7)</f>
        <v>1402-02</v>
      </c>
    </row>
    <row r="343" spans="1:39" x14ac:dyDescent="0.25">
      <c r="A343" s="13" t="s">
        <v>78</v>
      </c>
      <c r="B343" s="49" t="str">
        <f>VLOOKUP(TArticle[[#This Row],[شناسه]],TAccount[],2,TRUE)</f>
        <v>چک</v>
      </c>
      <c r="C343" s="49" t="str">
        <f>VLOOKUP(TArticle[[#This Row],[تاریخ]],TDays[],7,FALSE)</f>
        <v>یکشنبه</v>
      </c>
      <c r="D343" s="21" t="s">
        <v>603</v>
      </c>
      <c r="E343" s="1">
        <v>-4250</v>
      </c>
      <c r="F343" s="1">
        <f>TArticle[[#This Row],[مبلغ]]+IFERROR(INT(F342),30181+3667+958)</f>
        <v>21987</v>
      </c>
      <c r="G343" s="167">
        <v>290879</v>
      </c>
      <c r="H343" s="21">
        <v>2</v>
      </c>
      <c r="J343" s="38"/>
      <c r="K343" s="64">
        <v>2</v>
      </c>
      <c r="L343" s="171" t="str">
        <f>IF(TArticle[[#This Row],[کد وضعیت سند]]&gt;0,VLOOKUP(TArticle[[#This Row],[کد وضعیت سند]],TDocState[],2,FALSE),"")</f>
        <v>قطعی</v>
      </c>
      <c r="M343" s="27">
        <v>117</v>
      </c>
      <c r="N343" s="171" t="str">
        <f>IF(TArticle[[#This Row],[کد طرف حساب]]&gt;0,VLOOKUP(TArticle[[#This Row],[کد طرف حساب]],TContact[],2,FALSE),"")</f>
        <v>وام سرویس خواب</v>
      </c>
      <c r="O343" s="60">
        <f>IF(TArticle[[#This Row],[کد طرف حساب]]&gt;0,VLOOKUP(TArticle[[#This Row],[کد طرف حساب]],TContact[],7,FALSE)-SUMIF($M$2:M343,M343,$E$2:$E343),"")</f>
        <v>-42500</v>
      </c>
      <c r="P343" s="39" t="str">
        <f>RIGHT(TArticle[[#This Row],[تاریخ]],2)</f>
        <v>17</v>
      </c>
      <c r="Q343" s="39">
        <f>VLOOKUP(TArticle[[#This Row],[تاریخ]],TDays[],16,FALSE)</f>
        <v>8</v>
      </c>
      <c r="R343" s="39" t="str">
        <f>RIGHT(LEFT(TArticle[[#This Row],[تاریخ]],7),2)</f>
        <v>02</v>
      </c>
      <c r="S343" s="39" t="str">
        <f>LEFT(TArticle[[#This Row],[تاریخ]],4)</f>
        <v>1402</v>
      </c>
      <c r="T343" s="37"/>
      <c r="U343" s="37">
        <f>VLOOKUP(TArticle[[#This Row],[شناسه]],TAccount[],7,TRUE)</f>
        <v>57000</v>
      </c>
      <c r="V343" s="37"/>
      <c r="W343" s="37">
        <f>IF(AND(TArticle[[#This Row],[مبلغ]]&gt;0, TArticle[[#This Row],[کد وضعیت سند]]=1),TArticle[[#This Row],[مبلغ]],0)</f>
        <v>0</v>
      </c>
      <c r="X343" s="39">
        <f>IF(AND(TArticle[[#This Row],[مبلغ]]&lt;0,TArticle[[#This Row],[کد وضعیت سند]]=1),0-TArticle[[#This Row],[مبلغ]],0)</f>
        <v>0</v>
      </c>
      <c r="Y343" s="27">
        <v>4</v>
      </c>
      <c r="Z343" s="171" t="str">
        <f>IF(TArticle[[#This Row],[کد بانک]]&gt;0,VLOOKUP(TArticle[[#This Row],[کد بانک]],TBank[],2,FALSE),"")</f>
        <v>سپه</v>
      </c>
      <c r="AA343">
        <f>IF(AND(TArticle[[#This Row],[مبلغ]]&lt;0,TArticle[[#This Row],[کد وضعیت سند]]=1),0-TArticle[[#This Row],[مبلغ]],0)</f>
        <v>0</v>
      </c>
      <c r="AB343">
        <f>IF(AND(TArticle[[#This Row],[مبلغ]]&gt;0, TArticle[[#This Row],[کد وضعیت سند]]=1),TArticle[[#This Row],[مبلغ]],0)</f>
        <v>0</v>
      </c>
      <c r="AC343" s="95">
        <f>IF(TArticle[[#This Row],[کد بانک]]&gt;0,VLOOKUP(TArticle[[#This Row],[کد بانک]],TBank[],9,FALSE)+SUMIF($Y$2:Y343,Y343,$E$2:$E343),"")</f>
        <v>-4248</v>
      </c>
      <c r="AD343" s="1">
        <f>IFERROR(IF(INT(LEFT(TArticle[[#This Row],[شناسه]]))=3,IF(TArticle[[#This Row],[کد وضعیت سند]]=1,TArticle[مبلغ],0),0),0)</f>
        <v>0</v>
      </c>
      <c r="AE343" s="1">
        <f>IFERROR(IF(((TArticle[[#This Row],[شناسه]]))="4.1.1",IF(TArticle[[#This Row],[کد وضعیت سند]]=1,TArticle[مبلغ],0),0),0)</f>
        <v>0</v>
      </c>
      <c r="AF343" s="1">
        <f>IFERROR(IF(((TArticle[[#This Row],[شناسه]]))="4.1.2",IF(TArticle[[#This Row],[کد وضعیت سند]]=1,TArticle[مبلغ],0),0),0)</f>
        <v>0</v>
      </c>
      <c r="AG343" s="1">
        <f>IFERROR(IF(INT(LEFT(TArticle[[#This Row],[شناسه]]))=1,IF(TArticle[[#This Row],[کد وضعیت سند]]=1,TArticle[مبلغ],0),0),0)</f>
        <v>0</v>
      </c>
      <c r="AH343" s="1">
        <f>IFERROR(IF(INT(LEFT(TArticle[[#This Row],[شناسه]]))=2,IF(TArticle[[#This Row],[کد وضعیت سند]]=1,TArticle[مبلغ],0),0),0)</f>
        <v>0</v>
      </c>
      <c r="AI343" s="1">
        <f>IFERROR(IF((LEFT(TArticle[[#This Row],[شناسه]],3))="5.2",IF(TArticle[[#This Row],[کد وضعیت سند]]=1,TArticle[مبلغ],0),0),0)</f>
        <v>0</v>
      </c>
      <c r="AJ343" s="1">
        <f>IF(TArticle[[#This Row],[کد وضعیت سند]]=1,1,0)</f>
        <v>0</v>
      </c>
      <c r="AK343" s="1">
        <f>IF(AND(TArticle[[#This Row],[کد وضعیت سند]]&lt;&gt;1,TArticle[[#This Row],[مبلغ]]&lt;&gt;0),1,0)</f>
        <v>1</v>
      </c>
      <c r="AL343" s="51">
        <f>IF(TArticle[[#This Row],[کد بانک]]&gt;0,TArticle[[#This Row],[مانده بانک]]-VLOOKUP(TArticle[[#This Row],[کد بانک]],TBank[],7,FALSE),"")</f>
        <v>-4250</v>
      </c>
      <c r="AM343" s="58" t="str">
        <f>LEFT(TArticle[[#This Row],[تاریخ]],7)</f>
        <v>1402-02</v>
      </c>
    </row>
    <row r="344" spans="1:39" x14ac:dyDescent="0.25">
      <c r="A344" s="24" t="s">
        <v>1013</v>
      </c>
      <c r="B344" s="49" t="str">
        <f>VLOOKUP(TArticle[[#This Row],[شناسه]],TAccount[],2,TRUE)</f>
        <v>یارانه</v>
      </c>
      <c r="C344" s="49" t="str">
        <f>VLOOKUP(TArticle[[#This Row],[تاریخ]],TDays[],7,FALSE)</f>
        <v>چهارشنبه</v>
      </c>
      <c r="D344" s="21" t="s">
        <v>606</v>
      </c>
      <c r="E344" s="1">
        <v>1500</v>
      </c>
      <c r="F344" s="1">
        <f>TArticle[[#This Row],[مبلغ]]+IFERROR(INT(F343),30181+3667+958)</f>
        <v>23487</v>
      </c>
      <c r="G344" s="49"/>
      <c r="K344" s="64">
        <v>2</v>
      </c>
      <c r="L344" s="171" t="str">
        <f>IF(TArticle[[#This Row],[کد وضعیت سند]]&gt;0,VLOOKUP(TArticle[[#This Row],[کد وضعیت سند]],TDocState[],2,FALSE),"")</f>
        <v>قطعی</v>
      </c>
      <c r="N344" s="171" t="str">
        <f>IF(TArticle[[#This Row],[کد طرف حساب]]&gt;0,VLOOKUP(TArticle[[#This Row],[کد طرف حساب]],TContact[],2,FALSE),"")</f>
        <v/>
      </c>
      <c r="O344" s="51" t="str">
        <f>IF(TArticle[[#This Row],[کد طرف حساب]]&gt;0,VLOOKUP(TArticle[[#This Row],[کد طرف حساب]],TContact[],7,FALSE)-SUMIF($M$2:M344,M344,$E$2:$E344),"")</f>
        <v/>
      </c>
      <c r="P344" s="27" t="str">
        <f>RIGHT(TArticle[[#This Row],[تاریخ]],2)</f>
        <v>20</v>
      </c>
      <c r="Q344" s="27">
        <f>VLOOKUP(TArticle[[#This Row],[تاریخ]],TDays[],16,FALSE)</f>
        <v>8</v>
      </c>
      <c r="R344" s="27" t="str">
        <f>RIGHT(LEFT(TArticle[[#This Row],[تاریخ]],7),2)</f>
        <v>02</v>
      </c>
      <c r="S344" s="27" t="str">
        <f>LEFT(TArticle[[#This Row],[تاریخ]],4)</f>
        <v>1402</v>
      </c>
      <c r="U344" s="21">
        <f>VLOOKUP(TArticle[[#This Row],[شناسه]],TAccount[],7,TRUE)</f>
        <v>12565</v>
      </c>
      <c r="W344" s="21">
        <f>IF(AND(TArticle[[#This Row],[مبلغ]]&gt;0, TArticle[[#This Row],[کد وضعیت سند]]=1),TArticle[[#This Row],[مبلغ]],0)</f>
        <v>0</v>
      </c>
      <c r="X344" s="21">
        <f>IF(AND(TArticle[[#This Row],[مبلغ]]&lt;0,TArticle[[#This Row],[کد وضعیت سند]]=1),0-TArticle[[#This Row],[مبلغ]],0)</f>
        <v>0</v>
      </c>
      <c r="Y344" s="27">
        <v>2</v>
      </c>
      <c r="Z344" s="171" t="str">
        <f>IF(TArticle[[#This Row],[کد بانک]]&gt;0,VLOOKUP(TArticle[[#This Row],[کد بانک]],TBank[],2,FALSE),"")</f>
        <v>ملی جاری</v>
      </c>
      <c r="AA344">
        <f>IF(AND(TArticle[[#This Row],[مبلغ]]&lt;0,TArticle[[#This Row],[کد وضعیت سند]]=1),0-TArticle[[#This Row],[مبلغ]],0)</f>
        <v>0</v>
      </c>
      <c r="AB344">
        <f>IF(AND(TArticle[[#This Row],[مبلغ]]&gt;0, TArticle[[#This Row],[کد وضعیت سند]]=1),TArticle[[#This Row],[مبلغ]],0)</f>
        <v>0</v>
      </c>
      <c r="AC344" s="84">
        <f>IF(TArticle[[#This Row],[کد بانک]]&gt;0,VLOOKUP(TArticle[[#This Row],[کد بانک]],TBank[],9,FALSE)+SUMIF($Y$2:Y344,Y344,$E$2:$E344),"")</f>
        <v>22639</v>
      </c>
      <c r="AD344" s="1">
        <f>IFERROR(IF(INT(LEFT(TArticle[[#This Row],[شناسه]]))=3,IF(TArticle[[#This Row],[کد وضعیت سند]]=1,TArticle[مبلغ],0),0),0)</f>
        <v>0</v>
      </c>
      <c r="AE344" s="1">
        <f>IFERROR(IF(((TArticle[[#This Row],[شناسه]]))="4.1.1",IF(TArticle[[#This Row],[کد وضعیت سند]]=1,TArticle[مبلغ],0),0),0)</f>
        <v>0</v>
      </c>
      <c r="AF344" s="1">
        <f>IFERROR(IF(((TArticle[[#This Row],[شناسه]]))="4.1.2",IF(TArticle[[#This Row],[کد وضعیت سند]]=1,TArticle[مبلغ],0),0),0)</f>
        <v>0</v>
      </c>
      <c r="AG344" s="1">
        <f>IFERROR(IF(INT(LEFT(TArticle[[#This Row],[شناسه]]))=1,IF(TArticle[[#This Row],[کد وضعیت سند]]=1,TArticle[مبلغ],0),0),0)</f>
        <v>0</v>
      </c>
      <c r="AH344" s="1">
        <f>IFERROR(IF(INT(LEFT(TArticle[[#This Row],[شناسه]]))=2,IF(TArticle[[#This Row],[کد وضعیت سند]]=1,TArticle[مبلغ],0),0),0)</f>
        <v>0</v>
      </c>
      <c r="AI344" s="1">
        <f>IFERROR(IF((LEFT(TArticle[[#This Row],[شناسه]],3))="5.2",IF(TArticle[[#This Row],[کد وضعیت سند]]=1,TArticle[مبلغ],0),0),0)</f>
        <v>0</v>
      </c>
      <c r="AJ344" s="1">
        <f>IF(TArticle[[#This Row],[کد وضعیت سند]]=1,1,0)</f>
        <v>0</v>
      </c>
      <c r="AK344" s="1">
        <f>IF(AND(TArticle[[#This Row],[کد وضعیت سند]]&lt;&gt;1,TArticle[[#This Row],[مبلغ]]&lt;&gt;0),1,0)</f>
        <v>1</v>
      </c>
      <c r="AL344" s="51">
        <f>IF(TArticle[[#This Row],[کد بانک]]&gt;0,TArticle[[#This Row],[مانده بانک]]-VLOOKUP(TArticle[[#This Row],[کد بانک]],TBank[],7,FALSE),"")</f>
        <v>22639</v>
      </c>
      <c r="AM344" s="58" t="str">
        <f>LEFT(TArticle[[#This Row],[تاریخ]],7)</f>
        <v>1402-02</v>
      </c>
    </row>
    <row r="345" spans="1:39" x14ac:dyDescent="0.25">
      <c r="A345" s="24" t="s">
        <v>1110</v>
      </c>
      <c r="B345" s="49" t="str">
        <f>VLOOKUP(TArticle[[#This Row],[شناسه]],TAccount[],2,TRUE)</f>
        <v>قسط وام بانکی</v>
      </c>
      <c r="C345" s="49" t="str">
        <f>VLOOKUP(TArticle[[#This Row],[تاریخ]],TDays[],7,FALSE)</f>
        <v>پنجشنبه</v>
      </c>
      <c r="D345" s="21" t="s">
        <v>614</v>
      </c>
      <c r="E345" s="1">
        <v>-1808</v>
      </c>
      <c r="F345" s="1">
        <f>TArticle[[#This Row],[مبلغ]]+IFERROR(INT(F344),30181+3667+958)</f>
        <v>21679</v>
      </c>
      <c r="G345" s="49" t="s">
        <v>1597</v>
      </c>
      <c r="H345" s="64">
        <v>19</v>
      </c>
      <c r="J345" s="65"/>
      <c r="K345" s="21">
        <v>2</v>
      </c>
      <c r="L345" s="171" t="str">
        <f>IF(TArticle[[#This Row],[کد وضعیت سند]]&gt;0,VLOOKUP(TArticle[[#This Row],[کد وضعیت سند]],TDocState[],2,FALSE),"")</f>
        <v>قطعی</v>
      </c>
      <c r="M345" s="67">
        <v>112</v>
      </c>
      <c r="N345" s="171" t="str">
        <f>IF(TArticle[[#This Row],[کد طرف حساب]]&gt;0,VLOOKUP(TArticle[[#This Row],[کد طرف حساب]],TContact[],2,FALSE),"")</f>
        <v>وام ملی</v>
      </c>
      <c r="O345" s="68">
        <f>IF(TArticle[[#This Row],[کد طرف حساب]]&gt;0,VLOOKUP(TArticle[[#This Row],[کد طرف حساب]],TContact[],7,FALSE)-SUMIF($M$2:M345,M345,$E$2:$E345),"")</f>
        <v>-28304</v>
      </c>
      <c r="P345" s="67" t="str">
        <f>RIGHT(TArticle[[#This Row],[تاریخ]],2)</f>
        <v>28</v>
      </c>
      <c r="Q345" s="67">
        <f>VLOOKUP(TArticle[[#This Row],[تاریخ]],TDays[],16,FALSE)</f>
        <v>9</v>
      </c>
      <c r="R345" s="67" t="str">
        <f>RIGHT(LEFT(TArticle[[#This Row],[تاریخ]],7),2)</f>
        <v>02</v>
      </c>
      <c r="S345" s="67" t="str">
        <f>LEFT(TArticle[[#This Row],[تاریخ]],4)</f>
        <v>1402</v>
      </c>
      <c r="T345" s="64"/>
      <c r="U345" s="64">
        <f>VLOOKUP(TArticle[[#This Row],[شناسه]],TAccount[],7,TRUE)</f>
        <v>81652</v>
      </c>
      <c r="V345" s="21" t="s">
        <v>614</v>
      </c>
      <c r="W345" s="64">
        <f>IF(AND(TArticle[[#This Row],[مبلغ]]&gt;0, TArticle[[#This Row],[کد وضعیت سند]]=1),TArticle[[#This Row],[مبلغ]],0)</f>
        <v>0</v>
      </c>
      <c r="X345" s="67">
        <f>IF(AND(TArticle[[#This Row],[مبلغ]]&lt;0,TArticle[[#This Row],[کد وضعیت سند]]=1),0-TArticle[[#This Row],[مبلغ]],0)</f>
        <v>0</v>
      </c>
      <c r="Y345" s="67">
        <v>2</v>
      </c>
      <c r="Z345" s="171" t="str">
        <f>IF(TArticle[[#This Row],[کد بانک]]&gt;0,VLOOKUP(TArticle[[#This Row],[کد بانک]],TBank[],2,FALSE),"")</f>
        <v>ملی جاری</v>
      </c>
      <c r="AA345">
        <f>IF(AND(TArticle[[#This Row],[مبلغ]]&lt;0,TArticle[[#This Row],[کد وضعیت سند]]=1),0-TArticle[[#This Row],[مبلغ]],0)</f>
        <v>0</v>
      </c>
      <c r="AB345">
        <f>IF(AND(TArticle[[#This Row],[مبلغ]]&gt;0, TArticle[[#This Row],[کد وضعیت سند]]=1),TArticle[[#This Row],[مبلغ]],0)</f>
        <v>0</v>
      </c>
      <c r="AC345" s="93">
        <f>IF(TArticle[[#This Row],[کد بانک]]&gt;0,VLOOKUP(TArticle[[#This Row],[کد بانک]],TBank[],9,FALSE)+SUMIF($Y$2:Y345,Y345,$E$2:$E345),"")</f>
        <v>20831</v>
      </c>
      <c r="AD345" s="1">
        <f>IFERROR(IF(INT(LEFT(TArticle[[#This Row],[شناسه]]))=3,IF(TArticle[[#This Row],[کد وضعیت سند]]=1,TArticle[مبلغ],0),0),0)</f>
        <v>0</v>
      </c>
      <c r="AE345" s="1">
        <f>IFERROR(IF(((TArticle[[#This Row],[شناسه]]))="4.1.1",IF(TArticle[[#This Row],[کد وضعیت سند]]=1,TArticle[مبلغ],0),0),0)</f>
        <v>0</v>
      </c>
      <c r="AF345" s="1">
        <f>IFERROR(IF(((TArticle[[#This Row],[شناسه]]))="4.1.2",IF(TArticle[[#This Row],[کد وضعیت سند]]=1,TArticle[مبلغ],0),0),0)</f>
        <v>0</v>
      </c>
      <c r="AG345" s="1">
        <f>IFERROR(IF(INT(LEFT(TArticle[[#This Row],[شناسه]]))=1,IF(TArticle[[#This Row],[کد وضعیت سند]]=1,TArticle[مبلغ],0),0),0)</f>
        <v>0</v>
      </c>
      <c r="AH345" s="1">
        <f>IFERROR(IF(INT(LEFT(TArticle[[#This Row],[شناسه]]))=2,IF(TArticle[[#This Row],[کد وضعیت سند]]=1,TArticle[مبلغ],0),0),0)</f>
        <v>0</v>
      </c>
      <c r="AI345" s="1">
        <f>IFERROR(IF((LEFT(TArticle[[#This Row],[شناسه]],3))="5.2",IF(TArticle[[#This Row],[کد وضعیت سند]]=1,TArticle[مبلغ],0),0),0)</f>
        <v>0</v>
      </c>
      <c r="AJ345" s="1">
        <f>IF(TArticle[[#This Row],[کد وضعیت سند]]=1,1,0)</f>
        <v>0</v>
      </c>
      <c r="AK345" s="1">
        <f>IF(AND(TArticle[[#This Row],[کد وضعیت سند]]&lt;&gt;1,TArticle[[#This Row],[مبلغ]]&lt;&gt;0),1,0)</f>
        <v>1</v>
      </c>
      <c r="AL345" s="78">
        <f>IF(TArticle[[#This Row],[کد بانک]]&gt;0,TArticle[[#This Row],[مانده بانک]]-VLOOKUP(TArticle[[#This Row],[کد بانک]],TBank[],7,FALSE),"")</f>
        <v>20831</v>
      </c>
      <c r="AM345" s="58" t="str">
        <f>LEFT(TArticle[[#This Row],[تاریخ]],7)</f>
        <v>1402-02</v>
      </c>
    </row>
    <row r="346" spans="1:39" x14ac:dyDescent="0.25">
      <c r="A346" s="77" t="s">
        <v>76</v>
      </c>
      <c r="B346" s="49" t="str">
        <f>VLOOKUP(TArticle[[#This Row],[شناسه]],TAccount[],2,TRUE)</f>
        <v>قسط</v>
      </c>
      <c r="C346" s="49" t="str">
        <f>VLOOKUP(TArticle[[#This Row],[تاریخ]],TDays[],7,FALSE)</f>
        <v>جمعه</v>
      </c>
      <c r="D346" s="21" t="s">
        <v>615</v>
      </c>
      <c r="E346" s="1">
        <v>-2777</v>
      </c>
      <c r="F346" s="1">
        <f>TArticle[[#This Row],[مبلغ]]+IFERROR(INT(F345),30181+3667+958)</f>
        <v>18902</v>
      </c>
      <c r="G346" s="49"/>
      <c r="H346" s="64">
        <v>29</v>
      </c>
      <c r="J346" s="65"/>
      <c r="K346" s="64">
        <v>2</v>
      </c>
      <c r="L346" s="171" t="str">
        <f>IF(TArticle[[#This Row],[کد وضعیت سند]]&gt;0,VLOOKUP(TArticle[[#This Row],[کد وضعیت سند]],TDocState[],2,FALSE),"")</f>
        <v>قطعی</v>
      </c>
      <c r="M346" s="67">
        <v>105</v>
      </c>
      <c r="N346" s="171" t="str">
        <f>IF(TArticle[[#This Row],[کد طرف حساب]]&gt;0,VLOOKUP(TArticle[[#This Row],[کد طرف حساب]],TContact[],2,FALSE),"")</f>
        <v>وام محبوبه</v>
      </c>
      <c r="O346" s="68">
        <f>IF(TArticle[[#This Row],[کد طرف حساب]]&gt;0,VLOOKUP(TArticle[[#This Row],[کد طرف حساب]],TContact[],7,FALSE)-SUMIF($M$2:M346,M346,$E$2:$E346),"")</f>
        <v>-8567</v>
      </c>
      <c r="P346" s="67" t="str">
        <f>RIGHT(TArticle[[#This Row],[تاریخ]],2)</f>
        <v>29</v>
      </c>
      <c r="Q346" s="67">
        <f>VLOOKUP(TArticle[[#This Row],[تاریخ]],TDays[],16,FALSE)</f>
        <v>9</v>
      </c>
      <c r="R346" s="67" t="str">
        <f>RIGHT(LEFT(TArticle[[#This Row],[تاریخ]],7),2)</f>
        <v>02</v>
      </c>
      <c r="S346" s="67" t="str">
        <f>LEFT(TArticle[[#This Row],[تاریخ]],4)</f>
        <v>1402</v>
      </c>
      <c r="T346" s="64"/>
      <c r="U346" s="64">
        <f>VLOOKUP(TArticle[[#This Row],[شناسه]],TAccount[],7,TRUE)</f>
        <v>36266</v>
      </c>
      <c r="V346" s="28" t="s">
        <v>471</v>
      </c>
      <c r="W346" s="64">
        <f>IF(AND(TArticle[[#This Row],[مبلغ]]&gt;0, TArticle[[#This Row],[کد وضعیت سند]]=1),TArticle[[#This Row],[مبلغ]],0)</f>
        <v>0</v>
      </c>
      <c r="X346" s="67">
        <f>IF(AND(TArticle[[#This Row],[مبلغ]]&lt;0,TArticle[[#This Row],[کد وضعیت سند]]=1),0-TArticle[[#This Row],[مبلغ]],0)</f>
        <v>0</v>
      </c>
      <c r="Y346" s="27">
        <v>2</v>
      </c>
      <c r="Z346" s="171" t="str">
        <f>IF(TArticle[[#This Row],[کد بانک]]&gt;0,VLOOKUP(TArticle[[#This Row],[کد بانک]],TBank[],2,FALSE),"")</f>
        <v>ملی جاری</v>
      </c>
      <c r="AA346">
        <f>IF(AND(TArticle[[#This Row],[مبلغ]]&lt;0,TArticle[[#This Row],[کد وضعیت سند]]=1),0-TArticle[[#This Row],[مبلغ]],0)</f>
        <v>0</v>
      </c>
      <c r="AB346">
        <f>IF(AND(TArticle[[#This Row],[مبلغ]]&gt;0, TArticle[[#This Row],[کد وضعیت سند]]=1),TArticle[[#This Row],[مبلغ]],0)</f>
        <v>0</v>
      </c>
      <c r="AC346" s="93">
        <f>IF(TArticle[[#This Row],[کد بانک]]&gt;0,VLOOKUP(TArticle[[#This Row],[کد بانک]],TBank[],9,FALSE)+SUMIF($Y$2:Y346,Y346,$E$2:$E346),"")</f>
        <v>18054</v>
      </c>
      <c r="AD346" s="1">
        <f>IFERROR(IF(INT(LEFT(TArticle[[#This Row],[شناسه]]))=3,IF(TArticle[[#This Row],[کد وضعیت سند]]=1,TArticle[مبلغ],0),0),0)</f>
        <v>0</v>
      </c>
      <c r="AE346" s="1">
        <f>IFERROR(IF(((TArticle[[#This Row],[شناسه]]))="4.1.1",IF(TArticle[[#This Row],[کد وضعیت سند]]=1,TArticle[مبلغ],0),0),0)</f>
        <v>0</v>
      </c>
      <c r="AF346" s="1">
        <f>IFERROR(IF(((TArticle[[#This Row],[شناسه]]))="4.1.2",IF(TArticle[[#This Row],[کد وضعیت سند]]=1,TArticle[مبلغ],0),0),0)</f>
        <v>0</v>
      </c>
      <c r="AG346" s="1">
        <f>IFERROR(IF(INT(LEFT(TArticle[[#This Row],[شناسه]]))=1,IF(TArticle[[#This Row],[کد وضعیت سند]]=1,TArticle[مبلغ],0),0),0)</f>
        <v>0</v>
      </c>
      <c r="AH346" s="1">
        <f>IFERROR(IF(INT(LEFT(TArticle[[#This Row],[شناسه]]))=2,IF(TArticle[[#This Row],[کد وضعیت سند]]=1,TArticle[مبلغ],0),0),0)</f>
        <v>0</v>
      </c>
      <c r="AI346" s="1">
        <f>IFERROR(IF((LEFT(TArticle[[#This Row],[شناسه]],3))="5.2",IF(TArticle[[#This Row],[کد وضعیت سند]]=1,TArticle[مبلغ],0),0),0)</f>
        <v>0</v>
      </c>
      <c r="AJ346" s="1">
        <f>IF(TArticle[[#This Row],[کد وضعیت سند]]=1,1,0)</f>
        <v>0</v>
      </c>
      <c r="AK346" s="1">
        <f>IF(AND(TArticle[[#This Row],[کد وضعیت سند]]&lt;&gt;1,TArticle[[#This Row],[مبلغ]]&lt;&gt;0),1,0)</f>
        <v>1</v>
      </c>
      <c r="AL346" s="78">
        <f>IF(TArticle[[#This Row],[کد بانک]]&gt;0,TArticle[[#This Row],[مانده بانک]]-VLOOKUP(TArticle[[#This Row],[کد بانک]],TBank[],7,FALSE),"")</f>
        <v>18054</v>
      </c>
      <c r="AM346" s="58" t="str">
        <f>LEFT(TArticle[[#This Row],[تاریخ]],7)</f>
        <v>1402-02</v>
      </c>
    </row>
    <row r="347" spans="1:39" x14ac:dyDescent="0.25">
      <c r="A347" s="77" t="s">
        <v>76</v>
      </c>
      <c r="B347" s="49" t="str">
        <f>VLOOKUP(TArticle[[#This Row],[شناسه]],TAccount[],2,TRUE)</f>
        <v>قسط</v>
      </c>
      <c r="C347" s="49" t="str">
        <f>VLOOKUP(TArticle[[#This Row],[تاریخ]],TDays[],7,FALSE)</f>
        <v>جمعه</v>
      </c>
      <c r="D347" s="21" t="s">
        <v>615</v>
      </c>
      <c r="E347" s="1">
        <v>-2777</v>
      </c>
      <c r="F347" s="1">
        <f>TArticle[[#This Row],[مبلغ]]+IFERROR(INT(F346),30181+3667+958)</f>
        <v>16125</v>
      </c>
      <c r="G347" s="49"/>
      <c r="H347" s="64">
        <v>30</v>
      </c>
      <c r="J347" s="65"/>
      <c r="K347" s="64">
        <v>2</v>
      </c>
      <c r="L347" s="171" t="str">
        <f>IF(TArticle[[#This Row],[کد وضعیت سند]]&gt;0,VLOOKUP(TArticle[[#This Row],[کد وضعیت سند]],TDocState[],2,FALSE),"")</f>
        <v>قطعی</v>
      </c>
      <c r="M347" s="67">
        <v>105</v>
      </c>
      <c r="N347" s="171" t="str">
        <f>IF(TArticle[[#This Row],[کد طرف حساب]]&gt;0,VLOOKUP(TArticle[[#This Row],[کد طرف حساب]],TContact[],2,FALSE),"")</f>
        <v>وام محبوبه</v>
      </c>
      <c r="O347" s="68">
        <f>IF(TArticle[[#This Row],[کد طرف حساب]]&gt;0,VLOOKUP(TArticle[[#This Row],[کد طرف حساب]],TContact[],7,FALSE)-SUMIF($M$2:M347,M347,$E$2:$E347),"")</f>
        <v>-5790</v>
      </c>
      <c r="P347" s="67" t="str">
        <f>RIGHT(TArticle[[#This Row],[تاریخ]],2)</f>
        <v>29</v>
      </c>
      <c r="Q347" s="67">
        <f>VLOOKUP(TArticle[[#This Row],[تاریخ]],TDays[],16,FALSE)</f>
        <v>9</v>
      </c>
      <c r="R347" s="67" t="str">
        <f>RIGHT(LEFT(TArticle[[#This Row],[تاریخ]],7),2)</f>
        <v>02</v>
      </c>
      <c r="S347" s="67" t="str">
        <f>LEFT(TArticle[[#This Row],[تاریخ]],4)</f>
        <v>1402</v>
      </c>
      <c r="T347" s="64"/>
      <c r="U347" s="64">
        <f>VLOOKUP(TArticle[[#This Row],[شناسه]],TAccount[],7,TRUE)</f>
        <v>36266</v>
      </c>
      <c r="V347" s="28" t="s">
        <v>500</v>
      </c>
      <c r="W347" s="64">
        <f>IF(AND(TArticle[[#This Row],[مبلغ]]&gt;0, TArticle[[#This Row],[کد وضعیت سند]]=1),TArticle[[#This Row],[مبلغ]],0)</f>
        <v>0</v>
      </c>
      <c r="X347" s="67">
        <f>IF(AND(TArticle[[#This Row],[مبلغ]]&lt;0,TArticle[[#This Row],[کد وضعیت سند]]=1),0-TArticle[[#This Row],[مبلغ]],0)</f>
        <v>0</v>
      </c>
      <c r="Y347" s="27">
        <v>2</v>
      </c>
      <c r="Z347" s="171" t="str">
        <f>IF(TArticle[[#This Row],[کد بانک]]&gt;0,VLOOKUP(TArticle[[#This Row],[کد بانک]],TBank[],2,FALSE),"")</f>
        <v>ملی جاری</v>
      </c>
      <c r="AA347">
        <f>IF(AND(TArticle[[#This Row],[مبلغ]]&lt;0,TArticle[[#This Row],[کد وضعیت سند]]=1),0-TArticle[[#This Row],[مبلغ]],0)</f>
        <v>0</v>
      </c>
      <c r="AB347">
        <f>IF(AND(TArticle[[#This Row],[مبلغ]]&gt;0, TArticle[[#This Row],[کد وضعیت سند]]=1),TArticle[[#This Row],[مبلغ]],0)</f>
        <v>0</v>
      </c>
      <c r="AC347" s="93">
        <f>IF(TArticle[[#This Row],[کد بانک]]&gt;0,VLOOKUP(TArticle[[#This Row],[کد بانک]],TBank[],9,FALSE)+SUMIF($Y$2:Y347,Y347,$E$2:$E347),"")</f>
        <v>15277</v>
      </c>
      <c r="AD347" s="1">
        <f>IFERROR(IF(INT(LEFT(TArticle[[#This Row],[شناسه]]))=3,IF(TArticle[[#This Row],[کد وضعیت سند]]=1,TArticle[مبلغ],0),0),0)</f>
        <v>0</v>
      </c>
      <c r="AE347" s="1">
        <f>IFERROR(IF(((TArticle[[#This Row],[شناسه]]))="4.1.1",IF(TArticle[[#This Row],[کد وضعیت سند]]=1,TArticle[مبلغ],0),0),0)</f>
        <v>0</v>
      </c>
      <c r="AF347" s="1">
        <f>IFERROR(IF(((TArticle[[#This Row],[شناسه]]))="4.1.2",IF(TArticle[[#This Row],[کد وضعیت سند]]=1,TArticle[مبلغ],0),0),0)</f>
        <v>0</v>
      </c>
      <c r="AG347" s="1">
        <f>IFERROR(IF(INT(LEFT(TArticle[[#This Row],[شناسه]]))=1,IF(TArticle[[#This Row],[کد وضعیت سند]]=1,TArticle[مبلغ],0),0),0)</f>
        <v>0</v>
      </c>
      <c r="AH347" s="1">
        <f>IFERROR(IF(INT(LEFT(TArticle[[#This Row],[شناسه]]))=2,IF(TArticle[[#This Row],[کد وضعیت سند]]=1,TArticle[مبلغ],0),0),0)</f>
        <v>0</v>
      </c>
      <c r="AI347" s="1">
        <f>IFERROR(IF((LEFT(TArticle[[#This Row],[شناسه]],3))="5.2",IF(TArticle[[#This Row],[کد وضعیت سند]]=1,TArticle[مبلغ],0),0),0)</f>
        <v>0</v>
      </c>
      <c r="AJ347" s="1">
        <f>IF(TArticle[[#This Row],[کد وضعیت سند]]=1,1,0)</f>
        <v>0</v>
      </c>
      <c r="AK347" s="1">
        <f>IF(AND(TArticle[[#This Row],[کد وضعیت سند]]&lt;&gt;1,TArticle[[#This Row],[مبلغ]]&lt;&gt;0),1,0)</f>
        <v>1</v>
      </c>
      <c r="AL347" s="78">
        <f>IF(TArticle[[#This Row],[کد بانک]]&gt;0,TArticle[[#This Row],[مانده بانک]]-VLOOKUP(TArticle[[#This Row],[کد بانک]],TBank[],7,FALSE),"")</f>
        <v>15277</v>
      </c>
      <c r="AM347" s="58" t="str">
        <f>LEFT(TArticle[[#This Row],[تاریخ]],7)</f>
        <v>1402-02</v>
      </c>
    </row>
    <row r="348" spans="1:39" x14ac:dyDescent="0.25">
      <c r="A348" s="77" t="s">
        <v>76</v>
      </c>
      <c r="B348" s="49" t="str">
        <f>VLOOKUP(TArticle[[#This Row],[شناسه]],TAccount[],2,TRUE)</f>
        <v>قسط</v>
      </c>
      <c r="C348" s="49" t="str">
        <f>VLOOKUP(TArticle[[#This Row],[تاریخ]],TDays[],7,FALSE)</f>
        <v>جمعه</v>
      </c>
      <c r="D348" s="21" t="s">
        <v>615</v>
      </c>
      <c r="E348" s="1">
        <v>-2777</v>
      </c>
      <c r="F348" s="1">
        <f>TArticle[[#This Row],[مبلغ]]+IFERROR(INT(F347),30181+3667+958)</f>
        <v>13348</v>
      </c>
      <c r="G348" s="49"/>
      <c r="H348" s="64">
        <v>31</v>
      </c>
      <c r="J348" s="65"/>
      <c r="K348" s="64">
        <v>2</v>
      </c>
      <c r="L348" s="171" t="str">
        <f>IF(TArticle[[#This Row],[کد وضعیت سند]]&gt;0,VLOOKUP(TArticle[[#This Row],[کد وضعیت سند]],TDocState[],2,FALSE),"")</f>
        <v>قطعی</v>
      </c>
      <c r="M348" s="67">
        <v>105</v>
      </c>
      <c r="N348" s="171" t="str">
        <f>IF(TArticle[[#This Row],[کد طرف حساب]]&gt;0,VLOOKUP(TArticle[[#This Row],[کد طرف حساب]],TContact[],2,FALSE),"")</f>
        <v>وام محبوبه</v>
      </c>
      <c r="O348" s="68">
        <f>IF(TArticle[[#This Row],[کد طرف حساب]]&gt;0,VLOOKUP(TArticle[[#This Row],[کد طرف حساب]],TContact[],7,FALSE)-SUMIF($M$2:M348,M348,$E$2:$E348),"")</f>
        <v>-3013</v>
      </c>
      <c r="P348" s="67" t="str">
        <f>RIGHT(TArticle[[#This Row],[تاریخ]],2)</f>
        <v>29</v>
      </c>
      <c r="Q348" s="67">
        <f>VLOOKUP(TArticle[[#This Row],[تاریخ]],TDays[],16,FALSE)</f>
        <v>9</v>
      </c>
      <c r="R348" s="67" t="str">
        <f>RIGHT(LEFT(TArticle[[#This Row],[تاریخ]],7),2)</f>
        <v>02</v>
      </c>
      <c r="S348" s="67" t="str">
        <f>LEFT(TArticle[[#This Row],[تاریخ]],4)</f>
        <v>1402</v>
      </c>
      <c r="T348" s="64"/>
      <c r="U348" s="64">
        <f>VLOOKUP(TArticle[[#This Row],[شناسه]],TAccount[],7,TRUE)</f>
        <v>36266</v>
      </c>
      <c r="V348" s="28" t="s">
        <v>529</v>
      </c>
      <c r="W348" s="64">
        <f>IF(AND(TArticle[[#This Row],[مبلغ]]&gt;0, TArticle[[#This Row],[کد وضعیت سند]]=1),TArticle[[#This Row],[مبلغ]],0)</f>
        <v>0</v>
      </c>
      <c r="X348" s="67">
        <f>IF(AND(TArticle[[#This Row],[مبلغ]]&lt;0,TArticle[[#This Row],[کد وضعیت سند]]=1),0-TArticle[[#This Row],[مبلغ]],0)</f>
        <v>0</v>
      </c>
      <c r="Y348" s="27">
        <v>2</v>
      </c>
      <c r="Z348" s="171" t="str">
        <f>IF(TArticle[[#This Row],[کد بانک]]&gt;0,VLOOKUP(TArticle[[#This Row],[کد بانک]],TBank[],2,FALSE),"")</f>
        <v>ملی جاری</v>
      </c>
      <c r="AA348">
        <f>IF(AND(TArticle[[#This Row],[مبلغ]]&lt;0,TArticle[[#This Row],[کد وضعیت سند]]=1),0-TArticle[[#This Row],[مبلغ]],0)</f>
        <v>0</v>
      </c>
      <c r="AB348">
        <f>IF(AND(TArticle[[#This Row],[مبلغ]]&gt;0, TArticle[[#This Row],[کد وضعیت سند]]=1),TArticle[[#This Row],[مبلغ]],0)</f>
        <v>0</v>
      </c>
      <c r="AC348" s="93">
        <f>IF(TArticle[[#This Row],[کد بانک]]&gt;0,VLOOKUP(TArticle[[#This Row],[کد بانک]],TBank[],9,FALSE)+SUMIF($Y$2:Y348,Y348,$E$2:$E348),"")</f>
        <v>12500</v>
      </c>
      <c r="AD348" s="1">
        <f>IFERROR(IF(INT(LEFT(TArticle[[#This Row],[شناسه]]))=3,IF(TArticle[[#This Row],[کد وضعیت سند]]=1,TArticle[مبلغ],0),0),0)</f>
        <v>0</v>
      </c>
      <c r="AE348" s="1">
        <f>IFERROR(IF(((TArticle[[#This Row],[شناسه]]))="4.1.1",IF(TArticle[[#This Row],[کد وضعیت سند]]=1,TArticle[مبلغ],0),0),0)</f>
        <v>0</v>
      </c>
      <c r="AF348" s="1">
        <f>IFERROR(IF(((TArticle[[#This Row],[شناسه]]))="4.1.2",IF(TArticle[[#This Row],[کد وضعیت سند]]=1,TArticle[مبلغ],0),0),0)</f>
        <v>0</v>
      </c>
      <c r="AG348" s="1">
        <f>IFERROR(IF(INT(LEFT(TArticle[[#This Row],[شناسه]]))=1,IF(TArticle[[#This Row],[کد وضعیت سند]]=1,TArticle[مبلغ],0),0),0)</f>
        <v>0</v>
      </c>
      <c r="AH348" s="1">
        <f>IFERROR(IF(INT(LEFT(TArticle[[#This Row],[شناسه]]))=2,IF(TArticle[[#This Row],[کد وضعیت سند]]=1,TArticle[مبلغ],0),0),0)</f>
        <v>0</v>
      </c>
      <c r="AI348" s="1">
        <f>IFERROR(IF((LEFT(TArticle[[#This Row],[شناسه]],3))="5.2",IF(TArticle[[#This Row],[کد وضعیت سند]]=1,TArticle[مبلغ],0),0),0)</f>
        <v>0</v>
      </c>
      <c r="AJ348" s="1">
        <f>IF(TArticle[[#This Row],[کد وضعیت سند]]=1,1,0)</f>
        <v>0</v>
      </c>
      <c r="AK348" s="1">
        <f>IF(AND(TArticle[[#This Row],[کد وضعیت سند]]&lt;&gt;1,TArticle[[#This Row],[مبلغ]]&lt;&gt;0),1,0)</f>
        <v>1</v>
      </c>
      <c r="AL348" s="78">
        <f>IF(TArticle[[#This Row],[کد بانک]]&gt;0,TArticle[[#This Row],[مانده بانک]]-VLOOKUP(TArticle[[#This Row],[کد بانک]],TBank[],7,FALSE),"")</f>
        <v>12500</v>
      </c>
      <c r="AM348" s="58" t="str">
        <f>LEFT(TArticle[[#This Row],[تاریخ]],7)</f>
        <v>1402-02</v>
      </c>
    </row>
    <row r="349" spans="1:39" x14ac:dyDescent="0.25">
      <c r="A349" s="77" t="s">
        <v>76</v>
      </c>
      <c r="B349" s="49" t="str">
        <f>VLOOKUP(TArticle[[#This Row],[شناسه]],TAccount[],2,TRUE)</f>
        <v>قسط</v>
      </c>
      <c r="C349" s="49" t="str">
        <f>VLOOKUP(TArticle[[#This Row],[تاریخ]],TDays[],7,FALSE)</f>
        <v>جمعه</v>
      </c>
      <c r="D349" s="21" t="s">
        <v>615</v>
      </c>
      <c r="E349" s="1">
        <f>-2777-236</f>
        <v>-3013</v>
      </c>
      <c r="F349" s="1">
        <f>TArticle[[#This Row],[مبلغ]]+IFERROR(INT(F348),30181+3667+958)</f>
        <v>10335</v>
      </c>
      <c r="G349" s="49"/>
      <c r="H349" s="64">
        <v>32</v>
      </c>
      <c r="J349" s="65"/>
      <c r="K349" s="64">
        <v>2</v>
      </c>
      <c r="L349" s="171" t="str">
        <f>IF(TArticle[[#This Row],[کد وضعیت سند]]&gt;0,VLOOKUP(TArticle[[#This Row],[کد وضعیت سند]],TDocState[],2,FALSE),"")</f>
        <v>قطعی</v>
      </c>
      <c r="M349" s="67">
        <v>105</v>
      </c>
      <c r="N349" s="171" t="str">
        <f>IF(TArticle[[#This Row],[کد طرف حساب]]&gt;0,VLOOKUP(TArticle[[#This Row],[کد طرف حساب]],TContact[],2,FALSE),"")</f>
        <v>وام محبوبه</v>
      </c>
      <c r="O349" s="68">
        <f>IF(TArticle[[#This Row],[کد طرف حساب]]&gt;0,VLOOKUP(TArticle[[#This Row],[کد طرف حساب]],TContact[],7,FALSE)-SUMIF($M$2:M349,M349,$E$2:$E349),"")</f>
        <v>0</v>
      </c>
      <c r="P349" s="67" t="str">
        <f>RIGHT(TArticle[[#This Row],[تاریخ]],2)</f>
        <v>29</v>
      </c>
      <c r="Q349" s="67">
        <f>VLOOKUP(TArticle[[#This Row],[تاریخ]],TDays[],16,FALSE)</f>
        <v>9</v>
      </c>
      <c r="R349" s="67" t="str">
        <f>RIGHT(LEFT(TArticle[[#This Row],[تاریخ]],7),2)</f>
        <v>02</v>
      </c>
      <c r="S349" s="67" t="str">
        <f>LEFT(TArticle[[#This Row],[تاریخ]],4)</f>
        <v>1402</v>
      </c>
      <c r="T349" s="64"/>
      <c r="U349" s="64">
        <f>VLOOKUP(TArticle[[#This Row],[شناسه]],TAccount[],7,TRUE)</f>
        <v>36266</v>
      </c>
      <c r="V349" s="28" t="s">
        <v>557</v>
      </c>
      <c r="W349" s="64">
        <f>IF(AND(TArticle[[#This Row],[مبلغ]]&gt;0, TArticle[[#This Row],[کد وضعیت سند]]=1),TArticle[[#This Row],[مبلغ]],0)</f>
        <v>0</v>
      </c>
      <c r="X349" s="67">
        <f>IF(AND(TArticle[[#This Row],[مبلغ]]&lt;0,TArticle[[#This Row],[کد وضعیت سند]]=1),0-TArticle[[#This Row],[مبلغ]],0)</f>
        <v>0</v>
      </c>
      <c r="Y349" s="27">
        <v>2</v>
      </c>
      <c r="Z349" s="171" t="str">
        <f>IF(TArticle[[#This Row],[کد بانک]]&gt;0,VLOOKUP(TArticle[[#This Row],[کد بانک]],TBank[],2,FALSE),"")</f>
        <v>ملی جاری</v>
      </c>
      <c r="AA349">
        <f>IF(AND(TArticle[[#This Row],[مبلغ]]&lt;0,TArticle[[#This Row],[کد وضعیت سند]]=1),0-TArticle[[#This Row],[مبلغ]],0)</f>
        <v>0</v>
      </c>
      <c r="AB349">
        <f>IF(AND(TArticle[[#This Row],[مبلغ]]&gt;0, TArticle[[#This Row],[کد وضعیت سند]]=1),TArticle[[#This Row],[مبلغ]],0)</f>
        <v>0</v>
      </c>
      <c r="AC349" s="93">
        <f>IF(TArticle[[#This Row],[کد بانک]]&gt;0,VLOOKUP(TArticle[[#This Row],[کد بانک]],TBank[],9,FALSE)+SUMIF($Y$2:Y349,Y349,$E$2:$E349),"")</f>
        <v>9487</v>
      </c>
      <c r="AD349" s="1">
        <f>IFERROR(IF(INT(LEFT(TArticle[[#This Row],[شناسه]]))=3,IF(TArticle[[#This Row],[کد وضعیت سند]]=1,TArticle[مبلغ],0),0),0)</f>
        <v>0</v>
      </c>
      <c r="AE349" s="1">
        <f>IFERROR(IF(((TArticle[[#This Row],[شناسه]]))="4.1.1",IF(TArticle[[#This Row],[کد وضعیت سند]]=1,TArticle[مبلغ],0),0),0)</f>
        <v>0</v>
      </c>
      <c r="AF349" s="1">
        <f>IFERROR(IF(((TArticle[[#This Row],[شناسه]]))="4.1.2",IF(TArticle[[#This Row],[کد وضعیت سند]]=1,TArticle[مبلغ],0),0),0)</f>
        <v>0</v>
      </c>
      <c r="AG349" s="1">
        <f>IFERROR(IF(INT(LEFT(TArticle[[#This Row],[شناسه]]))=1,IF(TArticle[[#This Row],[کد وضعیت سند]]=1,TArticle[مبلغ],0),0),0)</f>
        <v>0</v>
      </c>
      <c r="AH349" s="1">
        <f>IFERROR(IF(INT(LEFT(TArticle[[#This Row],[شناسه]]))=2,IF(TArticle[[#This Row],[کد وضعیت سند]]=1,TArticle[مبلغ],0),0),0)</f>
        <v>0</v>
      </c>
      <c r="AI349" s="1">
        <f>IFERROR(IF((LEFT(TArticle[[#This Row],[شناسه]],3))="5.2",IF(TArticle[[#This Row],[کد وضعیت سند]]=1,TArticle[مبلغ],0),0),0)</f>
        <v>0</v>
      </c>
      <c r="AJ349" s="1">
        <f>IF(TArticle[[#This Row],[کد وضعیت سند]]=1,1,0)</f>
        <v>0</v>
      </c>
      <c r="AK349" s="1">
        <f>IF(AND(TArticle[[#This Row],[کد وضعیت سند]]&lt;&gt;1,TArticle[[#This Row],[مبلغ]]&lt;&gt;0),1,0)</f>
        <v>1</v>
      </c>
      <c r="AL349" s="78">
        <f>IF(TArticle[[#This Row],[کد بانک]]&gt;0,TArticle[[#This Row],[مانده بانک]]-VLOOKUP(TArticle[[#This Row],[کد بانک]],TBank[],7,FALSE),"")</f>
        <v>9487</v>
      </c>
      <c r="AM349" s="58" t="str">
        <f>LEFT(TArticle[[#This Row],[تاریخ]],7)</f>
        <v>1402-02</v>
      </c>
    </row>
    <row r="350" spans="1:39" x14ac:dyDescent="0.25">
      <c r="A350" s="24" t="s">
        <v>43</v>
      </c>
      <c r="B350" s="49" t="str">
        <f>VLOOKUP(TArticle[[#This Row],[شناسه]],TAccount[],2,TRUE)</f>
        <v>حقوق</v>
      </c>
      <c r="C350" s="49" t="str">
        <f>VLOOKUP(TArticle[[#This Row],[تاریخ]],TDays[],7,FALSE)</f>
        <v>دوشنبه</v>
      </c>
      <c r="D350" s="21" t="s">
        <v>618</v>
      </c>
      <c r="E350" s="1">
        <v>36000</v>
      </c>
      <c r="F350" s="1">
        <f>TArticle[[#This Row],[مبلغ]]+IFERROR(INT(F349),30181+3667+958)</f>
        <v>46335</v>
      </c>
      <c r="G350" s="49"/>
      <c r="H350" s="64"/>
      <c r="J350" s="65"/>
      <c r="K350" s="64">
        <v>2</v>
      </c>
      <c r="L350" s="171" t="str">
        <f>IF(TArticle[[#This Row],[کد وضعیت سند]]&gt;0,VLOOKUP(TArticle[[#This Row],[کد وضعیت سند]],TDocState[],2,FALSE),"")</f>
        <v>قطعی</v>
      </c>
      <c r="M350" s="67"/>
      <c r="N350" s="171" t="str">
        <f>IF(TArticle[[#This Row],[کد طرف حساب]]&gt;0,VLOOKUP(TArticle[[#This Row],[کد طرف حساب]],TContact[],2,FALSE),"")</f>
        <v/>
      </c>
      <c r="O350" s="68" t="str">
        <f>IF(TArticle[[#This Row],[کد طرف حساب]]&gt;0,VLOOKUP(TArticle[[#This Row],[کد طرف حساب]],TContact[],7,FALSE)-SUMIF($M$2:M350,M350,$E$2:$E350),"")</f>
        <v/>
      </c>
      <c r="P350" s="67" t="str">
        <f>RIGHT(TArticle[[#This Row],[تاریخ]],2)</f>
        <v>01</v>
      </c>
      <c r="Q350" s="67">
        <f>VLOOKUP(TArticle[[#This Row],[تاریخ]],TDays[],16,FALSE)</f>
        <v>10</v>
      </c>
      <c r="R350" s="67" t="str">
        <f>RIGHT(LEFT(TArticle[[#This Row],[تاریخ]],7),2)</f>
        <v>03</v>
      </c>
      <c r="S350" s="67" t="str">
        <f>LEFT(TArticle[[#This Row],[تاریخ]],4)</f>
        <v>1402</v>
      </c>
      <c r="T350" s="64"/>
      <c r="U350" s="64">
        <f>VLOOKUP(TArticle[[#This Row],[شناسه]],TAccount[],7,TRUE)</f>
        <v>416023</v>
      </c>
      <c r="V350" s="64"/>
      <c r="W350" s="64">
        <f>IF(AND(TArticle[[#This Row],[مبلغ]]&gt;0, TArticle[[#This Row],[کد وضعیت سند]]=1),TArticle[[#This Row],[مبلغ]],0)</f>
        <v>0</v>
      </c>
      <c r="X350" s="67">
        <f>IF(AND(TArticle[[#This Row],[مبلغ]]&lt;0,TArticle[[#This Row],[کد وضعیت سند]]=1),0-TArticle[[#This Row],[مبلغ]],0)</f>
        <v>0</v>
      </c>
      <c r="Y350" s="27">
        <v>2</v>
      </c>
      <c r="Z350" s="171" t="str">
        <f>IF(TArticle[[#This Row],[کد بانک]]&gt;0,VLOOKUP(TArticle[[#This Row],[کد بانک]],TBank[],2,FALSE),"")</f>
        <v>ملی جاری</v>
      </c>
      <c r="AA350">
        <f>IF(AND(TArticle[[#This Row],[مبلغ]]&lt;0,TArticle[[#This Row],[کد وضعیت سند]]=1),0-TArticle[[#This Row],[مبلغ]],0)</f>
        <v>0</v>
      </c>
      <c r="AB350">
        <f>IF(AND(TArticle[[#This Row],[مبلغ]]&gt;0, TArticle[[#This Row],[کد وضعیت سند]]=1),TArticle[[#This Row],[مبلغ]],0)</f>
        <v>0</v>
      </c>
      <c r="AC350" s="93">
        <f>IF(TArticle[[#This Row],[کد بانک]]&gt;0,VLOOKUP(TArticle[[#This Row],[کد بانک]],TBank[],9,FALSE)+SUMIF($Y$2:Y350,Y350,$E$2:$E350),"")</f>
        <v>45487</v>
      </c>
      <c r="AD350" s="1">
        <f>IFERROR(IF(INT(LEFT(TArticle[[#This Row],[شناسه]]))=3,IF(TArticle[[#This Row],[کد وضعیت سند]]=1,TArticle[مبلغ],0),0),0)</f>
        <v>0</v>
      </c>
      <c r="AE350" s="1">
        <f>IFERROR(IF(((TArticle[[#This Row],[شناسه]]))="4.1.1",IF(TArticle[[#This Row],[کد وضعیت سند]]=1,TArticle[مبلغ],0),0),0)</f>
        <v>0</v>
      </c>
      <c r="AF350" s="1">
        <f>IFERROR(IF(((TArticle[[#This Row],[شناسه]]))="4.1.2",IF(TArticle[[#This Row],[کد وضعیت سند]]=1,TArticle[مبلغ],0),0),0)</f>
        <v>0</v>
      </c>
      <c r="AG350" s="1">
        <f>IFERROR(IF(INT(LEFT(TArticle[[#This Row],[شناسه]]))=1,IF(TArticle[[#This Row],[کد وضعیت سند]]=1,TArticle[مبلغ],0),0),0)</f>
        <v>0</v>
      </c>
      <c r="AH350" s="1">
        <f>IFERROR(IF(INT(LEFT(TArticle[[#This Row],[شناسه]]))=2,IF(TArticle[[#This Row],[کد وضعیت سند]]=1,TArticle[مبلغ],0),0),0)</f>
        <v>0</v>
      </c>
      <c r="AI350" s="1">
        <f>IFERROR(IF((LEFT(TArticle[[#This Row],[شناسه]],3))="5.2",IF(TArticle[[#This Row],[کد وضعیت سند]]=1,TArticle[مبلغ],0),0),0)</f>
        <v>0</v>
      </c>
      <c r="AJ350" s="1">
        <f>IF(TArticle[[#This Row],[کد وضعیت سند]]=1,1,0)</f>
        <v>0</v>
      </c>
      <c r="AK350" s="1">
        <f>IF(AND(TArticle[[#This Row],[کد وضعیت سند]]&lt;&gt;1,TArticle[[#This Row],[مبلغ]]&lt;&gt;0),1,0)</f>
        <v>1</v>
      </c>
      <c r="AL350" s="78">
        <f>IF(TArticle[[#This Row],[کد بانک]]&gt;0,TArticle[[#This Row],[مانده بانک]]-VLOOKUP(TArticle[[#This Row],[کد بانک]],TBank[],7,FALSE),"")</f>
        <v>45487</v>
      </c>
      <c r="AM350" s="69" t="str">
        <f>LEFT(TArticle[[#This Row],[تاریخ]],7)</f>
        <v>1402-03</v>
      </c>
    </row>
    <row r="351" spans="1:39" x14ac:dyDescent="0.25">
      <c r="A351" s="24" t="s">
        <v>1608</v>
      </c>
      <c r="B351" s="49" t="str">
        <f>VLOOKUP(TArticle[[#This Row],[شناسه]],TAccount[],2,TRUE)</f>
        <v>بن کارت</v>
      </c>
      <c r="C351" s="49" t="str">
        <f>VLOOKUP(TArticle[[#This Row],[تاریخ]],TDays[],7,FALSE)</f>
        <v>دوشنبه</v>
      </c>
      <c r="D351" s="21" t="s">
        <v>618</v>
      </c>
      <c r="E351" s="1">
        <v>1700</v>
      </c>
      <c r="F351" s="1">
        <f>TArticle[[#This Row],[مبلغ]]+IFERROR(INT(F350),30181+3667+958)</f>
        <v>48035</v>
      </c>
      <c r="G351" s="49"/>
      <c r="H351" s="64"/>
      <c r="J351" s="65"/>
      <c r="K351" s="64">
        <v>2</v>
      </c>
      <c r="L351" s="171" t="str">
        <f>IF(TArticle[[#This Row],[کد وضعیت سند]]&gt;0,VLOOKUP(TArticle[[#This Row],[کد وضعیت سند]],TDocState[],2,FALSE),"")</f>
        <v>قطعی</v>
      </c>
      <c r="M351" s="67"/>
      <c r="N351" s="171" t="str">
        <f>IF(TArticle[[#This Row],[کد طرف حساب]]&gt;0,VLOOKUP(TArticle[[#This Row],[کد طرف حساب]],TContact[],2,FALSE),"")</f>
        <v/>
      </c>
      <c r="O351" s="68" t="str">
        <f>IF(TArticle[[#This Row],[کد طرف حساب]]&gt;0,VLOOKUP(TArticle[[#This Row],[کد طرف حساب]],TContact[],7,FALSE)-SUMIF($M$2:M351,M351,$E$2:$E351),"")</f>
        <v/>
      </c>
      <c r="P351" s="67" t="str">
        <f>RIGHT(TArticle[[#This Row],[تاریخ]],2)</f>
        <v>01</v>
      </c>
      <c r="Q351" s="67">
        <f>VLOOKUP(TArticle[[#This Row],[تاریخ]],TDays[],16,FALSE)</f>
        <v>10</v>
      </c>
      <c r="R351" s="67" t="str">
        <f>RIGHT(LEFT(TArticle[[#This Row],[تاریخ]],7),2)</f>
        <v>03</v>
      </c>
      <c r="S351" s="67" t="str">
        <f>LEFT(TArticle[[#This Row],[تاریخ]],4)</f>
        <v>1402</v>
      </c>
      <c r="T351" s="64"/>
      <c r="U351" s="64">
        <f>VLOOKUP(TArticle[[#This Row],[شناسه]],TAccount[],7,TRUE)</f>
        <v>3000</v>
      </c>
      <c r="V351" s="64"/>
      <c r="W351" s="64">
        <f>IF(AND(TArticle[[#This Row],[مبلغ]]&gt;0, TArticle[[#This Row],[کد وضعیت سند]]=1),TArticle[[#This Row],[مبلغ]],0)</f>
        <v>0</v>
      </c>
      <c r="X351" s="67">
        <f>IF(AND(TArticle[[#This Row],[مبلغ]]&lt;0,TArticle[[#This Row],[کد وضعیت سند]]=1),0-TArticle[[#This Row],[مبلغ]],0)</f>
        <v>0</v>
      </c>
      <c r="Y351" s="27">
        <v>2</v>
      </c>
      <c r="Z351" s="171" t="str">
        <f>IF(TArticle[[#This Row],[کد بانک]]&gt;0,VLOOKUP(TArticle[[#This Row],[کد بانک]],TBank[],2,FALSE),"")</f>
        <v>ملی جاری</v>
      </c>
      <c r="AA351">
        <f>IF(AND(TArticle[[#This Row],[مبلغ]]&lt;0,TArticle[[#This Row],[کد وضعیت سند]]=1),0-TArticle[[#This Row],[مبلغ]],0)</f>
        <v>0</v>
      </c>
      <c r="AB351">
        <f>IF(AND(TArticle[[#This Row],[مبلغ]]&gt;0, TArticle[[#This Row],[کد وضعیت سند]]=1),TArticle[[#This Row],[مبلغ]],0)</f>
        <v>0</v>
      </c>
      <c r="AC351" s="93">
        <f>IF(TArticle[[#This Row],[کد بانک]]&gt;0,VLOOKUP(TArticle[[#This Row],[کد بانک]],TBank[],9,FALSE)+SUMIF($Y$2:Y351,Y351,$E$2:$E351),"")</f>
        <v>47187</v>
      </c>
      <c r="AD351" s="1">
        <f>IFERROR(IF(INT(LEFT(TArticle[[#This Row],[شناسه]]))=3,IF(TArticle[[#This Row],[کد وضعیت سند]]=1,TArticle[مبلغ],0),0),0)</f>
        <v>0</v>
      </c>
      <c r="AE351" s="1">
        <f>IFERROR(IF(((TArticle[[#This Row],[شناسه]]))="4.1.1",IF(TArticle[[#This Row],[کد وضعیت سند]]=1,TArticle[مبلغ],0),0),0)</f>
        <v>0</v>
      </c>
      <c r="AF351" s="1">
        <f>IFERROR(IF(((TArticle[[#This Row],[شناسه]]))="4.1.2",IF(TArticle[[#This Row],[کد وضعیت سند]]=1,TArticle[مبلغ],0),0),0)</f>
        <v>0</v>
      </c>
      <c r="AG351" s="1">
        <f>IFERROR(IF(INT(LEFT(TArticle[[#This Row],[شناسه]]))=1,IF(TArticle[[#This Row],[کد وضعیت سند]]=1,TArticle[مبلغ],0),0),0)</f>
        <v>0</v>
      </c>
      <c r="AH351" s="1">
        <f>IFERROR(IF(INT(LEFT(TArticle[[#This Row],[شناسه]]))=2,IF(TArticle[[#This Row],[کد وضعیت سند]]=1,TArticle[مبلغ],0),0),0)</f>
        <v>0</v>
      </c>
      <c r="AI351" s="1">
        <f>IFERROR(IF((LEFT(TArticle[[#This Row],[شناسه]],3))="5.2",IF(TArticle[[#This Row],[کد وضعیت سند]]=1,TArticle[مبلغ],0),0),0)</f>
        <v>0</v>
      </c>
      <c r="AJ351" s="1">
        <f>IF(TArticle[[#This Row],[کد وضعیت سند]]=1,1,0)</f>
        <v>0</v>
      </c>
      <c r="AK351" s="1">
        <f>IF(AND(TArticle[[#This Row],[کد وضعیت سند]]&lt;&gt;1,TArticle[[#This Row],[مبلغ]]&lt;&gt;0),1,0)</f>
        <v>1</v>
      </c>
      <c r="AL351" s="78">
        <f>IF(TArticle[[#This Row],[کد بانک]]&gt;0,TArticle[[#This Row],[مانده بانک]]-VLOOKUP(TArticle[[#This Row],[کد بانک]],TBank[],7,FALSE),"")</f>
        <v>47187</v>
      </c>
      <c r="AM351" s="69" t="str">
        <f>LEFT(TArticle[[#This Row],[تاریخ]],7)</f>
        <v>1402-03</v>
      </c>
    </row>
    <row r="352" spans="1:39" x14ac:dyDescent="0.25">
      <c r="A352" s="36"/>
      <c r="B352" s="49" t="str">
        <f>VLOOKUP(TArticle[[#This Row],[شناسه]],TAccount[],2,TRUE)</f>
        <v>---</v>
      </c>
      <c r="C352" s="49" t="str">
        <f>VLOOKUP(TArticle[[#This Row],[تاریخ]],TDays[],7,FALSE)</f>
        <v>سه شنبه</v>
      </c>
      <c r="D352" s="21" t="s">
        <v>619</v>
      </c>
      <c r="F352" s="1">
        <f>TArticle[[#This Row],[مبلغ]]+IFERROR(INT(F351),30181+3667+958)</f>
        <v>48035</v>
      </c>
      <c r="G352" s="49"/>
      <c r="H352" s="37"/>
      <c r="J352" s="38"/>
      <c r="K352" s="37">
        <v>2</v>
      </c>
      <c r="L352" s="171" t="str">
        <f>IF(TArticle[[#This Row],[کد وضعیت سند]]&gt;0,VLOOKUP(TArticle[[#This Row],[کد وضعیت سند]],TDocState[],2,FALSE),"")</f>
        <v>قطعی</v>
      </c>
      <c r="M352" s="39"/>
      <c r="N352" s="171" t="str">
        <f>IF(TArticle[[#This Row],[کد طرف حساب]]&gt;0,VLOOKUP(TArticle[[#This Row],[کد طرف حساب]],TContact[],2,FALSE),"")</f>
        <v/>
      </c>
      <c r="O352" s="60" t="str">
        <f>IF(TArticle[[#This Row],[کد طرف حساب]]&gt;0,VLOOKUP(TArticle[[#This Row],[کد طرف حساب]],TContact[],7,FALSE)-SUMIF($M$2:M352,M352,$E$2:$E352),"")</f>
        <v/>
      </c>
      <c r="P352" s="39" t="str">
        <f>RIGHT(TArticle[[#This Row],[تاریخ]],2)</f>
        <v>02</v>
      </c>
      <c r="Q352" s="39">
        <f>VLOOKUP(TArticle[[#This Row],[تاریخ]],TDays[],16,FALSE)</f>
        <v>10</v>
      </c>
      <c r="R352" s="39" t="str">
        <f>RIGHT(LEFT(TArticle[[#This Row],[تاریخ]],7),2)</f>
        <v>03</v>
      </c>
      <c r="S352" s="39" t="str">
        <f>LEFT(TArticle[[#This Row],[تاریخ]],4)</f>
        <v>1402</v>
      </c>
      <c r="T352" s="37"/>
      <c r="U352" s="37">
        <f>VLOOKUP(TArticle[[#This Row],[شناسه]],TAccount[],7,TRUE)</f>
        <v>0</v>
      </c>
      <c r="V352" s="37"/>
      <c r="W352" s="37">
        <f>IF(AND(TArticle[[#This Row],[مبلغ]]&gt;0, TArticle[[#This Row],[کد وضعیت سند]]=1),TArticle[[#This Row],[مبلغ]],0)</f>
        <v>0</v>
      </c>
      <c r="X352" s="39">
        <f>IF(AND(TArticle[[#This Row],[مبلغ]]&lt;0,TArticle[[#This Row],[کد وضعیت سند]]=1),0-TArticle[[#This Row],[مبلغ]],0)</f>
        <v>0</v>
      </c>
      <c r="Y352" s="39">
        <v>2</v>
      </c>
      <c r="Z352" s="171" t="str">
        <f>IF(TArticle[[#This Row],[کد بانک]]&gt;0,VLOOKUP(TArticle[[#This Row],[کد بانک]],TBank[],2,FALSE),"")</f>
        <v>ملی جاری</v>
      </c>
      <c r="AA352">
        <f>IF(AND(TArticle[[#This Row],[مبلغ]]&lt;0,TArticle[[#This Row],[کد وضعیت سند]]=1),0-TArticle[[#This Row],[مبلغ]],0)</f>
        <v>0</v>
      </c>
      <c r="AB352">
        <f>IF(AND(TArticle[[#This Row],[مبلغ]]&gt;0, TArticle[[#This Row],[کد وضعیت سند]]=1),TArticle[[#This Row],[مبلغ]],0)</f>
        <v>0</v>
      </c>
      <c r="AC352" s="95">
        <f>IF(TArticle[[#This Row],[کد بانک]]&gt;0,VLOOKUP(TArticle[[#This Row],[کد بانک]],TBank[],9,FALSE)+SUMIF($Y$2:Y352,Y352,$E$2:$E352),"")</f>
        <v>47187</v>
      </c>
      <c r="AD352" s="1">
        <f>IFERROR(IF(INT(LEFT(TArticle[[#This Row],[شناسه]]))=3,IF(TArticle[[#This Row],[کد وضعیت سند]]=1,TArticle[مبلغ],0),0),0)</f>
        <v>0</v>
      </c>
      <c r="AE352" s="1">
        <f>IFERROR(IF(((TArticle[[#This Row],[شناسه]]))="4.1.1",IF(TArticle[[#This Row],[کد وضعیت سند]]=1,TArticle[مبلغ],0),0),0)</f>
        <v>0</v>
      </c>
      <c r="AF352" s="1">
        <f>IFERROR(IF(((TArticle[[#This Row],[شناسه]]))="4.1.2",IF(TArticle[[#This Row],[کد وضعیت سند]]=1,TArticle[مبلغ],0),0),0)</f>
        <v>0</v>
      </c>
      <c r="AG352" s="1">
        <f>IFERROR(IF(INT(LEFT(TArticle[[#This Row],[شناسه]]))=1,IF(TArticle[[#This Row],[کد وضعیت سند]]=1,TArticle[مبلغ],0),0),0)</f>
        <v>0</v>
      </c>
      <c r="AH352" s="1">
        <f>IFERROR(IF(INT(LEFT(TArticle[[#This Row],[شناسه]]))=2,IF(TArticle[[#This Row],[کد وضعیت سند]]=1,TArticle[مبلغ],0),0),0)</f>
        <v>0</v>
      </c>
      <c r="AI352" s="1">
        <f>IFERROR(IF((LEFT(TArticle[[#This Row],[شناسه]],3))="5.2",IF(TArticle[[#This Row],[کد وضعیت سند]]=1,TArticle[مبلغ],0),0),0)</f>
        <v>0</v>
      </c>
      <c r="AJ352" s="1">
        <f>IF(TArticle[[#This Row],[کد وضعیت سند]]=1,1,0)</f>
        <v>0</v>
      </c>
      <c r="AK352" s="1">
        <f>IF(AND(TArticle[[#This Row],[کد وضعیت سند]]&lt;&gt;1,TArticle[[#This Row],[مبلغ]]&lt;&gt;0),1,0)</f>
        <v>0</v>
      </c>
      <c r="AL352" s="51">
        <f>IF(TArticle[[#This Row],[کد بانک]]&gt;0,TArticle[[#This Row],[مانده بانک]]-VLOOKUP(TArticle[[#This Row],[کد بانک]],TBank[],7,FALSE),"")</f>
        <v>47187</v>
      </c>
      <c r="AM352" s="58" t="str">
        <f>LEFT(TArticle[[#This Row],[تاریخ]],7)</f>
        <v>1402-03</v>
      </c>
    </row>
    <row r="353" spans="1:39" x14ac:dyDescent="0.25">
      <c r="A353" s="24" t="s">
        <v>1110</v>
      </c>
      <c r="B353" s="49" t="str">
        <f>VLOOKUP(TArticle[[#This Row],[شناسه]],TAccount[],2,TRUE)</f>
        <v>قسط وام بانکی</v>
      </c>
      <c r="C353" s="49" t="str">
        <f>VLOOKUP(TArticle[[#This Row],[تاریخ]],TDays[],7,FALSE)</f>
        <v>چهارشنبه</v>
      </c>
      <c r="D353" s="21" t="s">
        <v>620</v>
      </c>
      <c r="E353" s="1">
        <v>-1830</v>
      </c>
      <c r="F353" s="1">
        <f>TArticle[[#This Row],[مبلغ]]+IFERROR(INT(F352),30181+3667+958)</f>
        <v>46205</v>
      </c>
      <c r="G353" s="49" t="s">
        <v>1591</v>
      </c>
      <c r="H353" s="21">
        <v>24</v>
      </c>
      <c r="K353" s="21">
        <v>2</v>
      </c>
      <c r="L353" s="171" t="str">
        <f>IF(TArticle[[#This Row],[کد وضعیت سند]]&gt;0,VLOOKUP(TArticle[[#This Row],[کد وضعیت سند]],TDocState[],2,FALSE),"")</f>
        <v>قطعی</v>
      </c>
      <c r="M353" s="27">
        <v>110</v>
      </c>
      <c r="N353" s="171" t="str">
        <f>IF(TArticle[[#This Row],[کد طرف حساب]]&gt;0,VLOOKUP(TArticle[[#This Row],[کد طرف حساب]],TContact[],2,FALSE),"")</f>
        <v>وام ملت</v>
      </c>
      <c r="O353" s="61">
        <f>IF(TArticle[[#This Row],[کد طرف حساب]]&gt;0,VLOOKUP(TArticle[[#This Row],[کد طرف حساب]],TContact[],7,FALSE)-SUMIF($M$2:M353,M353,$E$2:$E353),"")</f>
        <v>-20720</v>
      </c>
      <c r="P353" s="27" t="str">
        <f>RIGHT(TArticle[[#This Row],[تاریخ]],2)</f>
        <v>03</v>
      </c>
      <c r="Q353" s="27">
        <f>VLOOKUP(TArticle[[#This Row],[تاریخ]],TDays[],16,FALSE)</f>
        <v>10</v>
      </c>
      <c r="R353" s="27" t="str">
        <f>RIGHT(LEFT(TArticle[[#This Row],[تاریخ]],7),2)</f>
        <v>03</v>
      </c>
      <c r="S353" s="27" t="str">
        <f>LEFT(TArticle[[#This Row],[تاریخ]],4)</f>
        <v>1402</v>
      </c>
      <c r="U353" s="21">
        <f>VLOOKUP(TArticle[[#This Row],[شناسه]],TAccount[],7,TRUE)</f>
        <v>81652</v>
      </c>
      <c r="V353" s="21" t="s">
        <v>620</v>
      </c>
      <c r="W353" s="21">
        <f>IF(AND(TArticle[[#This Row],[مبلغ]]&gt;0, TArticle[[#This Row],[کد وضعیت سند]]=1),TArticle[[#This Row],[مبلغ]],0)</f>
        <v>0</v>
      </c>
      <c r="X353" s="27">
        <f>IF(AND(TArticle[[#This Row],[مبلغ]]&lt;0,TArticle[[#This Row],[کد وضعیت سند]]=1),0-TArticle[[#This Row],[مبلغ]],0)</f>
        <v>0</v>
      </c>
      <c r="Y353" s="27">
        <v>2</v>
      </c>
      <c r="Z353" s="171" t="str">
        <f>IF(TArticle[[#This Row],[کد بانک]]&gt;0,VLOOKUP(TArticle[[#This Row],[کد بانک]],TBank[],2,FALSE),"")</f>
        <v>ملی جاری</v>
      </c>
      <c r="AA353">
        <f>IF(AND(TArticle[[#This Row],[مبلغ]]&lt;0,TArticle[[#This Row],[کد وضعیت سند]]=1),0-TArticle[[#This Row],[مبلغ]],0)</f>
        <v>0</v>
      </c>
      <c r="AB353">
        <f>IF(AND(TArticle[[#This Row],[مبلغ]]&gt;0, TArticle[[#This Row],[کد وضعیت سند]]=1),TArticle[[#This Row],[مبلغ]],0)</f>
        <v>0</v>
      </c>
      <c r="AC353" s="84">
        <f>IF(TArticle[[#This Row],[کد بانک]]&gt;0,VLOOKUP(TArticle[[#This Row],[کد بانک]],TBank[],9,FALSE)+SUMIF($Y$2:Y353,Y353,$E$2:$E353),"")</f>
        <v>45357</v>
      </c>
      <c r="AD353" s="1">
        <f>IFERROR(IF(INT(LEFT(TArticle[[#This Row],[شناسه]]))=3,IF(TArticle[[#This Row],[کد وضعیت سند]]=1,TArticle[مبلغ],0),0),0)</f>
        <v>0</v>
      </c>
      <c r="AE353" s="1">
        <f>IFERROR(IF(((TArticle[[#This Row],[شناسه]]))="4.1.1",IF(TArticle[[#This Row],[کد وضعیت سند]]=1,TArticle[مبلغ],0),0),0)</f>
        <v>0</v>
      </c>
      <c r="AF353" s="1">
        <f>IFERROR(IF(((TArticle[[#This Row],[شناسه]]))="4.1.2",IF(TArticle[[#This Row],[کد وضعیت سند]]=1,TArticle[مبلغ],0),0),0)</f>
        <v>0</v>
      </c>
      <c r="AG353" s="1">
        <f>IFERROR(IF(INT(LEFT(TArticle[[#This Row],[شناسه]]))=1,IF(TArticle[[#This Row],[کد وضعیت سند]]=1,TArticle[مبلغ],0),0),0)</f>
        <v>0</v>
      </c>
      <c r="AH353" s="1">
        <f>IFERROR(IF(INT(LEFT(TArticle[[#This Row],[شناسه]]))=2,IF(TArticle[[#This Row],[کد وضعیت سند]]=1,TArticle[مبلغ],0),0),0)</f>
        <v>0</v>
      </c>
      <c r="AI353" s="1">
        <f>IFERROR(IF((LEFT(TArticle[[#This Row],[شناسه]],3))="5.2",IF(TArticle[[#This Row],[کد وضعیت سند]]=1,TArticle[مبلغ],0),0),0)</f>
        <v>0</v>
      </c>
      <c r="AJ353" s="1">
        <f>IF(TArticle[[#This Row],[کد وضعیت سند]]=1,1,0)</f>
        <v>0</v>
      </c>
      <c r="AK353" s="1">
        <f>IF(AND(TArticle[[#This Row],[کد وضعیت سند]]&lt;&gt;1,TArticle[[#This Row],[مبلغ]]&lt;&gt;0),1,0)</f>
        <v>1</v>
      </c>
      <c r="AL353" s="51">
        <f>IF(TArticle[[#This Row],[کد بانک]]&gt;0,TArticle[[#This Row],[مانده بانک]]-VLOOKUP(TArticle[[#This Row],[کد بانک]],TBank[],7,FALSE),"")</f>
        <v>45357</v>
      </c>
      <c r="AM353" s="49" t="str">
        <f>LEFT(TArticle[[#This Row],[تاریخ]],7)</f>
        <v>1402-03</v>
      </c>
    </row>
    <row r="354" spans="1:39" x14ac:dyDescent="0.25">
      <c r="A354" s="24" t="s">
        <v>1110</v>
      </c>
      <c r="B354" s="49" t="str">
        <f>VLOOKUP(TArticle[[#This Row],[شناسه]],TAccount[],2,TRUE)</f>
        <v>قسط وام بانکی</v>
      </c>
      <c r="C354" s="49" t="str">
        <f>VLOOKUP(TArticle[[#This Row],[تاریخ]],TDays[],7,FALSE)</f>
        <v>چهارشنبه</v>
      </c>
      <c r="D354" s="21" t="s">
        <v>620</v>
      </c>
      <c r="E354" s="1">
        <v>-1830</v>
      </c>
      <c r="F354" s="1">
        <f>TArticle[[#This Row],[مبلغ]]+IFERROR(INT(F353),30181+3667+958)</f>
        <v>44375</v>
      </c>
      <c r="G354" s="49" t="s">
        <v>1591</v>
      </c>
      <c r="H354" s="21">
        <v>24</v>
      </c>
      <c r="K354" s="21">
        <v>2</v>
      </c>
      <c r="L354" s="171" t="str">
        <f>IF(TArticle[[#This Row],[کد وضعیت سند]]&gt;0,VLOOKUP(TArticle[[#This Row],[کد وضعیت سند]],TDocState[],2,FALSE),"")</f>
        <v>قطعی</v>
      </c>
      <c r="M354" s="27">
        <v>111</v>
      </c>
      <c r="N354" s="171" t="str">
        <f>IF(TArticle[[#This Row],[کد طرف حساب]]&gt;0,VLOOKUP(TArticle[[#This Row],[کد طرف حساب]],TContact[],2,FALSE),"")</f>
        <v>وام ملت ف</v>
      </c>
      <c r="O354" s="61">
        <f>IF(TArticle[[#This Row],[کد طرف حساب]]&gt;0,VLOOKUP(TArticle[[#This Row],[کد طرف حساب]],TContact[],7,FALSE)-SUMIF($M$2:M354,M354,$E$2:$E354),"")</f>
        <v>-20720</v>
      </c>
      <c r="P354" s="27" t="str">
        <f>RIGHT(TArticle[[#This Row],[تاریخ]],2)</f>
        <v>03</v>
      </c>
      <c r="Q354" s="27">
        <f>VLOOKUP(TArticle[[#This Row],[تاریخ]],TDays[],16,FALSE)</f>
        <v>10</v>
      </c>
      <c r="R354" s="27" t="str">
        <f>RIGHT(LEFT(TArticle[[#This Row],[تاریخ]],7),2)</f>
        <v>03</v>
      </c>
      <c r="S354" s="27" t="str">
        <f>LEFT(TArticle[[#This Row],[تاریخ]],4)</f>
        <v>1402</v>
      </c>
      <c r="U354" s="21">
        <f>VLOOKUP(TArticle[[#This Row],[شناسه]],TAccount[],7,TRUE)</f>
        <v>81652</v>
      </c>
      <c r="V354" s="21" t="s">
        <v>620</v>
      </c>
      <c r="W354" s="21">
        <f>IF(AND(TArticle[[#This Row],[مبلغ]]&gt;0, TArticle[[#This Row],[کد وضعیت سند]]=1),TArticle[[#This Row],[مبلغ]],0)</f>
        <v>0</v>
      </c>
      <c r="X354" s="27">
        <f>IF(AND(TArticle[[#This Row],[مبلغ]]&lt;0,TArticle[[#This Row],[کد وضعیت سند]]=1),0-TArticle[[#This Row],[مبلغ]],0)</f>
        <v>0</v>
      </c>
      <c r="Y354" s="27">
        <v>2</v>
      </c>
      <c r="Z354" s="171" t="str">
        <f>IF(TArticle[[#This Row],[کد بانک]]&gt;0,VLOOKUP(TArticle[[#This Row],[کد بانک]],TBank[],2,FALSE),"")</f>
        <v>ملی جاری</v>
      </c>
      <c r="AA354">
        <f>IF(AND(TArticle[[#This Row],[مبلغ]]&lt;0,TArticle[[#This Row],[کد وضعیت سند]]=1),0-TArticle[[#This Row],[مبلغ]],0)</f>
        <v>0</v>
      </c>
      <c r="AB354">
        <f>IF(AND(TArticle[[#This Row],[مبلغ]]&gt;0, TArticle[[#This Row],[کد وضعیت سند]]=1),TArticle[[#This Row],[مبلغ]],0)</f>
        <v>0</v>
      </c>
      <c r="AC354" s="84">
        <f>IF(TArticle[[#This Row],[کد بانک]]&gt;0,VLOOKUP(TArticle[[#This Row],[کد بانک]],TBank[],9,FALSE)+SUMIF($Y$2:Y354,Y354,$E$2:$E354),"")</f>
        <v>43527</v>
      </c>
      <c r="AD354" s="1">
        <f>IFERROR(IF(INT(LEFT(TArticle[[#This Row],[شناسه]]))=3,IF(TArticle[[#This Row],[کد وضعیت سند]]=1,TArticle[مبلغ],0),0),0)</f>
        <v>0</v>
      </c>
      <c r="AE354" s="1">
        <f>IFERROR(IF(((TArticle[[#This Row],[شناسه]]))="4.1.1",IF(TArticle[[#This Row],[کد وضعیت سند]]=1,TArticle[مبلغ],0),0),0)</f>
        <v>0</v>
      </c>
      <c r="AF354" s="1">
        <f>IFERROR(IF(((TArticle[[#This Row],[شناسه]]))="4.1.2",IF(TArticle[[#This Row],[کد وضعیت سند]]=1,TArticle[مبلغ],0),0),0)</f>
        <v>0</v>
      </c>
      <c r="AG354" s="1">
        <f>IFERROR(IF(INT(LEFT(TArticle[[#This Row],[شناسه]]))=1,IF(TArticle[[#This Row],[کد وضعیت سند]]=1,TArticle[مبلغ],0),0),0)</f>
        <v>0</v>
      </c>
      <c r="AH354" s="1">
        <f>IFERROR(IF(INT(LEFT(TArticle[[#This Row],[شناسه]]))=2,IF(TArticle[[#This Row],[کد وضعیت سند]]=1,TArticle[مبلغ],0),0),0)</f>
        <v>0</v>
      </c>
      <c r="AI354" s="1">
        <f>IFERROR(IF((LEFT(TArticle[[#This Row],[شناسه]],3))="5.2",IF(TArticle[[#This Row],[کد وضعیت سند]]=1,TArticle[مبلغ],0),0),0)</f>
        <v>0</v>
      </c>
      <c r="AJ354" s="1">
        <f>IF(TArticle[[#This Row],[کد وضعیت سند]]=1,1,0)</f>
        <v>0</v>
      </c>
      <c r="AK354" s="1">
        <f>IF(AND(TArticle[[#This Row],[کد وضعیت سند]]&lt;&gt;1,TArticle[[#This Row],[مبلغ]]&lt;&gt;0),1,0)</f>
        <v>1</v>
      </c>
      <c r="AL354" s="51">
        <f>IF(TArticle[[#This Row],[کد بانک]]&gt;0,TArticle[[#This Row],[مانده بانک]]-VLOOKUP(TArticle[[#This Row],[کد بانک]],TBank[],7,FALSE),"")</f>
        <v>43527</v>
      </c>
      <c r="AM354" s="49" t="str">
        <f>LEFT(TArticle[[#This Row],[تاریخ]],7)</f>
        <v>1402-03</v>
      </c>
    </row>
    <row r="355" spans="1:39" x14ac:dyDescent="0.25">
      <c r="A355" s="24" t="s">
        <v>1110</v>
      </c>
      <c r="B355" s="49" t="str">
        <f>VLOOKUP(TArticle[[#This Row],[شناسه]],TAccount[],2,TRUE)</f>
        <v>قسط وام بانکی</v>
      </c>
      <c r="C355" s="49" t="str">
        <f>VLOOKUP(TArticle[[#This Row],[تاریخ]],TDays[],7,FALSE)</f>
        <v>پنجشنبه</v>
      </c>
      <c r="D355" s="21" t="s">
        <v>621</v>
      </c>
      <c r="E355" s="1">
        <v>-532</v>
      </c>
      <c r="F355" s="1">
        <f>TArticle[[#This Row],[مبلغ]]+IFERROR(INT(F354),30181+3667+958)</f>
        <v>43843</v>
      </c>
      <c r="G355" s="49"/>
      <c r="H355" s="21">
        <v>3</v>
      </c>
      <c r="J355" s="65"/>
      <c r="K355" s="64">
        <v>2</v>
      </c>
      <c r="L355" s="171" t="str">
        <f>IF(TArticle[[#This Row],[کد وضعیت سند]]&gt;0,VLOOKUP(TArticle[[#This Row],[کد وضعیت سند]],TDocState[],2,FALSE),"")</f>
        <v>قطعی</v>
      </c>
      <c r="M355" s="67">
        <v>116</v>
      </c>
      <c r="N355" s="171" t="str">
        <f>IF(TArticle[[#This Row],[کد طرف حساب]]&gt;0,VLOOKUP(TArticle[[#This Row],[کد طرف حساب]],TContact[],2,FALSE),"")</f>
        <v>وام امتیازی مهر</v>
      </c>
      <c r="O355" s="68">
        <f>IF(TArticle[[#This Row],[کد طرف حساب]]&gt;0,VLOOKUP(TArticle[[#This Row],[کد طرف حساب]],TContact[],7,FALSE)-SUMIF($M$2:M355,M355,$E$2:$E355),"")</f>
        <v>-10636</v>
      </c>
      <c r="P355" s="67" t="str">
        <f>RIGHT(TArticle[[#This Row],[تاریخ]],2)</f>
        <v>04</v>
      </c>
      <c r="Q355" s="67">
        <f>VLOOKUP(TArticle[[#This Row],[تاریخ]],TDays[],16,FALSE)</f>
        <v>10</v>
      </c>
      <c r="R355" s="67" t="str">
        <f>RIGHT(LEFT(TArticle[[#This Row],[تاریخ]],7),2)</f>
        <v>03</v>
      </c>
      <c r="S355" s="67" t="str">
        <f>LEFT(TArticle[[#This Row],[تاریخ]],4)</f>
        <v>1402</v>
      </c>
      <c r="T355" s="64"/>
      <c r="U355" s="64">
        <f>VLOOKUP(TArticle[[#This Row],[شناسه]],TAccount[],7,TRUE)</f>
        <v>81652</v>
      </c>
      <c r="V355" s="64"/>
      <c r="W355" s="64">
        <f>IF(AND(TArticle[[#This Row],[مبلغ]]&gt;0, TArticle[[#This Row],[کد وضعیت سند]]=1),TArticle[[#This Row],[مبلغ]],0)</f>
        <v>0</v>
      </c>
      <c r="X355" s="67">
        <f>IF(AND(TArticle[[#This Row],[مبلغ]]&lt;0,TArticle[[#This Row],[کد وضعیت سند]]=1),0-TArticle[[#This Row],[مبلغ]],0)</f>
        <v>0</v>
      </c>
      <c r="Y355" s="27">
        <v>2</v>
      </c>
      <c r="Z355" s="171" t="str">
        <f>IF(TArticle[[#This Row],[کد بانک]]&gt;0,VLOOKUP(TArticle[[#This Row],[کد بانک]],TBank[],2,FALSE),"")</f>
        <v>ملی جاری</v>
      </c>
      <c r="AA355">
        <f>IF(AND(TArticle[[#This Row],[مبلغ]]&lt;0,TArticle[[#This Row],[کد وضعیت سند]]=1),0-TArticle[[#This Row],[مبلغ]],0)</f>
        <v>0</v>
      </c>
      <c r="AB355">
        <f>IF(AND(TArticle[[#This Row],[مبلغ]]&gt;0, TArticle[[#This Row],[کد وضعیت سند]]=1),TArticle[[#This Row],[مبلغ]],0)</f>
        <v>0</v>
      </c>
      <c r="AC355" s="93">
        <f>IF(TArticle[[#This Row],[کد بانک]]&gt;0,VLOOKUP(TArticle[[#This Row],[کد بانک]],TBank[],9,FALSE)+SUMIF($Y$2:Y355,Y355,$E$2:$E355),"")</f>
        <v>42995</v>
      </c>
      <c r="AD355" s="1">
        <f>IFERROR(IF(INT(LEFT(TArticle[[#This Row],[شناسه]]))=3,IF(TArticle[[#This Row],[کد وضعیت سند]]=1,TArticle[مبلغ],0),0),0)</f>
        <v>0</v>
      </c>
      <c r="AE355" s="1">
        <f>IFERROR(IF(((TArticle[[#This Row],[شناسه]]))="4.1.1",IF(TArticle[[#This Row],[کد وضعیت سند]]=1,TArticle[مبلغ],0),0),0)</f>
        <v>0</v>
      </c>
      <c r="AF355" s="1">
        <f>IFERROR(IF(((TArticle[[#This Row],[شناسه]]))="4.1.2",IF(TArticle[[#This Row],[کد وضعیت سند]]=1,TArticle[مبلغ],0),0),0)</f>
        <v>0</v>
      </c>
      <c r="AG355" s="1">
        <f>IFERROR(IF(INT(LEFT(TArticle[[#This Row],[شناسه]]))=1,IF(TArticle[[#This Row],[کد وضعیت سند]]=1,TArticle[مبلغ],0),0),0)</f>
        <v>0</v>
      </c>
      <c r="AH355" s="1">
        <f>IFERROR(IF(INT(LEFT(TArticle[[#This Row],[شناسه]]))=2,IF(TArticle[[#This Row],[کد وضعیت سند]]=1,TArticle[مبلغ],0),0),0)</f>
        <v>0</v>
      </c>
      <c r="AI355" s="1">
        <f>IFERROR(IF((LEFT(TArticle[[#This Row],[شناسه]],3))="5.2",IF(TArticle[[#This Row],[کد وضعیت سند]]=1,TArticle[مبلغ],0),0),0)</f>
        <v>0</v>
      </c>
      <c r="AJ355" s="1">
        <f>IF(TArticle[[#This Row],[کد وضعیت سند]]=1,1,0)</f>
        <v>0</v>
      </c>
      <c r="AK355" s="1">
        <f>IF(AND(TArticle[[#This Row],[کد وضعیت سند]]&lt;&gt;1,TArticle[[#This Row],[مبلغ]]&lt;&gt;0),1,0)</f>
        <v>1</v>
      </c>
      <c r="AL355" s="78">
        <f>IF(TArticle[[#This Row],[کد بانک]]&gt;0,TArticle[[#This Row],[مانده بانک]]-VLOOKUP(TArticle[[#This Row],[کد بانک]],TBank[],7,FALSE),"")</f>
        <v>42995</v>
      </c>
      <c r="AM355" s="69" t="str">
        <f>LEFT(TArticle[[#This Row],[تاریخ]],7)</f>
        <v>1402-03</v>
      </c>
    </row>
    <row r="356" spans="1:39" x14ac:dyDescent="0.25">
      <c r="A356" s="24" t="s">
        <v>78</v>
      </c>
      <c r="B356" s="49" t="str">
        <f>VLOOKUP(TArticle[[#This Row],[شناسه]],TAccount[],2,TRUE)</f>
        <v>چک</v>
      </c>
      <c r="C356" s="49" t="str">
        <f>VLOOKUP(TArticle[[#This Row],[تاریخ]],TDays[],7,FALSE)</f>
        <v>جمعه</v>
      </c>
      <c r="D356" s="21" t="s">
        <v>622</v>
      </c>
      <c r="E356" s="1">
        <v>-5000</v>
      </c>
      <c r="F356" s="1">
        <f>TArticle[[#This Row],[مبلغ]]+IFERROR(INT(F355),30181+3667+958)</f>
        <v>38843</v>
      </c>
      <c r="G356" s="49" t="s">
        <v>53</v>
      </c>
      <c r="H356" s="49">
        <v>131260</v>
      </c>
      <c r="J356" s="65"/>
      <c r="K356" s="64">
        <v>2</v>
      </c>
      <c r="L356" s="171" t="str">
        <f>IF(TArticle[[#This Row],[کد وضعیت سند]]&gt;0,VLOOKUP(TArticle[[#This Row],[کد وضعیت سند]],TDocState[],2,FALSE),"")</f>
        <v>قطعی</v>
      </c>
      <c r="M356" s="67"/>
      <c r="N356" s="171" t="str">
        <f>IF(TArticle[[#This Row],[کد طرف حساب]]&gt;0,VLOOKUP(TArticle[[#This Row],[کد طرف حساب]],TContact[],2,FALSE),"")</f>
        <v/>
      </c>
      <c r="O356" s="68" t="str">
        <f>IF(TArticle[[#This Row],[کد طرف حساب]]&gt;0,VLOOKUP(TArticle[[#This Row],[کد طرف حساب]],TContact[],7,FALSE)-SUMIF($M$2:M356,M356,$E$2:$E356),"")</f>
        <v/>
      </c>
      <c r="P356" s="67" t="str">
        <f>RIGHT(TArticle[[#This Row],[تاریخ]],2)</f>
        <v>05</v>
      </c>
      <c r="Q356" s="67">
        <f>VLOOKUP(TArticle[[#This Row],[تاریخ]],TDays[],16,FALSE)</f>
        <v>10</v>
      </c>
      <c r="R356" s="67" t="str">
        <f>RIGHT(LEFT(TArticle[[#This Row],[تاریخ]],7),2)</f>
        <v>03</v>
      </c>
      <c r="S356" s="67" t="str">
        <f>LEFT(TArticle[[#This Row],[تاریخ]],4)</f>
        <v>1402</v>
      </c>
      <c r="T356" s="64"/>
      <c r="U356" s="64">
        <f>VLOOKUP(TArticle[[#This Row],[شناسه]],TAccount[],7,TRUE)</f>
        <v>57000</v>
      </c>
      <c r="V356" s="64"/>
      <c r="W356" s="64">
        <f>IF(AND(TArticle[[#This Row],[مبلغ]]&gt;0, TArticle[[#This Row],[کد وضعیت سند]]=1),TArticle[[#This Row],[مبلغ]],0)</f>
        <v>0</v>
      </c>
      <c r="X356" s="67">
        <f>IF(AND(TArticle[[#This Row],[مبلغ]]&lt;0,TArticle[[#This Row],[کد وضعیت سند]]=1),0-TArticle[[#This Row],[مبلغ]],0)</f>
        <v>0</v>
      </c>
      <c r="Y356" s="27">
        <v>2</v>
      </c>
      <c r="Z356" s="171" t="str">
        <f>IF(TArticle[[#This Row],[کد بانک]]&gt;0,VLOOKUP(TArticle[[#This Row],[کد بانک]],TBank[],2,FALSE),"")</f>
        <v>ملی جاری</v>
      </c>
      <c r="AA356">
        <f>IF(AND(TArticle[[#This Row],[مبلغ]]&lt;0,TArticle[[#This Row],[کد وضعیت سند]]=1),0-TArticle[[#This Row],[مبلغ]],0)</f>
        <v>0</v>
      </c>
      <c r="AB356">
        <f>IF(AND(TArticle[[#This Row],[مبلغ]]&gt;0, TArticle[[#This Row],[کد وضعیت سند]]=1),TArticle[[#This Row],[مبلغ]],0)</f>
        <v>0</v>
      </c>
      <c r="AC356" s="93">
        <f>IF(TArticle[[#This Row],[کد بانک]]&gt;0,VLOOKUP(TArticle[[#This Row],[کد بانک]],TBank[],9,FALSE)+SUMIF($Y$2:Y356,Y356,$E$2:$E356),"")</f>
        <v>37995</v>
      </c>
      <c r="AD356" s="1">
        <f>IFERROR(IF(INT(LEFT(TArticle[[#This Row],[شناسه]]))=3,IF(TArticle[[#This Row],[کد وضعیت سند]]=1,TArticle[مبلغ],0),0),0)</f>
        <v>0</v>
      </c>
      <c r="AE356" s="1">
        <f>IFERROR(IF(((TArticle[[#This Row],[شناسه]]))="4.1.1",IF(TArticle[[#This Row],[کد وضعیت سند]]=1,TArticle[مبلغ],0),0),0)</f>
        <v>0</v>
      </c>
      <c r="AF356" s="1">
        <f>IFERROR(IF(((TArticle[[#This Row],[شناسه]]))="4.1.2",IF(TArticle[[#This Row],[کد وضعیت سند]]=1,TArticle[مبلغ],0),0),0)</f>
        <v>0</v>
      </c>
      <c r="AG356" s="1">
        <f>IFERROR(IF(INT(LEFT(TArticle[[#This Row],[شناسه]]))=1,IF(TArticle[[#This Row],[کد وضعیت سند]]=1,TArticle[مبلغ],0),0),0)</f>
        <v>0</v>
      </c>
      <c r="AH356" s="1">
        <f>IFERROR(IF(INT(LEFT(TArticle[[#This Row],[شناسه]]))=2,IF(TArticle[[#This Row],[کد وضعیت سند]]=1,TArticle[مبلغ],0),0),0)</f>
        <v>0</v>
      </c>
      <c r="AI356" s="1">
        <f>IFERROR(IF((LEFT(TArticle[[#This Row],[شناسه]],3))="5.2",IF(TArticle[[#This Row],[کد وضعیت سند]]=1,TArticle[مبلغ],0),0),0)</f>
        <v>0</v>
      </c>
      <c r="AJ356" s="1">
        <f>IF(TArticle[[#This Row],[کد وضعیت سند]]=1,1,0)</f>
        <v>0</v>
      </c>
      <c r="AK356" s="1">
        <f>IF(AND(TArticle[[#This Row],[کد وضعیت سند]]&lt;&gt;1,TArticle[[#This Row],[مبلغ]]&lt;&gt;0),1,0)</f>
        <v>1</v>
      </c>
      <c r="AL356" s="78">
        <f>IF(TArticle[[#This Row],[کد بانک]]&gt;0,TArticle[[#This Row],[مانده بانک]]-VLOOKUP(TArticle[[#This Row],[کد بانک]],TBank[],7,FALSE),"")</f>
        <v>37995</v>
      </c>
      <c r="AM356" s="69" t="str">
        <f>LEFT(TArticle[[#This Row],[تاریخ]],7)</f>
        <v>1402-03</v>
      </c>
    </row>
    <row r="357" spans="1:39" x14ac:dyDescent="0.25">
      <c r="A357" s="24" t="s">
        <v>1110</v>
      </c>
      <c r="B357" s="49" t="str">
        <f>VLOOKUP(TArticle[[#This Row],[شناسه]],TAccount[],2,TRUE)</f>
        <v>قسط وام بانکی</v>
      </c>
      <c r="C357" s="49" t="str">
        <f>VLOOKUP(TArticle[[#This Row],[تاریخ]],TDays[],7,FALSE)</f>
        <v>سه شنبه</v>
      </c>
      <c r="D357" s="21" t="s">
        <v>626</v>
      </c>
      <c r="E357" s="1">
        <f>'طرف حساب'!$J$29</f>
        <v>-3616</v>
      </c>
      <c r="F357" s="1">
        <f>TArticle[[#This Row],[مبلغ]]+IFERROR(INT(F356),30181+3667+958)</f>
        <v>35227</v>
      </c>
      <c r="G357" s="49"/>
      <c r="H357" s="21">
        <v>4</v>
      </c>
      <c r="J357" s="65"/>
      <c r="K357" s="64">
        <v>2</v>
      </c>
      <c r="L357" s="171" t="str">
        <f>IF(TArticle[[#This Row],[کد وضعیت سند]]&gt;0,VLOOKUP(TArticle[[#This Row],[کد وضعیت سند]],TDocState[],2,FALSE),"")</f>
        <v>قطعی</v>
      </c>
      <c r="M357" s="67">
        <v>114</v>
      </c>
      <c r="N357" s="171" t="str">
        <f>IF(TArticle[[#This Row],[کد طرف حساب]]&gt;0,VLOOKUP(TArticle[[#This Row],[کد طرف حساب]],TContact[],2,FALSE),"")</f>
        <v>وام کارت ملی ف</v>
      </c>
      <c r="O357" s="68">
        <f>IF(TArticle[[#This Row],[کد طرف حساب]]&gt;0,VLOOKUP(TArticle[[#This Row],[کد طرف حساب]],TContact[],7,FALSE)-SUMIF($M$2:M357,M357,$E$2:$E357),"")</f>
        <v>-116994</v>
      </c>
      <c r="P357" s="67" t="str">
        <f>RIGHT(TArticle[[#This Row],[تاریخ]],2)</f>
        <v>09</v>
      </c>
      <c r="Q357" s="67">
        <f>VLOOKUP(TArticle[[#This Row],[تاریخ]],TDays[],16,FALSE)</f>
        <v>11</v>
      </c>
      <c r="R357" s="67" t="str">
        <f>RIGHT(LEFT(TArticle[[#This Row],[تاریخ]],7),2)</f>
        <v>03</v>
      </c>
      <c r="S357" s="67" t="str">
        <f>LEFT(TArticle[[#This Row],[تاریخ]],4)</f>
        <v>1402</v>
      </c>
      <c r="T357" s="64"/>
      <c r="U357" s="64">
        <f>VLOOKUP(TArticle[[#This Row],[شناسه]],TAccount[],7,TRUE)</f>
        <v>81652</v>
      </c>
      <c r="V357" s="28"/>
      <c r="W357" s="64">
        <f>IF(AND(TArticle[[#This Row],[مبلغ]]&gt;0, TArticle[[#This Row],[کد وضعیت سند]]=1),TArticle[[#This Row],[مبلغ]],0)</f>
        <v>0</v>
      </c>
      <c r="X357" s="67">
        <f>IF(AND(TArticle[[#This Row],[مبلغ]]&lt;0,TArticle[[#This Row],[کد وضعیت سند]]=1),0-TArticle[[#This Row],[مبلغ]],0)</f>
        <v>0</v>
      </c>
      <c r="Y357" s="27">
        <v>2</v>
      </c>
      <c r="Z357" s="171" t="str">
        <f>IF(TArticle[[#This Row],[کد بانک]]&gt;0,VLOOKUP(TArticle[[#This Row],[کد بانک]],TBank[],2,FALSE),"")</f>
        <v>ملی جاری</v>
      </c>
      <c r="AA357">
        <f>IF(AND(TArticle[[#This Row],[مبلغ]]&lt;0,TArticle[[#This Row],[کد وضعیت سند]]=1),0-TArticle[[#This Row],[مبلغ]],0)</f>
        <v>0</v>
      </c>
      <c r="AB357">
        <f>IF(AND(TArticle[[#This Row],[مبلغ]]&gt;0, TArticle[[#This Row],[کد وضعیت سند]]=1),TArticle[[#This Row],[مبلغ]],0)</f>
        <v>0</v>
      </c>
      <c r="AC357" s="93">
        <f>IF(TArticle[[#This Row],[کد بانک]]&gt;0,VLOOKUP(TArticle[[#This Row],[کد بانک]],TBank[],9,FALSE)+SUMIF($Y$2:Y357,Y357,$E$2:$E357),"")</f>
        <v>34379</v>
      </c>
      <c r="AD357" s="1">
        <f>IFERROR(IF(INT(LEFT(TArticle[[#This Row],[شناسه]]))=3,IF(TArticle[[#This Row],[کد وضعیت سند]]=1,TArticle[مبلغ],0),0),0)</f>
        <v>0</v>
      </c>
      <c r="AE357" s="1">
        <f>IFERROR(IF(((TArticle[[#This Row],[شناسه]]))="4.1.1",IF(TArticle[[#This Row],[کد وضعیت سند]]=1,TArticle[مبلغ],0),0),0)</f>
        <v>0</v>
      </c>
      <c r="AF357" s="1">
        <f>IFERROR(IF(((TArticle[[#This Row],[شناسه]]))="4.1.2",IF(TArticle[[#This Row],[کد وضعیت سند]]=1,TArticle[مبلغ],0),0),0)</f>
        <v>0</v>
      </c>
      <c r="AG357" s="1">
        <f>IFERROR(IF(INT(LEFT(TArticle[[#This Row],[شناسه]]))=1,IF(TArticle[[#This Row],[کد وضعیت سند]]=1,TArticle[مبلغ],0),0),0)</f>
        <v>0</v>
      </c>
      <c r="AH357" s="1">
        <f>IFERROR(IF(INT(LEFT(TArticle[[#This Row],[شناسه]]))=2,IF(TArticle[[#This Row],[کد وضعیت سند]]=1,TArticle[مبلغ],0),0),0)</f>
        <v>0</v>
      </c>
      <c r="AI357" s="1">
        <f>IFERROR(IF((LEFT(TArticle[[#This Row],[شناسه]],3))="5.2",IF(TArticle[[#This Row],[کد وضعیت سند]]=1,TArticle[مبلغ],0),0),0)</f>
        <v>0</v>
      </c>
      <c r="AJ357" s="1">
        <f>IF(TArticle[[#This Row],[کد وضعیت سند]]=1,1,0)</f>
        <v>0</v>
      </c>
      <c r="AK357" s="1">
        <f>IF(AND(TArticle[[#This Row],[کد وضعیت سند]]&lt;&gt;1,TArticle[[#This Row],[مبلغ]]&lt;&gt;0),1,0)</f>
        <v>1</v>
      </c>
      <c r="AL357" s="78">
        <f>IF(TArticle[[#This Row],[کد بانک]]&gt;0,TArticle[[#This Row],[مانده بانک]]-VLOOKUP(TArticle[[#This Row],[کد بانک]],TBank[],7,FALSE),"")</f>
        <v>34379</v>
      </c>
      <c r="AM357" s="69" t="str">
        <f>LEFT(TArticle[[#This Row],[تاریخ]],7)</f>
        <v>1402-03</v>
      </c>
    </row>
    <row r="358" spans="1:39" x14ac:dyDescent="0.25">
      <c r="A358" s="24" t="s">
        <v>41</v>
      </c>
      <c r="B358" s="49" t="str">
        <f>VLOOKUP(TArticle[[#This Row],[شناسه]],TAccount[],2,TRUE)</f>
        <v>قرعه هجده (43)</v>
      </c>
      <c r="C358" s="49" t="str">
        <f>VLOOKUP(TArticle[[#This Row],[تاریخ]],TDays[],7,FALSE)</f>
        <v>یکشنبه</v>
      </c>
      <c r="D358" s="21" t="s">
        <v>72</v>
      </c>
      <c r="E358" s="1">
        <v>-350</v>
      </c>
      <c r="F358" s="1">
        <f>TArticle[[#This Row],[مبلغ]]+IFERROR(INT(F357),30181+3667+958)</f>
        <v>34877</v>
      </c>
      <c r="G358" s="49"/>
      <c r="H358" s="21">
        <v>50</v>
      </c>
      <c r="K358" s="21">
        <v>2</v>
      </c>
      <c r="L358" s="171" t="str">
        <f>IF(TArticle[[#This Row],[کد وضعیت سند]]&gt;0,VLOOKUP(TArticle[[#This Row],[کد وضعیت سند]],TDocState[],2,FALSE),"")</f>
        <v>قطعی</v>
      </c>
      <c r="M358" s="27">
        <v>103</v>
      </c>
      <c r="N358" s="171" t="str">
        <f>IF(TArticle[[#This Row],[کد طرف حساب]]&gt;0,VLOOKUP(TArticle[[#This Row],[کد طرف حساب]],TContact[],2,FALSE),"")</f>
        <v>قرعه 18م (43)</v>
      </c>
      <c r="O358" s="51">
        <f>IF(TArticle[[#This Row],[کد طرف حساب]]&gt;0,VLOOKUP(TArticle[[#This Row],[کد طرف حساب]],TContact[],7,FALSE)-SUMIF($M$2:M358,M358,$E$2:$E358),"")</f>
        <v>-1050</v>
      </c>
      <c r="P358" s="27" t="str">
        <f>RIGHT(TArticle[[#This Row],[تاریخ]],2)</f>
        <v>14</v>
      </c>
      <c r="Q358" s="27">
        <f>VLOOKUP(TArticle[[#This Row],[تاریخ]],TDays[],16,FALSE)</f>
        <v>12</v>
      </c>
      <c r="R358" s="27" t="str">
        <f>RIGHT(LEFT(TArticle[[#This Row],[تاریخ]],7),2)</f>
        <v>03</v>
      </c>
      <c r="S358" s="27" t="str">
        <f>LEFT(TArticle[[#This Row],[تاریخ]],4)</f>
        <v>1402</v>
      </c>
      <c r="U358" s="21">
        <f>VLOOKUP(TArticle[[#This Row],[شناسه]],TAccount[],7,TRUE)</f>
        <v>4200</v>
      </c>
      <c r="V358" s="21" t="s">
        <v>72</v>
      </c>
      <c r="W358" s="21">
        <f>IF(AND(TArticle[[#This Row],[مبلغ]]&gt;0, TArticle[[#This Row],[کد وضعیت سند]]=1),TArticle[[#This Row],[مبلغ]],0)</f>
        <v>0</v>
      </c>
      <c r="X358" s="21">
        <f>IF(AND(TArticle[[#This Row],[مبلغ]]&lt;0,TArticle[[#This Row],[کد وضعیت سند]]=1),0-TArticle[[#This Row],[مبلغ]],0)</f>
        <v>0</v>
      </c>
      <c r="Y358" s="27">
        <v>2</v>
      </c>
      <c r="Z358" s="171" t="str">
        <f>IF(TArticle[[#This Row],[کد بانک]]&gt;0,VLOOKUP(TArticle[[#This Row],[کد بانک]],TBank[],2,FALSE),"")</f>
        <v>ملی جاری</v>
      </c>
      <c r="AA358">
        <f>IF(AND(TArticle[[#This Row],[مبلغ]]&lt;0,TArticle[[#This Row],[کد وضعیت سند]]=1),0-TArticle[[#This Row],[مبلغ]],0)</f>
        <v>0</v>
      </c>
      <c r="AB358">
        <f>IF(AND(TArticle[[#This Row],[مبلغ]]&gt;0, TArticle[[#This Row],[کد وضعیت سند]]=1),TArticle[[#This Row],[مبلغ]],0)</f>
        <v>0</v>
      </c>
      <c r="AC358" s="84">
        <f>IF(TArticle[[#This Row],[کد بانک]]&gt;0,VLOOKUP(TArticle[[#This Row],[کد بانک]],TBank[],9,FALSE)+SUMIF($Y$2:Y358,Y358,$E$2:$E358),"")</f>
        <v>34029</v>
      </c>
      <c r="AD358" s="1">
        <f>IFERROR(IF(INT(LEFT(TArticle[[#This Row],[شناسه]]))=3,IF(TArticle[[#This Row],[کد وضعیت سند]]=1,TArticle[مبلغ],0),0),0)</f>
        <v>0</v>
      </c>
      <c r="AE358" s="1">
        <f>IFERROR(IF(((TArticle[[#This Row],[شناسه]]))="4.1.1",IF(TArticle[[#This Row],[کد وضعیت سند]]=1,TArticle[مبلغ],0),0),0)</f>
        <v>0</v>
      </c>
      <c r="AF358" s="1">
        <f>IFERROR(IF(((TArticle[[#This Row],[شناسه]]))="4.1.2",IF(TArticle[[#This Row],[کد وضعیت سند]]=1,TArticle[مبلغ],0),0),0)</f>
        <v>0</v>
      </c>
      <c r="AG358" s="1">
        <f>IFERROR(IF(INT(LEFT(TArticle[[#This Row],[شناسه]]))=1,IF(TArticle[[#This Row],[کد وضعیت سند]]=1,TArticle[مبلغ],0),0),0)</f>
        <v>0</v>
      </c>
      <c r="AH358" s="1">
        <f>IFERROR(IF(INT(LEFT(TArticle[[#This Row],[شناسه]]))=2,IF(TArticle[[#This Row],[کد وضعیت سند]]=1,TArticle[مبلغ],0),0),0)</f>
        <v>0</v>
      </c>
      <c r="AI358" s="1">
        <f>IFERROR(IF((LEFT(TArticle[[#This Row],[شناسه]],3))="5.2",IF(TArticle[[#This Row],[کد وضعیت سند]]=1,TArticle[مبلغ],0),0),0)</f>
        <v>0</v>
      </c>
      <c r="AJ358" s="1">
        <f>IF(TArticle[[#This Row],[کد وضعیت سند]]=1,1,0)</f>
        <v>0</v>
      </c>
      <c r="AK358" s="1">
        <f>IF(AND(TArticle[[#This Row],[کد وضعیت سند]]&lt;&gt;1,TArticle[[#This Row],[مبلغ]]&lt;&gt;0),1,0)</f>
        <v>1</v>
      </c>
      <c r="AL358" s="51">
        <f>IF(TArticle[[#This Row],[کد بانک]]&gt;0,TArticle[[#This Row],[مانده بانک]]-VLOOKUP(TArticle[[#This Row],[کد بانک]],TBank[],7,FALSE),"")</f>
        <v>34029</v>
      </c>
      <c r="AM358" s="58" t="str">
        <f>LEFT(TArticle[[#This Row],[تاریخ]],7)</f>
        <v>1402-03</v>
      </c>
    </row>
    <row r="359" spans="1:39" x14ac:dyDescent="0.25">
      <c r="A359" s="13" t="s">
        <v>78</v>
      </c>
      <c r="B359" s="49" t="str">
        <f>VLOOKUP(TArticle[[#This Row],[شناسه]],TAccount[],2,TRUE)</f>
        <v>چک</v>
      </c>
      <c r="C359" s="49" t="str">
        <f>VLOOKUP(TArticle[[#This Row],[تاریخ]],TDays[],7,FALSE)</f>
        <v>چهارشنبه</v>
      </c>
      <c r="D359" s="21" t="s">
        <v>633</v>
      </c>
      <c r="E359" s="1">
        <v>-4250</v>
      </c>
      <c r="F359" s="1">
        <f>TArticle[[#This Row],[مبلغ]]+IFERROR(INT(F358),30181+3667+958)</f>
        <v>30627</v>
      </c>
      <c r="G359" s="167">
        <v>290880</v>
      </c>
      <c r="H359" s="21">
        <v>3</v>
      </c>
      <c r="J359" s="51"/>
      <c r="K359" s="64">
        <v>2</v>
      </c>
      <c r="L359" s="171" t="str">
        <f>IF(TArticle[[#This Row],[کد وضعیت سند]]&gt;0,VLOOKUP(TArticle[[#This Row],[کد وضعیت سند]],TDocState[],2,FALSE),"")</f>
        <v>قطعی</v>
      </c>
      <c r="M359" s="27">
        <v>117</v>
      </c>
      <c r="N359" s="171" t="str">
        <f>IF(TArticle[[#This Row],[کد طرف حساب]]&gt;0,VLOOKUP(TArticle[[#This Row],[کد طرف حساب]],TContact[],2,FALSE),"")</f>
        <v>وام سرویس خواب</v>
      </c>
      <c r="O359" s="60">
        <f>IF(TArticle[[#This Row],[کد طرف حساب]]&gt;0,VLOOKUP(TArticle[[#This Row],[کد طرف حساب]],TContact[],7,FALSE)-SUMIF($M$2:M359,M359,$E$2:$E359),"")</f>
        <v>-38250</v>
      </c>
      <c r="P359" s="27" t="str">
        <f>RIGHT(TArticle[[#This Row],[تاریخ]],2)</f>
        <v>17</v>
      </c>
      <c r="Q359" s="27">
        <f>VLOOKUP(TArticle[[#This Row],[تاریخ]],TDays[],16,FALSE)</f>
        <v>12</v>
      </c>
      <c r="R359" s="27" t="str">
        <f>RIGHT(LEFT(TArticle[[#This Row],[تاریخ]],7),2)</f>
        <v>03</v>
      </c>
      <c r="S359" s="27" t="str">
        <f>LEFT(TArticle[[#This Row],[تاریخ]],4)</f>
        <v>1402</v>
      </c>
      <c r="U359" s="21">
        <f>VLOOKUP(TArticle[[#This Row],[شناسه]],TAccount[],7,TRUE)</f>
        <v>57000</v>
      </c>
      <c r="V359" s="28"/>
      <c r="W359" s="21">
        <f>IF(AND(TArticle[[#This Row],[مبلغ]]&gt;0, TArticle[[#This Row],[کد وضعیت سند]]=1),TArticle[[#This Row],[مبلغ]],0)</f>
        <v>0</v>
      </c>
      <c r="X359" s="27">
        <f>IF(AND(TArticle[[#This Row],[مبلغ]]&lt;0,TArticle[[#This Row],[کد وضعیت سند]]=1),0-TArticle[[#This Row],[مبلغ]],0)</f>
        <v>0</v>
      </c>
      <c r="Y359" s="27">
        <v>4</v>
      </c>
      <c r="Z359" s="171" t="str">
        <f>IF(TArticle[[#This Row],[کد بانک]]&gt;0,VLOOKUP(TArticle[[#This Row],[کد بانک]],TBank[],2,FALSE),"")</f>
        <v>سپه</v>
      </c>
      <c r="AA359">
        <f>IF(AND(TArticle[[#This Row],[مبلغ]]&lt;0,TArticle[[#This Row],[کد وضعیت سند]]=1),0-TArticle[[#This Row],[مبلغ]],0)</f>
        <v>0</v>
      </c>
      <c r="AB359">
        <f>IF(AND(TArticle[[#This Row],[مبلغ]]&gt;0, TArticle[[#This Row],[کد وضعیت سند]]=1),TArticle[[#This Row],[مبلغ]],0)</f>
        <v>0</v>
      </c>
      <c r="AC359" s="92">
        <f>IF(TArticle[[#This Row],[کد بانک]]&gt;0,VLOOKUP(TArticle[[#This Row],[کد بانک]],TBank[],9,FALSE)+SUMIF($Y$2:Y359,Y359,$E$2:$E359),"")</f>
        <v>-8498</v>
      </c>
      <c r="AD359" s="1">
        <f>IFERROR(IF(INT(LEFT(TArticle[[#This Row],[شناسه]]))=3,IF(TArticle[[#This Row],[کد وضعیت سند]]=1,TArticle[مبلغ],0),0),0)</f>
        <v>0</v>
      </c>
      <c r="AE359" s="1">
        <f>IFERROR(IF(((TArticle[[#This Row],[شناسه]]))="4.1.1",IF(TArticle[[#This Row],[کد وضعیت سند]]=1,TArticle[مبلغ],0),0),0)</f>
        <v>0</v>
      </c>
      <c r="AF359" s="1">
        <f>IFERROR(IF(((TArticle[[#This Row],[شناسه]]))="4.1.2",IF(TArticle[[#This Row],[کد وضعیت سند]]=1,TArticle[مبلغ],0),0),0)</f>
        <v>0</v>
      </c>
      <c r="AG359" s="1">
        <f>IFERROR(IF(INT(LEFT(TArticle[[#This Row],[شناسه]]))=1,IF(TArticle[[#This Row],[کد وضعیت سند]]=1,TArticle[مبلغ],0),0),0)</f>
        <v>0</v>
      </c>
      <c r="AH359" s="1">
        <f>IFERROR(IF(INT(LEFT(TArticle[[#This Row],[شناسه]]))=2,IF(TArticle[[#This Row],[کد وضعیت سند]]=1,TArticle[مبلغ],0),0),0)</f>
        <v>0</v>
      </c>
      <c r="AI359" s="1">
        <f>IFERROR(IF((LEFT(TArticle[[#This Row],[شناسه]],3))="5.2",IF(TArticle[[#This Row],[کد وضعیت سند]]=1,TArticle[مبلغ],0),0),0)</f>
        <v>0</v>
      </c>
      <c r="AJ359" s="1">
        <f>IF(TArticle[[#This Row],[کد وضعیت سند]]=1,1,0)</f>
        <v>0</v>
      </c>
      <c r="AK359" s="1">
        <f>IF(AND(TArticle[[#This Row],[کد وضعیت سند]]&lt;&gt;1,TArticle[[#This Row],[مبلغ]]&lt;&gt;0),1,0)</f>
        <v>1</v>
      </c>
      <c r="AL359" s="51">
        <f>IF(TArticle[[#This Row],[کد بانک]]&gt;0,TArticle[[#This Row],[مانده بانک]]-VLOOKUP(TArticle[[#This Row],[کد بانک]],TBank[],7,FALSE),"")</f>
        <v>-8500</v>
      </c>
      <c r="AM359" s="58" t="str">
        <f>LEFT(TArticle[[#This Row],[تاریخ]],7)</f>
        <v>1402-03</v>
      </c>
    </row>
    <row r="360" spans="1:39" x14ac:dyDescent="0.25">
      <c r="A360" s="24"/>
      <c r="B360" s="49" t="str">
        <f>VLOOKUP(TArticle[[#This Row],[شناسه]],TAccount[],2,TRUE)</f>
        <v>---</v>
      </c>
      <c r="C360" s="49" t="str">
        <f>VLOOKUP(TArticle[[#This Row],[تاریخ]],TDays[],7,FALSE)</f>
        <v>شنبه</v>
      </c>
      <c r="D360" s="28" t="s">
        <v>636</v>
      </c>
      <c r="F360" s="1">
        <f>TArticle[[#This Row],[مبلغ]]+IFERROR(INT(F359),30181+3667+958)</f>
        <v>30627</v>
      </c>
      <c r="G360" s="49"/>
      <c r="H360" s="64"/>
      <c r="J360" s="51"/>
      <c r="K360" s="49"/>
      <c r="L360" s="171" t="str">
        <f>IF(TArticle[[#This Row],[کد وضعیت سند]]&gt;0,VLOOKUP(TArticle[[#This Row],[کد وضعیت سند]],TDocState[],2,FALSE),"")</f>
        <v/>
      </c>
      <c r="M360" s="67"/>
      <c r="N360" s="171" t="str">
        <f>IF(TArticle[[#This Row],[کد طرف حساب]]&gt;0,VLOOKUP(TArticle[[#This Row],[کد طرف حساب]],TContact[],2,FALSE),"")</f>
        <v/>
      </c>
      <c r="O360" s="60" t="str">
        <f>IF(TArticle[[#This Row],[کد طرف حساب]]&gt;0,VLOOKUP(TArticle[[#This Row],[کد طرف حساب]],TContact[],7,FALSE)-SUMIF($M$2:M360,M360,$E$2:$E360),"")</f>
        <v/>
      </c>
      <c r="P360" s="27" t="str">
        <f>RIGHT(TArticle[[#This Row],[تاریخ]],2)</f>
        <v>20</v>
      </c>
      <c r="Q360" s="27">
        <f>VLOOKUP(TArticle[[#This Row],[تاریخ]],TDays[],16,FALSE)</f>
        <v>12</v>
      </c>
      <c r="R360" s="27" t="str">
        <f>RIGHT(LEFT(TArticle[[#This Row],[تاریخ]],7),2)</f>
        <v>03</v>
      </c>
      <c r="S360" s="27" t="str">
        <f>LEFT(TArticle[[#This Row],[تاریخ]],4)</f>
        <v>1402</v>
      </c>
      <c r="U360" s="21">
        <f>VLOOKUP(TArticle[[#This Row],[شناسه]],TAccount[],7,TRUE)</f>
        <v>0</v>
      </c>
      <c r="V360" s="21" t="s">
        <v>636</v>
      </c>
      <c r="W360" s="21">
        <f>IF(AND(TArticle[[#This Row],[مبلغ]]&gt;0, TArticle[[#This Row],[کد وضعیت سند]]=1),TArticle[[#This Row],[مبلغ]],0)</f>
        <v>0</v>
      </c>
      <c r="X360" s="27">
        <f>IF(AND(TArticle[[#This Row],[مبلغ]]&lt;0,TArticle[[#This Row],[کد وضعیت سند]]=1),0-TArticle[[#This Row],[مبلغ]],0)</f>
        <v>0</v>
      </c>
      <c r="Y360" s="27">
        <v>2</v>
      </c>
      <c r="Z360" s="171" t="str">
        <f>IF(TArticle[[#This Row],[کد بانک]]&gt;0,VLOOKUP(TArticle[[#This Row],[کد بانک]],TBank[],2,FALSE),"")</f>
        <v>ملی جاری</v>
      </c>
      <c r="AA360">
        <f>IF(AND(TArticle[[#This Row],[مبلغ]]&lt;0,TArticle[[#This Row],[کد وضعیت سند]]=1),0-TArticle[[#This Row],[مبلغ]],0)</f>
        <v>0</v>
      </c>
      <c r="AB360">
        <f>IF(AND(TArticle[[#This Row],[مبلغ]]&gt;0, TArticle[[#This Row],[کد وضعیت سند]]=1),TArticle[[#This Row],[مبلغ]],0)</f>
        <v>0</v>
      </c>
      <c r="AC360" s="92">
        <f>IF(TArticle[[#This Row],[کد بانک]]&gt;0,VLOOKUP(TArticle[[#This Row],[کد بانک]],TBank[],9,FALSE)+SUMIF($Y$2:Y360,Y360,$E$2:$E360),"")</f>
        <v>34029</v>
      </c>
      <c r="AD360" s="1">
        <f>IFERROR(IF(INT(LEFT(TArticle[[#This Row],[شناسه]]))=3,IF(TArticle[[#This Row],[کد وضعیت سند]]=1,TArticle[مبلغ],0),0),0)</f>
        <v>0</v>
      </c>
      <c r="AE360" s="1">
        <f>IFERROR(IF(((TArticle[[#This Row],[شناسه]]))="4.1.1",IF(TArticle[[#This Row],[کد وضعیت سند]]=1,TArticle[مبلغ],0),0),0)</f>
        <v>0</v>
      </c>
      <c r="AF360" s="1">
        <f>IFERROR(IF(((TArticle[[#This Row],[شناسه]]))="4.1.2",IF(TArticle[[#This Row],[کد وضعیت سند]]=1,TArticle[مبلغ],0),0),0)</f>
        <v>0</v>
      </c>
      <c r="AG360" s="1">
        <f>IFERROR(IF(INT(LEFT(TArticle[[#This Row],[شناسه]]))=1,IF(TArticle[[#This Row],[کد وضعیت سند]]=1,TArticle[مبلغ],0),0),0)</f>
        <v>0</v>
      </c>
      <c r="AH360" s="1">
        <f>IFERROR(IF(INT(LEFT(TArticle[[#This Row],[شناسه]]))=2,IF(TArticle[[#This Row],[کد وضعیت سند]]=1,TArticle[مبلغ],0),0),0)</f>
        <v>0</v>
      </c>
      <c r="AI360" s="1">
        <f>IFERROR(IF((LEFT(TArticle[[#This Row],[شناسه]],3))="5.2",IF(TArticle[[#This Row],[کد وضعیت سند]]=1,TArticle[مبلغ],0),0),0)</f>
        <v>0</v>
      </c>
      <c r="AJ360" s="1">
        <f>IF(TArticle[[#This Row],[کد وضعیت سند]]=1,1,0)</f>
        <v>0</v>
      </c>
      <c r="AK360" s="1">
        <f>IF(AND(TArticle[[#This Row],[کد وضعیت سند]]&lt;&gt;1,TArticle[[#This Row],[مبلغ]]&lt;&gt;0),1,0)</f>
        <v>0</v>
      </c>
      <c r="AL360" s="51">
        <f>IF(TArticle[[#This Row],[کد بانک]]&gt;0,TArticle[[#This Row],[مانده بانک]]-VLOOKUP(TArticle[[#This Row],[کد بانک]],TBank[],7,FALSE),"")</f>
        <v>34029</v>
      </c>
      <c r="AM360" s="58" t="str">
        <f>LEFT(TArticle[[#This Row],[تاریخ]],7)</f>
        <v>1402-03</v>
      </c>
    </row>
    <row r="361" spans="1:39" x14ac:dyDescent="0.25">
      <c r="A361" s="24" t="s">
        <v>1013</v>
      </c>
      <c r="B361" s="49" t="str">
        <f>VLOOKUP(TArticle[[#This Row],[شناسه]],TAccount[],2,TRUE)</f>
        <v>یارانه</v>
      </c>
      <c r="C361" s="49" t="str">
        <f>VLOOKUP(TArticle[[#This Row],[تاریخ]],TDays[],7,FALSE)</f>
        <v>شنبه</v>
      </c>
      <c r="D361" s="21" t="s">
        <v>636</v>
      </c>
      <c r="E361" s="1">
        <v>1500</v>
      </c>
      <c r="F361" s="1">
        <f>TArticle[[#This Row],[مبلغ]]+IFERROR(INT(F360),30181+3667+958)</f>
        <v>32127</v>
      </c>
      <c r="G361" s="49"/>
      <c r="J361" s="51"/>
      <c r="K361" s="64">
        <v>2</v>
      </c>
      <c r="L361" s="171" t="str">
        <f>IF(TArticle[[#This Row],[کد وضعیت سند]]&gt;0,VLOOKUP(TArticle[[#This Row],[کد وضعیت سند]],TDocState[],2,FALSE),"")</f>
        <v>قطعی</v>
      </c>
      <c r="N361" s="171" t="str">
        <f>IF(TArticle[[#This Row],[کد طرف حساب]]&gt;0,VLOOKUP(TArticle[[#This Row],[کد طرف حساب]],TContact[],2,FALSE),"")</f>
        <v/>
      </c>
      <c r="O361" s="60" t="str">
        <f>IF(TArticle[[#This Row],[کد طرف حساب]]&gt;0,VLOOKUP(TArticle[[#This Row],[کد طرف حساب]],TContact[],7,FALSE)-SUMIF($M$2:M361,M361,$E$2:$E361),"")</f>
        <v/>
      </c>
      <c r="P361" s="27" t="str">
        <f>RIGHT(TArticle[[#This Row],[تاریخ]],2)</f>
        <v>20</v>
      </c>
      <c r="Q361" s="27">
        <f>VLOOKUP(TArticle[[#This Row],[تاریخ]],TDays[],16,FALSE)</f>
        <v>12</v>
      </c>
      <c r="R361" s="27" t="str">
        <f>RIGHT(LEFT(TArticle[[#This Row],[تاریخ]],7),2)</f>
        <v>03</v>
      </c>
      <c r="S361" s="27" t="str">
        <f>LEFT(TArticle[[#This Row],[تاریخ]],4)</f>
        <v>1402</v>
      </c>
      <c r="U361" s="21">
        <f>VLOOKUP(TArticle[[#This Row],[شناسه]],TAccount[],7,TRUE)</f>
        <v>12565</v>
      </c>
      <c r="W361" s="21">
        <f>IF(AND(TArticle[[#This Row],[مبلغ]]&gt;0, TArticle[[#This Row],[کد وضعیت سند]]=1),TArticle[[#This Row],[مبلغ]],0)</f>
        <v>0</v>
      </c>
      <c r="X361" s="27">
        <f>IF(AND(TArticle[[#This Row],[مبلغ]]&lt;0,TArticle[[#This Row],[کد وضعیت سند]]=1),0-TArticle[[#This Row],[مبلغ]],0)</f>
        <v>0</v>
      </c>
      <c r="Y361" s="27">
        <v>2</v>
      </c>
      <c r="Z361" s="171" t="str">
        <f>IF(TArticle[[#This Row],[کد بانک]]&gt;0,VLOOKUP(TArticle[[#This Row],[کد بانک]],TBank[],2,FALSE),"")</f>
        <v>ملی جاری</v>
      </c>
      <c r="AA361">
        <f>IF(AND(TArticle[[#This Row],[مبلغ]]&lt;0,TArticle[[#This Row],[کد وضعیت سند]]=1),0-TArticle[[#This Row],[مبلغ]],0)</f>
        <v>0</v>
      </c>
      <c r="AB361">
        <f>IF(AND(TArticle[[#This Row],[مبلغ]]&gt;0, TArticle[[#This Row],[کد وضعیت سند]]=1),TArticle[[#This Row],[مبلغ]],0)</f>
        <v>0</v>
      </c>
      <c r="AC361" s="92">
        <f>IF(TArticle[[#This Row],[کد بانک]]&gt;0,VLOOKUP(TArticle[[#This Row],[کد بانک]],TBank[],9,FALSE)+SUMIF($Y$2:Y361,Y361,$E$2:$E361),"")</f>
        <v>35529</v>
      </c>
      <c r="AD361" s="1">
        <f>IFERROR(IF(INT(LEFT(TArticle[[#This Row],[شناسه]]))=3,IF(TArticle[[#This Row],[کد وضعیت سند]]=1,TArticle[مبلغ],0),0),0)</f>
        <v>0</v>
      </c>
      <c r="AE361" s="1">
        <f>IFERROR(IF(((TArticle[[#This Row],[شناسه]]))="4.1.1",IF(TArticle[[#This Row],[کد وضعیت سند]]=1,TArticle[مبلغ],0),0),0)</f>
        <v>0</v>
      </c>
      <c r="AF361" s="1">
        <f>IFERROR(IF(((TArticle[[#This Row],[شناسه]]))="4.1.2",IF(TArticle[[#This Row],[کد وضعیت سند]]=1,TArticle[مبلغ],0),0),0)</f>
        <v>0</v>
      </c>
      <c r="AG361" s="1">
        <f>IFERROR(IF(INT(LEFT(TArticle[[#This Row],[شناسه]]))=1,IF(TArticle[[#This Row],[کد وضعیت سند]]=1,TArticle[مبلغ],0),0),0)</f>
        <v>0</v>
      </c>
      <c r="AH361" s="1">
        <f>IFERROR(IF(INT(LEFT(TArticle[[#This Row],[شناسه]]))=2,IF(TArticle[[#This Row],[کد وضعیت سند]]=1,TArticle[مبلغ],0),0),0)</f>
        <v>0</v>
      </c>
      <c r="AI361" s="1">
        <f>IFERROR(IF((LEFT(TArticle[[#This Row],[شناسه]],3))="5.2",IF(TArticle[[#This Row],[کد وضعیت سند]]=1,TArticle[مبلغ],0),0),0)</f>
        <v>0</v>
      </c>
      <c r="AJ361" s="1">
        <f>IF(TArticle[[#This Row],[کد وضعیت سند]]=1,1,0)</f>
        <v>0</v>
      </c>
      <c r="AK361" s="1">
        <f>IF(AND(TArticle[[#This Row],[کد وضعیت سند]]&lt;&gt;1,TArticle[[#This Row],[مبلغ]]&lt;&gt;0),1,0)</f>
        <v>1</v>
      </c>
      <c r="AL361" s="51">
        <f>IF(TArticle[[#This Row],[کد بانک]]&gt;0,TArticle[[#This Row],[مانده بانک]]-VLOOKUP(TArticle[[#This Row],[کد بانک]],TBank[],7,FALSE),"")</f>
        <v>35529</v>
      </c>
      <c r="AM361" s="58" t="str">
        <f>LEFT(TArticle[[#This Row],[تاریخ]],7)</f>
        <v>1402-03</v>
      </c>
    </row>
    <row r="362" spans="1:39" x14ac:dyDescent="0.25">
      <c r="A362" s="24" t="s">
        <v>1110</v>
      </c>
      <c r="B362" s="49" t="str">
        <f>VLOOKUP(TArticle[[#This Row],[شناسه]],TAccount[],2,TRUE)</f>
        <v>قسط وام بانکی</v>
      </c>
      <c r="C362" s="49" t="str">
        <f>VLOOKUP(TArticle[[#This Row],[تاریخ]],TDays[],7,FALSE)</f>
        <v>یکشنبه</v>
      </c>
      <c r="D362" s="21" t="s">
        <v>644</v>
      </c>
      <c r="E362" s="1">
        <v>-1808</v>
      </c>
      <c r="F362" s="1">
        <f>TArticle[[#This Row],[مبلغ]]+IFERROR(INT(F361),30181+3667+958)</f>
        <v>30319</v>
      </c>
      <c r="G362" s="49" t="s">
        <v>1597</v>
      </c>
      <c r="H362" s="21">
        <v>20</v>
      </c>
      <c r="K362" s="21">
        <v>2</v>
      </c>
      <c r="L362" s="171" t="str">
        <f>IF(TArticle[[#This Row],[کد وضعیت سند]]&gt;0,VLOOKUP(TArticle[[#This Row],[کد وضعیت سند]],TDocState[],2,FALSE),"")</f>
        <v>قطعی</v>
      </c>
      <c r="M362" s="67">
        <v>112</v>
      </c>
      <c r="N362" s="171" t="str">
        <f>IF(TArticle[[#This Row],[کد طرف حساب]]&gt;0,VLOOKUP(TArticle[[#This Row],[کد طرف حساب]],TContact[],2,FALSE),"")</f>
        <v>وام ملی</v>
      </c>
      <c r="O362" s="51">
        <f>IF(TArticle[[#This Row],[کد طرف حساب]]&gt;0,VLOOKUP(TArticle[[#This Row],[کد طرف حساب]],TContact[],7,FALSE)-SUMIF($M$2:M362,M362,$E$2:$E362),"")</f>
        <v>-26496</v>
      </c>
      <c r="P362" s="27" t="str">
        <f>RIGHT(TArticle[[#This Row],[تاریخ]],2)</f>
        <v>28</v>
      </c>
      <c r="Q362" s="27">
        <f>VLOOKUP(TArticle[[#This Row],[تاریخ]],TDays[],16,FALSE)</f>
        <v>14</v>
      </c>
      <c r="R362" s="27" t="str">
        <f>RIGHT(LEFT(TArticle[[#This Row],[تاریخ]],7),2)</f>
        <v>03</v>
      </c>
      <c r="S362" s="27" t="str">
        <f>LEFT(TArticle[[#This Row],[تاریخ]],4)</f>
        <v>1402</v>
      </c>
      <c r="U362" s="21">
        <f>VLOOKUP(TArticle[[#This Row],[شناسه]],TAccount[],7,TRUE)</f>
        <v>81652</v>
      </c>
      <c r="V362" s="21" t="s">
        <v>644</v>
      </c>
      <c r="W362" s="21">
        <f>IF(AND(TArticle[[#This Row],[مبلغ]]&gt;0, TArticle[[#This Row],[کد وضعیت سند]]=1),TArticle[[#This Row],[مبلغ]],0)</f>
        <v>0</v>
      </c>
      <c r="X362" s="27">
        <f>IF(AND(TArticle[[#This Row],[مبلغ]]&lt;0,TArticle[[#This Row],[کد وضعیت سند]]=1),0-TArticle[[#This Row],[مبلغ]],0)</f>
        <v>0</v>
      </c>
      <c r="Y362" s="67">
        <v>2</v>
      </c>
      <c r="Z362" s="171" t="str">
        <f>IF(TArticle[[#This Row],[کد بانک]]&gt;0,VLOOKUP(TArticle[[#This Row],[کد بانک]],TBank[],2,FALSE),"")</f>
        <v>ملی جاری</v>
      </c>
      <c r="AA362">
        <f>IF(AND(TArticle[[#This Row],[مبلغ]]&lt;0,TArticle[[#This Row],[کد وضعیت سند]]=1),0-TArticle[[#This Row],[مبلغ]],0)</f>
        <v>0</v>
      </c>
      <c r="AB362">
        <f>IF(AND(TArticle[[#This Row],[مبلغ]]&gt;0, TArticle[[#This Row],[کد وضعیت سند]]=1),TArticle[[#This Row],[مبلغ]],0)</f>
        <v>0</v>
      </c>
      <c r="AC362" s="84">
        <f>IF(TArticle[[#This Row],[کد بانک]]&gt;0,VLOOKUP(TArticle[[#This Row],[کد بانک]],TBank[],9,FALSE)+SUMIF($Y$2:Y362,Y362,$E$2:$E362),"")</f>
        <v>33721</v>
      </c>
      <c r="AD362" s="1">
        <f>IFERROR(IF(INT(LEFT(TArticle[[#This Row],[شناسه]]))=3,IF(TArticle[[#This Row],[کد وضعیت سند]]=1,TArticle[مبلغ],0),0),0)</f>
        <v>0</v>
      </c>
      <c r="AE362" s="1">
        <f>IFERROR(IF(((TArticle[[#This Row],[شناسه]]))="4.1.1",IF(TArticle[[#This Row],[کد وضعیت سند]]=1,TArticle[مبلغ],0),0),0)</f>
        <v>0</v>
      </c>
      <c r="AF362" s="1">
        <f>IFERROR(IF(((TArticle[[#This Row],[شناسه]]))="4.1.2",IF(TArticle[[#This Row],[کد وضعیت سند]]=1,TArticle[مبلغ],0),0),0)</f>
        <v>0</v>
      </c>
      <c r="AG362" s="1">
        <f>IFERROR(IF(INT(LEFT(TArticle[[#This Row],[شناسه]]))=1,IF(TArticle[[#This Row],[کد وضعیت سند]]=1,TArticle[مبلغ],0),0),0)</f>
        <v>0</v>
      </c>
      <c r="AH362" s="1">
        <f>IFERROR(IF(INT(LEFT(TArticle[[#This Row],[شناسه]]))=2,IF(TArticle[[#This Row],[کد وضعیت سند]]=1,TArticle[مبلغ],0),0),0)</f>
        <v>0</v>
      </c>
      <c r="AI362" s="1">
        <f>IFERROR(IF((LEFT(TArticle[[#This Row],[شناسه]],3))="5.2",IF(TArticle[[#This Row],[کد وضعیت سند]]=1,TArticle[مبلغ],0),0),0)</f>
        <v>0</v>
      </c>
      <c r="AJ362" s="1">
        <f>IF(TArticle[[#This Row],[کد وضعیت سند]]=1,1,0)</f>
        <v>0</v>
      </c>
      <c r="AK362" s="1">
        <f>IF(AND(TArticle[[#This Row],[کد وضعیت سند]]&lt;&gt;1,TArticle[[#This Row],[مبلغ]]&lt;&gt;0),1,0)</f>
        <v>1</v>
      </c>
      <c r="AL362" s="51">
        <f>IF(TArticle[[#This Row],[کد بانک]]&gt;0,TArticle[[#This Row],[مانده بانک]]-VLOOKUP(TArticle[[#This Row],[کد بانک]],TBank[],7,FALSE),"")</f>
        <v>33721</v>
      </c>
      <c r="AM362" s="49" t="str">
        <f>LEFT(TArticle[[#This Row],[تاریخ]],7)</f>
        <v>1402-03</v>
      </c>
    </row>
    <row r="363" spans="1:39" x14ac:dyDescent="0.25">
      <c r="A363" s="24"/>
      <c r="B363" s="49" t="str">
        <f>VLOOKUP(TArticle[[#This Row],[شناسه]],TAccount[],2,TRUE)</f>
        <v>---</v>
      </c>
      <c r="C363" s="49" t="str">
        <f>VLOOKUP(TArticle[[#This Row],[تاریخ]],TDays[],7,FALSE)</f>
        <v>دوشنبه</v>
      </c>
      <c r="D363" s="21" t="s">
        <v>645</v>
      </c>
      <c r="F363" s="1">
        <f>TArticle[[#This Row],[مبلغ]]+IFERROR(INT(F362),30181+3667+958)</f>
        <v>30319</v>
      </c>
      <c r="G363" s="49"/>
      <c r="L363" s="171" t="str">
        <f>IF(TArticle[[#This Row],[کد وضعیت سند]]&gt;0,VLOOKUP(TArticle[[#This Row],[کد وضعیت سند]],TDocState[],2,FALSE),"")</f>
        <v/>
      </c>
      <c r="N363" s="171" t="str">
        <f>IF(TArticle[[#This Row],[کد طرف حساب]]&gt;0,VLOOKUP(TArticle[[#This Row],[کد طرف حساب]],TContact[],2,FALSE),"")</f>
        <v/>
      </c>
      <c r="O363" s="51" t="str">
        <f>IF(TArticle[[#This Row],[کد طرف حساب]]&gt;0,VLOOKUP(TArticle[[#This Row],[کد طرف حساب]],TContact[],7,FALSE)-SUMIF($M$2:M363,M363,$E$2:$E363),"")</f>
        <v/>
      </c>
      <c r="P363" s="21" t="str">
        <f>RIGHT(TArticle[[#This Row],[تاریخ]],2)</f>
        <v>29</v>
      </c>
      <c r="Q363" s="21">
        <f>VLOOKUP(TArticle[[#This Row],[تاریخ]],TDays[],16,FALSE)</f>
        <v>14</v>
      </c>
      <c r="R363" s="21" t="str">
        <f>RIGHT(LEFT(TArticle[[#This Row],[تاریخ]],7),2)</f>
        <v>03</v>
      </c>
      <c r="S363" s="21" t="str">
        <f>LEFT(TArticle[[#This Row],[تاریخ]],4)</f>
        <v>1402</v>
      </c>
      <c r="U363" s="21">
        <f>VLOOKUP(TArticle[[#This Row],[شناسه]],TAccount[],7,TRUE)</f>
        <v>0</v>
      </c>
      <c r="V363" s="21" t="s">
        <v>57</v>
      </c>
      <c r="W363" s="21">
        <f>IF(AND(TArticle[[#This Row],[مبلغ]]&gt;0, TArticle[[#This Row],[کد وضعیت سند]]=1),TArticle[[#This Row],[مبلغ]],0)</f>
        <v>0</v>
      </c>
      <c r="X363" s="21">
        <f>IF(AND(TArticle[[#This Row],[مبلغ]]&lt;0,TArticle[[#This Row],[کد وضعیت سند]]=1),0-TArticle[[#This Row],[مبلغ]],0)</f>
        <v>0</v>
      </c>
      <c r="Y363" s="21">
        <v>3</v>
      </c>
      <c r="Z363" s="171" t="str">
        <f>IF(TArticle[[#This Row],[کد بانک]]&gt;0,VLOOKUP(TArticle[[#This Row],[کد بانک]],TBank[],2,FALSE),"")</f>
        <v>تجارت</v>
      </c>
      <c r="AA363">
        <f>IF(AND(TArticle[[#This Row],[مبلغ]]&lt;0,TArticle[[#This Row],[کد وضعیت سند]]=1),0-TArticle[[#This Row],[مبلغ]],0)</f>
        <v>0</v>
      </c>
      <c r="AB363">
        <f>IF(AND(TArticle[[#This Row],[مبلغ]]&gt;0, TArticle[[#This Row],[کد وضعیت سند]]=1),TArticle[[#This Row],[مبلغ]],0)</f>
        <v>0</v>
      </c>
      <c r="AC363" s="84">
        <f>IF(TArticle[[#This Row],[کد بانک]]&gt;0,VLOOKUP(TArticle[[#This Row],[کد بانک]],TBank[],9,FALSE)+SUMIF($Y$2:Y363,Y363,$E$2:$E363),"")</f>
        <v>10</v>
      </c>
      <c r="AD363" s="1">
        <f>IFERROR(IF(INT(LEFT(TArticle[[#This Row],[شناسه]]))=3,IF(TArticle[[#This Row],[کد وضعیت سند]]=1,TArticle[مبلغ],0),0),0)</f>
        <v>0</v>
      </c>
      <c r="AE363" s="1">
        <f>IFERROR(IF(((TArticle[[#This Row],[شناسه]]))="4.1.1",IF(TArticle[[#This Row],[کد وضعیت سند]]=1,TArticle[مبلغ],0),0),0)</f>
        <v>0</v>
      </c>
      <c r="AF363" s="1">
        <f>IFERROR(IF(((TArticle[[#This Row],[شناسه]]))="4.1.2",IF(TArticle[[#This Row],[کد وضعیت سند]]=1,TArticle[مبلغ],0),0),0)</f>
        <v>0</v>
      </c>
      <c r="AG363" s="1">
        <f>IFERROR(IF(INT(LEFT(TArticle[[#This Row],[شناسه]]))=1,IF(TArticle[[#This Row],[کد وضعیت سند]]=1,TArticle[مبلغ],0),0),0)</f>
        <v>0</v>
      </c>
      <c r="AH363" s="1">
        <f>IFERROR(IF(INT(LEFT(TArticle[[#This Row],[شناسه]]))=2,IF(TArticle[[#This Row],[کد وضعیت سند]]=1,TArticle[مبلغ],0),0),0)</f>
        <v>0</v>
      </c>
      <c r="AI363" s="1">
        <f>IFERROR(IF((LEFT(TArticle[[#This Row],[شناسه]],3))="5.2",IF(TArticle[[#This Row],[کد وضعیت سند]]=1,TArticle[مبلغ],0),0),0)</f>
        <v>0</v>
      </c>
      <c r="AJ363" s="1">
        <f>IF(TArticle[[#This Row],[کد وضعیت سند]]=1,1,0)</f>
        <v>0</v>
      </c>
      <c r="AK363" s="1">
        <f>IF(AND(TArticle[[#This Row],[کد وضعیت سند]]&lt;&gt;1,TArticle[[#This Row],[مبلغ]]&lt;&gt;0),1,0)</f>
        <v>0</v>
      </c>
      <c r="AL363" s="51">
        <f>IF(TArticle[[#This Row],[کد بانک]]&gt;0,TArticle[[#This Row],[مانده بانک]]-VLOOKUP(TArticle[[#This Row],[کد بانک]],TBank[],7,FALSE),"")</f>
        <v>0</v>
      </c>
      <c r="AM363" s="58" t="str">
        <f>LEFT(TArticle[[#This Row],[تاریخ]],7)</f>
        <v>1402-03</v>
      </c>
    </row>
    <row r="364" spans="1:39" x14ac:dyDescent="0.25">
      <c r="A364" s="24"/>
      <c r="B364" s="49" t="str">
        <f>VLOOKUP(TArticle[[#This Row],[شناسه]],TAccount[],2,TRUE)</f>
        <v>---</v>
      </c>
      <c r="C364" s="49" t="str">
        <f>VLOOKUP(TArticle[[#This Row],[تاریخ]],TDays[],7,FALSE)</f>
        <v>چهارشنبه</v>
      </c>
      <c r="D364" s="21" t="s">
        <v>647</v>
      </c>
      <c r="F364" s="1">
        <f>TArticle[[#This Row],[مبلغ]]+IFERROR(INT(F363),30181+3667+958)</f>
        <v>30319</v>
      </c>
      <c r="G364" s="49"/>
      <c r="L364" s="171" t="str">
        <f>IF(TArticle[[#This Row],[کد وضعیت سند]]&gt;0,VLOOKUP(TArticle[[#This Row],[کد وضعیت سند]],TDocState[],2,FALSE),"")</f>
        <v/>
      </c>
      <c r="N364" s="171" t="str">
        <f>IF(TArticle[[#This Row],[کد طرف حساب]]&gt;0,VLOOKUP(TArticle[[#This Row],[کد طرف حساب]],TContact[],2,FALSE),"")</f>
        <v/>
      </c>
      <c r="O364" s="51" t="str">
        <f>IF(TArticle[[#This Row],[کد طرف حساب]]&gt;0,VLOOKUP(TArticle[[#This Row],[کد طرف حساب]],TContact[],7,FALSE)-SUMIF($M$2:M364,M364,$E$2:$E364),"")</f>
        <v/>
      </c>
      <c r="P364" s="27" t="str">
        <f>RIGHT(TArticle[[#This Row],[تاریخ]],2)</f>
        <v>31</v>
      </c>
      <c r="Q364" s="27">
        <f>VLOOKUP(TArticle[[#This Row],[تاریخ]],TDays[],16,FALSE)</f>
        <v>14</v>
      </c>
      <c r="R364" s="27" t="str">
        <f>RIGHT(LEFT(TArticle[[#This Row],[تاریخ]],7),2)</f>
        <v>03</v>
      </c>
      <c r="S364" s="27" t="str">
        <f>LEFT(TArticle[[#This Row],[تاریخ]],4)</f>
        <v>1402</v>
      </c>
      <c r="U364" s="21">
        <f>VLOOKUP(TArticle[[#This Row],[شناسه]],TAccount[],7,TRUE)</f>
        <v>0</v>
      </c>
      <c r="W364" s="21">
        <f>IF(AND(TArticle[[#This Row],[مبلغ]]&gt;0, TArticle[[#This Row],[کد وضعیت سند]]=1),TArticle[[#This Row],[مبلغ]],0)</f>
        <v>0</v>
      </c>
      <c r="X364" s="27">
        <f>IF(AND(TArticle[[#This Row],[مبلغ]]&lt;0,TArticle[[#This Row],[کد وضعیت سند]]=1),0-TArticle[[#This Row],[مبلغ]],0)</f>
        <v>0</v>
      </c>
      <c r="Y364" s="67">
        <v>2</v>
      </c>
      <c r="Z364" s="171" t="str">
        <f>IF(TArticle[[#This Row],[کد بانک]]&gt;0,VLOOKUP(TArticle[[#This Row],[کد بانک]],TBank[],2,FALSE),"")</f>
        <v>ملی جاری</v>
      </c>
      <c r="AA364">
        <f>IF(AND(TArticle[[#This Row],[مبلغ]]&lt;0,TArticle[[#This Row],[کد وضعیت سند]]=1),0-TArticle[[#This Row],[مبلغ]],0)</f>
        <v>0</v>
      </c>
      <c r="AB364">
        <f>IF(AND(TArticle[[#This Row],[مبلغ]]&gt;0, TArticle[[#This Row],[کد وضعیت سند]]=1),TArticle[[#This Row],[مبلغ]],0)</f>
        <v>0</v>
      </c>
      <c r="AC364" s="84">
        <f>IF(TArticle[[#This Row],[کد بانک]]&gt;0,VLOOKUP(TArticle[[#This Row],[کد بانک]],TBank[],9,FALSE)+SUMIF($Y$2:Y364,Y364,$E$2:$E364),"")</f>
        <v>33721</v>
      </c>
      <c r="AD364" s="1">
        <f>IFERROR(IF(INT(LEFT(TArticle[[#This Row],[شناسه]]))=3,IF(TArticle[[#This Row],[کد وضعیت سند]]=1,TArticle[مبلغ],0),0),0)</f>
        <v>0</v>
      </c>
      <c r="AE364" s="1">
        <f>IFERROR(IF(((TArticle[[#This Row],[شناسه]]))="4.1.1",IF(TArticle[[#This Row],[کد وضعیت سند]]=1,TArticle[مبلغ],0),0),0)</f>
        <v>0</v>
      </c>
      <c r="AF364" s="1">
        <f>IFERROR(IF(((TArticle[[#This Row],[شناسه]]))="4.1.2",IF(TArticle[[#This Row],[کد وضعیت سند]]=1,TArticle[مبلغ],0),0),0)</f>
        <v>0</v>
      </c>
      <c r="AG364" s="1">
        <f>IFERROR(IF(INT(LEFT(TArticle[[#This Row],[شناسه]]))=1,IF(TArticle[[#This Row],[کد وضعیت سند]]=1,TArticle[مبلغ],0),0),0)</f>
        <v>0</v>
      </c>
      <c r="AH364" s="1">
        <f>IFERROR(IF(INT(LEFT(TArticle[[#This Row],[شناسه]]))=2,IF(TArticle[[#This Row],[کد وضعیت سند]]=1,TArticle[مبلغ],0),0),0)</f>
        <v>0</v>
      </c>
      <c r="AI364" s="1">
        <f>IFERROR(IF((LEFT(TArticle[[#This Row],[شناسه]],3))="5.2",IF(TArticle[[#This Row],[کد وضعیت سند]]=1,TArticle[مبلغ],0),0),0)</f>
        <v>0</v>
      </c>
      <c r="AJ364" s="1">
        <f>IF(TArticle[[#This Row],[کد وضعیت سند]]=1,1,0)</f>
        <v>0</v>
      </c>
      <c r="AK364" s="1">
        <f>IF(AND(TArticle[[#This Row],[کد وضعیت سند]]&lt;&gt;1,TArticle[[#This Row],[مبلغ]]&lt;&gt;0),1,0)</f>
        <v>0</v>
      </c>
      <c r="AL364" s="51">
        <f>IF(TArticle[[#This Row],[کد بانک]]&gt;0,TArticle[[#This Row],[مانده بانک]]-VLOOKUP(TArticle[[#This Row],[کد بانک]],TBank[],7,FALSE),"")</f>
        <v>33721</v>
      </c>
      <c r="AM364" s="49" t="str">
        <f>LEFT(TArticle[[#This Row],[تاریخ]],7)</f>
        <v>1402-03</v>
      </c>
    </row>
    <row r="365" spans="1:39" x14ac:dyDescent="0.25">
      <c r="A365" s="24" t="s">
        <v>43</v>
      </c>
      <c r="B365" s="49" t="str">
        <f>VLOOKUP(TArticle[[#This Row],[شناسه]],TAccount[],2,TRUE)</f>
        <v>حقوق</v>
      </c>
      <c r="C365" s="49" t="str">
        <f>VLOOKUP(TArticle[[#This Row],[تاریخ]],TDays[],7,FALSE)</f>
        <v>پنجشنبه</v>
      </c>
      <c r="D365" s="21" t="s">
        <v>648</v>
      </c>
      <c r="E365" s="1">
        <v>36000</v>
      </c>
      <c r="F365" s="1">
        <f>TArticle[[#This Row],[مبلغ]]+IFERROR(INT(F364),30181+3667+958)</f>
        <v>66319</v>
      </c>
      <c r="G365" s="49"/>
      <c r="H365" s="64"/>
      <c r="J365" s="65"/>
      <c r="K365" s="64">
        <v>2</v>
      </c>
      <c r="L365" s="171" t="str">
        <f>IF(TArticle[[#This Row],[کد وضعیت سند]]&gt;0,VLOOKUP(TArticle[[#This Row],[کد وضعیت سند]],TDocState[],2,FALSE),"")</f>
        <v>قطعی</v>
      </c>
      <c r="M365" s="67"/>
      <c r="N365" s="171" t="str">
        <f>IF(TArticle[[#This Row],[کد طرف حساب]]&gt;0,VLOOKUP(TArticle[[#This Row],[کد طرف حساب]],TContact[],2,FALSE),"")</f>
        <v/>
      </c>
      <c r="O365" s="68" t="str">
        <f>IF(TArticle[[#This Row],[کد طرف حساب]]&gt;0,VLOOKUP(TArticle[[#This Row],[کد طرف حساب]],TContact[],7,FALSE)-SUMIF($M$2:M365,M365,$E$2:$E365),"")</f>
        <v/>
      </c>
      <c r="P365" s="67" t="str">
        <f>RIGHT(TArticle[[#This Row],[تاریخ]],2)</f>
        <v>01</v>
      </c>
      <c r="Q365" s="67">
        <f>VLOOKUP(TArticle[[#This Row],[تاریخ]],TDays[],16,FALSE)</f>
        <v>14</v>
      </c>
      <c r="R365" s="67" t="str">
        <f>RIGHT(LEFT(TArticle[[#This Row],[تاریخ]],7),2)</f>
        <v>04</v>
      </c>
      <c r="S365" s="67" t="str">
        <f>LEFT(TArticle[[#This Row],[تاریخ]],4)</f>
        <v>1402</v>
      </c>
      <c r="T365" s="64"/>
      <c r="U365" s="64">
        <f>VLOOKUP(TArticle[[#This Row],[شناسه]],TAccount[],7,TRUE)</f>
        <v>416023</v>
      </c>
      <c r="V365" s="64"/>
      <c r="W365" s="64">
        <f>IF(AND(TArticle[[#This Row],[مبلغ]]&gt;0, TArticle[[#This Row],[کد وضعیت سند]]=1),TArticle[[#This Row],[مبلغ]],0)</f>
        <v>0</v>
      </c>
      <c r="X365" s="67">
        <f>IF(AND(TArticle[[#This Row],[مبلغ]]&lt;0,TArticle[[#This Row],[کد وضعیت سند]]=1),0-TArticle[[#This Row],[مبلغ]],0)</f>
        <v>0</v>
      </c>
      <c r="Y365" s="27">
        <v>2</v>
      </c>
      <c r="Z365" s="171" t="str">
        <f>IF(TArticle[[#This Row],[کد بانک]]&gt;0,VLOOKUP(TArticle[[#This Row],[کد بانک]],TBank[],2,FALSE),"")</f>
        <v>ملی جاری</v>
      </c>
      <c r="AA365">
        <f>IF(AND(TArticle[[#This Row],[مبلغ]]&lt;0,TArticle[[#This Row],[کد وضعیت سند]]=1),0-TArticle[[#This Row],[مبلغ]],0)</f>
        <v>0</v>
      </c>
      <c r="AB365">
        <f>IF(AND(TArticle[[#This Row],[مبلغ]]&gt;0, TArticle[[#This Row],[کد وضعیت سند]]=1),TArticle[[#This Row],[مبلغ]],0)</f>
        <v>0</v>
      </c>
      <c r="AC365" s="93">
        <f>IF(TArticle[[#This Row],[کد بانک]]&gt;0,VLOOKUP(TArticle[[#This Row],[کد بانک]],TBank[],9,FALSE)+SUMIF($Y$2:Y365,Y365,$E$2:$E365),"")</f>
        <v>69721</v>
      </c>
      <c r="AD365" s="1">
        <f>IFERROR(IF(INT(LEFT(TArticle[[#This Row],[شناسه]]))=3,IF(TArticle[[#This Row],[کد وضعیت سند]]=1,TArticle[مبلغ],0),0),0)</f>
        <v>0</v>
      </c>
      <c r="AE365" s="1">
        <f>IFERROR(IF(((TArticle[[#This Row],[شناسه]]))="4.1.1",IF(TArticle[[#This Row],[کد وضعیت سند]]=1,TArticle[مبلغ],0),0),0)</f>
        <v>0</v>
      </c>
      <c r="AF365" s="1">
        <f>IFERROR(IF(((TArticle[[#This Row],[شناسه]]))="4.1.2",IF(TArticle[[#This Row],[کد وضعیت سند]]=1,TArticle[مبلغ],0),0),0)</f>
        <v>0</v>
      </c>
      <c r="AG365" s="1">
        <f>IFERROR(IF(INT(LEFT(TArticle[[#This Row],[شناسه]]))=1,IF(TArticle[[#This Row],[کد وضعیت سند]]=1,TArticle[مبلغ],0),0),0)</f>
        <v>0</v>
      </c>
      <c r="AH365" s="1">
        <f>IFERROR(IF(INT(LEFT(TArticle[[#This Row],[شناسه]]))=2,IF(TArticle[[#This Row],[کد وضعیت سند]]=1,TArticle[مبلغ],0),0),0)</f>
        <v>0</v>
      </c>
      <c r="AI365" s="1">
        <f>IFERROR(IF((LEFT(TArticle[[#This Row],[شناسه]],3))="5.2",IF(TArticle[[#This Row],[کد وضعیت سند]]=1,TArticle[مبلغ],0),0),0)</f>
        <v>0</v>
      </c>
      <c r="AJ365" s="1">
        <f>IF(TArticle[[#This Row],[کد وضعیت سند]]=1,1,0)</f>
        <v>0</v>
      </c>
      <c r="AK365" s="1">
        <f>IF(AND(TArticle[[#This Row],[کد وضعیت سند]]&lt;&gt;1,TArticle[[#This Row],[مبلغ]]&lt;&gt;0),1,0)</f>
        <v>1</v>
      </c>
      <c r="AL365" s="78">
        <f>IF(TArticle[[#This Row],[کد بانک]]&gt;0,TArticle[[#This Row],[مانده بانک]]-VLOOKUP(TArticle[[#This Row],[کد بانک]],TBank[],7,FALSE),"")</f>
        <v>69721</v>
      </c>
      <c r="AM365" s="69" t="str">
        <f>LEFT(TArticle[[#This Row],[تاریخ]],7)</f>
        <v>1402-04</v>
      </c>
    </row>
    <row r="366" spans="1:39" x14ac:dyDescent="0.25">
      <c r="A366" s="24" t="s">
        <v>1608</v>
      </c>
      <c r="B366" s="49" t="str">
        <f>VLOOKUP(TArticle[[#This Row],[شناسه]],TAccount[],2,TRUE)</f>
        <v>بن کارت</v>
      </c>
      <c r="C366" s="49" t="str">
        <f>VLOOKUP(TArticle[[#This Row],[تاریخ]],TDays[],7,FALSE)</f>
        <v>پنجشنبه</v>
      </c>
      <c r="D366" s="21" t="s">
        <v>648</v>
      </c>
      <c r="E366" s="1">
        <v>1700</v>
      </c>
      <c r="F366" s="1">
        <f>TArticle[[#This Row],[مبلغ]]+IFERROR(INT(F365),30181+3667+958)</f>
        <v>68019</v>
      </c>
      <c r="G366" s="49"/>
      <c r="J366" s="51"/>
      <c r="K366" s="64">
        <v>2</v>
      </c>
      <c r="L366" s="171" t="str">
        <f>IF(TArticle[[#This Row],[کد وضعیت سند]]&gt;0,VLOOKUP(TArticle[[#This Row],[کد وضعیت سند]],TDocState[],2,FALSE),"")</f>
        <v>قطعی</v>
      </c>
      <c r="N366" s="171" t="str">
        <f>IF(TArticle[[#This Row],[کد طرف حساب]]&gt;0,VLOOKUP(TArticle[[#This Row],[کد طرف حساب]],TContact[],2,FALSE),"")</f>
        <v/>
      </c>
      <c r="O366" s="60" t="str">
        <f>IF(TArticle[[#This Row],[کد طرف حساب]]&gt;0,VLOOKUP(TArticle[[#This Row],[کد طرف حساب]],TContact[],7,FALSE)-SUMIF($M$2:M366,M366,$E$2:$E366),"")</f>
        <v/>
      </c>
      <c r="P366" s="27" t="str">
        <f>RIGHT(TArticle[[#This Row],[تاریخ]],2)</f>
        <v>01</v>
      </c>
      <c r="Q366" s="27">
        <f>VLOOKUP(TArticle[[#This Row],[تاریخ]],TDays[],16,FALSE)</f>
        <v>14</v>
      </c>
      <c r="R366" s="27" t="str">
        <f>RIGHT(LEFT(TArticle[[#This Row],[تاریخ]],7),2)</f>
        <v>04</v>
      </c>
      <c r="S366" s="27" t="str">
        <f>LEFT(TArticle[[#This Row],[تاریخ]],4)</f>
        <v>1402</v>
      </c>
      <c r="U366" s="21">
        <f>VLOOKUP(TArticle[[#This Row],[شناسه]],TAccount[],7,TRUE)</f>
        <v>3000</v>
      </c>
      <c r="W366" s="21">
        <f>IF(AND(TArticle[[#This Row],[مبلغ]]&gt;0, TArticle[[#This Row],[کد وضعیت سند]]=1),TArticle[[#This Row],[مبلغ]],0)</f>
        <v>0</v>
      </c>
      <c r="X366" s="27">
        <f>IF(AND(TArticle[[#This Row],[مبلغ]]&lt;0,TArticle[[#This Row],[کد وضعیت سند]]=1),0-TArticle[[#This Row],[مبلغ]],0)</f>
        <v>0</v>
      </c>
      <c r="Y366" s="27">
        <v>2</v>
      </c>
      <c r="Z366" s="171" t="str">
        <f>IF(TArticle[[#This Row],[کد بانک]]&gt;0,VLOOKUP(TArticle[[#This Row],[کد بانک]],TBank[],2,FALSE),"")</f>
        <v>ملی جاری</v>
      </c>
      <c r="AA366">
        <f>IF(AND(TArticle[[#This Row],[مبلغ]]&lt;0,TArticle[[#This Row],[کد وضعیت سند]]=1),0-TArticle[[#This Row],[مبلغ]],0)</f>
        <v>0</v>
      </c>
      <c r="AB366">
        <f>IF(AND(TArticle[[#This Row],[مبلغ]]&gt;0, TArticle[[#This Row],[کد وضعیت سند]]=1),TArticle[[#This Row],[مبلغ]],0)</f>
        <v>0</v>
      </c>
      <c r="AC366" s="92">
        <f>IF(TArticle[[#This Row],[کد بانک]]&gt;0,VLOOKUP(TArticle[[#This Row],[کد بانک]],TBank[],9,FALSE)+SUMIF($Y$2:Y366,Y366,$E$2:$E366),"")</f>
        <v>71421</v>
      </c>
      <c r="AD366" s="1">
        <f>IFERROR(IF(INT(LEFT(TArticle[[#This Row],[شناسه]]))=3,IF(TArticle[[#This Row],[کد وضعیت سند]]=1,TArticle[مبلغ],0),0),0)</f>
        <v>0</v>
      </c>
      <c r="AE366" s="1">
        <f>IFERROR(IF(((TArticle[[#This Row],[شناسه]]))="4.1.1",IF(TArticle[[#This Row],[کد وضعیت سند]]=1,TArticle[مبلغ],0),0),0)</f>
        <v>0</v>
      </c>
      <c r="AF366" s="1">
        <f>IFERROR(IF(((TArticle[[#This Row],[شناسه]]))="4.1.2",IF(TArticle[[#This Row],[کد وضعیت سند]]=1,TArticle[مبلغ],0),0),0)</f>
        <v>0</v>
      </c>
      <c r="AG366" s="1">
        <f>IFERROR(IF(INT(LEFT(TArticle[[#This Row],[شناسه]]))=1,IF(TArticle[[#This Row],[کد وضعیت سند]]=1,TArticle[مبلغ],0),0),0)</f>
        <v>0</v>
      </c>
      <c r="AH366" s="1">
        <f>IFERROR(IF(INT(LEFT(TArticle[[#This Row],[شناسه]]))=2,IF(TArticle[[#This Row],[کد وضعیت سند]]=1,TArticle[مبلغ],0),0),0)</f>
        <v>0</v>
      </c>
      <c r="AI366" s="1">
        <f>IFERROR(IF((LEFT(TArticle[[#This Row],[شناسه]],3))="5.2",IF(TArticle[[#This Row],[کد وضعیت سند]]=1,TArticle[مبلغ],0),0),0)</f>
        <v>0</v>
      </c>
      <c r="AJ366" s="1">
        <f>IF(TArticle[[#This Row],[کد وضعیت سند]]=1,1,0)</f>
        <v>0</v>
      </c>
      <c r="AK366" s="1">
        <f>IF(AND(TArticle[[#This Row],[کد وضعیت سند]]&lt;&gt;1,TArticle[[#This Row],[مبلغ]]&lt;&gt;0),1,0)</f>
        <v>1</v>
      </c>
      <c r="AL366" s="51">
        <f>IF(TArticle[[#This Row],[کد بانک]]&gt;0,TArticle[[#This Row],[مانده بانک]]-VLOOKUP(TArticle[[#This Row],[کد بانک]],TBank[],7,FALSE),"")</f>
        <v>71421</v>
      </c>
      <c r="AM366" s="58" t="str">
        <f>LEFT(TArticle[[#This Row],[تاریخ]],7)</f>
        <v>1402-04</v>
      </c>
    </row>
    <row r="367" spans="1:39" x14ac:dyDescent="0.25">
      <c r="A367" s="24" t="s">
        <v>1110</v>
      </c>
      <c r="B367" s="49" t="str">
        <f>VLOOKUP(TArticle[[#This Row],[شناسه]],TAccount[],2,TRUE)</f>
        <v>قسط وام بانکی</v>
      </c>
      <c r="C367" s="49" t="str">
        <f>VLOOKUP(TArticle[[#This Row],[تاریخ]],TDays[],7,FALSE)</f>
        <v>شنبه</v>
      </c>
      <c r="D367" s="21" t="s">
        <v>650</v>
      </c>
      <c r="E367" s="1">
        <v>-1830</v>
      </c>
      <c r="F367" s="1">
        <f>TArticle[[#This Row],[مبلغ]]+IFERROR(INT(F366),30181+3667+958)</f>
        <v>66189</v>
      </c>
      <c r="G367" s="49" t="s">
        <v>1591</v>
      </c>
      <c r="H367" s="21">
        <v>25</v>
      </c>
      <c r="K367" s="21">
        <v>2</v>
      </c>
      <c r="L367" s="171" t="str">
        <f>IF(TArticle[[#This Row],[کد وضعیت سند]]&gt;0,VLOOKUP(TArticle[[#This Row],[کد وضعیت سند]],TDocState[],2,FALSE),"")</f>
        <v>قطعی</v>
      </c>
      <c r="M367" s="27">
        <v>110</v>
      </c>
      <c r="N367" s="171" t="str">
        <f>IF(TArticle[[#This Row],[کد طرف حساب]]&gt;0,VLOOKUP(TArticle[[#This Row],[کد طرف حساب]],TContact[],2,FALSE),"")</f>
        <v>وام ملت</v>
      </c>
      <c r="O367" s="61">
        <f>IF(TArticle[[#This Row],[کد طرف حساب]]&gt;0,VLOOKUP(TArticle[[#This Row],[کد طرف حساب]],TContact[],7,FALSE)-SUMIF($M$2:M367,M367,$E$2:$E367),"")</f>
        <v>-18890</v>
      </c>
      <c r="P367" s="27" t="str">
        <f>RIGHT(TArticle[[#This Row],[تاریخ]],2)</f>
        <v>03</v>
      </c>
      <c r="Q367" s="27">
        <f>VLOOKUP(TArticle[[#This Row],[تاریخ]],TDays[],16,FALSE)</f>
        <v>14</v>
      </c>
      <c r="R367" s="27" t="str">
        <f>RIGHT(LEFT(TArticle[[#This Row],[تاریخ]],7),2)</f>
        <v>04</v>
      </c>
      <c r="S367" s="27" t="str">
        <f>LEFT(TArticle[[#This Row],[تاریخ]],4)</f>
        <v>1402</v>
      </c>
      <c r="U367" s="21">
        <f>VLOOKUP(TArticle[[#This Row],[شناسه]],TAccount[],7,TRUE)</f>
        <v>81652</v>
      </c>
      <c r="V367" s="21" t="s">
        <v>650</v>
      </c>
      <c r="W367" s="21">
        <f>IF(AND(TArticle[[#This Row],[مبلغ]]&gt;0, TArticle[[#This Row],[کد وضعیت سند]]=1),TArticle[[#This Row],[مبلغ]],0)</f>
        <v>0</v>
      </c>
      <c r="X367" s="27">
        <f>IF(AND(TArticle[[#This Row],[مبلغ]]&lt;0,TArticle[[#This Row],[کد وضعیت سند]]=1),0-TArticle[[#This Row],[مبلغ]],0)</f>
        <v>0</v>
      </c>
      <c r="Y367" s="27">
        <v>2</v>
      </c>
      <c r="Z367" s="171" t="str">
        <f>IF(TArticle[[#This Row],[کد بانک]]&gt;0,VLOOKUP(TArticle[[#This Row],[کد بانک]],TBank[],2,FALSE),"")</f>
        <v>ملی جاری</v>
      </c>
      <c r="AA367">
        <f>IF(AND(TArticle[[#This Row],[مبلغ]]&lt;0,TArticle[[#This Row],[کد وضعیت سند]]=1),0-TArticle[[#This Row],[مبلغ]],0)</f>
        <v>0</v>
      </c>
      <c r="AB367">
        <f>IF(AND(TArticle[[#This Row],[مبلغ]]&gt;0, TArticle[[#This Row],[کد وضعیت سند]]=1),TArticle[[#This Row],[مبلغ]],0)</f>
        <v>0</v>
      </c>
      <c r="AC367" s="84">
        <f>IF(TArticle[[#This Row],[کد بانک]]&gt;0,VLOOKUP(TArticle[[#This Row],[کد بانک]],TBank[],9,FALSE)+SUMIF($Y$2:Y367,Y367,$E$2:$E367),"")</f>
        <v>69591</v>
      </c>
      <c r="AD367" s="1">
        <f>IFERROR(IF(INT(LEFT(TArticle[[#This Row],[شناسه]]))=3,IF(TArticle[[#This Row],[کد وضعیت سند]]=1,TArticle[مبلغ],0),0),0)</f>
        <v>0</v>
      </c>
      <c r="AE367" s="1">
        <f>IFERROR(IF(((TArticle[[#This Row],[شناسه]]))="4.1.1",IF(TArticle[[#This Row],[کد وضعیت سند]]=1,TArticle[مبلغ],0),0),0)</f>
        <v>0</v>
      </c>
      <c r="AF367" s="1">
        <f>IFERROR(IF(((TArticle[[#This Row],[شناسه]]))="4.1.2",IF(TArticle[[#This Row],[کد وضعیت سند]]=1,TArticle[مبلغ],0),0),0)</f>
        <v>0</v>
      </c>
      <c r="AG367" s="1">
        <f>IFERROR(IF(INT(LEFT(TArticle[[#This Row],[شناسه]]))=1,IF(TArticle[[#This Row],[کد وضعیت سند]]=1,TArticle[مبلغ],0),0),0)</f>
        <v>0</v>
      </c>
      <c r="AH367" s="1">
        <f>IFERROR(IF(INT(LEFT(TArticle[[#This Row],[شناسه]]))=2,IF(TArticle[[#This Row],[کد وضعیت سند]]=1,TArticle[مبلغ],0),0),0)</f>
        <v>0</v>
      </c>
      <c r="AI367" s="1">
        <f>IFERROR(IF((LEFT(TArticle[[#This Row],[شناسه]],3))="5.2",IF(TArticle[[#This Row],[کد وضعیت سند]]=1,TArticle[مبلغ],0),0),0)</f>
        <v>0</v>
      </c>
      <c r="AJ367" s="1">
        <f>IF(TArticle[[#This Row],[کد وضعیت سند]]=1,1,0)</f>
        <v>0</v>
      </c>
      <c r="AK367" s="1">
        <f>IF(AND(TArticle[[#This Row],[کد وضعیت سند]]&lt;&gt;1,TArticle[[#This Row],[مبلغ]]&lt;&gt;0),1,0)</f>
        <v>1</v>
      </c>
      <c r="AL367" s="51">
        <f>IF(TArticle[[#This Row],[کد بانک]]&gt;0,TArticle[[#This Row],[مانده بانک]]-VLOOKUP(TArticle[[#This Row],[کد بانک]],TBank[],7,FALSE),"")</f>
        <v>69591</v>
      </c>
      <c r="AM367" s="49" t="str">
        <f>LEFT(TArticle[[#This Row],[تاریخ]],7)</f>
        <v>1402-04</v>
      </c>
    </row>
    <row r="368" spans="1:39" x14ac:dyDescent="0.25">
      <c r="A368" s="24" t="s">
        <v>1110</v>
      </c>
      <c r="B368" s="49" t="str">
        <f>VLOOKUP(TArticle[[#This Row],[شناسه]],TAccount[],2,TRUE)</f>
        <v>قسط وام بانکی</v>
      </c>
      <c r="C368" s="49" t="str">
        <f>VLOOKUP(TArticle[[#This Row],[تاریخ]],TDays[],7,FALSE)</f>
        <v>شنبه</v>
      </c>
      <c r="D368" s="21" t="s">
        <v>650</v>
      </c>
      <c r="E368" s="1">
        <v>-1830</v>
      </c>
      <c r="F368" s="1">
        <f>TArticle[[#This Row],[مبلغ]]+IFERROR(INT(F367),30181+3667+958)</f>
        <v>64359</v>
      </c>
      <c r="G368" s="49" t="s">
        <v>1591</v>
      </c>
      <c r="H368" s="21">
        <v>25</v>
      </c>
      <c r="K368" s="21">
        <v>2</v>
      </c>
      <c r="L368" s="171" t="str">
        <f>IF(TArticle[[#This Row],[کد وضعیت سند]]&gt;0,VLOOKUP(TArticle[[#This Row],[کد وضعیت سند]],TDocState[],2,FALSE),"")</f>
        <v>قطعی</v>
      </c>
      <c r="M368" s="27">
        <v>111</v>
      </c>
      <c r="N368" s="171" t="str">
        <f>IF(TArticle[[#This Row],[کد طرف حساب]]&gt;0,VLOOKUP(TArticle[[#This Row],[کد طرف حساب]],TContact[],2,FALSE),"")</f>
        <v>وام ملت ف</v>
      </c>
      <c r="O368" s="61">
        <f>IF(TArticle[[#This Row],[کد طرف حساب]]&gt;0,VLOOKUP(TArticle[[#This Row],[کد طرف حساب]],TContact[],7,FALSE)-SUMIF($M$2:M368,M368,$E$2:$E368),"")</f>
        <v>-18890</v>
      </c>
      <c r="P368" s="27" t="str">
        <f>RIGHT(TArticle[[#This Row],[تاریخ]],2)</f>
        <v>03</v>
      </c>
      <c r="Q368" s="27">
        <f>VLOOKUP(TArticle[[#This Row],[تاریخ]],TDays[],16,FALSE)</f>
        <v>14</v>
      </c>
      <c r="R368" s="27" t="str">
        <f>RIGHT(LEFT(TArticle[[#This Row],[تاریخ]],7),2)</f>
        <v>04</v>
      </c>
      <c r="S368" s="27" t="str">
        <f>LEFT(TArticle[[#This Row],[تاریخ]],4)</f>
        <v>1402</v>
      </c>
      <c r="U368" s="21">
        <f>VLOOKUP(TArticle[[#This Row],[شناسه]],TAccount[],7,TRUE)</f>
        <v>81652</v>
      </c>
      <c r="V368" s="21" t="s">
        <v>650</v>
      </c>
      <c r="W368" s="21">
        <f>IF(AND(TArticle[[#This Row],[مبلغ]]&gt;0, TArticle[[#This Row],[کد وضعیت سند]]=1),TArticle[[#This Row],[مبلغ]],0)</f>
        <v>0</v>
      </c>
      <c r="X368" s="27">
        <f>IF(AND(TArticle[[#This Row],[مبلغ]]&lt;0,TArticle[[#This Row],[کد وضعیت سند]]=1),0-TArticle[[#This Row],[مبلغ]],0)</f>
        <v>0</v>
      </c>
      <c r="Y368" s="27">
        <v>2</v>
      </c>
      <c r="Z368" s="171" t="str">
        <f>IF(TArticle[[#This Row],[کد بانک]]&gt;0,VLOOKUP(TArticle[[#This Row],[کد بانک]],TBank[],2,FALSE),"")</f>
        <v>ملی جاری</v>
      </c>
      <c r="AA368">
        <f>IF(AND(TArticle[[#This Row],[مبلغ]]&lt;0,TArticle[[#This Row],[کد وضعیت سند]]=1),0-TArticle[[#This Row],[مبلغ]],0)</f>
        <v>0</v>
      </c>
      <c r="AB368">
        <f>IF(AND(TArticle[[#This Row],[مبلغ]]&gt;0, TArticle[[#This Row],[کد وضعیت سند]]=1),TArticle[[#This Row],[مبلغ]],0)</f>
        <v>0</v>
      </c>
      <c r="AC368" s="84">
        <f>IF(TArticle[[#This Row],[کد بانک]]&gt;0,VLOOKUP(TArticle[[#This Row],[کد بانک]],TBank[],9,FALSE)+SUMIF($Y$2:Y368,Y368,$E$2:$E368),"")</f>
        <v>67761</v>
      </c>
      <c r="AD368" s="1">
        <f>IFERROR(IF(INT(LEFT(TArticle[[#This Row],[شناسه]]))=3,IF(TArticle[[#This Row],[کد وضعیت سند]]=1,TArticle[مبلغ],0),0),0)</f>
        <v>0</v>
      </c>
      <c r="AE368" s="1">
        <f>IFERROR(IF(((TArticle[[#This Row],[شناسه]]))="4.1.1",IF(TArticle[[#This Row],[کد وضعیت سند]]=1,TArticle[مبلغ],0),0),0)</f>
        <v>0</v>
      </c>
      <c r="AF368" s="1">
        <f>IFERROR(IF(((TArticle[[#This Row],[شناسه]]))="4.1.2",IF(TArticle[[#This Row],[کد وضعیت سند]]=1,TArticle[مبلغ],0),0),0)</f>
        <v>0</v>
      </c>
      <c r="AG368" s="1">
        <f>IFERROR(IF(INT(LEFT(TArticle[[#This Row],[شناسه]]))=1,IF(TArticle[[#This Row],[کد وضعیت سند]]=1,TArticle[مبلغ],0),0),0)</f>
        <v>0</v>
      </c>
      <c r="AH368" s="1">
        <f>IFERROR(IF(INT(LEFT(TArticle[[#This Row],[شناسه]]))=2,IF(TArticle[[#This Row],[کد وضعیت سند]]=1,TArticle[مبلغ],0),0),0)</f>
        <v>0</v>
      </c>
      <c r="AI368" s="1">
        <f>IFERROR(IF((LEFT(TArticle[[#This Row],[شناسه]],3))="5.2",IF(TArticle[[#This Row],[کد وضعیت سند]]=1,TArticle[مبلغ],0),0),0)</f>
        <v>0</v>
      </c>
      <c r="AJ368" s="1">
        <f>IF(TArticle[[#This Row],[کد وضعیت سند]]=1,1,0)</f>
        <v>0</v>
      </c>
      <c r="AK368" s="1">
        <f>IF(AND(TArticle[[#This Row],[کد وضعیت سند]]&lt;&gt;1,TArticle[[#This Row],[مبلغ]]&lt;&gt;0),1,0)</f>
        <v>1</v>
      </c>
      <c r="AL368" s="51">
        <f>IF(TArticle[[#This Row],[کد بانک]]&gt;0,TArticle[[#This Row],[مانده بانک]]-VLOOKUP(TArticle[[#This Row],[کد بانک]],TBank[],7,FALSE),"")</f>
        <v>67761</v>
      </c>
      <c r="AM368" s="49" t="str">
        <f>LEFT(TArticle[[#This Row],[تاریخ]],7)</f>
        <v>1402-04</v>
      </c>
    </row>
    <row r="369" spans="1:39" x14ac:dyDescent="0.25">
      <c r="A369" s="24" t="s">
        <v>1110</v>
      </c>
      <c r="B369" s="49" t="str">
        <f>VLOOKUP(TArticle[[#This Row],[شناسه]],TAccount[],2,TRUE)</f>
        <v>قسط وام بانکی</v>
      </c>
      <c r="C369" s="49" t="str">
        <f>VLOOKUP(TArticle[[#This Row],[تاریخ]],TDays[],7,FALSE)</f>
        <v>یکشنبه</v>
      </c>
      <c r="D369" s="21" t="s">
        <v>651</v>
      </c>
      <c r="E369" s="1">
        <v>-532</v>
      </c>
      <c r="F369" s="1">
        <f>TArticle[[#This Row],[مبلغ]]+IFERROR(INT(F368),30181+3667+958)</f>
        <v>63827</v>
      </c>
      <c r="G369" s="49"/>
      <c r="H369" s="21">
        <v>4</v>
      </c>
      <c r="K369" s="64">
        <v>2</v>
      </c>
      <c r="L369" s="171" t="str">
        <f>IF(TArticle[[#This Row],[کد وضعیت سند]]&gt;0,VLOOKUP(TArticle[[#This Row],[کد وضعیت سند]],TDocState[],2,FALSE),"")</f>
        <v>قطعی</v>
      </c>
      <c r="M369" s="67">
        <v>116</v>
      </c>
      <c r="N369" s="171" t="str">
        <f>IF(TArticle[[#This Row],[کد طرف حساب]]&gt;0,VLOOKUP(TArticle[[#This Row],[کد طرف حساب]],TContact[],2,FALSE),"")</f>
        <v>وام امتیازی مهر</v>
      </c>
      <c r="O369" s="51">
        <f>IF(TArticle[[#This Row],[کد طرف حساب]]&gt;0,VLOOKUP(TArticle[[#This Row],[کد طرف حساب]],TContact[],7,FALSE)-SUMIF($M$2:M369,M369,$E$2:$E369),"")</f>
        <v>-10104</v>
      </c>
      <c r="P369" s="27" t="str">
        <f>RIGHT(TArticle[[#This Row],[تاریخ]],2)</f>
        <v>04</v>
      </c>
      <c r="Q369" s="27">
        <f>VLOOKUP(TArticle[[#This Row],[تاریخ]],TDays[],16,FALSE)</f>
        <v>15</v>
      </c>
      <c r="R369" s="27" t="str">
        <f>RIGHT(LEFT(TArticle[[#This Row],[تاریخ]],7),2)</f>
        <v>04</v>
      </c>
      <c r="S369" s="27" t="str">
        <f>LEFT(TArticle[[#This Row],[تاریخ]],4)</f>
        <v>1402</v>
      </c>
      <c r="U369" s="21">
        <f>VLOOKUP(TArticle[[#This Row],[شناسه]],TAccount[],7,TRUE)</f>
        <v>81652</v>
      </c>
      <c r="W369" s="21">
        <f>IF(AND(TArticle[[#This Row],[مبلغ]]&gt;0, TArticle[[#This Row],[کد وضعیت سند]]=1),TArticle[[#This Row],[مبلغ]],0)</f>
        <v>0</v>
      </c>
      <c r="X369" s="27">
        <f>IF(AND(TArticle[[#This Row],[مبلغ]]&lt;0,TArticle[[#This Row],[کد وضعیت سند]]=1),0-TArticle[[#This Row],[مبلغ]],0)</f>
        <v>0</v>
      </c>
      <c r="Y369" s="27">
        <v>2</v>
      </c>
      <c r="Z369" s="171" t="str">
        <f>IF(TArticle[[#This Row],[کد بانک]]&gt;0,VLOOKUP(TArticle[[#This Row],[کد بانک]],TBank[],2,FALSE),"")</f>
        <v>ملی جاری</v>
      </c>
      <c r="AA369">
        <f>IF(AND(TArticle[[#This Row],[مبلغ]]&lt;0,TArticle[[#This Row],[کد وضعیت سند]]=1),0-TArticle[[#This Row],[مبلغ]],0)</f>
        <v>0</v>
      </c>
      <c r="AB369">
        <f>IF(AND(TArticle[[#This Row],[مبلغ]]&gt;0, TArticle[[#This Row],[کد وضعیت سند]]=1),TArticle[[#This Row],[مبلغ]],0)</f>
        <v>0</v>
      </c>
      <c r="AC369" s="84">
        <f>IF(TArticle[[#This Row],[کد بانک]]&gt;0,VLOOKUP(TArticle[[#This Row],[کد بانک]],TBank[],9,FALSE)+SUMIF($Y$2:Y369,Y369,$E$2:$E369),"")</f>
        <v>67229</v>
      </c>
      <c r="AD369" s="1">
        <f>IFERROR(IF(INT(LEFT(TArticle[[#This Row],[شناسه]]))=3,IF(TArticle[[#This Row],[کد وضعیت سند]]=1,TArticle[مبلغ],0),0),0)</f>
        <v>0</v>
      </c>
      <c r="AE369" s="1">
        <f>IFERROR(IF(((TArticle[[#This Row],[شناسه]]))="4.1.1",IF(TArticle[[#This Row],[کد وضعیت سند]]=1,TArticle[مبلغ],0),0),0)</f>
        <v>0</v>
      </c>
      <c r="AF369" s="1">
        <f>IFERROR(IF(((TArticle[[#This Row],[شناسه]]))="4.1.2",IF(TArticle[[#This Row],[کد وضعیت سند]]=1,TArticle[مبلغ],0),0),0)</f>
        <v>0</v>
      </c>
      <c r="AG369" s="1">
        <f>IFERROR(IF(INT(LEFT(TArticle[[#This Row],[شناسه]]))=1,IF(TArticle[[#This Row],[کد وضعیت سند]]=1,TArticle[مبلغ],0),0),0)</f>
        <v>0</v>
      </c>
      <c r="AH369" s="1">
        <f>IFERROR(IF(INT(LEFT(TArticle[[#This Row],[شناسه]]))=2,IF(TArticle[[#This Row],[کد وضعیت سند]]=1,TArticle[مبلغ],0),0),0)</f>
        <v>0</v>
      </c>
      <c r="AI369" s="1">
        <f>IFERROR(IF((LEFT(TArticle[[#This Row],[شناسه]],3))="5.2",IF(TArticle[[#This Row],[کد وضعیت سند]]=1,TArticle[مبلغ],0),0),0)</f>
        <v>0</v>
      </c>
      <c r="AJ369" s="1">
        <f>IF(TArticle[[#This Row],[کد وضعیت سند]]=1,1,0)</f>
        <v>0</v>
      </c>
      <c r="AK369" s="1">
        <f>IF(AND(TArticle[[#This Row],[کد وضعیت سند]]&lt;&gt;1,TArticle[[#This Row],[مبلغ]]&lt;&gt;0),1,0)</f>
        <v>1</v>
      </c>
      <c r="AL369" s="51">
        <f>IF(TArticle[[#This Row],[کد بانک]]&gt;0,TArticle[[#This Row],[مانده بانک]]-VLOOKUP(TArticle[[#This Row],[کد بانک]],TBank[],7,FALSE),"")</f>
        <v>67229</v>
      </c>
      <c r="AM369" t="str">
        <f>LEFT(TArticle[[#This Row],[تاریخ]],7)</f>
        <v>1402-04</v>
      </c>
    </row>
    <row r="370" spans="1:39" x14ac:dyDescent="0.25">
      <c r="A370" s="24" t="s">
        <v>78</v>
      </c>
      <c r="B370" s="49" t="str">
        <f>VLOOKUP(TArticle[[#This Row],[شناسه]],TAccount[],2,TRUE)</f>
        <v>چک</v>
      </c>
      <c r="C370" s="49" t="str">
        <f>VLOOKUP(TArticle[[#This Row],[تاریخ]],TDays[],7,FALSE)</f>
        <v>دوشنبه</v>
      </c>
      <c r="D370" s="21" t="s">
        <v>652</v>
      </c>
      <c r="E370" s="1">
        <v>-10000</v>
      </c>
      <c r="F370" s="1">
        <f>TArticle[[#This Row],[مبلغ]]+IFERROR(INT(F369),30181+3667+958)</f>
        <v>53827</v>
      </c>
      <c r="G370" s="49" t="s">
        <v>53</v>
      </c>
      <c r="H370" s="49">
        <v>131259</v>
      </c>
      <c r="J370" s="51"/>
      <c r="K370" s="49">
        <v>2</v>
      </c>
      <c r="L370" s="171" t="str">
        <f>IF(TArticle[[#This Row],[کد وضعیت سند]]&gt;0,VLOOKUP(TArticle[[#This Row],[کد وضعیت سند]],TDocState[],2,FALSE),"")</f>
        <v>قطعی</v>
      </c>
      <c r="N370" s="171" t="str">
        <f>IF(TArticle[[#This Row],[کد طرف حساب]]&gt;0,VLOOKUP(TArticle[[#This Row],[کد طرف حساب]],TContact[],2,FALSE),"")</f>
        <v/>
      </c>
      <c r="O370" s="60" t="str">
        <f>IF(TArticle[[#This Row],[کد طرف حساب]]&gt;0,VLOOKUP(TArticle[[#This Row],[کد طرف حساب]],TContact[],7,FALSE)-SUMIF($M$2:M370,M370,$E$2:$E370),"")</f>
        <v/>
      </c>
      <c r="P370" s="27" t="str">
        <f>RIGHT(TArticle[[#This Row],[تاریخ]],2)</f>
        <v>05</v>
      </c>
      <c r="Q370" s="27">
        <f>VLOOKUP(TArticle[[#This Row],[تاریخ]],TDays[],16,FALSE)</f>
        <v>15</v>
      </c>
      <c r="R370" s="27" t="str">
        <f>RIGHT(LEFT(TArticle[[#This Row],[تاریخ]],7),2)</f>
        <v>04</v>
      </c>
      <c r="S370" s="27" t="str">
        <f>LEFT(TArticle[[#This Row],[تاریخ]],4)</f>
        <v>1402</v>
      </c>
      <c r="U370" s="21">
        <f>VLOOKUP(TArticle[[#This Row],[شناسه]],TAccount[],7,TRUE)</f>
        <v>57000</v>
      </c>
      <c r="W370" s="21">
        <f>IF(AND(TArticle[[#This Row],[مبلغ]]&gt;0, TArticle[[#This Row],[کد وضعیت سند]]=1),TArticle[[#This Row],[مبلغ]],0)</f>
        <v>0</v>
      </c>
      <c r="X370" s="27">
        <f>IF(AND(TArticle[[#This Row],[مبلغ]]&lt;0,TArticle[[#This Row],[کد وضعیت سند]]=1),0-TArticle[[#This Row],[مبلغ]],0)</f>
        <v>0</v>
      </c>
      <c r="Y370" s="27">
        <v>2</v>
      </c>
      <c r="Z370" s="171" t="str">
        <f>IF(TArticle[[#This Row],[کد بانک]]&gt;0,VLOOKUP(TArticle[[#This Row],[کد بانک]],TBank[],2,FALSE),"")</f>
        <v>ملی جاری</v>
      </c>
      <c r="AA370">
        <f>IF(AND(TArticle[[#This Row],[مبلغ]]&lt;0,TArticle[[#This Row],[کد وضعیت سند]]=1),0-TArticle[[#This Row],[مبلغ]],0)</f>
        <v>0</v>
      </c>
      <c r="AB370">
        <f>IF(AND(TArticle[[#This Row],[مبلغ]]&gt;0, TArticle[[#This Row],[کد وضعیت سند]]=1),TArticle[[#This Row],[مبلغ]],0)</f>
        <v>0</v>
      </c>
      <c r="AC370" s="92">
        <f>IF(TArticle[[#This Row],[کد بانک]]&gt;0,VLOOKUP(TArticle[[#This Row],[کد بانک]],TBank[],9,FALSE)+SUMIF($Y$2:Y370,Y370,$E$2:$E370),"")</f>
        <v>57229</v>
      </c>
      <c r="AD370" s="1">
        <f>IFERROR(IF(INT(LEFT(TArticle[[#This Row],[شناسه]]))=3,IF(TArticle[[#This Row],[کد وضعیت سند]]=1,TArticle[مبلغ],0),0),0)</f>
        <v>0</v>
      </c>
      <c r="AE370" s="1">
        <f>IFERROR(IF(((TArticle[[#This Row],[شناسه]]))="4.1.1",IF(TArticle[[#This Row],[کد وضعیت سند]]=1,TArticle[مبلغ],0),0),0)</f>
        <v>0</v>
      </c>
      <c r="AF370" s="1">
        <f>IFERROR(IF(((TArticle[[#This Row],[شناسه]]))="4.1.2",IF(TArticle[[#This Row],[کد وضعیت سند]]=1,TArticle[مبلغ],0),0),0)</f>
        <v>0</v>
      </c>
      <c r="AG370" s="1">
        <f>IFERROR(IF(INT(LEFT(TArticle[[#This Row],[شناسه]]))=1,IF(TArticle[[#This Row],[کد وضعیت سند]]=1,TArticle[مبلغ],0),0),0)</f>
        <v>0</v>
      </c>
      <c r="AH370" s="1">
        <f>IFERROR(IF(INT(LEFT(TArticle[[#This Row],[شناسه]]))=2,IF(TArticle[[#This Row],[کد وضعیت سند]]=1,TArticle[مبلغ],0),0),0)</f>
        <v>0</v>
      </c>
      <c r="AI370" s="1">
        <f>IFERROR(IF((LEFT(TArticle[[#This Row],[شناسه]],3))="5.2",IF(TArticle[[#This Row],[کد وضعیت سند]]=1,TArticle[مبلغ],0),0),0)</f>
        <v>0</v>
      </c>
      <c r="AJ370" s="1">
        <f>IF(TArticle[[#This Row],[کد وضعیت سند]]=1,1,0)</f>
        <v>0</v>
      </c>
      <c r="AK370" s="1">
        <f>IF(AND(TArticle[[#This Row],[کد وضعیت سند]]&lt;&gt;1,TArticle[[#This Row],[مبلغ]]&lt;&gt;0),1,0)</f>
        <v>1</v>
      </c>
      <c r="AL370" s="51">
        <f>IF(TArticle[[#This Row],[کد بانک]]&gt;0,TArticle[[#This Row],[مانده بانک]]-VLOOKUP(TArticle[[#This Row],[کد بانک]],TBank[],7,FALSE),"")</f>
        <v>57229</v>
      </c>
      <c r="AM370" s="58" t="str">
        <f>LEFT(TArticle[[#This Row],[تاریخ]],7)</f>
        <v>1402-04</v>
      </c>
    </row>
    <row r="371" spans="1:39" x14ac:dyDescent="0.25">
      <c r="A371" s="24" t="s">
        <v>1110</v>
      </c>
      <c r="B371" s="49" t="str">
        <f>VLOOKUP(TArticle[[#This Row],[شناسه]],TAccount[],2,TRUE)</f>
        <v>قسط وام بانکی</v>
      </c>
      <c r="C371" s="49" t="str">
        <f>VLOOKUP(TArticle[[#This Row],[تاریخ]],TDays[],7,FALSE)</f>
        <v>جمعه</v>
      </c>
      <c r="D371" s="21" t="s">
        <v>656</v>
      </c>
      <c r="E371" s="1">
        <f>'طرف حساب'!$J$29</f>
        <v>-3616</v>
      </c>
      <c r="F371" s="1">
        <f>TArticle[[#This Row],[مبلغ]]+IFERROR(INT(F370),30181+3667+958)</f>
        <v>50211</v>
      </c>
      <c r="G371" s="49"/>
      <c r="H371" s="21">
        <v>5</v>
      </c>
      <c r="J371" s="65"/>
      <c r="K371" s="64">
        <v>2</v>
      </c>
      <c r="L371" s="171" t="str">
        <f>IF(TArticle[[#This Row],[کد وضعیت سند]]&gt;0,VLOOKUP(TArticle[[#This Row],[کد وضعیت سند]],TDocState[],2,FALSE),"")</f>
        <v>قطعی</v>
      </c>
      <c r="M371" s="67">
        <v>114</v>
      </c>
      <c r="N371" s="171" t="str">
        <f>IF(TArticle[[#This Row],[کد طرف حساب]]&gt;0,VLOOKUP(TArticle[[#This Row],[کد طرف حساب]],TContact[],2,FALSE),"")</f>
        <v>وام کارت ملی ف</v>
      </c>
      <c r="O371" s="68">
        <f>IF(TArticle[[#This Row],[کد طرف حساب]]&gt;0,VLOOKUP(TArticle[[#This Row],[کد طرف حساب]],TContact[],7,FALSE)-SUMIF($M$2:M371,M371,$E$2:$E371),"")</f>
        <v>-113378</v>
      </c>
      <c r="P371" s="67" t="str">
        <f>RIGHT(TArticle[[#This Row],[تاریخ]],2)</f>
        <v>09</v>
      </c>
      <c r="Q371" s="67">
        <f>VLOOKUP(TArticle[[#This Row],[تاریخ]],TDays[],16,FALSE)</f>
        <v>15</v>
      </c>
      <c r="R371" s="67" t="str">
        <f>RIGHT(LEFT(TArticle[[#This Row],[تاریخ]],7),2)</f>
        <v>04</v>
      </c>
      <c r="S371" s="67" t="str">
        <f>LEFT(TArticle[[#This Row],[تاریخ]],4)</f>
        <v>1402</v>
      </c>
      <c r="T371" s="64"/>
      <c r="U371" s="64">
        <f>VLOOKUP(TArticle[[#This Row],[شناسه]],TAccount[],7,TRUE)</f>
        <v>81652</v>
      </c>
      <c r="V371" s="64"/>
      <c r="W371" s="64">
        <f>IF(AND(TArticle[[#This Row],[مبلغ]]&gt;0, TArticle[[#This Row],[کد وضعیت سند]]=1),TArticle[[#This Row],[مبلغ]],0)</f>
        <v>0</v>
      </c>
      <c r="X371" s="67">
        <f>IF(AND(TArticle[[#This Row],[مبلغ]]&lt;0,TArticle[[#This Row],[کد وضعیت سند]]=1),0-TArticle[[#This Row],[مبلغ]],0)</f>
        <v>0</v>
      </c>
      <c r="Y371" s="27">
        <v>2</v>
      </c>
      <c r="Z371" s="171" t="str">
        <f>IF(TArticle[[#This Row],[کد بانک]]&gt;0,VLOOKUP(TArticle[[#This Row],[کد بانک]],TBank[],2,FALSE),"")</f>
        <v>ملی جاری</v>
      </c>
      <c r="AA371">
        <f>IF(AND(TArticle[[#This Row],[مبلغ]]&lt;0,TArticle[[#This Row],[کد وضعیت سند]]=1),0-TArticle[[#This Row],[مبلغ]],0)</f>
        <v>0</v>
      </c>
      <c r="AB371">
        <f>IF(AND(TArticle[[#This Row],[مبلغ]]&gt;0, TArticle[[#This Row],[کد وضعیت سند]]=1),TArticle[[#This Row],[مبلغ]],0)</f>
        <v>0</v>
      </c>
      <c r="AC371" s="93">
        <f>IF(TArticle[[#This Row],[کد بانک]]&gt;0,VLOOKUP(TArticle[[#This Row],[کد بانک]],TBank[],9,FALSE)+SUMIF($Y$2:Y371,Y371,$E$2:$E371),"")</f>
        <v>53613</v>
      </c>
      <c r="AD371" s="1">
        <f>IFERROR(IF(INT(LEFT(TArticle[[#This Row],[شناسه]]))=3,IF(TArticle[[#This Row],[کد وضعیت سند]]=1,TArticle[مبلغ],0),0),0)</f>
        <v>0</v>
      </c>
      <c r="AE371" s="1">
        <f>IFERROR(IF(((TArticle[[#This Row],[شناسه]]))="4.1.1",IF(TArticle[[#This Row],[کد وضعیت سند]]=1,TArticle[مبلغ],0),0),0)</f>
        <v>0</v>
      </c>
      <c r="AF371" s="1">
        <f>IFERROR(IF(((TArticle[[#This Row],[شناسه]]))="4.1.2",IF(TArticle[[#This Row],[کد وضعیت سند]]=1,TArticle[مبلغ],0),0),0)</f>
        <v>0</v>
      </c>
      <c r="AG371" s="1">
        <f>IFERROR(IF(INT(LEFT(TArticle[[#This Row],[شناسه]]))=1,IF(TArticle[[#This Row],[کد وضعیت سند]]=1,TArticle[مبلغ],0),0),0)</f>
        <v>0</v>
      </c>
      <c r="AH371" s="1">
        <f>IFERROR(IF(INT(LEFT(TArticle[[#This Row],[شناسه]]))=2,IF(TArticle[[#This Row],[کد وضعیت سند]]=1,TArticle[مبلغ],0),0),0)</f>
        <v>0</v>
      </c>
      <c r="AI371" s="1">
        <f>IFERROR(IF((LEFT(TArticle[[#This Row],[شناسه]],3))="5.2",IF(TArticle[[#This Row],[کد وضعیت سند]]=1,TArticle[مبلغ],0),0),0)</f>
        <v>0</v>
      </c>
      <c r="AJ371" s="1">
        <f>IF(TArticle[[#This Row],[کد وضعیت سند]]=1,1,0)</f>
        <v>0</v>
      </c>
      <c r="AK371" s="1">
        <f>IF(AND(TArticle[[#This Row],[کد وضعیت سند]]&lt;&gt;1,TArticle[[#This Row],[مبلغ]]&lt;&gt;0),1,0)</f>
        <v>1</v>
      </c>
      <c r="AL371" s="78">
        <f>IF(TArticle[[#This Row],[کد بانک]]&gt;0,TArticle[[#This Row],[مانده بانک]]-VLOOKUP(TArticle[[#This Row],[کد بانک]],TBank[],7,FALSE),"")</f>
        <v>53613</v>
      </c>
      <c r="AM371" s="69" t="str">
        <f>LEFT(TArticle[[#This Row],[تاریخ]],7)</f>
        <v>1402-04</v>
      </c>
    </row>
    <row r="372" spans="1:39" x14ac:dyDescent="0.25">
      <c r="A372" s="24" t="s">
        <v>41</v>
      </c>
      <c r="B372" s="49" t="str">
        <f>VLOOKUP(TArticle[[#This Row],[شناسه]],TAccount[],2,TRUE)</f>
        <v>قرعه هجده (43)</v>
      </c>
      <c r="C372" s="49" t="str">
        <f>VLOOKUP(TArticle[[#This Row],[تاریخ]],TDays[],7,FALSE)</f>
        <v>چهارشنبه</v>
      </c>
      <c r="D372" s="21" t="s">
        <v>73</v>
      </c>
      <c r="E372" s="1">
        <v>-350</v>
      </c>
      <c r="F372" s="1">
        <f>TArticle[[#This Row],[مبلغ]]+IFERROR(INT(F371),30181+3667+958)</f>
        <v>49861</v>
      </c>
      <c r="G372" s="49"/>
      <c r="H372" s="21">
        <v>51</v>
      </c>
      <c r="K372" s="21">
        <v>2</v>
      </c>
      <c r="L372" s="171" t="str">
        <f>IF(TArticle[[#This Row],[کد وضعیت سند]]&gt;0,VLOOKUP(TArticle[[#This Row],[کد وضعیت سند]],TDocState[],2,FALSE),"")</f>
        <v>قطعی</v>
      </c>
      <c r="M372" s="27">
        <v>103</v>
      </c>
      <c r="N372" s="171" t="str">
        <f>IF(TArticle[[#This Row],[کد طرف حساب]]&gt;0,VLOOKUP(TArticle[[#This Row],[کد طرف حساب]],TContact[],2,FALSE),"")</f>
        <v>قرعه 18م (43)</v>
      </c>
      <c r="O372" s="51">
        <f>IF(TArticle[[#This Row],[کد طرف حساب]]&gt;0,VLOOKUP(TArticle[[#This Row],[کد طرف حساب]],TContact[],7,FALSE)-SUMIF($M$2:M372,M372,$E$2:$E372),"")</f>
        <v>-700</v>
      </c>
      <c r="P372" s="27" t="str">
        <f>RIGHT(TArticle[[#This Row],[تاریخ]],2)</f>
        <v>14</v>
      </c>
      <c r="Q372" s="27">
        <f>VLOOKUP(TArticle[[#This Row],[تاریخ]],TDays[],16,FALSE)</f>
        <v>16</v>
      </c>
      <c r="R372" s="27" t="str">
        <f>RIGHT(LEFT(TArticle[[#This Row],[تاریخ]],7),2)</f>
        <v>04</v>
      </c>
      <c r="S372" s="27" t="str">
        <f>LEFT(TArticle[[#This Row],[تاریخ]],4)</f>
        <v>1402</v>
      </c>
      <c r="U372" s="21">
        <f>VLOOKUP(TArticle[[#This Row],[شناسه]],TAccount[],7,TRUE)</f>
        <v>4200</v>
      </c>
      <c r="V372" s="21" t="s">
        <v>73</v>
      </c>
      <c r="W372" s="21">
        <f>IF(AND(TArticle[[#This Row],[مبلغ]]&gt;0, TArticle[[#This Row],[کد وضعیت سند]]=1),TArticle[[#This Row],[مبلغ]],0)</f>
        <v>0</v>
      </c>
      <c r="X372" s="21">
        <f>IF(AND(TArticle[[#This Row],[مبلغ]]&lt;0,TArticle[[#This Row],[کد وضعیت سند]]=1),0-TArticle[[#This Row],[مبلغ]],0)</f>
        <v>0</v>
      </c>
      <c r="Y372" s="27">
        <v>2</v>
      </c>
      <c r="Z372" s="171" t="str">
        <f>IF(TArticle[[#This Row],[کد بانک]]&gt;0,VLOOKUP(TArticle[[#This Row],[کد بانک]],TBank[],2,FALSE),"")</f>
        <v>ملی جاری</v>
      </c>
      <c r="AA372">
        <f>IF(AND(TArticle[[#This Row],[مبلغ]]&lt;0,TArticle[[#This Row],[کد وضعیت سند]]=1),0-TArticle[[#This Row],[مبلغ]],0)</f>
        <v>0</v>
      </c>
      <c r="AB372">
        <f>IF(AND(TArticle[[#This Row],[مبلغ]]&gt;0, TArticle[[#This Row],[کد وضعیت سند]]=1),TArticle[[#This Row],[مبلغ]],0)</f>
        <v>0</v>
      </c>
      <c r="AC372" s="84">
        <f>IF(TArticle[[#This Row],[کد بانک]]&gt;0,VLOOKUP(TArticle[[#This Row],[کد بانک]],TBank[],9,FALSE)+SUMIF($Y$2:Y372,Y372,$E$2:$E372),"")</f>
        <v>53263</v>
      </c>
      <c r="AD372" s="1">
        <f>IFERROR(IF(INT(LEFT(TArticle[[#This Row],[شناسه]]))=3,IF(TArticle[[#This Row],[کد وضعیت سند]]=1,TArticle[مبلغ],0),0),0)</f>
        <v>0</v>
      </c>
      <c r="AE372" s="1">
        <f>IFERROR(IF(((TArticle[[#This Row],[شناسه]]))="4.1.1",IF(TArticle[[#This Row],[کد وضعیت سند]]=1,TArticle[مبلغ],0),0),0)</f>
        <v>0</v>
      </c>
      <c r="AF372" s="1">
        <f>IFERROR(IF(((TArticle[[#This Row],[شناسه]]))="4.1.2",IF(TArticle[[#This Row],[کد وضعیت سند]]=1,TArticle[مبلغ],0),0),0)</f>
        <v>0</v>
      </c>
      <c r="AG372" s="1">
        <f>IFERROR(IF(INT(LEFT(TArticle[[#This Row],[شناسه]]))=1,IF(TArticle[[#This Row],[کد وضعیت سند]]=1,TArticle[مبلغ],0),0),0)</f>
        <v>0</v>
      </c>
      <c r="AH372" s="1">
        <f>IFERROR(IF(INT(LEFT(TArticle[[#This Row],[شناسه]]))=2,IF(TArticle[[#This Row],[کد وضعیت سند]]=1,TArticle[مبلغ],0),0),0)</f>
        <v>0</v>
      </c>
      <c r="AI372" s="1">
        <f>IFERROR(IF((LEFT(TArticle[[#This Row],[شناسه]],3))="5.2",IF(TArticle[[#This Row],[کد وضعیت سند]]=1,TArticle[مبلغ],0),0),0)</f>
        <v>0</v>
      </c>
      <c r="AJ372" s="1">
        <f>IF(TArticle[[#This Row],[کد وضعیت سند]]=1,1,0)</f>
        <v>0</v>
      </c>
      <c r="AK372" s="1">
        <f>IF(AND(TArticle[[#This Row],[کد وضعیت سند]]&lt;&gt;1,TArticle[[#This Row],[مبلغ]]&lt;&gt;0),1,0)</f>
        <v>1</v>
      </c>
      <c r="AL372" s="51">
        <f>IF(TArticle[[#This Row],[کد بانک]]&gt;0,TArticle[[#This Row],[مانده بانک]]-VLOOKUP(TArticle[[#This Row],[کد بانک]],TBank[],7,FALSE),"")</f>
        <v>53263</v>
      </c>
      <c r="AM372" s="58" t="str">
        <f>LEFT(TArticle[[#This Row],[تاریخ]],7)</f>
        <v>1402-04</v>
      </c>
    </row>
    <row r="373" spans="1:39" x14ac:dyDescent="0.25">
      <c r="A373" s="13" t="s">
        <v>78</v>
      </c>
      <c r="B373" s="49" t="str">
        <f>VLOOKUP(TArticle[[#This Row],[شناسه]],TAccount[],2,TRUE)</f>
        <v>چک</v>
      </c>
      <c r="C373" s="49" t="str">
        <f>VLOOKUP(TArticle[[#This Row],[تاریخ]],TDays[],7,FALSE)</f>
        <v>شنبه</v>
      </c>
      <c r="D373" s="21" t="s">
        <v>663</v>
      </c>
      <c r="E373" s="1">
        <v>-4250</v>
      </c>
      <c r="F373" s="1">
        <f>TArticle[[#This Row],[مبلغ]]+IFERROR(INT(F372),30181+3667+958)</f>
        <v>45611</v>
      </c>
      <c r="G373" s="167">
        <v>290881</v>
      </c>
      <c r="H373" s="21">
        <v>4</v>
      </c>
      <c r="J373" s="51"/>
      <c r="K373" s="64">
        <v>2</v>
      </c>
      <c r="L373" s="171" t="str">
        <f>IF(TArticle[[#This Row],[کد وضعیت سند]]&gt;0,VLOOKUP(TArticle[[#This Row],[کد وضعیت سند]],TDocState[],2,FALSE),"")</f>
        <v>قطعی</v>
      </c>
      <c r="M373" s="27">
        <v>117</v>
      </c>
      <c r="N373" s="171" t="str">
        <f>IF(TArticle[[#This Row],[کد طرف حساب]]&gt;0,VLOOKUP(TArticle[[#This Row],[کد طرف حساب]],TContact[],2,FALSE),"")</f>
        <v>وام سرویس خواب</v>
      </c>
      <c r="O373" s="60">
        <f>IF(TArticle[[#This Row],[کد طرف حساب]]&gt;0,VLOOKUP(TArticle[[#This Row],[کد طرف حساب]],TContact[],7,FALSE)-SUMIF($M$2:M373,M373,$E$2:$E373),"")</f>
        <v>-34000</v>
      </c>
      <c r="P373" s="27" t="str">
        <f>RIGHT(TArticle[[#This Row],[تاریخ]],2)</f>
        <v>17</v>
      </c>
      <c r="Q373" s="27">
        <f>VLOOKUP(TArticle[[#This Row],[تاریخ]],TDays[],16,FALSE)</f>
        <v>16</v>
      </c>
      <c r="R373" s="27" t="str">
        <f>RIGHT(LEFT(TArticle[[#This Row],[تاریخ]],7),2)</f>
        <v>04</v>
      </c>
      <c r="S373" s="27" t="str">
        <f>LEFT(TArticle[[#This Row],[تاریخ]],4)</f>
        <v>1402</v>
      </c>
      <c r="U373" s="21">
        <f>VLOOKUP(TArticle[[#This Row],[شناسه]],TAccount[],7,TRUE)</f>
        <v>57000</v>
      </c>
      <c r="V373" s="28"/>
      <c r="W373" s="21">
        <f>IF(AND(TArticle[[#This Row],[مبلغ]]&gt;0, TArticle[[#This Row],[کد وضعیت سند]]=1),TArticle[[#This Row],[مبلغ]],0)</f>
        <v>0</v>
      </c>
      <c r="X373" s="27">
        <f>IF(AND(TArticle[[#This Row],[مبلغ]]&lt;0,TArticle[[#This Row],[کد وضعیت سند]]=1),0-TArticle[[#This Row],[مبلغ]],0)</f>
        <v>0</v>
      </c>
      <c r="Y373" s="27">
        <v>4</v>
      </c>
      <c r="Z373" s="171" t="str">
        <f>IF(TArticle[[#This Row],[کد بانک]]&gt;0,VLOOKUP(TArticle[[#This Row],[کد بانک]],TBank[],2,FALSE),"")</f>
        <v>سپه</v>
      </c>
      <c r="AA373">
        <f>IF(AND(TArticle[[#This Row],[مبلغ]]&lt;0,TArticle[[#This Row],[کد وضعیت سند]]=1),0-TArticle[[#This Row],[مبلغ]],0)</f>
        <v>0</v>
      </c>
      <c r="AB373">
        <f>IF(AND(TArticle[[#This Row],[مبلغ]]&gt;0, TArticle[[#This Row],[کد وضعیت سند]]=1),TArticle[[#This Row],[مبلغ]],0)</f>
        <v>0</v>
      </c>
      <c r="AC373" s="92">
        <f>IF(TArticle[[#This Row],[کد بانک]]&gt;0,VLOOKUP(TArticle[[#This Row],[کد بانک]],TBank[],9,FALSE)+SUMIF($Y$2:Y373,Y373,$E$2:$E373),"")</f>
        <v>-12748</v>
      </c>
      <c r="AD373" s="1">
        <f>IFERROR(IF(INT(LEFT(TArticle[[#This Row],[شناسه]]))=3,IF(TArticle[[#This Row],[کد وضعیت سند]]=1,TArticle[مبلغ],0),0),0)</f>
        <v>0</v>
      </c>
      <c r="AE373" s="1">
        <f>IFERROR(IF(((TArticle[[#This Row],[شناسه]]))="4.1.1",IF(TArticle[[#This Row],[کد وضعیت سند]]=1,TArticle[مبلغ],0),0),0)</f>
        <v>0</v>
      </c>
      <c r="AF373" s="1">
        <f>IFERROR(IF(((TArticle[[#This Row],[شناسه]]))="4.1.2",IF(TArticle[[#This Row],[کد وضعیت سند]]=1,TArticle[مبلغ],0),0),0)</f>
        <v>0</v>
      </c>
      <c r="AG373" s="1">
        <f>IFERROR(IF(INT(LEFT(TArticle[[#This Row],[شناسه]]))=1,IF(TArticle[[#This Row],[کد وضعیت سند]]=1,TArticle[مبلغ],0),0),0)</f>
        <v>0</v>
      </c>
      <c r="AH373" s="1">
        <f>IFERROR(IF(INT(LEFT(TArticle[[#This Row],[شناسه]]))=2,IF(TArticle[[#This Row],[کد وضعیت سند]]=1,TArticle[مبلغ],0),0),0)</f>
        <v>0</v>
      </c>
      <c r="AI373" s="1">
        <f>IFERROR(IF((LEFT(TArticle[[#This Row],[شناسه]],3))="5.2",IF(TArticle[[#This Row],[کد وضعیت سند]]=1,TArticle[مبلغ],0),0),0)</f>
        <v>0</v>
      </c>
      <c r="AJ373" s="1">
        <f>IF(TArticle[[#This Row],[کد وضعیت سند]]=1,1,0)</f>
        <v>0</v>
      </c>
      <c r="AK373" s="1">
        <f>IF(AND(TArticle[[#This Row],[کد وضعیت سند]]&lt;&gt;1,TArticle[[#This Row],[مبلغ]]&lt;&gt;0),1,0)</f>
        <v>1</v>
      </c>
      <c r="AL373" s="51">
        <f>IF(TArticle[[#This Row],[کد بانک]]&gt;0,TArticle[[#This Row],[مانده بانک]]-VLOOKUP(TArticle[[#This Row],[کد بانک]],TBank[],7,FALSE),"")</f>
        <v>-12750</v>
      </c>
      <c r="AM373" s="58" t="str">
        <f>LEFT(TArticle[[#This Row],[تاریخ]],7)</f>
        <v>1402-04</v>
      </c>
    </row>
    <row r="374" spans="1:39" x14ac:dyDescent="0.25">
      <c r="A374" s="77"/>
      <c r="B374" s="49" t="str">
        <f>VLOOKUP(TArticle[[#This Row],[شناسه]],TAccount[],2,TRUE)</f>
        <v>---</v>
      </c>
      <c r="C374" s="49" t="str">
        <f>VLOOKUP(TArticle[[#This Row],[تاریخ]],TDays[],7,FALSE)</f>
        <v>سه شنبه</v>
      </c>
      <c r="D374" s="28" t="s">
        <v>666</v>
      </c>
      <c r="F374" s="1">
        <f>TArticle[[#This Row],[مبلغ]]+IFERROR(INT(F373),30181+3667+958)</f>
        <v>45611</v>
      </c>
      <c r="G374" s="49"/>
      <c r="H374" s="64"/>
      <c r="J374" s="65"/>
      <c r="K374" s="64"/>
      <c r="L374" s="171" t="str">
        <f>IF(TArticle[[#This Row],[کد وضعیت سند]]&gt;0,VLOOKUP(TArticle[[#This Row],[کد وضعیت سند]],TDocState[],2,FALSE),"")</f>
        <v/>
      </c>
      <c r="M374" s="67"/>
      <c r="N374" s="171" t="str">
        <f>IF(TArticle[[#This Row],[کد طرف حساب]]&gt;0,VLOOKUP(TArticle[[#This Row],[کد طرف حساب]],TContact[],2,FALSE),"")</f>
        <v/>
      </c>
      <c r="O374" s="68" t="str">
        <f>IF(TArticle[[#This Row],[کد طرف حساب]]&gt;0,VLOOKUP(TArticle[[#This Row],[کد طرف حساب]],TContact[],7,FALSE)-SUMIF($M$2:M374,M374,$E$2:$E374),"")</f>
        <v/>
      </c>
      <c r="P374" s="67" t="str">
        <f>RIGHT(TArticle[[#This Row],[تاریخ]],2)</f>
        <v>20</v>
      </c>
      <c r="Q374" s="67">
        <f>VLOOKUP(TArticle[[#This Row],[تاریخ]],TDays[],16,FALSE)</f>
        <v>17</v>
      </c>
      <c r="R374" s="67" t="str">
        <f>RIGHT(LEFT(TArticle[[#This Row],[تاریخ]],7),2)</f>
        <v>04</v>
      </c>
      <c r="S374" s="67" t="str">
        <f>LEFT(TArticle[[#This Row],[تاریخ]],4)</f>
        <v>1402</v>
      </c>
      <c r="T374" s="64"/>
      <c r="U374" s="64">
        <f>VLOOKUP(TArticle[[#This Row],[شناسه]],TAccount[],7,TRUE)</f>
        <v>0</v>
      </c>
      <c r="V374" s="28" t="s">
        <v>666</v>
      </c>
      <c r="W374" s="64">
        <f>IF(AND(TArticle[[#This Row],[مبلغ]]&gt;0, TArticle[[#This Row],[کد وضعیت سند]]=1),TArticle[[#This Row],[مبلغ]],0)</f>
        <v>0</v>
      </c>
      <c r="X374" s="67">
        <f>IF(AND(TArticle[[#This Row],[مبلغ]]&lt;0,TArticle[[#This Row],[کد وضعیت سند]]=1),0-TArticle[[#This Row],[مبلغ]],0)</f>
        <v>0</v>
      </c>
      <c r="Y374" s="27">
        <v>2</v>
      </c>
      <c r="Z374" s="171" t="str">
        <f>IF(TArticle[[#This Row],[کد بانک]]&gt;0,VLOOKUP(TArticle[[#This Row],[کد بانک]],TBank[],2,FALSE),"")</f>
        <v>ملی جاری</v>
      </c>
      <c r="AA374">
        <f>IF(AND(TArticle[[#This Row],[مبلغ]]&lt;0,TArticle[[#This Row],[کد وضعیت سند]]=1),0-TArticle[[#This Row],[مبلغ]],0)</f>
        <v>0</v>
      </c>
      <c r="AB374">
        <f>IF(AND(TArticle[[#This Row],[مبلغ]]&gt;0, TArticle[[#This Row],[کد وضعیت سند]]=1),TArticle[[#This Row],[مبلغ]],0)</f>
        <v>0</v>
      </c>
      <c r="AC374" s="93">
        <f>IF(TArticle[[#This Row],[کد بانک]]&gt;0,VLOOKUP(TArticle[[#This Row],[کد بانک]],TBank[],9,FALSE)+SUMIF($Y$2:Y374,Y374,$E$2:$E374),"")</f>
        <v>53263</v>
      </c>
      <c r="AD374" s="1">
        <f>IFERROR(IF(INT(LEFT(TArticle[[#This Row],[شناسه]]))=3,IF(TArticle[[#This Row],[کد وضعیت سند]]=1,TArticle[مبلغ],0),0),0)</f>
        <v>0</v>
      </c>
      <c r="AE374" s="1">
        <f>IFERROR(IF(((TArticle[[#This Row],[شناسه]]))="4.1.1",IF(TArticle[[#This Row],[کد وضعیت سند]]=1,TArticle[مبلغ],0),0),0)</f>
        <v>0</v>
      </c>
      <c r="AF374" s="1">
        <f>IFERROR(IF(((TArticle[[#This Row],[شناسه]]))="4.1.2",IF(TArticle[[#This Row],[کد وضعیت سند]]=1,TArticle[مبلغ],0),0),0)</f>
        <v>0</v>
      </c>
      <c r="AG374" s="1">
        <f>IFERROR(IF(INT(LEFT(TArticle[[#This Row],[شناسه]]))=1,IF(TArticle[[#This Row],[کد وضعیت سند]]=1,TArticle[مبلغ],0),0),0)</f>
        <v>0</v>
      </c>
      <c r="AH374" s="1">
        <f>IFERROR(IF(INT(LEFT(TArticle[[#This Row],[شناسه]]))=2,IF(TArticle[[#This Row],[کد وضعیت سند]]=1,TArticle[مبلغ],0),0),0)</f>
        <v>0</v>
      </c>
      <c r="AI374" s="1">
        <f>IFERROR(IF((LEFT(TArticle[[#This Row],[شناسه]],3))="5.2",IF(TArticle[[#This Row],[کد وضعیت سند]]=1,TArticle[مبلغ],0),0),0)</f>
        <v>0</v>
      </c>
      <c r="AJ374" s="1">
        <f>IF(TArticle[[#This Row],[کد وضعیت سند]]=1,1,0)</f>
        <v>0</v>
      </c>
      <c r="AK374" s="1">
        <f>IF(AND(TArticle[[#This Row],[کد وضعیت سند]]&lt;&gt;1,TArticle[[#This Row],[مبلغ]]&lt;&gt;0),1,0)</f>
        <v>0</v>
      </c>
      <c r="AL374" s="78">
        <f>IF(TArticle[[#This Row],[کد بانک]]&gt;0,TArticle[[#This Row],[مانده بانک]]-VLOOKUP(TArticle[[#This Row],[کد بانک]],TBank[],7,FALSE),"")</f>
        <v>53263</v>
      </c>
      <c r="AM374" s="58" t="str">
        <f>LEFT(TArticle[[#This Row],[تاریخ]],7)</f>
        <v>1402-04</v>
      </c>
    </row>
    <row r="375" spans="1:39" x14ac:dyDescent="0.25">
      <c r="A375" s="24"/>
      <c r="B375" s="49" t="str">
        <f>VLOOKUP(TArticle[[#This Row],[شناسه]],TAccount[],2,TRUE)</f>
        <v>---</v>
      </c>
      <c r="C375" s="49" t="str">
        <f>VLOOKUP(TArticle[[#This Row],[تاریخ]],TDays[],7,FALSE)</f>
        <v>سه شنبه</v>
      </c>
      <c r="D375" s="28" t="s">
        <v>666</v>
      </c>
      <c r="F375" s="1">
        <f>TArticle[[#This Row],[مبلغ]]+IFERROR(INT(F374),30181+3667+958)</f>
        <v>45611</v>
      </c>
      <c r="G375" s="49"/>
      <c r="H375" s="64"/>
      <c r="J375" s="51"/>
      <c r="K375" s="49"/>
      <c r="L375" s="171" t="str">
        <f>IF(TArticle[[#This Row],[کد وضعیت سند]]&gt;0,VLOOKUP(TArticle[[#This Row],[کد وضعیت سند]],TDocState[],2,FALSE),"")</f>
        <v/>
      </c>
      <c r="M375" s="67"/>
      <c r="N375" s="171" t="str">
        <f>IF(TArticle[[#This Row],[کد طرف حساب]]&gt;0,VLOOKUP(TArticle[[#This Row],[کد طرف حساب]],TContact[],2,FALSE),"")</f>
        <v/>
      </c>
      <c r="O375" s="60" t="str">
        <f>IF(TArticle[[#This Row],[کد طرف حساب]]&gt;0,VLOOKUP(TArticle[[#This Row],[کد طرف حساب]],TContact[],7,FALSE)-SUMIF($M$2:M375,M375,$E$2:$E375),"")</f>
        <v/>
      </c>
      <c r="P375" s="27" t="str">
        <f>RIGHT(TArticle[[#This Row],[تاریخ]],2)</f>
        <v>20</v>
      </c>
      <c r="Q375" s="27">
        <f>VLOOKUP(TArticle[[#This Row],[تاریخ]],TDays[],16,FALSE)</f>
        <v>17</v>
      </c>
      <c r="R375" s="27" t="str">
        <f>RIGHT(LEFT(TArticle[[#This Row],[تاریخ]],7),2)</f>
        <v>04</v>
      </c>
      <c r="S375" s="27" t="str">
        <f>LEFT(TArticle[[#This Row],[تاریخ]],4)</f>
        <v>1402</v>
      </c>
      <c r="U375" s="21">
        <f>VLOOKUP(TArticle[[#This Row],[شناسه]],TAccount[],7,TRUE)</f>
        <v>0</v>
      </c>
      <c r="V375" s="21" t="s">
        <v>666</v>
      </c>
      <c r="W375" s="21">
        <f>IF(AND(TArticle[[#This Row],[مبلغ]]&gt;0, TArticle[[#This Row],[کد وضعیت سند]]=1),TArticle[[#This Row],[مبلغ]],0)</f>
        <v>0</v>
      </c>
      <c r="X375" s="27">
        <f>IF(AND(TArticle[[#This Row],[مبلغ]]&lt;0,TArticle[[#This Row],[کد وضعیت سند]]=1),0-TArticle[[#This Row],[مبلغ]],0)</f>
        <v>0</v>
      </c>
      <c r="Y375" s="27">
        <v>2</v>
      </c>
      <c r="Z375" s="171" t="str">
        <f>IF(TArticle[[#This Row],[کد بانک]]&gt;0,VLOOKUP(TArticle[[#This Row],[کد بانک]],TBank[],2,FALSE),"")</f>
        <v>ملی جاری</v>
      </c>
      <c r="AA375">
        <f>IF(AND(TArticle[[#This Row],[مبلغ]]&lt;0,TArticle[[#This Row],[کد وضعیت سند]]=1),0-TArticle[[#This Row],[مبلغ]],0)</f>
        <v>0</v>
      </c>
      <c r="AB375">
        <f>IF(AND(TArticle[[#This Row],[مبلغ]]&gt;0, TArticle[[#This Row],[کد وضعیت سند]]=1),TArticle[[#This Row],[مبلغ]],0)</f>
        <v>0</v>
      </c>
      <c r="AC375" s="92">
        <f>IF(TArticle[[#This Row],[کد بانک]]&gt;0,VLOOKUP(TArticle[[#This Row],[کد بانک]],TBank[],9,FALSE)+SUMIF($Y$2:Y375,Y375,$E$2:$E375),"")</f>
        <v>53263</v>
      </c>
      <c r="AD375" s="1">
        <f>IFERROR(IF(INT(LEFT(TArticle[[#This Row],[شناسه]]))=3,IF(TArticle[[#This Row],[کد وضعیت سند]]=1,TArticle[مبلغ],0),0),0)</f>
        <v>0</v>
      </c>
      <c r="AE375" s="1">
        <f>IFERROR(IF(((TArticle[[#This Row],[شناسه]]))="4.1.1",IF(TArticle[[#This Row],[کد وضعیت سند]]=1,TArticle[مبلغ],0),0),0)</f>
        <v>0</v>
      </c>
      <c r="AF375" s="1">
        <f>IFERROR(IF(((TArticle[[#This Row],[شناسه]]))="4.1.2",IF(TArticle[[#This Row],[کد وضعیت سند]]=1,TArticle[مبلغ],0),0),0)</f>
        <v>0</v>
      </c>
      <c r="AG375" s="1">
        <f>IFERROR(IF(INT(LEFT(TArticle[[#This Row],[شناسه]]))=1,IF(TArticle[[#This Row],[کد وضعیت سند]]=1,TArticle[مبلغ],0),0),0)</f>
        <v>0</v>
      </c>
      <c r="AH375" s="1">
        <f>IFERROR(IF(INT(LEFT(TArticle[[#This Row],[شناسه]]))=2,IF(TArticle[[#This Row],[کد وضعیت سند]]=1,TArticle[مبلغ],0),0),0)</f>
        <v>0</v>
      </c>
      <c r="AI375" s="1">
        <f>IFERROR(IF((LEFT(TArticle[[#This Row],[شناسه]],3))="5.2",IF(TArticle[[#This Row],[کد وضعیت سند]]=1,TArticle[مبلغ],0),0),0)</f>
        <v>0</v>
      </c>
      <c r="AJ375" s="1">
        <f>IF(TArticle[[#This Row],[کد وضعیت سند]]=1,1,0)</f>
        <v>0</v>
      </c>
      <c r="AK375" s="1">
        <f>IF(AND(TArticle[[#This Row],[کد وضعیت سند]]&lt;&gt;1,TArticle[[#This Row],[مبلغ]]&lt;&gt;0),1,0)</f>
        <v>0</v>
      </c>
      <c r="AL375" s="51">
        <f>IF(TArticle[[#This Row],[کد بانک]]&gt;0,TArticle[[#This Row],[مانده بانک]]-VLOOKUP(TArticle[[#This Row],[کد بانک]],TBank[],7,FALSE),"")</f>
        <v>53263</v>
      </c>
      <c r="AM375" s="58" t="str">
        <f>LEFT(TArticle[[#This Row],[تاریخ]],7)</f>
        <v>1402-04</v>
      </c>
    </row>
    <row r="376" spans="1:39" x14ac:dyDescent="0.25">
      <c r="A376" s="24" t="s">
        <v>1013</v>
      </c>
      <c r="B376" s="49" t="str">
        <f>VLOOKUP(TArticle[[#This Row],[شناسه]],TAccount[],2,TRUE)</f>
        <v>یارانه</v>
      </c>
      <c r="C376" s="49" t="str">
        <f>VLOOKUP(TArticle[[#This Row],[تاریخ]],TDays[],7,FALSE)</f>
        <v>سه شنبه</v>
      </c>
      <c r="D376" s="21" t="s">
        <v>666</v>
      </c>
      <c r="E376" s="1">
        <v>1500</v>
      </c>
      <c r="F376" s="1">
        <f>TArticle[[#This Row],[مبلغ]]+IFERROR(INT(F375),30181+3667+958)</f>
        <v>47111</v>
      </c>
      <c r="G376" s="49"/>
      <c r="H376" s="64"/>
      <c r="J376" s="51"/>
      <c r="K376" s="64">
        <v>2</v>
      </c>
      <c r="L376" s="171" t="str">
        <f>IF(TArticle[[#This Row],[کد وضعیت سند]]&gt;0,VLOOKUP(TArticle[[#This Row],[کد وضعیت سند]],TDocState[],2,FALSE),"")</f>
        <v>قطعی</v>
      </c>
      <c r="M376" s="67"/>
      <c r="N376" s="171" t="str">
        <f>IF(TArticle[[#This Row],[کد طرف حساب]]&gt;0,VLOOKUP(TArticle[[#This Row],[کد طرف حساب]],TContact[],2,FALSE),"")</f>
        <v/>
      </c>
      <c r="O376" s="68" t="str">
        <f>IF(TArticle[[#This Row],[کد طرف حساب]]&gt;0,VLOOKUP(TArticle[[#This Row],[کد طرف حساب]],TContact[],7,FALSE)-SUMIF($M$2:M376,M376,$E$2:$E376),"")</f>
        <v/>
      </c>
      <c r="P376" s="67" t="str">
        <f>RIGHT(TArticle[[#This Row],[تاریخ]],2)</f>
        <v>20</v>
      </c>
      <c r="Q376" s="67">
        <f>VLOOKUP(TArticle[[#This Row],[تاریخ]],TDays[],16,FALSE)</f>
        <v>17</v>
      </c>
      <c r="R376" s="67" t="str">
        <f>RIGHT(LEFT(TArticle[[#This Row],[تاریخ]],7),2)</f>
        <v>04</v>
      </c>
      <c r="S376" s="67" t="str">
        <f>LEFT(TArticle[[#This Row],[تاریخ]],4)</f>
        <v>1402</v>
      </c>
      <c r="T376" s="64"/>
      <c r="U376" s="64">
        <f>VLOOKUP(TArticle[[#This Row],[شناسه]],TAccount[],7,TRUE)</f>
        <v>12565</v>
      </c>
      <c r="V376" s="64"/>
      <c r="W376" s="64">
        <f>IF(AND(TArticle[[#This Row],[مبلغ]]&gt;0, TArticle[[#This Row],[کد وضعیت سند]]=1),TArticle[[#This Row],[مبلغ]],0)</f>
        <v>0</v>
      </c>
      <c r="X376" s="67">
        <f>IF(AND(TArticle[[#This Row],[مبلغ]]&lt;0,TArticle[[#This Row],[کد وضعیت سند]]=1),0-TArticle[[#This Row],[مبلغ]],0)</f>
        <v>0</v>
      </c>
      <c r="Y376" s="27">
        <v>2</v>
      </c>
      <c r="Z376" s="171" t="str">
        <f>IF(TArticle[[#This Row],[کد بانک]]&gt;0,VLOOKUP(TArticle[[#This Row],[کد بانک]],TBank[],2,FALSE),"")</f>
        <v>ملی جاری</v>
      </c>
      <c r="AA376">
        <f>IF(AND(TArticle[[#This Row],[مبلغ]]&lt;0,TArticle[[#This Row],[کد وضعیت سند]]=1),0-TArticle[[#This Row],[مبلغ]],0)</f>
        <v>0</v>
      </c>
      <c r="AB376">
        <f>IF(AND(TArticle[[#This Row],[مبلغ]]&gt;0, TArticle[[#This Row],[کد وضعیت سند]]=1),TArticle[[#This Row],[مبلغ]],0)</f>
        <v>0</v>
      </c>
      <c r="AC376" s="93">
        <f>IF(TArticle[[#This Row],[کد بانک]]&gt;0,VLOOKUP(TArticle[[#This Row],[کد بانک]],TBank[],9,FALSE)+SUMIF($Y$2:Y376,Y376,$E$2:$E376),"")</f>
        <v>54763</v>
      </c>
      <c r="AD376" s="1">
        <f>IFERROR(IF(INT(LEFT(TArticle[[#This Row],[شناسه]]))=3,IF(TArticle[[#This Row],[کد وضعیت سند]]=1,TArticle[مبلغ],0),0),0)</f>
        <v>0</v>
      </c>
      <c r="AE376" s="1">
        <f>IFERROR(IF(((TArticle[[#This Row],[شناسه]]))="4.1.1",IF(TArticle[[#This Row],[کد وضعیت سند]]=1,TArticle[مبلغ],0),0),0)</f>
        <v>0</v>
      </c>
      <c r="AF376" s="1">
        <f>IFERROR(IF(((TArticle[[#This Row],[شناسه]]))="4.1.2",IF(TArticle[[#This Row],[کد وضعیت سند]]=1,TArticle[مبلغ],0),0),0)</f>
        <v>0</v>
      </c>
      <c r="AG376" s="1">
        <f>IFERROR(IF(INT(LEFT(TArticle[[#This Row],[شناسه]]))=1,IF(TArticle[[#This Row],[کد وضعیت سند]]=1,TArticle[مبلغ],0),0),0)</f>
        <v>0</v>
      </c>
      <c r="AH376" s="1">
        <f>IFERROR(IF(INT(LEFT(TArticle[[#This Row],[شناسه]]))=2,IF(TArticle[[#This Row],[کد وضعیت سند]]=1,TArticle[مبلغ],0),0),0)</f>
        <v>0</v>
      </c>
      <c r="AI376" s="1">
        <f>IFERROR(IF((LEFT(TArticle[[#This Row],[شناسه]],3))="5.2",IF(TArticle[[#This Row],[کد وضعیت سند]]=1,TArticle[مبلغ],0),0),0)</f>
        <v>0</v>
      </c>
      <c r="AJ376" s="1">
        <f>IF(TArticle[[#This Row],[کد وضعیت سند]]=1,1,0)</f>
        <v>0</v>
      </c>
      <c r="AK376" s="1">
        <f>IF(AND(TArticle[[#This Row],[کد وضعیت سند]]&lt;&gt;1,TArticle[[#This Row],[مبلغ]]&lt;&gt;0),1,0)</f>
        <v>1</v>
      </c>
      <c r="AL376" s="78">
        <f>IF(TArticle[[#This Row],[کد بانک]]&gt;0,TArticle[[#This Row],[مانده بانک]]-VLOOKUP(TArticle[[#This Row],[کد بانک]],TBank[],7,FALSE),"")</f>
        <v>54763</v>
      </c>
      <c r="AM376" s="69" t="str">
        <f>LEFT(TArticle[[#This Row],[تاریخ]],7)</f>
        <v>1402-04</v>
      </c>
    </row>
    <row r="377" spans="1:39" x14ac:dyDescent="0.25">
      <c r="A377" s="24" t="s">
        <v>1110</v>
      </c>
      <c r="B377" s="49" t="str">
        <f>VLOOKUP(TArticle[[#This Row],[شناسه]],TAccount[],2,TRUE)</f>
        <v>قسط وام بانکی</v>
      </c>
      <c r="C377" s="49" t="str">
        <f>VLOOKUP(TArticle[[#This Row],[تاریخ]],TDays[],7,FALSE)</f>
        <v>چهارشنبه</v>
      </c>
      <c r="D377" s="21" t="s">
        <v>674</v>
      </c>
      <c r="E377" s="1">
        <v>-1808</v>
      </c>
      <c r="F377" s="1">
        <f>TArticle[[#This Row],[مبلغ]]+IFERROR(INT(F376),30181+3667+958)</f>
        <v>45303</v>
      </c>
      <c r="G377" s="49" t="s">
        <v>1597</v>
      </c>
      <c r="H377" s="21">
        <v>21</v>
      </c>
      <c r="K377" s="21">
        <v>2</v>
      </c>
      <c r="L377" s="171" t="str">
        <f>IF(TArticle[[#This Row],[کد وضعیت سند]]&gt;0,VLOOKUP(TArticle[[#This Row],[کد وضعیت سند]],TDocState[],2,FALSE),"")</f>
        <v>قطعی</v>
      </c>
      <c r="M377" s="67">
        <v>112</v>
      </c>
      <c r="N377" s="171" t="str">
        <f>IF(TArticle[[#This Row],[کد طرف حساب]]&gt;0,VLOOKUP(TArticle[[#This Row],[کد طرف حساب]],TContact[],2,FALSE),"")</f>
        <v>وام ملی</v>
      </c>
      <c r="O377" s="51">
        <f>IF(TArticle[[#This Row],[کد طرف حساب]]&gt;0,VLOOKUP(TArticle[[#This Row],[کد طرف حساب]],TContact[],7,FALSE)-SUMIF($M$2:M377,M377,$E$2:$E377),"")</f>
        <v>-24688</v>
      </c>
      <c r="P377" s="27" t="str">
        <f>RIGHT(TArticle[[#This Row],[تاریخ]],2)</f>
        <v>28</v>
      </c>
      <c r="Q377" s="27">
        <f>VLOOKUP(TArticle[[#This Row],[تاریخ]],TDays[],16,FALSE)</f>
        <v>18</v>
      </c>
      <c r="R377" s="27" t="str">
        <f>RIGHT(LEFT(TArticle[[#This Row],[تاریخ]],7),2)</f>
        <v>04</v>
      </c>
      <c r="S377" s="27" t="str">
        <f>LEFT(TArticle[[#This Row],[تاریخ]],4)</f>
        <v>1402</v>
      </c>
      <c r="U377" s="21">
        <f>VLOOKUP(TArticle[[#This Row],[شناسه]],TAccount[],7,TRUE)</f>
        <v>81652</v>
      </c>
      <c r="V377" s="21" t="s">
        <v>674</v>
      </c>
      <c r="W377" s="21">
        <f>IF(AND(TArticle[[#This Row],[مبلغ]]&gt;0, TArticle[[#This Row],[کد وضعیت سند]]=1),TArticle[[#This Row],[مبلغ]],0)</f>
        <v>0</v>
      </c>
      <c r="X377" s="27">
        <f>IF(AND(TArticle[[#This Row],[مبلغ]]&lt;0,TArticle[[#This Row],[کد وضعیت سند]]=1),0-TArticle[[#This Row],[مبلغ]],0)</f>
        <v>0</v>
      </c>
      <c r="Y377" s="67">
        <v>2</v>
      </c>
      <c r="Z377" s="171" t="str">
        <f>IF(TArticle[[#This Row],[کد بانک]]&gt;0,VLOOKUP(TArticle[[#This Row],[کد بانک]],TBank[],2,FALSE),"")</f>
        <v>ملی جاری</v>
      </c>
      <c r="AA377">
        <f>IF(AND(TArticle[[#This Row],[مبلغ]]&lt;0,TArticle[[#This Row],[کد وضعیت سند]]=1),0-TArticle[[#This Row],[مبلغ]],0)</f>
        <v>0</v>
      </c>
      <c r="AB377">
        <f>IF(AND(TArticle[[#This Row],[مبلغ]]&gt;0, TArticle[[#This Row],[کد وضعیت سند]]=1),TArticle[[#This Row],[مبلغ]],0)</f>
        <v>0</v>
      </c>
      <c r="AC377" s="84">
        <f>IF(TArticle[[#This Row],[کد بانک]]&gt;0,VLOOKUP(TArticle[[#This Row],[کد بانک]],TBank[],9,FALSE)+SUMIF($Y$2:Y377,Y377,$E$2:$E377),"")</f>
        <v>52955</v>
      </c>
      <c r="AD377" s="1">
        <f>IFERROR(IF(INT(LEFT(TArticle[[#This Row],[شناسه]]))=3,IF(TArticle[[#This Row],[کد وضعیت سند]]=1,TArticle[مبلغ],0),0),0)</f>
        <v>0</v>
      </c>
      <c r="AE377" s="1">
        <f>IFERROR(IF(((TArticle[[#This Row],[شناسه]]))="4.1.1",IF(TArticle[[#This Row],[کد وضعیت سند]]=1,TArticle[مبلغ],0),0),0)</f>
        <v>0</v>
      </c>
      <c r="AF377" s="1">
        <f>IFERROR(IF(((TArticle[[#This Row],[شناسه]]))="4.1.2",IF(TArticle[[#This Row],[کد وضعیت سند]]=1,TArticle[مبلغ],0),0),0)</f>
        <v>0</v>
      </c>
      <c r="AG377" s="1">
        <f>IFERROR(IF(INT(LEFT(TArticle[[#This Row],[شناسه]]))=1,IF(TArticle[[#This Row],[کد وضعیت سند]]=1,TArticle[مبلغ],0),0),0)</f>
        <v>0</v>
      </c>
      <c r="AH377" s="1">
        <f>IFERROR(IF(INT(LEFT(TArticle[[#This Row],[شناسه]]))=2,IF(TArticle[[#This Row],[کد وضعیت سند]]=1,TArticle[مبلغ],0),0),0)</f>
        <v>0</v>
      </c>
      <c r="AI377" s="1">
        <f>IFERROR(IF((LEFT(TArticle[[#This Row],[شناسه]],3))="5.2",IF(TArticle[[#This Row],[کد وضعیت سند]]=1,TArticle[مبلغ],0),0),0)</f>
        <v>0</v>
      </c>
      <c r="AJ377" s="1">
        <f>IF(TArticle[[#This Row],[کد وضعیت سند]]=1,1,0)</f>
        <v>0</v>
      </c>
      <c r="AK377" s="1">
        <f>IF(AND(TArticle[[#This Row],[کد وضعیت سند]]&lt;&gt;1,TArticle[[#This Row],[مبلغ]]&lt;&gt;0),1,0)</f>
        <v>1</v>
      </c>
      <c r="AL377" s="51">
        <f>IF(TArticle[[#This Row],[کد بانک]]&gt;0,TArticle[[#This Row],[مانده بانک]]-VLOOKUP(TArticle[[#This Row],[کد بانک]],TBank[],7,FALSE),"")</f>
        <v>52955</v>
      </c>
      <c r="AM377" s="49" t="str">
        <f>LEFT(TArticle[[#This Row],[تاریخ]],7)</f>
        <v>1402-04</v>
      </c>
    </row>
    <row r="378" spans="1:39" x14ac:dyDescent="0.25">
      <c r="A378" s="24"/>
      <c r="B378" s="49" t="str">
        <f>VLOOKUP(TArticle[[#This Row],[شناسه]],TAccount[],2,TRUE)</f>
        <v>---</v>
      </c>
      <c r="C378" s="49" t="str">
        <f>VLOOKUP(TArticle[[#This Row],[تاریخ]],TDays[],7,FALSE)</f>
        <v>شنبه</v>
      </c>
      <c r="D378" s="21" t="s">
        <v>677</v>
      </c>
      <c r="F378" s="1">
        <f>TArticle[[#This Row],[مبلغ]]+IFERROR(INT(F377),30181+3667+958)</f>
        <v>45303</v>
      </c>
      <c r="G378" s="49"/>
      <c r="L378" s="171" t="str">
        <f>IF(TArticle[[#This Row],[کد وضعیت سند]]&gt;0,VLOOKUP(TArticle[[#This Row],[کد وضعیت سند]],TDocState[],2,FALSE),"")</f>
        <v/>
      </c>
      <c r="N378" s="171" t="str">
        <f>IF(TArticle[[#This Row],[کد طرف حساب]]&gt;0,VLOOKUP(TArticle[[#This Row],[کد طرف حساب]],TContact[],2,FALSE),"")</f>
        <v/>
      </c>
      <c r="O378" s="51" t="str">
        <f>IF(TArticle[[#This Row],[کد طرف حساب]]&gt;0,VLOOKUP(TArticle[[#This Row],[کد طرف حساب]],TContact[],7,FALSE)-SUMIF($M$2:M378,M378,$E$2:$E378),"")</f>
        <v/>
      </c>
      <c r="P378" s="27" t="str">
        <f>RIGHT(TArticle[[#This Row],[تاریخ]],2)</f>
        <v>31</v>
      </c>
      <c r="Q378" s="27">
        <f>VLOOKUP(TArticle[[#This Row],[تاریخ]],TDays[],16,FALSE)</f>
        <v>18</v>
      </c>
      <c r="R378" s="27" t="str">
        <f>RIGHT(LEFT(TArticle[[#This Row],[تاریخ]],7),2)</f>
        <v>04</v>
      </c>
      <c r="S378" s="27" t="str">
        <f>LEFT(TArticle[[#This Row],[تاریخ]],4)</f>
        <v>1402</v>
      </c>
      <c r="U378" s="21">
        <f>VLOOKUP(TArticle[[#This Row],[شناسه]],TAccount[],7,TRUE)</f>
        <v>0</v>
      </c>
      <c r="W378" s="21">
        <f>IF(AND(TArticle[[#This Row],[مبلغ]]&gt;0, TArticle[[#This Row],[کد وضعیت سند]]=1),TArticle[[#This Row],[مبلغ]],0)</f>
        <v>0</v>
      </c>
      <c r="X378" s="27">
        <f>IF(AND(TArticle[[#This Row],[مبلغ]]&lt;0,TArticle[[#This Row],[کد وضعیت سند]]=1),0-TArticle[[#This Row],[مبلغ]],0)</f>
        <v>0</v>
      </c>
      <c r="Y378" s="67">
        <v>2</v>
      </c>
      <c r="Z378" s="171" t="str">
        <f>IF(TArticle[[#This Row],[کد بانک]]&gt;0,VLOOKUP(TArticle[[#This Row],[کد بانک]],TBank[],2,FALSE),"")</f>
        <v>ملی جاری</v>
      </c>
      <c r="AA378">
        <f>IF(AND(TArticle[[#This Row],[مبلغ]]&lt;0,TArticle[[#This Row],[کد وضعیت سند]]=1),0-TArticle[[#This Row],[مبلغ]],0)</f>
        <v>0</v>
      </c>
      <c r="AB378">
        <f>IF(AND(TArticle[[#This Row],[مبلغ]]&gt;0, TArticle[[#This Row],[کد وضعیت سند]]=1),TArticle[[#This Row],[مبلغ]],0)</f>
        <v>0</v>
      </c>
      <c r="AC378" s="84">
        <f>IF(TArticle[[#This Row],[کد بانک]]&gt;0,VLOOKUP(TArticle[[#This Row],[کد بانک]],TBank[],9,FALSE)+SUMIF($Y$2:Y378,Y378,$E$2:$E378),"")</f>
        <v>52955</v>
      </c>
      <c r="AD378" s="1">
        <f>IFERROR(IF(INT(LEFT(TArticle[[#This Row],[شناسه]]))=3,IF(TArticle[[#This Row],[کد وضعیت سند]]=1,TArticle[مبلغ],0),0),0)</f>
        <v>0</v>
      </c>
      <c r="AE378" s="1">
        <f>IFERROR(IF(((TArticle[[#This Row],[شناسه]]))="4.1.1",IF(TArticle[[#This Row],[کد وضعیت سند]]=1,TArticle[مبلغ],0),0),0)</f>
        <v>0</v>
      </c>
      <c r="AF378" s="1">
        <f>IFERROR(IF(((TArticle[[#This Row],[شناسه]]))="4.1.2",IF(TArticle[[#This Row],[کد وضعیت سند]]=1,TArticle[مبلغ],0),0),0)</f>
        <v>0</v>
      </c>
      <c r="AG378" s="1">
        <f>IFERROR(IF(INT(LEFT(TArticle[[#This Row],[شناسه]]))=1,IF(TArticle[[#This Row],[کد وضعیت سند]]=1,TArticle[مبلغ],0),0),0)</f>
        <v>0</v>
      </c>
      <c r="AH378" s="1">
        <f>IFERROR(IF(INT(LEFT(TArticle[[#This Row],[شناسه]]))=2,IF(TArticle[[#This Row],[کد وضعیت سند]]=1,TArticle[مبلغ],0),0),0)</f>
        <v>0</v>
      </c>
      <c r="AI378" s="1">
        <f>IFERROR(IF((LEFT(TArticle[[#This Row],[شناسه]],3))="5.2",IF(TArticle[[#This Row],[کد وضعیت سند]]=1,TArticle[مبلغ],0),0),0)</f>
        <v>0</v>
      </c>
      <c r="AJ378" s="1">
        <f>IF(TArticle[[#This Row],[کد وضعیت سند]]=1,1,0)</f>
        <v>0</v>
      </c>
      <c r="AK378" s="1">
        <f>IF(AND(TArticle[[#This Row],[کد وضعیت سند]]&lt;&gt;1,TArticle[[#This Row],[مبلغ]]&lt;&gt;0),1,0)</f>
        <v>0</v>
      </c>
      <c r="AL378" s="51">
        <f>IF(TArticle[[#This Row],[کد بانک]]&gt;0,TArticle[[#This Row],[مانده بانک]]-VLOOKUP(TArticle[[#This Row],[کد بانک]],TBank[],7,FALSE),"")</f>
        <v>52955</v>
      </c>
      <c r="AM378" s="49" t="str">
        <f>LEFT(TArticle[[#This Row],[تاریخ]],7)</f>
        <v>1402-04</v>
      </c>
    </row>
    <row r="379" spans="1:39" x14ac:dyDescent="0.25">
      <c r="A379" s="24"/>
      <c r="B379" s="49" t="str">
        <f>VLOOKUP(TArticle[[#This Row],[شناسه]],TAccount[],2,TRUE)</f>
        <v>---</v>
      </c>
      <c r="C379" s="49" t="str">
        <f>VLOOKUP(TArticle[[#This Row],[تاریخ]],TDays[],7,FALSE)</f>
        <v>شنبه</v>
      </c>
      <c r="D379" s="21" t="s">
        <v>677</v>
      </c>
      <c r="F379" s="1">
        <f>TArticle[[#This Row],[مبلغ]]+IFERROR(INT(F378),30181+3667+958)</f>
        <v>45303</v>
      </c>
      <c r="G379" s="49"/>
      <c r="L379" s="171" t="str">
        <f>IF(TArticle[[#This Row],[کد وضعیت سند]]&gt;0,VLOOKUP(TArticle[[#This Row],[کد وضعیت سند]],TDocState[],2,FALSE),"")</f>
        <v/>
      </c>
      <c r="N379" s="171" t="str">
        <f>IF(TArticle[[#This Row],[کد طرف حساب]]&gt;0,VLOOKUP(TArticle[[#This Row],[کد طرف حساب]],TContact[],2,FALSE),"")</f>
        <v/>
      </c>
      <c r="O379" s="51" t="str">
        <f>IF(TArticle[[#This Row],[کد طرف حساب]]&gt;0,VLOOKUP(TArticle[[#This Row],[کد طرف حساب]],TContact[],7,FALSE)-SUMIF($M$2:M379,M379,$E$2:$E379),"")</f>
        <v/>
      </c>
      <c r="P379" s="27" t="str">
        <f>RIGHT(TArticle[[#This Row],[تاریخ]],2)</f>
        <v>31</v>
      </c>
      <c r="Q379" s="27">
        <f>VLOOKUP(TArticle[[#This Row],[تاریخ]],TDays[],16,FALSE)</f>
        <v>18</v>
      </c>
      <c r="R379" s="27" t="str">
        <f>RIGHT(LEFT(TArticle[[#This Row],[تاریخ]],7),2)</f>
        <v>04</v>
      </c>
      <c r="S379" s="27" t="str">
        <f>LEFT(TArticle[[#This Row],[تاریخ]],4)</f>
        <v>1402</v>
      </c>
      <c r="U379" s="21">
        <f>VLOOKUP(TArticle[[#This Row],[شناسه]],TAccount[],7,TRUE)</f>
        <v>0</v>
      </c>
      <c r="W379" s="21">
        <f>IF(AND(TArticle[[#This Row],[مبلغ]]&gt;0, TArticle[[#This Row],[کد وضعیت سند]]=1),TArticle[[#This Row],[مبلغ]],0)</f>
        <v>0</v>
      </c>
      <c r="X379" s="27">
        <f>IF(AND(TArticle[[#This Row],[مبلغ]]&lt;0,TArticle[[#This Row],[کد وضعیت سند]]=1),0-TArticle[[#This Row],[مبلغ]],0)</f>
        <v>0</v>
      </c>
      <c r="Y379" s="67">
        <v>2</v>
      </c>
      <c r="Z379" s="171" t="str">
        <f>IF(TArticle[[#This Row],[کد بانک]]&gt;0,VLOOKUP(TArticle[[#This Row],[کد بانک]],TBank[],2,FALSE),"")</f>
        <v>ملی جاری</v>
      </c>
      <c r="AA379">
        <f>IF(AND(TArticle[[#This Row],[مبلغ]]&lt;0,TArticle[[#This Row],[کد وضعیت سند]]=1),0-TArticle[[#This Row],[مبلغ]],0)</f>
        <v>0</v>
      </c>
      <c r="AB379">
        <f>IF(AND(TArticle[[#This Row],[مبلغ]]&gt;0, TArticle[[#This Row],[کد وضعیت سند]]=1),TArticle[[#This Row],[مبلغ]],0)</f>
        <v>0</v>
      </c>
      <c r="AC379" s="84">
        <f>IF(TArticle[[#This Row],[کد بانک]]&gt;0,VLOOKUP(TArticle[[#This Row],[کد بانک]],TBank[],9,FALSE)+SUMIF($Y$2:Y379,Y379,$E$2:$E379),"")</f>
        <v>52955</v>
      </c>
      <c r="AD379" s="1">
        <f>IFERROR(IF(INT(LEFT(TArticle[[#This Row],[شناسه]]))=3,IF(TArticle[[#This Row],[کد وضعیت سند]]=1,TArticle[مبلغ],0),0),0)</f>
        <v>0</v>
      </c>
      <c r="AE379" s="1">
        <f>IFERROR(IF(((TArticle[[#This Row],[شناسه]]))="4.1.1",IF(TArticle[[#This Row],[کد وضعیت سند]]=1,TArticle[مبلغ],0),0),0)</f>
        <v>0</v>
      </c>
      <c r="AF379" s="1">
        <f>IFERROR(IF(((TArticle[[#This Row],[شناسه]]))="4.1.2",IF(TArticle[[#This Row],[کد وضعیت سند]]=1,TArticle[مبلغ],0),0),0)</f>
        <v>0</v>
      </c>
      <c r="AG379" s="1">
        <f>IFERROR(IF(INT(LEFT(TArticle[[#This Row],[شناسه]]))=1,IF(TArticle[[#This Row],[کد وضعیت سند]]=1,TArticle[مبلغ],0),0),0)</f>
        <v>0</v>
      </c>
      <c r="AH379" s="1">
        <f>IFERROR(IF(INT(LEFT(TArticle[[#This Row],[شناسه]]))=2,IF(TArticle[[#This Row],[کد وضعیت سند]]=1,TArticle[مبلغ],0),0),0)</f>
        <v>0</v>
      </c>
      <c r="AI379" s="1">
        <f>IFERROR(IF((LEFT(TArticle[[#This Row],[شناسه]],3))="5.2",IF(TArticle[[#This Row],[کد وضعیت سند]]=1,TArticle[مبلغ],0),0),0)</f>
        <v>0</v>
      </c>
      <c r="AJ379" s="1">
        <f>IF(TArticle[[#This Row],[کد وضعیت سند]]=1,1,0)</f>
        <v>0</v>
      </c>
      <c r="AK379" s="1">
        <f>IF(AND(TArticle[[#This Row],[کد وضعیت سند]]&lt;&gt;1,TArticle[[#This Row],[مبلغ]]&lt;&gt;0),1,0)</f>
        <v>0</v>
      </c>
      <c r="AL379" s="51">
        <f>IF(TArticle[[#This Row],[کد بانک]]&gt;0,TArticle[[#This Row],[مانده بانک]]-VLOOKUP(TArticle[[#This Row],[کد بانک]],TBank[],7,FALSE),"")</f>
        <v>52955</v>
      </c>
      <c r="AM379" s="49" t="str">
        <f>LEFT(TArticle[[#This Row],[تاریخ]],7)</f>
        <v>1402-04</v>
      </c>
    </row>
    <row r="380" spans="1:39" x14ac:dyDescent="0.25">
      <c r="A380" s="24" t="s">
        <v>43</v>
      </c>
      <c r="B380" s="49" t="str">
        <f>VLOOKUP(TArticle[[#This Row],[شناسه]],TAccount[],2,TRUE)</f>
        <v>حقوق</v>
      </c>
      <c r="C380" s="49" t="str">
        <f>VLOOKUP(TArticle[[#This Row],[تاریخ]],TDays[],7,FALSE)</f>
        <v>یکشنبه</v>
      </c>
      <c r="D380" s="21" t="s">
        <v>678</v>
      </c>
      <c r="E380" s="1">
        <v>36000</v>
      </c>
      <c r="F380" s="1">
        <f>TArticle[[#This Row],[مبلغ]]+IFERROR(INT(F379),30181+3667+958)</f>
        <v>81303</v>
      </c>
      <c r="G380" s="49"/>
      <c r="H380" s="64"/>
      <c r="J380" s="65"/>
      <c r="K380" s="64">
        <v>2</v>
      </c>
      <c r="L380" s="171" t="str">
        <f>IF(TArticle[[#This Row],[کد وضعیت سند]]&gt;0,VLOOKUP(TArticle[[#This Row],[کد وضعیت سند]],TDocState[],2,FALSE),"")</f>
        <v>قطعی</v>
      </c>
      <c r="M380" s="67"/>
      <c r="N380" s="171" t="str">
        <f>IF(TArticle[[#This Row],[کد طرف حساب]]&gt;0,VLOOKUP(TArticle[[#This Row],[کد طرف حساب]],TContact[],2,FALSE),"")</f>
        <v/>
      </c>
      <c r="O380" s="68" t="str">
        <f>IF(TArticle[[#This Row],[کد طرف حساب]]&gt;0,VLOOKUP(TArticle[[#This Row],[کد طرف حساب]],TContact[],7,FALSE)-SUMIF($M$2:M380,M380,$E$2:$E380),"")</f>
        <v/>
      </c>
      <c r="P380" s="67" t="str">
        <f>RIGHT(TArticle[[#This Row],[تاریخ]],2)</f>
        <v>01</v>
      </c>
      <c r="Q380" s="67">
        <f>VLOOKUP(TArticle[[#This Row],[تاریخ]],TDays[],16,FALSE)</f>
        <v>19</v>
      </c>
      <c r="R380" s="67" t="str">
        <f>RIGHT(LEFT(TArticle[[#This Row],[تاریخ]],7),2)</f>
        <v>05</v>
      </c>
      <c r="S380" s="67" t="str">
        <f>LEFT(TArticle[[#This Row],[تاریخ]],4)</f>
        <v>1402</v>
      </c>
      <c r="T380" s="64"/>
      <c r="U380" s="64">
        <f>VLOOKUP(TArticle[[#This Row],[شناسه]],TAccount[],7,TRUE)</f>
        <v>416023</v>
      </c>
      <c r="V380" s="64"/>
      <c r="W380" s="64">
        <f>IF(AND(TArticle[[#This Row],[مبلغ]]&gt;0, TArticle[[#This Row],[کد وضعیت سند]]=1),TArticle[[#This Row],[مبلغ]],0)</f>
        <v>0</v>
      </c>
      <c r="X380" s="67">
        <f>IF(AND(TArticle[[#This Row],[مبلغ]]&lt;0,TArticle[[#This Row],[کد وضعیت سند]]=1),0-TArticle[[#This Row],[مبلغ]],0)</f>
        <v>0</v>
      </c>
      <c r="Y380" s="27">
        <v>2</v>
      </c>
      <c r="Z380" s="171" t="str">
        <f>IF(TArticle[[#This Row],[کد بانک]]&gt;0,VLOOKUP(TArticle[[#This Row],[کد بانک]],TBank[],2,FALSE),"")</f>
        <v>ملی جاری</v>
      </c>
      <c r="AA380">
        <f>IF(AND(TArticle[[#This Row],[مبلغ]]&lt;0,TArticle[[#This Row],[کد وضعیت سند]]=1),0-TArticle[[#This Row],[مبلغ]],0)</f>
        <v>0</v>
      </c>
      <c r="AB380">
        <f>IF(AND(TArticle[[#This Row],[مبلغ]]&gt;0, TArticle[[#This Row],[کد وضعیت سند]]=1),TArticle[[#This Row],[مبلغ]],0)</f>
        <v>0</v>
      </c>
      <c r="AC380" s="93">
        <f>IF(TArticle[[#This Row],[کد بانک]]&gt;0,VLOOKUP(TArticle[[#This Row],[کد بانک]],TBank[],9,FALSE)+SUMIF($Y$2:Y380,Y380,$E$2:$E380),"")</f>
        <v>88955</v>
      </c>
      <c r="AD380" s="1">
        <f>IFERROR(IF(INT(LEFT(TArticle[[#This Row],[شناسه]]))=3,IF(TArticle[[#This Row],[کد وضعیت سند]]=1,TArticle[مبلغ],0),0),0)</f>
        <v>0</v>
      </c>
      <c r="AE380" s="1">
        <f>IFERROR(IF(((TArticle[[#This Row],[شناسه]]))="4.1.1",IF(TArticle[[#This Row],[کد وضعیت سند]]=1,TArticle[مبلغ],0),0),0)</f>
        <v>0</v>
      </c>
      <c r="AF380" s="1">
        <f>IFERROR(IF(((TArticle[[#This Row],[شناسه]]))="4.1.2",IF(TArticle[[#This Row],[کد وضعیت سند]]=1,TArticle[مبلغ],0),0),0)</f>
        <v>0</v>
      </c>
      <c r="AG380" s="1">
        <f>IFERROR(IF(INT(LEFT(TArticle[[#This Row],[شناسه]]))=1,IF(TArticle[[#This Row],[کد وضعیت سند]]=1,TArticle[مبلغ],0),0),0)</f>
        <v>0</v>
      </c>
      <c r="AH380" s="1">
        <f>IFERROR(IF(INT(LEFT(TArticle[[#This Row],[شناسه]]))=2,IF(TArticle[[#This Row],[کد وضعیت سند]]=1,TArticle[مبلغ],0),0),0)</f>
        <v>0</v>
      </c>
      <c r="AI380" s="1">
        <f>IFERROR(IF((LEFT(TArticle[[#This Row],[شناسه]],3))="5.2",IF(TArticle[[#This Row],[کد وضعیت سند]]=1,TArticle[مبلغ],0),0),0)</f>
        <v>0</v>
      </c>
      <c r="AJ380" s="1">
        <f>IF(TArticle[[#This Row],[کد وضعیت سند]]=1,1,0)</f>
        <v>0</v>
      </c>
      <c r="AK380" s="1">
        <f>IF(AND(TArticle[[#This Row],[کد وضعیت سند]]&lt;&gt;1,TArticle[[#This Row],[مبلغ]]&lt;&gt;0),1,0)</f>
        <v>1</v>
      </c>
      <c r="AL380" s="78">
        <f>IF(TArticle[[#This Row],[کد بانک]]&gt;0,TArticle[[#This Row],[مانده بانک]]-VLOOKUP(TArticle[[#This Row],[کد بانک]],TBank[],7,FALSE),"")</f>
        <v>88955</v>
      </c>
      <c r="AM380" s="69" t="str">
        <f>LEFT(TArticle[[#This Row],[تاریخ]],7)</f>
        <v>1402-05</v>
      </c>
    </row>
    <row r="381" spans="1:39" x14ac:dyDescent="0.25">
      <c r="A381" s="24" t="s">
        <v>1608</v>
      </c>
      <c r="B381" s="49" t="str">
        <f>VLOOKUP(TArticle[[#This Row],[شناسه]],TAccount[],2,TRUE)</f>
        <v>بن کارت</v>
      </c>
      <c r="C381" s="49" t="str">
        <f>VLOOKUP(TArticle[[#This Row],[تاریخ]],TDays[],7,FALSE)</f>
        <v>یکشنبه</v>
      </c>
      <c r="D381" s="21" t="s">
        <v>678</v>
      </c>
      <c r="E381" s="1">
        <v>1700</v>
      </c>
      <c r="F381" s="1">
        <f>TArticle[[#This Row],[مبلغ]]+IFERROR(INT(F380),30181+3667+958)</f>
        <v>83003</v>
      </c>
      <c r="G381" s="49"/>
      <c r="K381" s="64">
        <v>2</v>
      </c>
      <c r="L381" s="171" t="str">
        <f>IF(TArticle[[#This Row],[کد وضعیت سند]]&gt;0,VLOOKUP(TArticle[[#This Row],[کد وضعیت سند]],TDocState[],2,FALSE),"")</f>
        <v>قطعی</v>
      </c>
      <c r="N381" s="171" t="str">
        <f>IF(TArticle[[#This Row],[کد طرف حساب]]&gt;0,VLOOKUP(TArticle[[#This Row],[کد طرف حساب]],TContact[],2,FALSE),"")</f>
        <v/>
      </c>
      <c r="O381" s="61" t="str">
        <f>IF(TArticle[[#This Row],[کد طرف حساب]]&gt;0,VLOOKUP(TArticle[[#This Row],[کد طرف حساب]],TContact[],7,FALSE)-SUMIF($M$2:M381,M381,$E$2:$E381),"")</f>
        <v/>
      </c>
      <c r="P381" s="27" t="str">
        <f>RIGHT(TArticle[[#This Row],[تاریخ]],2)</f>
        <v>01</v>
      </c>
      <c r="Q381" s="27">
        <f>VLOOKUP(TArticle[[#This Row],[تاریخ]],TDays[],16,FALSE)</f>
        <v>19</v>
      </c>
      <c r="R381" s="27" t="str">
        <f>RIGHT(LEFT(TArticle[[#This Row],[تاریخ]],7),2)</f>
        <v>05</v>
      </c>
      <c r="S381" s="27" t="str">
        <f>LEFT(TArticle[[#This Row],[تاریخ]],4)</f>
        <v>1402</v>
      </c>
      <c r="U381" s="21">
        <f>VLOOKUP(TArticle[[#This Row],[شناسه]],TAccount[],7,TRUE)</f>
        <v>3000</v>
      </c>
      <c r="W381" s="21">
        <f>IF(AND(TArticle[[#This Row],[مبلغ]]&gt;0, TArticle[[#This Row],[کد وضعیت سند]]=1),TArticle[[#This Row],[مبلغ]],0)</f>
        <v>0</v>
      </c>
      <c r="X381" s="27">
        <f>IF(AND(TArticle[[#This Row],[مبلغ]]&lt;0,TArticle[[#This Row],[کد وضعیت سند]]=1),0-TArticle[[#This Row],[مبلغ]],0)</f>
        <v>0</v>
      </c>
      <c r="Y381" s="27">
        <v>2</v>
      </c>
      <c r="Z381" s="171" t="str">
        <f>IF(TArticle[[#This Row],[کد بانک]]&gt;0,VLOOKUP(TArticle[[#This Row],[کد بانک]],TBank[],2,FALSE),"")</f>
        <v>ملی جاری</v>
      </c>
      <c r="AA381">
        <f>IF(AND(TArticle[[#This Row],[مبلغ]]&lt;0,TArticle[[#This Row],[کد وضعیت سند]]=1),0-TArticle[[#This Row],[مبلغ]],0)</f>
        <v>0</v>
      </c>
      <c r="AB381">
        <f>IF(AND(TArticle[[#This Row],[مبلغ]]&gt;0, TArticle[[#This Row],[کد وضعیت سند]]=1),TArticle[[#This Row],[مبلغ]],0)</f>
        <v>0</v>
      </c>
      <c r="AC381" s="84">
        <f>IF(TArticle[[#This Row],[کد بانک]]&gt;0,VLOOKUP(TArticle[[#This Row],[کد بانک]],TBank[],9,FALSE)+SUMIF($Y$2:Y381,Y381,$E$2:$E381),"")</f>
        <v>90655</v>
      </c>
      <c r="AD381" s="1">
        <f>IFERROR(IF(INT(LEFT(TArticle[[#This Row],[شناسه]]))=3,IF(TArticle[[#This Row],[کد وضعیت سند]]=1,TArticle[مبلغ],0),0),0)</f>
        <v>0</v>
      </c>
      <c r="AE381" s="1">
        <f>IFERROR(IF(((TArticle[[#This Row],[شناسه]]))="4.1.1",IF(TArticle[[#This Row],[کد وضعیت سند]]=1,TArticle[مبلغ],0),0),0)</f>
        <v>0</v>
      </c>
      <c r="AF381" s="1">
        <f>IFERROR(IF(((TArticle[[#This Row],[شناسه]]))="4.1.2",IF(TArticle[[#This Row],[کد وضعیت سند]]=1,TArticle[مبلغ],0),0),0)</f>
        <v>0</v>
      </c>
      <c r="AG381" s="1">
        <f>IFERROR(IF(INT(LEFT(TArticle[[#This Row],[شناسه]]))=1,IF(TArticle[[#This Row],[کد وضعیت سند]]=1,TArticle[مبلغ],0),0),0)</f>
        <v>0</v>
      </c>
      <c r="AH381" s="1">
        <f>IFERROR(IF(INT(LEFT(TArticle[[#This Row],[شناسه]]))=2,IF(TArticle[[#This Row],[کد وضعیت سند]]=1,TArticle[مبلغ],0),0),0)</f>
        <v>0</v>
      </c>
      <c r="AI381" s="1">
        <f>IFERROR(IF((LEFT(TArticle[[#This Row],[شناسه]],3))="5.2",IF(TArticle[[#This Row],[کد وضعیت سند]]=1,TArticle[مبلغ],0),0),0)</f>
        <v>0</v>
      </c>
      <c r="AJ381" s="1">
        <f>IF(TArticle[[#This Row],[کد وضعیت سند]]=1,1,0)</f>
        <v>0</v>
      </c>
      <c r="AK381" s="1">
        <f>IF(AND(TArticle[[#This Row],[کد وضعیت سند]]&lt;&gt;1,TArticle[[#This Row],[مبلغ]]&lt;&gt;0),1,0)</f>
        <v>1</v>
      </c>
      <c r="AL381" s="51">
        <f>IF(TArticle[[#This Row],[کد بانک]]&gt;0,TArticle[[#This Row],[مانده بانک]]-VLOOKUP(TArticle[[#This Row],[کد بانک]],TBank[],7,FALSE),"")</f>
        <v>90655</v>
      </c>
      <c r="AM381" t="str">
        <f>LEFT(TArticle[[#This Row],[تاریخ]],7)</f>
        <v>1402-05</v>
      </c>
    </row>
    <row r="382" spans="1:39" x14ac:dyDescent="0.25">
      <c r="A382" s="24" t="s">
        <v>1110</v>
      </c>
      <c r="B382" s="49" t="str">
        <f>VLOOKUP(TArticle[[#This Row],[شناسه]],TAccount[],2,TRUE)</f>
        <v>قسط وام بانکی</v>
      </c>
      <c r="C382" s="49" t="str">
        <f>VLOOKUP(TArticle[[#This Row],[تاریخ]],TDays[],7,FALSE)</f>
        <v>سه شنبه</v>
      </c>
      <c r="D382" s="21" t="s">
        <v>680</v>
      </c>
      <c r="E382" s="1">
        <v>-1830</v>
      </c>
      <c r="F382" s="1">
        <f>TArticle[[#This Row],[مبلغ]]+IFERROR(INT(F381),30181+3667+958)</f>
        <v>81173</v>
      </c>
      <c r="G382" s="49" t="s">
        <v>1591</v>
      </c>
      <c r="H382" s="21">
        <v>26</v>
      </c>
      <c r="K382" s="21">
        <v>2</v>
      </c>
      <c r="L382" s="171" t="str">
        <f>IF(TArticle[[#This Row],[کد وضعیت سند]]&gt;0,VLOOKUP(TArticle[[#This Row],[کد وضعیت سند]],TDocState[],2,FALSE),"")</f>
        <v>قطعی</v>
      </c>
      <c r="M382" s="27">
        <v>110</v>
      </c>
      <c r="N382" s="171" t="str">
        <f>IF(TArticle[[#This Row],[کد طرف حساب]]&gt;0,VLOOKUP(TArticle[[#This Row],[کد طرف حساب]],TContact[],2,FALSE),"")</f>
        <v>وام ملت</v>
      </c>
      <c r="O382" s="61">
        <f>IF(TArticle[[#This Row],[کد طرف حساب]]&gt;0,VLOOKUP(TArticle[[#This Row],[کد طرف حساب]],TContact[],7,FALSE)-SUMIF($M$2:M382,M382,$E$2:$E382),"")</f>
        <v>-17060</v>
      </c>
      <c r="P382" s="27" t="str">
        <f>RIGHT(TArticle[[#This Row],[تاریخ]],2)</f>
        <v>03</v>
      </c>
      <c r="Q382" s="27">
        <f>VLOOKUP(TArticle[[#This Row],[تاریخ]],TDays[],16,FALSE)</f>
        <v>19</v>
      </c>
      <c r="R382" s="27" t="str">
        <f>RIGHT(LEFT(TArticle[[#This Row],[تاریخ]],7),2)</f>
        <v>05</v>
      </c>
      <c r="S382" s="27" t="str">
        <f>LEFT(TArticle[[#This Row],[تاریخ]],4)</f>
        <v>1402</v>
      </c>
      <c r="U382" s="21">
        <f>VLOOKUP(TArticle[[#This Row],[شناسه]],TAccount[],7,TRUE)</f>
        <v>81652</v>
      </c>
      <c r="V382" s="21" t="s">
        <v>680</v>
      </c>
      <c r="W382" s="21">
        <f>IF(AND(TArticle[[#This Row],[مبلغ]]&gt;0, TArticle[[#This Row],[کد وضعیت سند]]=1),TArticle[[#This Row],[مبلغ]],0)</f>
        <v>0</v>
      </c>
      <c r="X382" s="27">
        <f>IF(AND(TArticle[[#This Row],[مبلغ]]&lt;0,TArticle[[#This Row],[کد وضعیت سند]]=1),0-TArticle[[#This Row],[مبلغ]],0)</f>
        <v>0</v>
      </c>
      <c r="Y382" s="27">
        <v>2</v>
      </c>
      <c r="Z382" s="171" t="str">
        <f>IF(TArticle[[#This Row],[کد بانک]]&gt;0,VLOOKUP(TArticle[[#This Row],[کد بانک]],TBank[],2,FALSE),"")</f>
        <v>ملی جاری</v>
      </c>
      <c r="AA382">
        <f>IF(AND(TArticle[[#This Row],[مبلغ]]&lt;0,TArticle[[#This Row],[کد وضعیت سند]]=1),0-TArticle[[#This Row],[مبلغ]],0)</f>
        <v>0</v>
      </c>
      <c r="AB382">
        <f>IF(AND(TArticle[[#This Row],[مبلغ]]&gt;0, TArticle[[#This Row],[کد وضعیت سند]]=1),TArticle[[#This Row],[مبلغ]],0)</f>
        <v>0</v>
      </c>
      <c r="AC382" s="84">
        <f>IF(TArticle[[#This Row],[کد بانک]]&gt;0,VLOOKUP(TArticle[[#This Row],[کد بانک]],TBank[],9,FALSE)+SUMIF($Y$2:Y382,Y382,$E$2:$E382),"")</f>
        <v>88825</v>
      </c>
      <c r="AD382" s="1">
        <f>IFERROR(IF(INT(LEFT(TArticle[[#This Row],[شناسه]]))=3,IF(TArticle[[#This Row],[کد وضعیت سند]]=1,TArticle[مبلغ],0),0),0)</f>
        <v>0</v>
      </c>
      <c r="AE382" s="1">
        <f>IFERROR(IF(((TArticle[[#This Row],[شناسه]]))="4.1.1",IF(TArticle[[#This Row],[کد وضعیت سند]]=1,TArticle[مبلغ],0),0),0)</f>
        <v>0</v>
      </c>
      <c r="AF382" s="1">
        <f>IFERROR(IF(((TArticle[[#This Row],[شناسه]]))="4.1.2",IF(TArticle[[#This Row],[کد وضعیت سند]]=1,TArticle[مبلغ],0),0),0)</f>
        <v>0</v>
      </c>
      <c r="AG382" s="1">
        <f>IFERROR(IF(INT(LEFT(TArticle[[#This Row],[شناسه]]))=1,IF(TArticle[[#This Row],[کد وضعیت سند]]=1,TArticle[مبلغ],0),0),0)</f>
        <v>0</v>
      </c>
      <c r="AH382" s="1">
        <f>IFERROR(IF(INT(LEFT(TArticle[[#This Row],[شناسه]]))=2,IF(TArticle[[#This Row],[کد وضعیت سند]]=1,TArticle[مبلغ],0),0),0)</f>
        <v>0</v>
      </c>
      <c r="AI382" s="1">
        <f>IFERROR(IF((LEFT(TArticle[[#This Row],[شناسه]],3))="5.2",IF(TArticle[[#This Row],[کد وضعیت سند]]=1,TArticle[مبلغ],0),0),0)</f>
        <v>0</v>
      </c>
      <c r="AJ382" s="1">
        <f>IF(TArticle[[#This Row],[کد وضعیت سند]]=1,1,0)</f>
        <v>0</v>
      </c>
      <c r="AK382" s="1">
        <f>IF(AND(TArticle[[#This Row],[کد وضعیت سند]]&lt;&gt;1,TArticle[[#This Row],[مبلغ]]&lt;&gt;0),1,0)</f>
        <v>1</v>
      </c>
      <c r="AL382" s="51">
        <f>IF(TArticle[[#This Row],[کد بانک]]&gt;0,TArticle[[#This Row],[مانده بانک]]-VLOOKUP(TArticle[[#This Row],[کد بانک]],TBank[],7,FALSE),"")</f>
        <v>88825</v>
      </c>
      <c r="AM382" s="49" t="str">
        <f>LEFT(TArticle[[#This Row],[تاریخ]],7)</f>
        <v>1402-05</v>
      </c>
    </row>
    <row r="383" spans="1:39" x14ac:dyDescent="0.25">
      <c r="A383" s="24" t="s">
        <v>1110</v>
      </c>
      <c r="B383" s="49" t="str">
        <f>VLOOKUP(TArticle[[#This Row],[شناسه]],TAccount[],2,TRUE)</f>
        <v>قسط وام بانکی</v>
      </c>
      <c r="C383" s="49" t="str">
        <f>VLOOKUP(TArticle[[#This Row],[تاریخ]],TDays[],7,FALSE)</f>
        <v>سه شنبه</v>
      </c>
      <c r="D383" s="21" t="s">
        <v>680</v>
      </c>
      <c r="E383" s="1">
        <v>-1830</v>
      </c>
      <c r="F383" s="1">
        <f>TArticle[[#This Row],[مبلغ]]+IFERROR(INT(F382),30181+3667+958)</f>
        <v>79343</v>
      </c>
      <c r="G383" s="49" t="s">
        <v>1591</v>
      </c>
      <c r="H383" s="21">
        <v>26</v>
      </c>
      <c r="K383" s="21">
        <v>2</v>
      </c>
      <c r="L383" s="171" t="str">
        <f>IF(TArticle[[#This Row],[کد وضعیت سند]]&gt;0,VLOOKUP(TArticle[[#This Row],[کد وضعیت سند]],TDocState[],2,FALSE),"")</f>
        <v>قطعی</v>
      </c>
      <c r="M383" s="27">
        <v>111</v>
      </c>
      <c r="N383" s="171" t="str">
        <f>IF(TArticle[[#This Row],[کد طرف حساب]]&gt;0,VLOOKUP(TArticle[[#This Row],[کد طرف حساب]],TContact[],2,FALSE),"")</f>
        <v>وام ملت ف</v>
      </c>
      <c r="O383" s="61">
        <f>IF(TArticle[[#This Row],[کد طرف حساب]]&gt;0,VLOOKUP(TArticle[[#This Row],[کد طرف حساب]],TContact[],7,FALSE)-SUMIF($M$2:M383,M383,$E$2:$E383),"")</f>
        <v>-17060</v>
      </c>
      <c r="P383" s="27" t="str">
        <f>RIGHT(TArticle[[#This Row],[تاریخ]],2)</f>
        <v>03</v>
      </c>
      <c r="Q383" s="27">
        <f>VLOOKUP(TArticle[[#This Row],[تاریخ]],TDays[],16,FALSE)</f>
        <v>19</v>
      </c>
      <c r="R383" s="27" t="str">
        <f>RIGHT(LEFT(TArticle[[#This Row],[تاریخ]],7),2)</f>
        <v>05</v>
      </c>
      <c r="S383" s="27" t="str">
        <f>LEFT(TArticle[[#This Row],[تاریخ]],4)</f>
        <v>1402</v>
      </c>
      <c r="U383" s="21">
        <f>VLOOKUP(TArticle[[#This Row],[شناسه]],TAccount[],7,TRUE)</f>
        <v>81652</v>
      </c>
      <c r="V383" s="21" t="s">
        <v>680</v>
      </c>
      <c r="W383" s="21">
        <f>IF(AND(TArticle[[#This Row],[مبلغ]]&gt;0, TArticle[[#This Row],[کد وضعیت سند]]=1),TArticle[[#This Row],[مبلغ]],0)</f>
        <v>0</v>
      </c>
      <c r="X383" s="27">
        <f>IF(AND(TArticle[[#This Row],[مبلغ]]&lt;0,TArticle[[#This Row],[کد وضعیت سند]]=1),0-TArticle[[#This Row],[مبلغ]],0)</f>
        <v>0</v>
      </c>
      <c r="Y383" s="27">
        <v>2</v>
      </c>
      <c r="Z383" s="171" t="str">
        <f>IF(TArticle[[#This Row],[کد بانک]]&gt;0,VLOOKUP(TArticle[[#This Row],[کد بانک]],TBank[],2,FALSE),"")</f>
        <v>ملی جاری</v>
      </c>
      <c r="AA383">
        <f>IF(AND(TArticle[[#This Row],[مبلغ]]&lt;0,TArticle[[#This Row],[کد وضعیت سند]]=1),0-TArticle[[#This Row],[مبلغ]],0)</f>
        <v>0</v>
      </c>
      <c r="AB383">
        <f>IF(AND(TArticle[[#This Row],[مبلغ]]&gt;0, TArticle[[#This Row],[کد وضعیت سند]]=1),TArticle[[#This Row],[مبلغ]],0)</f>
        <v>0</v>
      </c>
      <c r="AC383" s="84">
        <f>IF(TArticle[[#This Row],[کد بانک]]&gt;0,VLOOKUP(TArticle[[#This Row],[کد بانک]],TBank[],9,FALSE)+SUMIF($Y$2:Y383,Y383,$E$2:$E383),"")</f>
        <v>86995</v>
      </c>
      <c r="AD383" s="1">
        <f>IFERROR(IF(INT(LEFT(TArticle[[#This Row],[شناسه]]))=3,IF(TArticle[[#This Row],[کد وضعیت سند]]=1,TArticle[مبلغ],0),0),0)</f>
        <v>0</v>
      </c>
      <c r="AE383" s="1">
        <f>IFERROR(IF(((TArticle[[#This Row],[شناسه]]))="4.1.1",IF(TArticle[[#This Row],[کد وضعیت سند]]=1,TArticle[مبلغ],0),0),0)</f>
        <v>0</v>
      </c>
      <c r="AF383" s="1">
        <f>IFERROR(IF(((TArticle[[#This Row],[شناسه]]))="4.1.2",IF(TArticle[[#This Row],[کد وضعیت سند]]=1,TArticle[مبلغ],0),0),0)</f>
        <v>0</v>
      </c>
      <c r="AG383" s="1">
        <f>IFERROR(IF(INT(LEFT(TArticle[[#This Row],[شناسه]]))=1,IF(TArticle[[#This Row],[کد وضعیت سند]]=1,TArticle[مبلغ],0),0),0)</f>
        <v>0</v>
      </c>
      <c r="AH383" s="1">
        <f>IFERROR(IF(INT(LEFT(TArticle[[#This Row],[شناسه]]))=2,IF(TArticle[[#This Row],[کد وضعیت سند]]=1,TArticle[مبلغ],0),0),0)</f>
        <v>0</v>
      </c>
      <c r="AI383" s="1">
        <f>IFERROR(IF((LEFT(TArticle[[#This Row],[شناسه]],3))="5.2",IF(TArticle[[#This Row],[کد وضعیت سند]]=1,TArticle[مبلغ],0),0),0)</f>
        <v>0</v>
      </c>
      <c r="AJ383" s="1">
        <f>IF(TArticle[[#This Row],[کد وضعیت سند]]=1,1,0)</f>
        <v>0</v>
      </c>
      <c r="AK383" s="1">
        <f>IF(AND(TArticle[[#This Row],[کد وضعیت سند]]&lt;&gt;1,TArticle[[#This Row],[مبلغ]]&lt;&gt;0),1,0)</f>
        <v>1</v>
      </c>
      <c r="AL383" s="51">
        <f>IF(TArticle[[#This Row],[کد بانک]]&gt;0,TArticle[[#This Row],[مانده بانک]]-VLOOKUP(TArticle[[#This Row],[کد بانک]],TBank[],7,FALSE),"")</f>
        <v>86995</v>
      </c>
      <c r="AM383" s="49" t="str">
        <f>LEFT(TArticle[[#This Row],[تاریخ]],7)</f>
        <v>1402-05</v>
      </c>
    </row>
    <row r="384" spans="1:39" x14ac:dyDescent="0.25">
      <c r="A384" s="24" t="s">
        <v>1110</v>
      </c>
      <c r="B384" s="49" t="str">
        <f>VLOOKUP(TArticle[[#This Row],[شناسه]],TAccount[],2,TRUE)</f>
        <v>قسط وام بانکی</v>
      </c>
      <c r="C384" s="49" t="str">
        <f>VLOOKUP(TArticle[[#This Row],[تاریخ]],TDays[],7,FALSE)</f>
        <v>چهارشنبه</v>
      </c>
      <c r="D384" s="21" t="s">
        <v>681</v>
      </c>
      <c r="E384" s="1">
        <v>-532</v>
      </c>
      <c r="F384" s="1">
        <f>TArticle[[#This Row],[مبلغ]]+IFERROR(INT(F383),30181+3667+958)</f>
        <v>78811</v>
      </c>
      <c r="G384" s="49"/>
      <c r="H384" s="21">
        <v>5</v>
      </c>
      <c r="K384" s="64">
        <v>2</v>
      </c>
      <c r="L384" s="171" t="str">
        <f>IF(TArticle[[#This Row],[کد وضعیت سند]]&gt;0,VLOOKUP(TArticle[[#This Row],[کد وضعیت سند]],TDocState[],2,FALSE),"")</f>
        <v>قطعی</v>
      </c>
      <c r="M384" s="67">
        <v>116</v>
      </c>
      <c r="N384" s="171" t="str">
        <f>IF(TArticle[[#This Row],[کد طرف حساب]]&gt;0,VLOOKUP(TArticle[[#This Row],[کد طرف حساب]],TContact[],2,FALSE),"")</f>
        <v>وام امتیازی مهر</v>
      </c>
      <c r="O384" s="61">
        <f>IF(TArticle[[#This Row],[کد طرف حساب]]&gt;0,VLOOKUP(TArticle[[#This Row],[کد طرف حساب]],TContact[],7,FALSE)-SUMIF($M$2:M384,M384,$E$2:$E384),"")</f>
        <v>-9572</v>
      </c>
      <c r="P384" s="27" t="str">
        <f>RIGHT(TArticle[[#This Row],[تاریخ]],2)</f>
        <v>04</v>
      </c>
      <c r="Q384" s="27">
        <f>VLOOKUP(TArticle[[#This Row],[تاریخ]],TDays[],16,FALSE)</f>
        <v>19</v>
      </c>
      <c r="R384" s="27" t="str">
        <f>RIGHT(LEFT(TArticle[[#This Row],[تاریخ]],7),2)</f>
        <v>05</v>
      </c>
      <c r="S384" s="27" t="str">
        <f>LEFT(TArticle[[#This Row],[تاریخ]],4)</f>
        <v>1402</v>
      </c>
      <c r="U384" s="21">
        <f>VLOOKUP(TArticle[[#This Row],[شناسه]],TAccount[],7,TRUE)</f>
        <v>81652</v>
      </c>
      <c r="W384" s="21">
        <f>IF(AND(TArticle[[#This Row],[مبلغ]]&gt;0, TArticle[[#This Row],[کد وضعیت سند]]=1),TArticle[[#This Row],[مبلغ]],0)</f>
        <v>0</v>
      </c>
      <c r="X384" s="27">
        <f>IF(AND(TArticle[[#This Row],[مبلغ]]&lt;0,TArticle[[#This Row],[کد وضعیت سند]]=1),0-TArticle[[#This Row],[مبلغ]],0)</f>
        <v>0</v>
      </c>
      <c r="Y384" s="27">
        <v>2</v>
      </c>
      <c r="Z384" s="171" t="str">
        <f>IF(TArticle[[#This Row],[کد بانک]]&gt;0,VLOOKUP(TArticle[[#This Row],[کد بانک]],TBank[],2,FALSE),"")</f>
        <v>ملی جاری</v>
      </c>
      <c r="AA384">
        <f>IF(AND(TArticle[[#This Row],[مبلغ]]&lt;0,TArticle[[#This Row],[کد وضعیت سند]]=1),0-TArticle[[#This Row],[مبلغ]],0)</f>
        <v>0</v>
      </c>
      <c r="AB384">
        <f>IF(AND(TArticle[[#This Row],[مبلغ]]&gt;0, TArticle[[#This Row],[کد وضعیت سند]]=1),TArticle[[#This Row],[مبلغ]],0)</f>
        <v>0</v>
      </c>
      <c r="AC384" s="84">
        <f>IF(TArticle[[#This Row],[کد بانک]]&gt;0,VLOOKUP(TArticle[[#This Row],[کد بانک]],TBank[],9,FALSE)+SUMIF($Y$2:Y384,Y384,$E$2:$E384),"")</f>
        <v>86463</v>
      </c>
      <c r="AD384" s="1">
        <f>IFERROR(IF(INT(LEFT(TArticle[[#This Row],[شناسه]]))=3,IF(TArticle[[#This Row],[کد وضعیت سند]]=1,TArticle[مبلغ],0),0),0)</f>
        <v>0</v>
      </c>
      <c r="AE384" s="1">
        <f>IFERROR(IF(((TArticle[[#This Row],[شناسه]]))="4.1.1",IF(TArticle[[#This Row],[کد وضعیت سند]]=1,TArticle[مبلغ],0),0),0)</f>
        <v>0</v>
      </c>
      <c r="AF384" s="1">
        <f>IFERROR(IF(((TArticle[[#This Row],[شناسه]]))="4.1.2",IF(TArticle[[#This Row],[کد وضعیت سند]]=1,TArticle[مبلغ],0),0),0)</f>
        <v>0</v>
      </c>
      <c r="AG384" s="1">
        <f>IFERROR(IF(INT(LEFT(TArticle[[#This Row],[شناسه]]))=1,IF(TArticle[[#This Row],[کد وضعیت سند]]=1,TArticle[مبلغ],0),0),0)</f>
        <v>0</v>
      </c>
      <c r="AH384" s="1">
        <f>IFERROR(IF(INT(LEFT(TArticle[[#This Row],[شناسه]]))=2,IF(TArticle[[#This Row],[کد وضعیت سند]]=1,TArticle[مبلغ],0),0),0)</f>
        <v>0</v>
      </c>
      <c r="AI384" s="1">
        <f>IFERROR(IF((LEFT(TArticle[[#This Row],[شناسه]],3))="5.2",IF(TArticle[[#This Row],[کد وضعیت سند]]=1,TArticle[مبلغ],0),0),0)</f>
        <v>0</v>
      </c>
      <c r="AJ384" s="1">
        <f>IF(TArticle[[#This Row],[کد وضعیت سند]]=1,1,0)</f>
        <v>0</v>
      </c>
      <c r="AK384" s="1">
        <f>IF(AND(TArticle[[#This Row],[کد وضعیت سند]]&lt;&gt;1,TArticle[[#This Row],[مبلغ]]&lt;&gt;0),1,0)</f>
        <v>1</v>
      </c>
      <c r="AL384" s="51">
        <f>IF(TArticle[[#This Row],[کد بانک]]&gt;0,TArticle[[#This Row],[مانده بانک]]-VLOOKUP(TArticle[[#This Row],[کد بانک]],TBank[],7,FALSE),"")</f>
        <v>86463</v>
      </c>
      <c r="AM384" t="str">
        <f>LEFT(TArticle[[#This Row],[تاریخ]],7)</f>
        <v>1402-05</v>
      </c>
    </row>
    <row r="385" spans="1:39" x14ac:dyDescent="0.25">
      <c r="A385" s="24" t="s">
        <v>78</v>
      </c>
      <c r="B385" s="49" t="str">
        <f>VLOOKUP(TArticle[[#This Row],[شناسه]],TAccount[],2,TRUE)</f>
        <v>چک</v>
      </c>
      <c r="C385" s="49" t="str">
        <f>VLOOKUP(TArticle[[#This Row],[تاریخ]],TDays[],7,FALSE)</f>
        <v>پنجشنبه</v>
      </c>
      <c r="D385" s="21" t="s">
        <v>682</v>
      </c>
      <c r="E385" s="1">
        <v>-10000</v>
      </c>
      <c r="F385" s="1">
        <f>TArticle[[#This Row],[مبلغ]]+IFERROR(INT(F384),30181+3667+958)</f>
        <v>68811</v>
      </c>
      <c r="G385" s="49" t="s">
        <v>53</v>
      </c>
      <c r="H385" s="49">
        <v>131261</v>
      </c>
      <c r="J385" s="51"/>
      <c r="K385" s="49">
        <v>2</v>
      </c>
      <c r="L385" s="171" t="str">
        <f>IF(TArticle[[#This Row],[کد وضعیت سند]]&gt;0,VLOOKUP(TArticle[[#This Row],[کد وضعیت سند]],TDocState[],2,FALSE),"")</f>
        <v>قطعی</v>
      </c>
      <c r="N385" s="171" t="str">
        <f>IF(TArticle[[#This Row],[کد طرف حساب]]&gt;0,VLOOKUP(TArticle[[#This Row],[کد طرف حساب]],TContact[],2,FALSE),"")</f>
        <v/>
      </c>
      <c r="O385" s="60" t="str">
        <f>IF(TArticle[[#This Row],[کد طرف حساب]]&gt;0,VLOOKUP(TArticle[[#This Row],[کد طرف حساب]],TContact[],7,FALSE)-SUMIF($M$2:M385,M385,$E$2:$E385),"")</f>
        <v/>
      </c>
      <c r="P385" s="27" t="str">
        <f>RIGHT(TArticle[[#This Row],[تاریخ]],2)</f>
        <v>05</v>
      </c>
      <c r="Q385" s="27">
        <f>VLOOKUP(TArticle[[#This Row],[تاریخ]],TDays[],16,FALSE)</f>
        <v>19</v>
      </c>
      <c r="R385" s="27" t="str">
        <f>RIGHT(LEFT(TArticle[[#This Row],[تاریخ]],7),2)</f>
        <v>05</v>
      </c>
      <c r="S385" s="27" t="str">
        <f>LEFT(TArticle[[#This Row],[تاریخ]],4)</f>
        <v>1402</v>
      </c>
      <c r="U385" s="21">
        <f>VLOOKUP(TArticle[[#This Row],[شناسه]],TAccount[],7,TRUE)</f>
        <v>57000</v>
      </c>
      <c r="W385" s="21">
        <f>IF(AND(TArticle[[#This Row],[مبلغ]]&gt;0, TArticle[[#This Row],[کد وضعیت سند]]=1),TArticle[[#This Row],[مبلغ]],0)</f>
        <v>0</v>
      </c>
      <c r="X385" s="27">
        <f>IF(AND(TArticle[[#This Row],[مبلغ]]&lt;0,TArticle[[#This Row],[کد وضعیت سند]]=1),0-TArticle[[#This Row],[مبلغ]],0)</f>
        <v>0</v>
      </c>
      <c r="Y385" s="27">
        <v>2</v>
      </c>
      <c r="Z385" s="171" t="str">
        <f>IF(TArticle[[#This Row],[کد بانک]]&gt;0,VLOOKUP(TArticle[[#This Row],[کد بانک]],TBank[],2,FALSE),"")</f>
        <v>ملی جاری</v>
      </c>
      <c r="AA385">
        <f>IF(AND(TArticle[[#This Row],[مبلغ]]&lt;0,TArticle[[#This Row],[کد وضعیت سند]]=1),0-TArticle[[#This Row],[مبلغ]],0)</f>
        <v>0</v>
      </c>
      <c r="AB385">
        <f>IF(AND(TArticle[[#This Row],[مبلغ]]&gt;0, TArticle[[#This Row],[کد وضعیت سند]]=1),TArticle[[#This Row],[مبلغ]],0)</f>
        <v>0</v>
      </c>
      <c r="AC385" s="92">
        <f>IF(TArticle[[#This Row],[کد بانک]]&gt;0,VLOOKUP(TArticle[[#This Row],[کد بانک]],TBank[],9,FALSE)+SUMIF($Y$2:Y385,Y385,$E$2:$E385),"")</f>
        <v>76463</v>
      </c>
      <c r="AD385" s="1">
        <f>IFERROR(IF(INT(LEFT(TArticle[[#This Row],[شناسه]]))=3,IF(TArticle[[#This Row],[کد وضعیت سند]]=1,TArticle[مبلغ],0),0),0)</f>
        <v>0</v>
      </c>
      <c r="AE385" s="1">
        <f>IFERROR(IF(((TArticle[[#This Row],[شناسه]]))="4.1.1",IF(TArticle[[#This Row],[کد وضعیت سند]]=1,TArticle[مبلغ],0),0),0)</f>
        <v>0</v>
      </c>
      <c r="AF385" s="1">
        <f>IFERROR(IF(((TArticle[[#This Row],[شناسه]]))="4.1.2",IF(TArticle[[#This Row],[کد وضعیت سند]]=1,TArticle[مبلغ],0),0),0)</f>
        <v>0</v>
      </c>
      <c r="AG385" s="1">
        <f>IFERROR(IF(INT(LEFT(TArticle[[#This Row],[شناسه]]))=1,IF(TArticle[[#This Row],[کد وضعیت سند]]=1,TArticle[مبلغ],0),0),0)</f>
        <v>0</v>
      </c>
      <c r="AH385" s="1">
        <f>IFERROR(IF(INT(LEFT(TArticle[[#This Row],[شناسه]]))=2,IF(TArticle[[#This Row],[کد وضعیت سند]]=1,TArticle[مبلغ],0),0),0)</f>
        <v>0</v>
      </c>
      <c r="AI385" s="1">
        <f>IFERROR(IF((LEFT(TArticle[[#This Row],[شناسه]],3))="5.2",IF(TArticle[[#This Row],[کد وضعیت سند]]=1,TArticle[مبلغ],0),0),0)</f>
        <v>0</v>
      </c>
      <c r="AJ385" s="1">
        <f>IF(TArticle[[#This Row],[کد وضعیت سند]]=1,1,0)</f>
        <v>0</v>
      </c>
      <c r="AK385" s="1">
        <f>IF(AND(TArticle[[#This Row],[کد وضعیت سند]]&lt;&gt;1,TArticle[[#This Row],[مبلغ]]&lt;&gt;0),1,0)</f>
        <v>1</v>
      </c>
      <c r="AL385" s="51">
        <f>IF(TArticle[[#This Row],[کد بانک]]&gt;0,TArticle[[#This Row],[مانده بانک]]-VLOOKUP(TArticle[[#This Row],[کد بانک]],TBank[],7,FALSE),"")</f>
        <v>76463</v>
      </c>
      <c r="AM385" s="58" t="str">
        <f>LEFT(TArticle[[#This Row],[تاریخ]],7)</f>
        <v>1402-05</v>
      </c>
    </row>
    <row r="386" spans="1:39" x14ac:dyDescent="0.25">
      <c r="A386" s="24" t="s">
        <v>1110</v>
      </c>
      <c r="B386" s="49" t="str">
        <f>VLOOKUP(TArticle[[#This Row],[شناسه]],TAccount[],2,TRUE)</f>
        <v>قسط وام بانکی</v>
      </c>
      <c r="C386" s="49" t="str">
        <f>VLOOKUP(TArticle[[#This Row],[تاریخ]],TDays[],7,FALSE)</f>
        <v>دوشنبه</v>
      </c>
      <c r="D386" s="21" t="s">
        <v>686</v>
      </c>
      <c r="E386" s="1">
        <f>'طرف حساب'!$J$29</f>
        <v>-3616</v>
      </c>
      <c r="F386" s="1">
        <f>TArticle[[#This Row],[مبلغ]]+IFERROR(INT(F385),30181+3667+958)</f>
        <v>65195</v>
      </c>
      <c r="G386" s="49"/>
      <c r="H386" s="21">
        <v>6</v>
      </c>
      <c r="J386" s="51"/>
      <c r="K386" s="64">
        <v>2</v>
      </c>
      <c r="L386" s="171" t="str">
        <f>IF(TArticle[[#This Row],[کد وضعیت سند]]&gt;0,VLOOKUP(TArticle[[#This Row],[کد وضعیت سند]],TDocState[],2,FALSE),"")</f>
        <v>قطعی</v>
      </c>
      <c r="M386" s="67">
        <v>114</v>
      </c>
      <c r="N386" s="171" t="str">
        <f>IF(TArticle[[#This Row],[کد طرف حساب]]&gt;0,VLOOKUP(TArticle[[#This Row],[کد طرف حساب]],TContact[],2,FALSE),"")</f>
        <v>وام کارت ملی ف</v>
      </c>
      <c r="O386" s="60">
        <f>IF(TArticle[[#This Row],[کد طرف حساب]]&gt;0,VLOOKUP(TArticle[[#This Row],[کد طرف حساب]],TContact[],7,FALSE)-SUMIF($M$2:M386,M386,$E$2:$E386),"")</f>
        <v>-109762</v>
      </c>
      <c r="P386" s="27" t="str">
        <f>RIGHT(TArticle[[#This Row],[تاریخ]],2)</f>
        <v>09</v>
      </c>
      <c r="Q386" s="27">
        <f>VLOOKUP(TArticle[[#This Row],[تاریخ]],TDays[],16,FALSE)</f>
        <v>20</v>
      </c>
      <c r="R386" s="27" t="str">
        <f>RIGHT(LEFT(TArticle[[#This Row],[تاریخ]],7),2)</f>
        <v>05</v>
      </c>
      <c r="S386" s="27" t="str">
        <f>LEFT(TArticle[[#This Row],[تاریخ]],4)</f>
        <v>1402</v>
      </c>
      <c r="U386" s="21">
        <f>VLOOKUP(TArticle[[#This Row],[شناسه]],TAccount[],7,TRUE)</f>
        <v>81652</v>
      </c>
      <c r="W386" s="21">
        <f>IF(AND(TArticle[[#This Row],[مبلغ]]&gt;0, TArticle[[#This Row],[کد وضعیت سند]]=1),TArticle[[#This Row],[مبلغ]],0)</f>
        <v>0</v>
      </c>
      <c r="X386" s="27">
        <f>IF(AND(TArticle[[#This Row],[مبلغ]]&lt;0,TArticle[[#This Row],[کد وضعیت سند]]=1),0-TArticle[[#This Row],[مبلغ]],0)</f>
        <v>0</v>
      </c>
      <c r="Y386" s="27">
        <v>2</v>
      </c>
      <c r="Z386" s="171" t="str">
        <f>IF(TArticle[[#This Row],[کد بانک]]&gt;0,VLOOKUP(TArticle[[#This Row],[کد بانک]],TBank[],2,FALSE),"")</f>
        <v>ملی جاری</v>
      </c>
      <c r="AA386">
        <f>IF(AND(TArticle[[#This Row],[مبلغ]]&lt;0,TArticle[[#This Row],[کد وضعیت سند]]=1),0-TArticle[[#This Row],[مبلغ]],0)</f>
        <v>0</v>
      </c>
      <c r="AB386">
        <f>IF(AND(TArticle[[#This Row],[مبلغ]]&gt;0, TArticle[[#This Row],[کد وضعیت سند]]=1),TArticle[[#This Row],[مبلغ]],0)</f>
        <v>0</v>
      </c>
      <c r="AC386" s="92">
        <f>IF(TArticle[[#This Row],[کد بانک]]&gt;0,VLOOKUP(TArticle[[#This Row],[کد بانک]],TBank[],9,FALSE)+SUMIF($Y$2:Y386,Y386,$E$2:$E386),"")</f>
        <v>72847</v>
      </c>
      <c r="AD386" s="1">
        <f>IFERROR(IF(INT(LEFT(TArticle[[#This Row],[شناسه]]))=3,IF(TArticle[[#This Row],[کد وضعیت سند]]=1,TArticle[مبلغ],0),0),0)</f>
        <v>0</v>
      </c>
      <c r="AE386" s="1">
        <f>IFERROR(IF(((TArticle[[#This Row],[شناسه]]))="4.1.1",IF(TArticle[[#This Row],[کد وضعیت سند]]=1,TArticle[مبلغ],0),0),0)</f>
        <v>0</v>
      </c>
      <c r="AF386" s="1">
        <f>IFERROR(IF(((TArticle[[#This Row],[شناسه]]))="4.1.2",IF(TArticle[[#This Row],[کد وضعیت سند]]=1,TArticle[مبلغ],0),0),0)</f>
        <v>0</v>
      </c>
      <c r="AG386" s="1">
        <f>IFERROR(IF(INT(LEFT(TArticle[[#This Row],[شناسه]]))=1,IF(TArticle[[#This Row],[کد وضعیت سند]]=1,TArticle[مبلغ],0),0),0)</f>
        <v>0</v>
      </c>
      <c r="AH386" s="1">
        <f>IFERROR(IF(INT(LEFT(TArticle[[#This Row],[شناسه]]))=2,IF(TArticle[[#This Row],[کد وضعیت سند]]=1,TArticle[مبلغ],0),0),0)</f>
        <v>0</v>
      </c>
      <c r="AI386" s="1">
        <f>IFERROR(IF((LEFT(TArticle[[#This Row],[شناسه]],3))="5.2",IF(TArticle[[#This Row],[کد وضعیت سند]]=1,TArticle[مبلغ],0),0),0)</f>
        <v>0</v>
      </c>
      <c r="AJ386" s="1">
        <f>IF(TArticle[[#This Row],[کد وضعیت سند]]=1,1,0)</f>
        <v>0</v>
      </c>
      <c r="AK386" s="1">
        <f>IF(AND(TArticle[[#This Row],[کد وضعیت سند]]&lt;&gt;1,TArticle[[#This Row],[مبلغ]]&lt;&gt;0),1,0)</f>
        <v>1</v>
      </c>
      <c r="AL386" s="51">
        <f>IF(TArticle[[#This Row],[کد بانک]]&gt;0,TArticle[[#This Row],[مانده بانک]]-VLOOKUP(TArticle[[#This Row],[کد بانک]],TBank[],7,FALSE),"")</f>
        <v>72847</v>
      </c>
      <c r="AM386" s="58" t="str">
        <f>LEFT(TArticle[[#This Row],[تاریخ]],7)</f>
        <v>1402-05</v>
      </c>
    </row>
    <row r="387" spans="1:39" x14ac:dyDescent="0.25">
      <c r="A387" s="24" t="s">
        <v>41</v>
      </c>
      <c r="B387" s="49" t="str">
        <f>VLOOKUP(TArticle[[#This Row],[شناسه]],TAccount[],2,TRUE)</f>
        <v>قرعه هجده (43)</v>
      </c>
      <c r="C387" s="49" t="str">
        <f>VLOOKUP(TArticle[[#This Row],[تاریخ]],TDays[],7,FALSE)</f>
        <v>شنبه</v>
      </c>
      <c r="D387" s="21" t="s">
        <v>74</v>
      </c>
      <c r="E387" s="1">
        <v>-350</v>
      </c>
      <c r="F387" s="1">
        <f>TArticle[[#This Row],[مبلغ]]+IFERROR(INT(F386),30181+3667+958)</f>
        <v>64845</v>
      </c>
      <c r="G387" s="49"/>
      <c r="H387" s="21">
        <v>52</v>
      </c>
      <c r="K387" s="21">
        <v>2</v>
      </c>
      <c r="L387" s="171" t="str">
        <f>IF(TArticle[[#This Row],[کد وضعیت سند]]&gt;0,VLOOKUP(TArticle[[#This Row],[کد وضعیت سند]],TDocState[],2,FALSE),"")</f>
        <v>قطعی</v>
      </c>
      <c r="M387" s="27">
        <v>103</v>
      </c>
      <c r="N387" s="171" t="str">
        <f>IF(TArticle[[#This Row],[کد طرف حساب]]&gt;0,VLOOKUP(TArticle[[#This Row],[کد طرف حساب]],TContact[],2,FALSE),"")</f>
        <v>قرعه 18م (43)</v>
      </c>
      <c r="O387" s="51">
        <f>IF(TArticle[[#This Row],[کد طرف حساب]]&gt;0,VLOOKUP(TArticle[[#This Row],[کد طرف حساب]],TContact[],7,FALSE)-SUMIF($M$2:M387,M387,$E$2:$E387),"")</f>
        <v>-350</v>
      </c>
      <c r="P387" s="27" t="str">
        <f>RIGHT(TArticle[[#This Row],[تاریخ]],2)</f>
        <v>14</v>
      </c>
      <c r="Q387" s="27">
        <f>VLOOKUP(TArticle[[#This Row],[تاریخ]],TDays[],16,FALSE)</f>
        <v>20</v>
      </c>
      <c r="R387" s="27" t="str">
        <f>RIGHT(LEFT(TArticle[[#This Row],[تاریخ]],7),2)</f>
        <v>05</v>
      </c>
      <c r="S387" s="27" t="str">
        <f>LEFT(TArticle[[#This Row],[تاریخ]],4)</f>
        <v>1402</v>
      </c>
      <c r="U387" s="21">
        <f>VLOOKUP(TArticle[[#This Row],[شناسه]],TAccount[],7,TRUE)</f>
        <v>4200</v>
      </c>
      <c r="V387" s="21" t="s">
        <v>74</v>
      </c>
      <c r="W387" s="21">
        <f>IF(AND(TArticle[[#This Row],[مبلغ]]&gt;0, TArticle[[#This Row],[کد وضعیت سند]]=1),TArticle[[#This Row],[مبلغ]],0)</f>
        <v>0</v>
      </c>
      <c r="X387" s="21">
        <f>IF(AND(TArticle[[#This Row],[مبلغ]]&lt;0,TArticle[[#This Row],[کد وضعیت سند]]=1),0-TArticle[[#This Row],[مبلغ]],0)</f>
        <v>0</v>
      </c>
      <c r="Y387" s="27">
        <v>2</v>
      </c>
      <c r="Z387" s="171" t="str">
        <f>IF(TArticle[[#This Row],[کد بانک]]&gt;0,VLOOKUP(TArticle[[#This Row],[کد بانک]],TBank[],2,FALSE),"")</f>
        <v>ملی جاری</v>
      </c>
      <c r="AA387">
        <f>IF(AND(TArticle[[#This Row],[مبلغ]]&lt;0,TArticle[[#This Row],[کد وضعیت سند]]=1),0-TArticle[[#This Row],[مبلغ]],0)</f>
        <v>0</v>
      </c>
      <c r="AB387">
        <f>IF(AND(TArticle[[#This Row],[مبلغ]]&gt;0, TArticle[[#This Row],[کد وضعیت سند]]=1),TArticle[[#This Row],[مبلغ]],0)</f>
        <v>0</v>
      </c>
      <c r="AC387" s="84">
        <f>IF(TArticle[[#This Row],[کد بانک]]&gt;0,VLOOKUP(TArticle[[#This Row],[کد بانک]],TBank[],9,FALSE)+SUMIF($Y$2:Y387,Y387,$E$2:$E387),"")</f>
        <v>72497</v>
      </c>
      <c r="AD387" s="1">
        <f>IFERROR(IF(INT(LEFT(TArticle[[#This Row],[شناسه]]))=3,IF(TArticle[[#This Row],[کد وضعیت سند]]=1,TArticle[مبلغ],0),0),0)</f>
        <v>0</v>
      </c>
      <c r="AE387" s="1">
        <f>IFERROR(IF(((TArticle[[#This Row],[شناسه]]))="4.1.1",IF(TArticle[[#This Row],[کد وضعیت سند]]=1,TArticle[مبلغ],0),0),0)</f>
        <v>0</v>
      </c>
      <c r="AF387" s="1">
        <f>IFERROR(IF(((TArticle[[#This Row],[شناسه]]))="4.1.2",IF(TArticle[[#This Row],[کد وضعیت سند]]=1,TArticle[مبلغ],0),0),0)</f>
        <v>0</v>
      </c>
      <c r="AG387" s="1">
        <f>IFERROR(IF(INT(LEFT(TArticle[[#This Row],[شناسه]]))=1,IF(TArticle[[#This Row],[کد وضعیت سند]]=1,TArticle[مبلغ],0),0),0)</f>
        <v>0</v>
      </c>
      <c r="AH387" s="1">
        <f>IFERROR(IF(INT(LEFT(TArticle[[#This Row],[شناسه]]))=2,IF(TArticle[[#This Row],[کد وضعیت سند]]=1,TArticle[مبلغ],0),0),0)</f>
        <v>0</v>
      </c>
      <c r="AI387" s="1">
        <f>IFERROR(IF((LEFT(TArticle[[#This Row],[شناسه]],3))="5.2",IF(TArticle[[#This Row],[کد وضعیت سند]]=1,TArticle[مبلغ],0),0),0)</f>
        <v>0</v>
      </c>
      <c r="AJ387" s="1">
        <f>IF(TArticle[[#This Row],[کد وضعیت سند]]=1,1,0)</f>
        <v>0</v>
      </c>
      <c r="AK387" s="1">
        <f>IF(AND(TArticle[[#This Row],[کد وضعیت سند]]&lt;&gt;1,TArticle[[#This Row],[مبلغ]]&lt;&gt;0),1,0)</f>
        <v>1</v>
      </c>
      <c r="AL387" s="51">
        <f>IF(TArticle[[#This Row],[کد بانک]]&gt;0,TArticle[[#This Row],[مانده بانک]]-VLOOKUP(TArticle[[#This Row],[کد بانک]],TBank[],7,FALSE),"")</f>
        <v>72497</v>
      </c>
      <c r="AM387" s="58" t="str">
        <f>LEFT(TArticle[[#This Row],[تاریخ]],7)</f>
        <v>1402-05</v>
      </c>
    </row>
    <row r="388" spans="1:39" x14ac:dyDescent="0.25">
      <c r="A388" s="13" t="s">
        <v>78</v>
      </c>
      <c r="B388" s="49" t="str">
        <f>VLOOKUP(TArticle[[#This Row],[شناسه]],TAccount[],2,TRUE)</f>
        <v>چک</v>
      </c>
      <c r="C388" s="49" t="str">
        <f>VLOOKUP(TArticle[[#This Row],[تاریخ]],TDays[],7,FALSE)</f>
        <v>سه شنبه</v>
      </c>
      <c r="D388" s="21" t="s">
        <v>693</v>
      </c>
      <c r="E388" s="1">
        <v>-4250</v>
      </c>
      <c r="F388" s="1">
        <f>TArticle[[#This Row],[مبلغ]]+IFERROR(INT(F387),30181+3667+958)</f>
        <v>60595</v>
      </c>
      <c r="G388" s="167">
        <v>290882</v>
      </c>
      <c r="H388">
        <v>5</v>
      </c>
      <c r="J388" s="51"/>
      <c r="K388" s="64">
        <v>2</v>
      </c>
      <c r="L388" s="171" t="str">
        <f>IF(TArticle[[#This Row],[کد وضعیت سند]]&gt;0,VLOOKUP(TArticle[[#This Row],[کد وضعیت سند]],TDocState[],2,FALSE),"")</f>
        <v>قطعی</v>
      </c>
      <c r="M388" s="27">
        <v>117</v>
      </c>
      <c r="N388" s="171" t="str">
        <f>IF(TArticle[[#This Row],[کد طرف حساب]]&gt;0,VLOOKUP(TArticle[[#This Row],[کد طرف حساب]],TContact[],2,FALSE),"")</f>
        <v>وام سرویس خواب</v>
      </c>
      <c r="O388" s="60">
        <f>IF(TArticle[[#This Row],[کد طرف حساب]]&gt;0,VLOOKUP(TArticle[[#This Row],[کد طرف حساب]],TContact[],7,FALSE)-SUMIF($M$2:M388,M388,$E$2:$E388),"")</f>
        <v>-29750</v>
      </c>
      <c r="P388" s="27" t="str">
        <f>RIGHT(TArticle[[#This Row],[تاریخ]],2)</f>
        <v>17</v>
      </c>
      <c r="Q388" s="27">
        <f>VLOOKUP(TArticle[[#This Row],[تاریخ]],TDays[],16,FALSE)</f>
        <v>21</v>
      </c>
      <c r="R388" s="27" t="str">
        <f>RIGHT(LEFT(TArticle[[#This Row],[تاریخ]],7),2)</f>
        <v>05</v>
      </c>
      <c r="S388" s="27" t="str">
        <f>LEFT(TArticle[[#This Row],[تاریخ]],4)</f>
        <v>1402</v>
      </c>
      <c r="U388" s="21">
        <f>VLOOKUP(TArticle[[#This Row],[شناسه]],TAccount[],7,TRUE)</f>
        <v>57000</v>
      </c>
      <c r="W388" s="21">
        <f>IF(AND(TArticle[[#This Row],[مبلغ]]&gt;0, TArticle[[#This Row],[کد وضعیت سند]]=1),TArticle[[#This Row],[مبلغ]],0)</f>
        <v>0</v>
      </c>
      <c r="X388" s="27">
        <f>IF(AND(TArticle[[#This Row],[مبلغ]]&lt;0,TArticle[[#This Row],[کد وضعیت سند]]=1),0-TArticle[[#This Row],[مبلغ]],0)</f>
        <v>0</v>
      </c>
      <c r="Y388" s="27">
        <v>4</v>
      </c>
      <c r="Z388" s="171" t="str">
        <f>IF(TArticle[[#This Row],[کد بانک]]&gt;0,VLOOKUP(TArticle[[#This Row],[کد بانک]],TBank[],2,FALSE),"")</f>
        <v>سپه</v>
      </c>
      <c r="AA388">
        <f>IF(AND(TArticle[[#This Row],[مبلغ]]&lt;0,TArticle[[#This Row],[کد وضعیت سند]]=1),0-TArticle[[#This Row],[مبلغ]],0)</f>
        <v>0</v>
      </c>
      <c r="AB388">
        <f>IF(AND(TArticle[[#This Row],[مبلغ]]&gt;0, TArticle[[#This Row],[کد وضعیت سند]]=1),TArticle[[#This Row],[مبلغ]],0)</f>
        <v>0</v>
      </c>
      <c r="AC388" s="92">
        <f>IF(TArticle[[#This Row],[کد بانک]]&gt;0,VLOOKUP(TArticle[[#This Row],[کد بانک]],TBank[],9,FALSE)+SUMIF($Y$2:Y388,Y388,$E$2:$E388),"")</f>
        <v>-16998</v>
      </c>
      <c r="AD388" s="1">
        <f>IFERROR(IF(INT(LEFT(TArticle[[#This Row],[شناسه]]))=3,IF(TArticle[[#This Row],[کد وضعیت سند]]=1,TArticle[مبلغ],0),0),0)</f>
        <v>0</v>
      </c>
      <c r="AE388" s="1">
        <f>IFERROR(IF(((TArticle[[#This Row],[شناسه]]))="4.1.1",IF(TArticle[[#This Row],[کد وضعیت سند]]=1,TArticle[مبلغ],0),0),0)</f>
        <v>0</v>
      </c>
      <c r="AF388" s="1">
        <f>IFERROR(IF(((TArticle[[#This Row],[شناسه]]))="4.1.2",IF(TArticle[[#This Row],[کد وضعیت سند]]=1,TArticle[مبلغ],0),0),0)</f>
        <v>0</v>
      </c>
      <c r="AG388" s="1">
        <f>IFERROR(IF(INT(LEFT(TArticle[[#This Row],[شناسه]]))=1,IF(TArticle[[#This Row],[کد وضعیت سند]]=1,TArticle[مبلغ],0),0),0)</f>
        <v>0</v>
      </c>
      <c r="AH388" s="1">
        <f>IFERROR(IF(INT(LEFT(TArticle[[#This Row],[شناسه]]))=2,IF(TArticle[[#This Row],[کد وضعیت سند]]=1,TArticle[مبلغ],0),0),0)</f>
        <v>0</v>
      </c>
      <c r="AI388" s="1">
        <f>IFERROR(IF((LEFT(TArticle[[#This Row],[شناسه]],3))="5.2",IF(TArticle[[#This Row],[کد وضعیت سند]]=1,TArticle[مبلغ],0),0),0)</f>
        <v>0</v>
      </c>
      <c r="AJ388" s="1">
        <f>IF(TArticle[[#This Row],[کد وضعیت سند]]=1,1,0)</f>
        <v>0</v>
      </c>
      <c r="AK388" s="1">
        <f>IF(AND(TArticle[[#This Row],[کد وضعیت سند]]&lt;&gt;1,TArticle[[#This Row],[مبلغ]]&lt;&gt;0),1,0)</f>
        <v>1</v>
      </c>
      <c r="AL388" s="51">
        <f>IF(TArticle[[#This Row],[کد بانک]]&gt;0,TArticle[[#This Row],[مانده بانک]]-VLOOKUP(TArticle[[#This Row],[کد بانک]],TBank[],7,FALSE),"")</f>
        <v>-17000</v>
      </c>
      <c r="AM388" s="58" t="str">
        <f>LEFT(TArticle[[#This Row],[تاریخ]],7)</f>
        <v>1402-05</v>
      </c>
    </row>
    <row r="389" spans="1:39" x14ac:dyDescent="0.25">
      <c r="A389" s="24" t="s">
        <v>1013</v>
      </c>
      <c r="B389" s="49" t="str">
        <f>VLOOKUP(TArticle[[#This Row],[شناسه]],TAccount[],2,TRUE)</f>
        <v>یارانه</v>
      </c>
      <c r="C389" s="49" t="str">
        <f>VLOOKUP(TArticle[[#This Row],[تاریخ]],TDays[],7,FALSE)</f>
        <v>جمعه</v>
      </c>
      <c r="D389" s="21" t="s">
        <v>696</v>
      </c>
      <c r="E389" s="1">
        <v>1500</v>
      </c>
      <c r="F389" s="1">
        <f>TArticle[[#This Row],[مبلغ]]+IFERROR(INT(F388),30181+3667+958)</f>
        <v>62095</v>
      </c>
      <c r="G389" s="49"/>
      <c r="H389" s="64"/>
      <c r="J389" s="65"/>
      <c r="K389" s="64">
        <v>2</v>
      </c>
      <c r="L389" s="171" t="str">
        <f>IF(TArticle[[#This Row],[کد وضعیت سند]]&gt;0,VLOOKUP(TArticle[[#This Row],[کد وضعیت سند]],TDocState[],2,FALSE),"")</f>
        <v>قطعی</v>
      </c>
      <c r="M389" s="67"/>
      <c r="N389" s="171" t="str">
        <f>IF(TArticle[[#This Row],[کد طرف حساب]]&gt;0,VLOOKUP(TArticle[[#This Row],[کد طرف حساب]],TContact[],2,FALSE),"")</f>
        <v/>
      </c>
      <c r="O389" s="68" t="str">
        <f>IF(TArticle[[#This Row],[کد طرف حساب]]&gt;0,VLOOKUP(TArticle[[#This Row],[کد طرف حساب]],TContact[],7,FALSE)-SUMIF($M$2:M389,M389,$E$2:$E389),"")</f>
        <v/>
      </c>
      <c r="P389" s="67" t="str">
        <f>RIGHT(TArticle[[#This Row],[تاریخ]],2)</f>
        <v>20</v>
      </c>
      <c r="Q389" s="67">
        <f>VLOOKUP(TArticle[[#This Row],[تاریخ]],TDays[],16,FALSE)</f>
        <v>21</v>
      </c>
      <c r="R389" s="67" t="str">
        <f>RIGHT(LEFT(TArticle[[#This Row],[تاریخ]],7),2)</f>
        <v>05</v>
      </c>
      <c r="S389" s="67" t="str">
        <f>LEFT(TArticle[[#This Row],[تاریخ]],4)</f>
        <v>1402</v>
      </c>
      <c r="T389" s="64"/>
      <c r="U389" s="64">
        <f>VLOOKUP(TArticle[[#This Row],[شناسه]],TAccount[],7,TRUE)</f>
        <v>12565</v>
      </c>
      <c r="V389" s="64"/>
      <c r="W389" s="64">
        <f>IF(AND(TArticle[[#This Row],[مبلغ]]&gt;0, TArticle[[#This Row],[کد وضعیت سند]]=1),TArticle[[#This Row],[مبلغ]],0)</f>
        <v>0</v>
      </c>
      <c r="X389" s="67">
        <f>IF(AND(TArticle[[#This Row],[مبلغ]]&lt;0,TArticle[[#This Row],[کد وضعیت سند]]=1),0-TArticle[[#This Row],[مبلغ]],0)</f>
        <v>0</v>
      </c>
      <c r="Y389" s="27">
        <v>2</v>
      </c>
      <c r="Z389" s="171" t="str">
        <f>IF(TArticle[[#This Row],[کد بانک]]&gt;0,VLOOKUP(TArticle[[#This Row],[کد بانک]],TBank[],2,FALSE),"")</f>
        <v>ملی جاری</v>
      </c>
      <c r="AA389">
        <f>IF(AND(TArticle[[#This Row],[مبلغ]]&lt;0,TArticle[[#This Row],[کد وضعیت سند]]=1),0-TArticle[[#This Row],[مبلغ]],0)</f>
        <v>0</v>
      </c>
      <c r="AB389">
        <f>IF(AND(TArticle[[#This Row],[مبلغ]]&gt;0, TArticle[[#This Row],[کد وضعیت سند]]=1),TArticle[[#This Row],[مبلغ]],0)</f>
        <v>0</v>
      </c>
      <c r="AC389" s="93">
        <f>IF(TArticle[[#This Row],[کد بانک]]&gt;0,VLOOKUP(TArticle[[#This Row],[کد بانک]],TBank[],9,FALSE)+SUMIF($Y$2:Y389,Y389,$E$2:$E389),"")</f>
        <v>73997</v>
      </c>
      <c r="AD389" s="1">
        <f>IFERROR(IF(INT(LEFT(TArticle[[#This Row],[شناسه]]))=3,IF(TArticle[[#This Row],[کد وضعیت سند]]=1,TArticle[مبلغ],0),0),0)</f>
        <v>0</v>
      </c>
      <c r="AE389" s="1">
        <f>IFERROR(IF(((TArticle[[#This Row],[شناسه]]))="4.1.1",IF(TArticle[[#This Row],[کد وضعیت سند]]=1,TArticle[مبلغ],0),0),0)</f>
        <v>0</v>
      </c>
      <c r="AF389" s="1">
        <f>IFERROR(IF(((TArticle[[#This Row],[شناسه]]))="4.1.2",IF(TArticle[[#This Row],[کد وضعیت سند]]=1,TArticle[مبلغ],0),0),0)</f>
        <v>0</v>
      </c>
      <c r="AG389" s="1">
        <f>IFERROR(IF(INT(LEFT(TArticle[[#This Row],[شناسه]]))=1,IF(TArticle[[#This Row],[کد وضعیت سند]]=1,TArticle[مبلغ],0),0),0)</f>
        <v>0</v>
      </c>
      <c r="AH389" s="1">
        <f>IFERROR(IF(INT(LEFT(TArticle[[#This Row],[شناسه]]))=2,IF(TArticle[[#This Row],[کد وضعیت سند]]=1,TArticle[مبلغ],0),0),0)</f>
        <v>0</v>
      </c>
      <c r="AI389" s="1">
        <f>IFERROR(IF((LEFT(TArticle[[#This Row],[شناسه]],3))="5.2",IF(TArticle[[#This Row],[کد وضعیت سند]]=1,TArticle[مبلغ],0),0),0)</f>
        <v>0</v>
      </c>
      <c r="AJ389" s="1">
        <f>IF(TArticle[[#This Row],[کد وضعیت سند]]=1,1,0)</f>
        <v>0</v>
      </c>
      <c r="AK389" s="1">
        <f>IF(AND(TArticle[[#This Row],[کد وضعیت سند]]&lt;&gt;1,TArticle[[#This Row],[مبلغ]]&lt;&gt;0),1,0)</f>
        <v>1</v>
      </c>
      <c r="AL389" s="78">
        <f>IF(TArticle[[#This Row],[کد بانک]]&gt;0,TArticle[[#This Row],[مانده بانک]]-VLOOKUP(TArticle[[#This Row],[کد بانک]],TBank[],7,FALSE),"")</f>
        <v>73997</v>
      </c>
      <c r="AM389" s="69" t="str">
        <f>LEFT(TArticle[[#This Row],[تاریخ]],7)</f>
        <v>1402-05</v>
      </c>
    </row>
    <row r="390" spans="1:39" x14ac:dyDescent="0.25">
      <c r="A390" s="24" t="s">
        <v>1110</v>
      </c>
      <c r="B390" s="49" t="str">
        <f>VLOOKUP(TArticle[[#This Row],[شناسه]],TAccount[],2,TRUE)</f>
        <v>قسط وام بانکی</v>
      </c>
      <c r="C390" s="49" t="str">
        <f>VLOOKUP(TArticle[[#This Row],[تاریخ]],TDays[],7,FALSE)</f>
        <v>شنبه</v>
      </c>
      <c r="D390" s="21" t="s">
        <v>704</v>
      </c>
      <c r="E390" s="1">
        <v>-1808</v>
      </c>
      <c r="F390" s="1">
        <f>TArticle[[#This Row],[مبلغ]]+IFERROR(INT(F389),30181+3667+958)</f>
        <v>60287</v>
      </c>
      <c r="G390" s="49" t="s">
        <v>1597</v>
      </c>
      <c r="H390" s="64">
        <v>22</v>
      </c>
      <c r="J390" s="65"/>
      <c r="K390" s="21">
        <v>2</v>
      </c>
      <c r="L390" s="171" t="str">
        <f>IF(TArticle[[#This Row],[کد وضعیت سند]]&gt;0,VLOOKUP(TArticle[[#This Row],[کد وضعیت سند]],TDocState[],2,FALSE),"")</f>
        <v>قطعی</v>
      </c>
      <c r="M390" s="67">
        <v>112</v>
      </c>
      <c r="N390" s="171" t="str">
        <f>IF(TArticle[[#This Row],[کد طرف حساب]]&gt;0,VLOOKUP(TArticle[[#This Row],[کد طرف حساب]],TContact[],2,FALSE),"")</f>
        <v>وام ملی</v>
      </c>
      <c r="O390" s="68">
        <f>IF(TArticle[[#This Row],[کد طرف حساب]]&gt;0,VLOOKUP(TArticle[[#This Row],[کد طرف حساب]],TContact[],7,FALSE)-SUMIF($M$2:M390,M390,$E$2:$E390),"")</f>
        <v>-22880</v>
      </c>
      <c r="P390" s="67" t="str">
        <f>RIGHT(TArticle[[#This Row],[تاریخ]],2)</f>
        <v>28</v>
      </c>
      <c r="Q390" s="67">
        <f>VLOOKUP(TArticle[[#This Row],[تاریخ]],TDays[],16,FALSE)</f>
        <v>22</v>
      </c>
      <c r="R390" s="67" t="str">
        <f>RIGHT(LEFT(TArticle[[#This Row],[تاریخ]],7),2)</f>
        <v>05</v>
      </c>
      <c r="S390" s="67" t="str">
        <f>LEFT(TArticle[[#This Row],[تاریخ]],4)</f>
        <v>1402</v>
      </c>
      <c r="T390" s="64"/>
      <c r="U390" s="64">
        <f>VLOOKUP(TArticle[[#This Row],[شناسه]],TAccount[],7,TRUE)</f>
        <v>81652</v>
      </c>
      <c r="V390" s="21" t="s">
        <v>704</v>
      </c>
      <c r="W390" s="64">
        <f>IF(AND(TArticle[[#This Row],[مبلغ]]&gt;0, TArticle[[#This Row],[کد وضعیت سند]]=1),TArticle[[#This Row],[مبلغ]],0)</f>
        <v>0</v>
      </c>
      <c r="X390" s="67">
        <f>IF(AND(TArticle[[#This Row],[مبلغ]]&lt;0,TArticle[[#This Row],[کد وضعیت سند]]=1),0-TArticle[[#This Row],[مبلغ]],0)</f>
        <v>0</v>
      </c>
      <c r="Y390" s="67">
        <v>2</v>
      </c>
      <c r="Z390" s="171" t="str">
        <f>IF(TArticle[[#This Row],[کد بانک]]&gt;0,VLOOKUP(TArticle[[#This Row],[کد بانک]],TBank[],2,FALSE),"")</f>
        <v>ملی جاری</v>
      </c>
      <c r="AA390">
        <f>IF(AND(TArticle[[#This Row],[مبلغ]]&lt;0,TArticle[[#This Row],[کد وضعیت سند]]=1),0-TArticle[[#This Row],[مبلغ]],0)</f>
        <v>0</v>
      </c>
      <c r="AB390">
        <f>IF(AND(TArticle[[#This Row],[مبلغ]]&gt;0, TArticle[[#This Row],[کد وضعیت سند]]=1),TArticle[[#This Row],[مبلغ]],0)</f>
        <v>0</v>
      </c>
      <c r="AC390" s="93">
        <f>IF(TArticle[[#This Row],[کد بانک]]&gt;0,VLOOKUP(TArticle[[#This Row],[کد بانک]],TBank[],9,FALSE)+SUMIF($Y$2:Y390,Y390,$E$2:$E390),"")</f>
        <v>72189</v>
      </c>
      <c r="AD390" s="1">
        <f>IFERROR(IF(INT(LEFT(TArticle[[#This Row],[شناسه]]))=3,IF(TArticle[[#This Row],[کد وضعیت سند]]=1,TArticle[مبلغ],0),0),0)</f>
        <v>0</v>
      </c>
      <c r="AE390" s="1">
        <f>IFERROR(IF(((TArticle[[#This Row],[شناسه]]))="4.1.1",IF(TArticle[[#This Row],[کد وضعیت سند]]=1,TArticle[مبلغ],0),0),0)</f>
        <v>0</v>
      </c>
      <c r="AF390" s="1">
        <f>IFERROR(IF(((TArticle[[#This Row],[شناسه]]))="4.1.2",IF(TArticle[[#This Row],[کد وضعیت سند]]=1,TArticle[مبلغ],0),0),0)</f>
        <v>0</v>
      </c>
      <c r="AG390" s="1">
        <f>IFERROR(IF(INT(LEFT(TArticle[[#This Row],[شناسه]]))=1,IF(TArticle[[#This Row],[کد وضعیت سند]]=1,TArticle[مبلغ],0),0),0)</f>
        <v>0</v>
      </c>
      <c r="AH390" s="1">
        <f>IFERROR(IF(INT(LEFT(TArticle[[#This Row],[شناسه]]))=2,IF(TArticle[[#This Row],[کد وضعیت سند]]=1,TArticle[مبلغ],0),0),0)</f>
        <v>0</v>
      </c>
      <c r="AI390" s="1">
        <f>IFERROR(IF((LEFT(TArticle[[#This Row],[شناسه]],3))="5.2",IF(TArticle[[#This Row],[کد وضعیت سند]]=1,TArticle[مبلغ],0),0),0)</f>
        <v>0</v>
      </c>
      <c r="AJ390" s="1">
        <f>IF(TArticle[[#This Row],[کد وضعیت سند]]=1,1,0)</f>
        <v>0</v>
      </c>
      <c r="AK390" s="1">
        <f>IF(AND(TArticle[[#This Row],[کد وضعیت سند]]&lt;&gt;1,TArticle[[#This Row],[مبلغ]]&lt;&gt;0),1,0)</f>
        <v>1</v>
      </c>
      <c r="AL390" s="78">
        <f>IF(TArticle[[#This Row],[کد بانک]]&gt;0,TArticle[[#This Row],[مانده بانک]]-VLOOKUP(TArticle[[#This Row],[کد بانک]],TBank[],7,FALSE),"")</f>
        <v>72189</v>
      </c>
      <c r="AM390" s="58" t="str">
        <f>LEFT(TArticle[[#This Row],[تاریخ]],7)</f>
        <v>1402-05</v>
      </c>
    </row>
    <row r="391" spans="1:39" x14ac:dyDescent="0.25">
      <c r="A391" s="24"/>
      <c r="B391" s="49" t="str">
        <f>VLOOKUP(TArticle[[#This Row],[شناسه]],TAccount[],2,TRUE)</f>
        <v>---</v>
      </c>
      <c r="C391" s="49" t="str">
        <f>VLOOKUP(TArticle[[#This Row],[تاریخ]],TDays[],7,FALSE)</f>
        <v>سه شنبه</v>
      </c>
      <c r="D391" s="21" t="s">
        <v>707</v>
      </c>
      <c r="F391" s="1">
        <f>TArticle[[#This Row],[مبلغ]]+IFERROR(INT(F390),30181+3667+958)</f>
        <v>60287</v>
      </c>
      <c r="G391" s="49"/>
      <c r="L391" s="171" t="str">
        <f>IF(TArticle[[#This Row],[کد وضعیت سند]]&gt;0,VLOOKUP(TArticle[[#This Row],[کد وضعیت سند]],TDocState[],2,FALSE),"")</f>
        <v/>
      </c>
      <c r="N391" s="171" t="str">
        <f>IF(TArticle[[#This Row],[کد طرف حساب]]&gt;0,VLOOKUP(TArticle[[#This Row],[کد طرف حساب]],TContact[],2,FALSE),"")</f>
        <v/>
      </c>
      <c r="O391" s="51" t="str">
        <f>IF(TArticle[[#This Row],[کد طرف حساب]]&gt;0,VLOOKUP(TArticle[[#This Row],[کد طرف حساب]],TContact[],7,FALSE)-SUMIF($M$2:M391,M391,$E$2:$E391),"")</f>
        <v/>
      </c>
      <c r="P391" s="27" t="str">
        <f>RIGHT(TArticle[[#This Row],[تاریخ]],2)</f>
        <v>31</v>
      </c>
      <c r="Q391" s="27">
        <f>VLOOKUP(TArticle[[#This Row],[تاریخ]],TDays[],16,FALSE)</f>
        <v>23</v>
      </c>
      <c r="R391" s="27" t="str">
        <f>RIGHT(LEFT(TArticle[[#This Row],[تاریخ]],7),2)</f>
        <v>05</v>
      </c>
      <c r="S391" s="27" t="str">
        <f>LEFT(TArticle[[#This Row],[تاریخ]],4)</f>
        <v>1402</v>
      </c>
      <c r="U391" s="21">
        <f>VLOOKUP(TArticle[[#This Row],[شناسه]],TAccount[],7,TRUE)</f>
        <v>0</v>
      </c>
      <c r="W391" s="21">
        <f>IF(AND(TArticle[[#This Row],[مبلغ]]&gt;0, TArticle[[#This Row],[کد وضعیت سند]]=1),TArticle[[#This Row],[مبلغ]],0)</f>
        <v>0</v>
      </c>
      <c r="X391" s="27">
        <f>IF(AND(TArticle[[#This Row],[مبلغ]]&lt;0,TArticle[[#This Row],[کد وضعیت سند]]=1),0-TArticle[[#This Row],[مبلغ]],0)</f>
        <v>0</v>
      </c>
      <c r="Y391" s="67">
        <v>2</v>
      </c>
      <c r="Z391" s="171" t="str">
        <f>IF(TArticle[[#This Row],[کد بانک]]&gt;0,VLOOKUP(TArticle[[#This Row],[کد بانک]],TBank[],2,FALSE),"")</f>
        <v>ملی جاری</v>
      </c>
      <c r="AA391">
        <f>IF(AND(TArticle[[#This Row],[مبلغ]]&lt;0,TArticle[[#This Row],[کد وضعیت سند]]=1),0-TArticle[[#This Row],[مبلغ]],0)</f>
        <v>0</v>
      </c>
      <c r="AB391">
        <f>IF(AND(TArticle[[#This Row],[مبلغ]]&gt;0, TArticle[[#This Row],[کد وضعیت سند]]=1),TArticle[[#This Row],[مبلغ]],0)</f>
        <v>0</v>
      </c>
      <c r="AC391" s="84">
        <f>IF(TArticle[[#This Row],[کد بانک]]&gt;0,VLOOKUP(TArticle[[#This Row],[کد بانک]],TBank[],9,FALSE)+SUMIF($Y$2:Y391,Y391,$E$2:$E391),"")</f>
        <v>72189</v>
      </c>
      <c r="AD391" s="1">
        <f>IFERROR(IF(INT(LEFT(TArticle[[#This Row],[شناسه]]))=3,IF(TArticle[[#This Row],[کد وضعیت سند]]=1,TArticle[مبلغ],0),0),0)</f>
        <v>0</v>
      </c>
      <c r="AE391" s="1">
        <f>IFERROR(IF(((TArticle[[#This Row],[شناسه]]))="4.1.1",IF(TArticle[[#This Row],[کد وضعیت سند]]=1,TArticle[مبلغ],0),0),0)</f>
        <v>0</v>
      </c>
      <c r="AF391" s="1">
        <f>IFERROR(IF(((TArticle[[#This Row],[شناسه]]))="4.1.2",IF(TArticle[[#This Row],[کد وضعیت سند]]=1,TArticle[مبلغ],0),0),0)</f>
        <v>0</v>
      </c>
      <c r="AG391" s="1">
        <f>IFERROR(IF(INT(LEFT(TArticle[[#This Row],[شناسه]]))=1,IF(TArticle[[#This Row],[کد وضعیت سند]]=1,TArticle[مبلغ],0),0),0)</f>
        <v>0</v>
      </c>
      <c r="AH391" s="1">
        <f>IFERROR(IF(INT(LEFT(TArticle[[#This Row],[شناسه]]))=2,IF(TArticle[[#This Row],[کد وضعیت سند]]=1,TArticle[مبلغ],0),0),0)</f>
        <v>0</v>
      </c>
      <c r="AI391" s="1">
        <f>IFERROR(IF((LEFT(TArticle[[#This Row],[شناسه]],3))="5.2",IF(TArticle[[#This Row],[کد وضعیت سند]]=1,TArticle[مبلغ],0),0),0)</f>
        <v>0</v>
      </c>
      <c r="AJ391" s="1">
        <f>IF(TArticle[[#This Row],[کد وضعیت سند]]=1,1,0)</f>
        <v>0</v>
      </c>
      <c r="AK391" s="1">
        <f>IF(AND(TArticle[[#This Row],[کد وضعیت سند]]&lt;&gt;1,TArticle[[#This Row],[مبلغ]]&lt;&gt;0),1,0)</f>
        <v>0</v>
      </c>
      <c r="AL391" s="51">
        <f>IF(TArticle[[#This Row],[کد بانک]]&gt;0,TArticle[[#This Row],[مانده بانک]]-VLOOKUP(TArticle[[#This Row],[کد بانک]],TBank[],7,FALSE),"")</f>
        <v>72189</v>
      </c>
      <c r="AM391" s="49" t="str">
        <f>LEFT(TArticle[[#This Row],[تاریخ]],7)</f>
        <v>1402-05</v>
      </c>
    </row>
    <row r="392" spans="1:39" x14ac:dyDescent="0.25">
      <c r="A392" s="24"/>
      <c r="B392" s="49" t="str">
        <f>VLOOKUP(TArticle[[#This Row],[شناسه]],TAccount[],2,TRUE)</f>
        <v>---</v>
      </c>
      <c r="C392" s="49" t="str">
        <f>VLOOKUP(TArticle[[#This Row],[تاریخ]],TDays[],7,FALSE)</f>
        <v>سه شنبه</v>
      </c>
      <c r="D392" s="21" t="s">
        <v>707</v>
      </c>
      <c r="F392" s="1">
        <f>TArticle[[#This Row],[مبلغ]]+IFERROR(INT(F391),30181+3667+958)</f>
        <v>60287</v>
      </c>
      <c r="G392" s="49"/>
      <c r="L392" s="171" t="str">
        <f>IF(TArticle[[#This Row],[کد وضعیت سند]]&gt;0,VLOOKUP(TArticle[[#This Row],[کد وضعیت سند]],TDocState[],2,FALSE),"")</f>
        <v/>
      </c>
      <c r="N392" s="171" t="str">
        <f>IF(TArticle[[#This Row],[کد طرف حساب]]&gt;0,VLOOKUP(TArticle[[#This Row],[کد طرف حساب]],TContact[],2,FALSE),"")</f>
        <v/>
      </c>
      <c r="O392" s="51" t="str">
        <f>IF(TArticle[[#This Row],[کد طرف حساب]]&gt;0,VLOOKUP(TArticle[[#This Row],[کد طرف حساب]],TContact[],7,FALSE)-SUMIF($M$2:M392,M392,$E$2:$E392),"")</f>
        <v/>
      </c>
      <c r="P392" s="27" t="str">
        <f>RIGHT(TArticle[[#This Row],[تاریخ]],2)</f>
        <v>31</v>
      </c>
      <c r="Q392" s="27">
        <f>VLOOKUP(TArticle[[#This Row],[تاریخ]],TDays[],16,FALSE)</f>
        <v>23</v>
      </c>
      <c r="R392" s="27" t="str">
        <f>RIGHT(LEFT(TArticle[[#This Row],[تاریخ]],7),2)</f>
        <v>05</v>
      </c>
      <c r="S392" s="27" t="str">
        <f>LEFT(TArticle[[#This Row],[تاریخ]],4)</f>
        <v>1402</v>
      </c>
      <c r="U392" s="21">
        <f>VLOOKUP(TArticle[[#This Row],[شناسه]],TAccount[],7,TRUE)</f>
        <v>0</v>
      </c>
      <c r="W392" s="21">
        <f>IF(AND(TArticle[[#This Row],[مبلغ]]&gt;0, TArticle[[#This Row],[کد وضعیت سند]]=1),TArticle[[#This Row],[مبلغ]],0)</f>
        <v>0</v>
      </c>
      <c r="X392" s="27">
        <f>IF(AND(TArticle[[#This Row],[مبلغ]]&lt;0,TArticle[[#This Row],[کد وضعیت سند]]=1),0-TArticle[[#This Row],[مبلغ]],0)</f>
        <v>0</v>
      </c>
      <c r="Y392" s="27">
        <v>16</v>
      </c>
      <c r="Z392" s="171" t="str">
        <f>IF(TArticle[[#This Row],[کد بانک]]&gt;0,VLOOKUP(TArticle[[#This Row],[کد بانک]],TBank[],2,FALSE),"")</f>
        <v>مهرایران</v>
      </c>
      <c r="AA392">
        <f>IF(AND(TArticle[[#This Row],[مبلغ]]&lt;0,TArticle[[#This Row],[کد وضعیت سند]]=1),0-TArticle[[#This Row],[مبلغ]],0)</f>
        <v>0</v>
      </c>
      <c r="AB392">
        <f>IF(AND(TArticle[[#This Row],[مبلغ]]&gt;0, TArticle[[#This Row],[کد وضعیت سند]]=1),TArticle[[#This Row],[مبلغ]],0)</f>
        <v>0</v>
      </c>
      <c r="AC392" s="84">
        <f>IF(TArticle[[#This Row],[کد بانک]]&gt;0,VLOOKUP(TArticle[[#This Row],[کد بانک]],TBank[],9,FALSE)+SUMIF($Y$2:Y392,Y392,$E$2:$E392),"")</f>
        <v>30</v>
      </c>
      <c r="AD392" s="1">
        <f>IFERROR(IF(INT(LEFT(TArticle[[#This Row],[شناسه]]))=3,IF(TArticle[[#This Row],[کد وضعیت سند]]=1,TArticle[مبلغ],0),0),0)</f>
        <v>0</v>
      </c>
      <c r="AE392" s="1">
        <f>IFERROR(IF(((TArticle[[#This Row],[شناسه]]))="4.1.1",IF(TArticle[[#This Row],[کد وضعیت سند]]=1,TArticle[مبلغ],0),0),0)</f>
        <v>0</v>
      </c>
      <c r="AF392" s="1">
        <f>IFERROR(IF(((TArticle[[#This Row],[شناسه]]))="4.1.2",IF(TArticle[[#This Row],[کد وضعیت سند]]=1,TArticle[مبلغ],0),0),0)</f>
        <v>0</v>
      </c>
      <c r="AG392" s="1">
        <f>IFERROR(IF(INT(LEFT(TArticle[[#This Row],[شناسه]]))=1,IF(TArticle[[#This Row],[کد وضعیت سند]]=1,TArticle[مبلغ],0),0),0)</f>
        <v>0</v>
      </c>
      <c r="AH392" s="1">
        <f>IFERROR(IF(INT(LEFT(TArticle[[#This Row],[شناسه]]))=2,IF(TArticle[[#This Row],[کد وضعیت سند]]=1,TArticle[مبلغ],0),0),0)</f>
        <v>0</v>
      </c>
      <c r="AI392" s="1">
        <f>IFERROR(IF((LEFT(TArticle[[#This Row],[شناسه]],3))="5.2",IF(TArticle[[#This Row],[کد وضعیت سند]]=1,TArticle[مبلغ],0),0),0)</f>
        <v>0</v>
      </c>
      <c r="AJ392" s="1">
        <f>IF(TArticle[[#This Row],[کد وضعیت سند]]=1,1,0)</f>
        <v>0</v>
      </c>
      <c r="AK392" s="1">
        <f>IF(AND(TArticle[[#This Row],[کد وضعیت سند]]&lt;&gt;1,TArticle[[#This Row],[مبلغ]]&lt;&gt;0),1,0)</f>
        <v>0</v>
      </c>
      <c r="AL392" s="51">
        <f>IF(TArticle[[#This Row],[کد بانک]]&gt;0,TArticle[[#This Row],[مانده بانک]]-VLOOKUP(TArticle[[#This Row],[کد بانک]],TBank[],7,FALSE),"")</f>
        <v>0</v>
      </c>
      <c r="AM392" s="49" t="str">
        <f>LEFT(TArticle[[#This Row],[تاریخ]],7)</f>
        <v>1402-05</v>
      </c>
    </row>
    <row r="393" spans="1:39" x14ac:dyDescent="0.25">
      <c r="A393" s="24" t="s">
        <v>43</v>
      </c>
      <c r="B393" s="49" t="str">
        <f>VLOOKUP(TArticle[[#This Row],[شناسه]],TAccount[],2,TRUE)</f>
        <v>حقوق</v>
      </c>
      <c r="C393" s="49" t="str">
        <f>VLOOKUP(TArticle[[#This Row],[تاریخ]],TDays[],7,FALSE)</f>
        <v>چهارشنبه</v>
      </c>
      <c r="D393" s="21" t="s">
        <v>708</v>
      </c>
      <c r="E393" s="1">
        <v>36000</v>
      </c>
      <c r="F393" s="1">
        <f>TArticle[[#This Row],[مبلغ]]+IFERROR(INT(F392),30181+3667+958)</f>
        <v>96287</v>
      </c>
      <c r="G393" s="49"/>
      <c r="K393" s="64">
        <v>2</v>
      </c>
      <c r="L393" s="171" t="str">
        <f>IF(TArticle[[#This Row],[کد وضعیت سند]]&gt;0,VLOOKUP(TArticle[[#This Row],[کد وضعیت سند]],TDocState[],2,FALSE),"")</f>
        <v>قطعی</v>
      </c>
      <c r="N393" s="171" t="str">
        <f>IF(TArticle[[#This Row],[کد طرف حساب]]&gt;0,VLOOKUP(TArticle[[#This Row],[کد طرف حساب]],TContact[],2,FALSE),"")</f>
        <v/>
      </c>
      <c r="O393" s="61" t="str">
        <f>IF(TArticle[[#This Row],[کد طرف حساب]]&gt;0,VLOOKUP(TArticle[[#This Row],[کد طرف حساب]],TContact[],7,FALSE)-SUMIF($M$2:M393,M393,$E$2:$E393),"")</f>
        <v/>
      </c>
      <c r="P393" s="27" t="str">
        <f>RIGHT(TArticle[[#This Row],[تاریخ]],2)</f>
        <v>01</v>
      </c>
      <c r="Q393" s="27">
        <f>VLOOKUP(TArticle[[#This Row],[تاریخ]],TDays[],16,FALSE)</f>
        <v>23</v>
      </c>
      <c r="R393" s="27" t="str">
        <f>RIGHT(LEFT(TArticle[[#This Row],[تاریخ]],7),2)</f>
        <v>06</v>
      </c>
      <c r="S393" s="27" t="str">
        <f>LEFT(TArticle[[#This Row],[تاریخ]],4)</f>
        <v>1402</v>
      </c>
      <c r="U393" s="21">
        <f>VLOOKUP(TArticle[[#This Row],[شناسه]],TAccount[],7,TRUE)</f>
        <v>416023</v>
      </c>
      <c r="W393" s="21">
        <f>IF(AND(TArticle[[#This Row],[مبلغ]]&gt;0, TArticle[[#This Row],[کد وضعیت سند]]=1),TArticle[[#This Row],[مبلغ]],0)</f>
        <v>0</v>
      </c>
      <c r="X393" s="27">
        <f>IF(AND(TArticle[[#This Row],[مبلغ]]&lt;0,TArticle[[#This Row],[کد وضعیت سند]]=1),0-TArticle[[#This Row],[مبلغ]],0)</f>
        <v>0</v>
      </c>
      <c r="Y393" s="27">
        <v>2</v>
      </c>
      <c r="Z393" s="171" t="str">
        <f>IF(TArticle[[#This Row],[کد بانک]]&gt;0,VLOOKUP(TArticle[[#This Row],[کد بانک]],TBank[],2,FALSE),"")</f>
        <v>ملی جاری</v>
      </c>
      <c r="AA393">
        <f>IF(AND(TArticle[[#This Row],[مبلغ]]&lt;0,TArticle[[#This Row],[کد وضعیت سند]]=1),0-TArticle[[#This Row],[مبلغ]],0)</f>
        <v>0</v>
      </c>
      <c r="AB393">
        <f>IF(AND(TArticle[[#This Row],[مبلغ]]&gt;0, TArticle[[#This Row],[کد وضعیت سند]]=1),TArticle[[#This Row],[مبلغ]],0)</f>
        <v>0</v>
      </c>
      <c r="AC393" s="93">
        <f>IF(TArticle[[#This Row],[کد بانک]]&gt;0,VLOOKUP(TArticle[[#This Row],[کد بانک]],TBank[],9,FALSE)+SUMIF($Y$2:Y393,Y393,$E$2:$E393),"")</f>
        <v>108189</v>
      </c>
      <c r="AD393" s="1">
        <f>IFERROR(IF(INT(LEFT(TArticle[[#This Row],[شناسه]]))=3,IF(TArticle[[#This Row],[کد وضعیت سند]]=1,TArticle[مبلغ],0),0),0)</f>
        <v>0</v>
      </c>
      <c r="AE393" s="1">
        <f>IFERROR(IF(((TArticle[[#This Row],[شناسه]]))="4.1.1",IF(TArticle[[#This Row],[کد وضعیت سند]]=1,TArticle[مبلغ],0),0),0)</f>
        <v>0</v>
      </c>
      <c r="AF393" s="1">
        <f>IFERROR(IF(((TArticle[[#This Row],[شناسه]]))="4.1.2",IF(TArticle[[#This Row],[کد وضعیت سند]]=1,TArticle[مبلغ],0),0),0)</f>
        <v>0</v>
      </c>
      <c r="AG393" s="1">
        <f>IFERROR(IF(INT(LEFT(TArticle[[#This Row],[شناسه]]))=1,IF(TArticle[[#This Row],[کد وضعیت سند]]=1,TArticle[مبلغ],0),0),0)</f>
        <v>0</v>
      </c>
      <c r="AH393" s="1">
        <f>IFERROR(IF(INT(LEFT(TArticle[[#This Row],[شناسه]]))=2,IF(TArticle[[#This Row],[کد وضعیت سند]]=1,TArticle[مبلغ],0),0),0)</f>
        <v>0</v>
      </c>
      <c r="AI393" s="1">
        <f>IFERROR(IF((LEFT(TArticle[[#This Row],[شناسه]],3))="5.2",IF(TArticle[[#This Row],[کد وضعیت سند]]=1,TArticle[مبلغ],0),0),0)</f>
        <v>0</v>
      </c>
      <c r="AJ393" s="1">
        <f>IF(TArticle[[#This Row],[کد وضعیت سند]]=1,1,0)</f>
        <v>0</v>
      </c>
      <c r="AK393" s="1">
        <f>IF(AND(TArticle[[#This Row],[کد وضعیت سند]]&lt;&gt;1,TArticle[[#This Row],[مبلغ]]&lt;&gt;0),1,0)</f>
        <v>1</v>
      </c>
      <c r="AL393" s="51">
        <f>IF(TArticle[[#This Row],[کد بانک]]&gt;0,TArticle[[#This Row],[مانده بانک]]-VLOOKUP(TArticle[[#This Row],[کد بانک]],TBank[],7,FALSE),"")</f>
        <v>108189</v>
      </c>
      <c r="AM393" s="58" t="str">
        <f>LEFT(TArticle[[#This Row],[تاریخ]],7)</f>
        <v>1402-06</v>
      </c>
    </row>
    <row r="394" spans="1:39" x14ac:dyDescent="0.25">
      <c r="A394" s="24" t="s">
        <v>1608</v>
      </c>
      <c r="B394" s="49" t="str">
        <f>VLOOKUP(TArticle[[#This Row],[شناسه]],TAccount[],2,TRUE)</f>
        <v>بن کارت</v>
      </c>
      <c r="C394" s="49" t="str">
        <f>VLOOKUP(TArticle[[#This Row],[تاریخ]],TDays[],7,FALSE)</f>
        <v>چهارشنبه</v>
      </c>
      <c r="D394" s="21" t="s">
        <v>708</v>
      </c>
      <c r="E394" s="1">
        <v>1700</v>
      </c>
      <c r="F394" s="1">
        <f>TArticle[[#This Row],[مبلغ]]+IFERROR(INT(F393),30181+3667+958)</f>
        <v>97987</v>
      </c>
      <c r="G394" s="49"/>
      <c r="K394" s="64">
        <v>2</v>
      </c>
      <c r="L394" s="171" t="str">
        <f>IF(TArticle[[#This Row],[کد وضعیت سند]]&gt;0,VLOOKUP(TArticle[[#This Row],[کد وضعیت سند]],TDocState[],2,FALSE),"")</f>
        <v>قطعی</v>
      </c>
      <c r="N394" s="171" t="str">
        <f>IF(TArticle[[#This Row],[کد طرف حساب]]&gt;0,VLOOKUP(TArticle[[#This Row],[کد طرف حساب]],TContact[],2,FALSE),"")</f>
        <v/>
      </c>
      <c r="O394" s="61" t="str">
        <f>IF(TArticle[[#This Row],[کد طرف حساب]]&gt;0,VLOOKUP(TArticle[[#This Row],[کد طرف حساب]],TContact[],7,FALSE)-SUMIF($M$2:M394,M394,$E$2:$E394),"")</f>
        <v/>
      </c>
      <c r="P394" s="27" t="str">
        <f>RIGHT(TArticle[[#This Row],[تاریخ]],2)</f>
        <v>01</v>
      </c>
      <c r="Q394" s="27">
        <f>VLOOKUP(TArticle[[#This Row],[تاریخ]],TDays[],16,FALSE)</f>
        <v>23</v>
      </c>
      <c r="R394" s="27" t="str">
        <f>RIGHT(LEFT(TArticle[[#This Row],[تاریخ]],7),2)</f>
        <v>06</v>
      </c>
      <c r="S394" s="27" t="str">
        <f>LEFT(TArticle[[#This Row],[تاریخ]],4)</f>
        <v>1402</v>
      </c>
      <c r="U394" s="21">
        <f>VLOOKUP(TArticle[[#This Row],[شناسه]],TAccount[],7,TRUE)</f>
        <v>3000</v>
      </c>
      <c r="W394" s="21">
        <f>IF(AND(TArticle[[#This Row],[مبلغ]]&gt;0, TArticle[[#This Row],[کد وضعیت سند]]=1),TArticle[[#This Row],[مبلغ]],0)</f>
        <v>0</v>
      </c>
      <c r="X394" s="27">
        <f>IF(AND(TArticle[[#This Row],[مبلغ]]&lt;0,TArticle[[#This Row],[کد وضعیت سند]]=1),0-TArticle[[#This Row],[مبلغ]],0)</f>
        <v>0</v>
      </c>
      <c r="Y394" s="27">
        <v>2</v>
      </c>
      <c r="Z394" s="171" t="str">
        <f>IF(TArticle[[#This Row],[کد بانک]]&gt;0,VLOOKUP(TArticle[[#This Row],[کد بانک]],TBank[],2,FALSE),"")</f>
        <v>ملی جاری</v>
      </c>
      <c r="AA394">
        <f>IF(AND(TArticle[[#This Row],[مبلغ]]&lt;0,TArticle[[#This Row],[کد وضعیت سند]]=1),0-TArticle[[#This Row],[مبلغ]],0)</f>
        <v>0</v>
      </c>
      <c r="AB394">
        <f>IF(AND(TArticle[[#This Row],[مبلغ]]&gt;0, TArticle[[#This Row],[کد وضعیت سند]]=1),TArticle[[#This Row],[مبلغ]],0)</f>
        <v>0</v>
      </c>
      <c r="AC394" s="84">
        <f>IF(TArticle[[#This Row],[کد بانک]]&gt;0,VLOOKUP(TArticle[[#This Row],[کد بانک]],TBank[],9,FALSE)+SUMIF($Y$2:Y394,Y394,$E$2:$E394),"")</f>
        <v>109889</v>
      </c>
      <c r="AD394" s="1">
        <f>IFERROR(IF(INT(LEFT(TArticle[[#This Row],[شناسه]]))=3,IF(TArticle[[#This Row],[کد وضعیت سند]]=1,TArticle[مبلغ],0),0),0)</f>
        <v>0</v>
      </c>
      <c r="AE394" s="1">
        <f>IFERROR(IF(((TArticle[[#This Row],[شناسه]]))="4.1.1",IF(TArticle[[#This Row],[کد وضعیت سند]]=1,TArticle[مبلغ],0),0),0)</f>
        <v>0</v>
      </c>
      <c r="AF394" s="1">
        <f>IFERROR(IF(((TArticle[[#This Row],[شناسه]]))="4.1.2",IF(TArticle[[#This Row],[کد وضعیت سند]]=1,TArticle[مبلغ],0),0),0)</f>
        <v>0</v>
      </c>
      <c r="AG394" s="1">
        <f>IFERROR(IF(INT(LEFT(TArticle[[#This Row],[شناسه]]))=1,IF(TArticle[[#This Row],[کد وضعیت سند]]=1,TArticle[مبلغ],0),0),0)</f>
        <v>0</v>
      </c>
      <c r="AH394" s="1">
        <f>IFERROR(IF(INT(LEFT(TArticle[[#This Row],[شناسه]]))=2,IF(TArticle[[#This Row],[کد وضعیت سند]]=1,TArticle[مبلغ],0),0),0)</f>
        <v>0</v>
      </c>
      <c r="AI394" s="1">
        <f>IFERROR(IF((LEFT(TArticle[[#This Row],[شناسه]],3))="5.2",IF(TArticle[[#This Row],[کد وضعیت سند]]=1,TArticle[مبلغ],0),0),0)</f>
        <v>0</v>
      </c>
      <c r="AJ394" s="1">
        <f>IF(TArticle[[#This Row],[کد وضعیت سند]]=1,1,0)</f>
        <v>0</v>
      </c>
      <c r="AK394" s="1">
        <f>IF(AND(TArticle[[#This Row],[کد وضعیت سند]]&lt;&gt;1,TArticle[[#This Row],[مبلغ]]&lt;&gt;0),1,0)</f>
        <v>1</v>
      </c>
      <c r="AL394" s="51">
        <f>IF(TArticle[[#This Row],[کد بانک]]&gt;0,TArticle[[#This Row],[مانده بانک]]-VLOOKUP(TArticle[[#This Row],[کد بانک]],TBank[],7,FALSE),"")</f>
        <v>109889</v>
      </c>
      <c r="AM394" t="str">
        <f>LEFT(TArticle[[#This Row],[تاریخ]],7)</f>
        <v>1402-06</v>
      </c>
    </row>
    <row r="395" spans="1:39" x14ac:dyDescent="0.25">
      <c r="A395" s="24" t="s">
        <v>1110</v>
      </c>
      <c r="B395" s="49" t="str">
        <f>VLOOKUP(TArticle[[#This Row],[شناسه]],TAccount[],2,TRUE)</f>
        <v>قسط وام بانکی</v>
      </c>
      <c r="C395" s="49" t="str">
        <f>VLOOKUP(TArticle[[#This Row],[تاریخ]],TDays[],7,FALSE)</f>
        <v>جمعه</v>
      </c>
      <c r="D395" s="21" t="s">
        <v>710</v>
      </c>
      <c r="E395" s="1">
        <v>-1830</v>
      </c>
      <c r="F395" s="1">
        <f>TArticle[[#This Row],[مبلغ]]+IFERROR(INT(F394),30181+3667+958)</f>
        <v>96157</v>
      </c>
      <c r="G395" s="49" t="s">
        <v>1591</v>
      </c>
      <c r="H395" s="21">
        <v>27</v>
      </c>
      <c r="K395" s="21">
        <v>2</v>
      </c>
      <c r="L395" s="171" t="str">
        <f>IF(TArticle[[#This Row],[کد وضعیت سند]]&gt;0,VLOOKUP(TArticle[[#This Row],[کد وضعیت سند]],TDocState[],2,FALSE),"")</f>
        <v>قطعی</v>
      </c>
      <c r="M395" s="27">
        <v>110</v>
      </c>
      <c r="N395" s="171" t="str">
        <f>IF(TArticle[[#This Row],[کد طرف حساب]]&gt;0,VLOOKUP(TArticle[[#This Row],[کد طرف حساب]],TContact[],2,FALSE),"")</f>
        <v>وام ملت</v>
      </c>
      <c r="O395" s="61">
        <f>IF(TArticle[[#This Row],[کد طرف حساب]]&gt;0,VLOOKUP(TArticle[[#This Row],[کد طرف حساب]],TContact[],7,FALSE)-SUMIF($M$2:M395,M395,$E$2:$E395),"")</f>
        <v>-15230</v>
      </c>
      <c r="P395" s="27" t="str">
        <f>RIGHT(TArticle[[#This Row],[تاریخ]],2)</f>
        <v>03</v>
      </c>
      <c r="Q395" s="27">
        <f>VLOOKUP(TArticle[[#This Row],[تاریخ]],TDays[],16,FALSE)</f>
        <v>23</v>
      </c>
      <c r="R395" s="27" t="str">
        <f>RIGHT(LEFT(TArticle[[#This Row],[تاریخ]],7),2)</f>
        <v>06</v>
      </c>
      <c r="S395" s="27" t="str">
        <f>LEFT(TArticle[[#This Row],[تاریخ]],4)</f>
        <v>1402</v>
      </c>
      <c r="U395" s="21">
        <f>VLOOKUP(TArticle[[#This Row],[شناسه]],TAccount[],7,TRUE)</f>
        <v>81652</v>
      </c>
      <c r="V395" s="21" t="s">
        <v>710</v>
      </c>
      <c r="W395" s="21">
        <f>IF(AND(TArticle[[#This Row],[مبلغ]]&gt;0, TArticle[[#This Row],[کد وضعیت سند]]=1),TArticle[[#This Row],[مبلغ]],0)</f>
        <v>0</v>
      </c>
      <c r="X395" s="27">
        <f>IF(AND(TArticle[[#This Row],[مبلغ]]&lt;0,TArticle[[#This Row],[کد وضعیت سند]]=1),0-TArticle[[#This Row],[مبلغ]],0)</f>
        <v>0</v>
      </c>
      <c r="Y395" s="27">
        <v>2</v>
      </c>
      <c r="Z395" s="171" t="str">
        <f>IF(TArticle[[#This Row],[کد بانک]]&gt;0,VLOOKUP(TArticle[[#This Row],[کد بانک]],TBank[],2,FALSE),"")</f>
        <v>ملی جاری</v>
      </c>
      <c r="AA395">
        <f>IF(AND(TArticle[[#This Row],[مبلغ]]&lt;0,TArticle[[#This Row],[کد وضعیت سند]]=1),0-TArticle[[#This Row],[مبلغ]],0)</f>
        <v>0</v>
      </c>
      <c r="AB395">
        <f>IF(AND(TArticle[[#This Row],[مبلغ]]&gt;0, TArticle[[#This Row],[کد وضعیت سند]]=1),TArticle[[#This Row],[مبلغ]],0)</f>
        <v>0</v>
      </c>
      <c r="AC395" s="84">
        <f>IF(TArticle[[#This Row],[کد بانک]]&gt;0,VLOOKUP(TArticle[[#This Row],[کد بانک]],TBank[],9,FALSE)+SUMIF($Y$2:Y395,Y395,$E$2:$E395),"")</f>
        <v>108059</v>
      </c>
      <c r="AD395" s="1">
        <f>IFERROR(IF(INT(LEFT(TArticle[[#This Row],[شناسه]]))=3,IF(TArticle[[#This Row],[کد وضعیت سند]]=1,TArticle[مبلغ],0),0),0)</f>
        <v>0</v>
      </c>
      <c r="AE395" s="1">
        <f>IFERROR(IF(((TArticle[[#This Row],[شناسه]]))="4.1.1",IF(TArticle[[#This Row],[کد وضعیت سند]]=1,TArticle[مبلغ],0),0),0)</f>
        <v>0</v>
      </c>
      <c r="AF395" s="1">
        <f>IFERROR(IF(((TArticle[[#This Row],[شناسه]]))="4.1.2",IF(TArticle[[#This Row],[کد وضعیت سند]]=1,TArticle[مبلغ],0),0),0)</f>
        <v>0</v>
      </c>
      <c r="AG395" s="1">
        <f>IFERROR(IF(INT(LEFT(TArticle[[#This Row],[شناسه]]))=1,IF(TArticle[[#This Row],[کد وضعیت سند]]=1,TArticle[مبلغ],0),0),0)</f>
        <v>0</v>
      </c>
      <c r="AH395" s="1">
        <f>IFERROR(IF(INT(LEFT(TArticle[[#This Row],[شناسه]]))=2,IF(TArticle[[#This Row],[کد وضعیت سند]]=1,TArticle[مبلغ],0),0),0)</f>
        <v>0</v>
      </c>
      <c r="AI395" s="1">
        <f>IFERROR(IF((LEFT(TArticle[[#This Row],[شناسه]],3))="5.2",IF(TArticle[[#This Row],[کد وضعیت سند]]=1,TArticle[مبلغ],0),0),0)</f>
        <v>0</v>
      </c>
      <c r="AJ395" s="1">
        <f>IF(TArticle[[#This Row],[کد وضعیت سند]]=1,1,0)</f>
        <v>0</v>
      </c>
      <c r="AK395" s="1">
        <f>IF(AND(TArticle[[#This Row],[کد وضعیت سند]]&lt;&gt;1,TArticle[[#This Row],[مبلغ]]&lt;&gt;0),1,0)</f>
        <v>1</v>
      </c>
      <c r="AL395" s="51">
        <f>IF(TArticle[[#This Row],[کد بانک]]&gt;0,TArticle[[#This Row],[مانده بانک]]-VLOOKUP(TArticle[[#This Row],[کد بانک]],TBank[],7,FALSE),"")</f>
        <v>108059</v>
      </c>
      <c r="AM395" s="49" t="str">
        <f>LEFT(TArticle[[#This Row],[تاریخ]],7)</f>
        <v>1402-06</v>
      </c>
    </row>
    <row r="396" spans="1:39" x14ac:dyDescent="0.25">
      <c r="A396" s="24" t="s">
        <v>1110</v>
      </c>
      <c r="B396" s="49" t="str">
        <f>VLOOKUP(TArticle[[#This Row],[شناسه]],TAccount[],2,TRUE)</f>
        <v>قسط وام بانکی</v>
      </c>
      <c r="C396" s="49" t="str">
        <f>VLOOKUP(TArticle[[#This Row],[تاریخ]],TDays[],7,FALSE)</f>
        <v>جمعه</v>
      </c>
      <c r="D396" s="21" t="s">
        <v>710</v>
      </c>
      <c r="E396" s="1">
        <v>-1830</v>
      </c>
      <c r="F396" s="1">
        <f>TArticle[[#This Row],[مبلغ]]+IFERROR(INT(F395),30181+3667+958)</f>
        <v>94327</v>
      </c>
      <c r="G396" s="49" t="s">
        <v>1591</v>
      </c>
      <c r="H396" s="21">
        <v>27</v>
      </c>
      <c r="K396" s="21">
        <v>2</v>
      </c>
      <c r="L396" s="171" t="str">
        <f>IF(TArticle[[#This Row],[کد وضعیت سند]]&gt;0,VLOOKUP(TArticle[[#This Row],[کد وضعیت سند]],TDocState[],2,FALSE),"")</f>
        <v>قطعی</v>
      </c>
      <c r="M396" s="27">
        <v>111</v>
      </c>
      <c r="N396" s="171" t="str">
        <f>IF(TArticle[[#This Row],[کد طرف حساب]]&gt;0,VLOOKUP(TArticle[[#This Row],[کد طرف حساب]],TContact[],2,FALSE),"")</f>
        <v>وام ملت ف</v>
      </c>
      <c r="O396" s="61">
        <f>IF(TArticle[[#This Row],[کد طرف حساب]]&gt;0,VLOOKUP(TArticle[[#This Row],[کد طرف حساب]],TContact[],7,FALSE)-SUMIF($M$2:M396,M396,$E$2:$E396),"")</f>
        <v>-15230</v>
      </c>
      <c r="P396" s="27" t="str">
        <f>RIGHT(TArticle[[#This Row],[تاریخ]],2)</f>
        <v>03</v>
      </c>
      <c r="Q396" s="27">
        <f>VLOOKUP(TArticle[[#This Row],[تاریخ]],TDays[],16,FALSE)</f>
        <v>23</v>
      </c>
      <c r="R396" s="27" t="str">
        <f>RIGHT(LEFT(TArticle[[#This Row],[تاریخ]],7),2)</f>
        <v>06</v>
      </c>
      <c r="S396" s="27" t="str">
        <f>LEFT(TArticle[[#This Row],[تاریخ]],4)</f>
        <v>1402</v>
      </c>
      <c r="U396" s="21">
        <f>VLOOKUP(TArticle[[#This Row],[شناسه]],TAccount[],7,TRUE)</f>
        <v>81652</v>
      </c>
      <c r="V396" s="21" t="s">
        <v>710</v>
      </c>
      <c r="W396" s="21">
        <f>IF(AND(TArticle[[#This Row],[مبلغ]]&gt;0, TArticle[[#This Row],[کد وضعیت سند]]=1),TArticle[[#This Row],[مبلغ]],0)</f>
        <v>0</v>
      </c>
      <c r="X396" s="27">
        <f>IF(AND(TArticle[[#This Row],[مبلغ]]&lt;0,TArticle[[#This Row],[کد وضعیت سند]]=1),0-TArticle[[#This Row],[مبلغ]],0)</f>
        <v>0</v>
      </c>
      <c r="Y396" s="27">
        <v>2</v>
      </c>
      <c r="Z396" s="171" t="str">
        <f>IF(TArticle[[#This Row],[کد بانک]]&gt;0,VLOOKUP(TArticle[[#This Row],[کد بانک]],TBank[],2,FALSE),"")</f>
        <v>ملی جاری</v>
      </c>
      <c r="AA396">
        <f>IF(AND(TArticle[[#This Row],[مبلغ]]&lt;0,TArticle[[#This Row],[کد وضعیت سند]]=1),0-TArticle[[#This Row],[مبلغ]],0)</f>
        <v>0</v>
      </c>
      <c r="AB396">
        <f>IF(AND(TArticle[[#This Row],[مبلغ]]&gt;0, TArticle[[#This Row],[کد وضعیت سند]]=1),TArticle[[#This Row],[مبلغ]],0)</f>
        <v>0</v>
      </c>
      <c r="AC396" s="84">
        <f>IF(TArticle[[#This Row],[کد بانک]]&gt;0,VLOOKUP(TArticle[[#This Row],[کد بانک]],TBank[],9,FALSE)+SUMIF($Y$2:Y396,Y396,$E$2:$E396),"")</f>
        <v>106229</v>
      </c>
      <c r="AD396" s="1">
        <f>IFERROR(IF(INT(LEFT(TArticle[[#This Row],[شناسه]]))=3,IF(TArticle[[#This Row],[کد وضعیت سند]]=1,TArticle[مبلغ],0),0),0)</f>
        <v>0</v>
      </c>
      <c r="AE396" s="1">
        <f>IFERROR(IF(((TArticle[[#This Row],[شناسه]]))="4.1.1",IF(TArticle[[#This Row],[کد وضعیت سند]]=1,TArticle[مبلغ],0),0),0)</f>
        <v>0</v>
      </c>
      <c r="AF396" s="1">
        <f>IFERROR(IF(((TArticle[[#This Row],[شناسه]]))="4.1.2",IF(TArticle[[#This Row],[کد وضعیت سند]]=1,TArticle[مبلغ],0),0),0)</f>
        <v>0</v>
      </c>
      <c r="AG396" s="1">
        <f>IFERROR(IF(INT(LEFT(TArticle[[#This Row],[شناسه]]))=1,IF(TArticle[[#This Row],[کد وضعیت سند]]=1,TArticle[مبلغ],0),0),0)</f>
        <v>0</v>
      </c>
      <c r="AH396" s="1">
        <f>IFERROR(IF(INT(LEFT(TArticle[[#This Row],[شناسه]]))=2,IF(TArticle[[#This Row],[کد وضعیت سند]]=1,TArticle[مبلغ],0),0),0)</f>
        <v>0</v>
      </c>
      <c r="AI396" s="1">
        <f>IFERROR(IF((LEFT(TArticle[[#This Row],[شناسه]],3))="5.2",IF(TArticle[[#This Row],[کد وضعیت سند]]=1,TArticle[مبلغ],0),0),0)</f>
        <v>0</v>
      </c>
      <c r="AJ396" s="1">
        <f>IF(TArticle[[#This Row],[کد وضعیت سند]]=1,1,0)</f>
        <v>0</v>
      </c>
      <c r="AK396" s="1">
        <f>IF(AND(TArticle[[#This Row],[کد وضعیت سند]]&lt;&gt;1,TArticle[[#This Row],[مبلغ]]&lt;&gt;0),1,0)</f>
        <v>1</v>
      </c>
      <c r="AL396" s="51">
        <f>IF(TArticle[[#This Row],[کد بانک]]&gt;0,TArticle[[#This Row],[مانده بانک]]-VLOOKUP(TArticle[[#This Row],[کد بانک]],TBank[],7,FALSE),"")</f>
        <v>106229</v>
      </c>
      <c r="AM396" s="49" t="str">
        <f>LEFT(TArticle[[#This Row],[تاریخ]],7)</f>
        <v>1402-06</v>
      </c>
    </row>
    <row r="397" spans="1:39" x14ac:dyDescent="0.25">
      <c r="A397" s="24" t="s">
        <v>1110</v>
      </c>
      <c r="B397" s="49" t="str">
        <f>VLOOKUP(TArticle[[#This Row],[شناسه]],TAccount[],2,TRUE)</f>
        <v>قسط وام بانکی</v>
      </c>
      <c r="C397" s="49" t="str">
        <f>VLOOKUP(TArticle[[#This Row],[تاریخ]],TDays[],7,FALSE)</f>
        <v>شنبه</v>
      </c>
      <c r="D397" s="21" t="s">
        <v>711</v>
      </c>
      <c r="E397" s="1">
        <v>-532</v>
      </c>
      <c r="F397" s="1">
        <f>TArticle[[#This Row],[مبلغ]]+IFERROR(INT(F396),30181+3667+958)</f>
        <v>93795</v>
      </c>
      <c r="G397" s="49"/>
      <c r="H397" s="21">
        <v>6</v>
      </c>
      <c r="K397" s="64">
        <v>2</v>
      </c>
      <c r="L397" s="171" t="str">
        <f>IF(TArticle[[#This Row],[کد وضعیت سند]]&gt;0,VLOOKUP(TArticle[[#This Row],[کد وضعیت سند]],TDocState[],2,FALSE),"")</f>
        <v>قطعی</v>
      </c>
      <c r="M397" s="67">
        <v>116</v>
      </c>
      <c r="N397" s="171" t="str">
        <f>IF(TArticle[[#This Row],[کد طرف حساب]]&gt;0,VLOOKUP(TArticle[[#This Row],[کد طرف حساب]],TContact[],2,FALSE),"")</f>
        <v>وام امتیازی مهر</v>
      </c>
      <c r="O397" s="61">
        <f>IF(TArticle[[#This Row],[کد طرف حساب]]&gt;0,VLOOKUP(TArticle[[#This Row],[کد طرف حساب]],TContact[],7,FALSE)-SUMIF($M$2:M397,M397,$E$2:$E397),"")</f>
        <v>-9040</v>
      </c>
      <c r="P397" s="27" t="str">
        <f>RIGHT(TArticle[[#This Row],[تاریخ]],2)</f>
        <v>04</v>
      </c>
      <c r="Q397" s="27">
        <f>VLOOKUP(TArticle[[#This Row],[تاریخ]],TDays[],16,FALSE)</f>
        <v>23</v>
      </c>
      <c r="R397" s="27" t="str">
        <f>RIGHT(LEFT(TArticle[[#This Row],[تاریخ]],7),2)</f>
        <v>06</v>
      </c>
      <c r="S397" s="27" t="str">
        <f>LEFT(TArticle[[#This Row],[تاریخ]],4)</f>
        <v>1402</v>
      </c>
      <c r="U397" s="21">
        <f>VLOOKUP(TArticle[[#This Row],[شناسه]],TAccount[],7,TRUE)</f>
        <v>81652</v>
      </c>
      <c r="W397" s="21">
        <f>IF(AND(TArticle[[#This Row],[مبلغ]]&gt;0, TArticle[[#This Row],[کد وضعیت سند]]=1),TArticle[[#This Row],[مبلغ]],0)</f>
        <v>0</v>
      </c>
      <c r="X397" s="27">
        <f>IF(AND(TArticle[[#This Row],[مبلغ]]&lt;0,TArticle[[#This Row],[کد وضعیت سند]]=1),0-TArticle[[#This Row],[مبلغ]],0)</f>
        <v>0</v>
      </c>
      <c r="Y397" s="27">
        <v>2</v>
      </c>
      <c r="Z397" s="171" t="str">
        <f>IF(TArticle[[#This Row],[کد بانک]]&gt;0,VLOOKUP(TArticle[[#This Row],[کد بانک]],TBank[],2,FALSE),"")</f>
        <v>ملی جاری</v>
      </c>
      <c r="AA397">
        <f>IF(AND(TArticle[[#This Row],[مبلغ]]&lt;0,TArticle[[#This Row],[کد وضعیت سند]]=1),0-TArticle[[#This Row],[مبلغ]],0)</f>
        <v>0</v>
      </c>
      <c r="AB397">
        <f>IF(AND(TArticle[[#This Row],[مبلغ]]&gt;0, TArticle[[#This Row],[کد وضعیت سند]]=1),TArticle[[#This Row],[مبلغ]],0)</f>
        <v>0</v>
      </c>
      <c r="AC397" s="84">
        <f>IF(TArticle[[#This Row],[کد بانک]]&gt;0,VLOOKUP(TArticle[[#This Row],[کد بانک]],TBank[],9,FALSE)+SUMIF($Y$2:Y397,Y397,$E$2:$E397),"")</f>
        <v>105697</v>
      </c>
      <c r="AD397" s="1">
        <f>IFERROR(IF(INT(LEFT(TArticle[[#This Row],[شناسه]]))=3,IF(TArticle[[#This Row],[کد وضعیت سند]]=1,TArticle[مبلغ],0),0),0)</f>
        <v>0</v>
      </c>
      <c r="AE397" s="1">
        <f>IFERROR(IF(((TArticle[[#This Row],[شناسه]]))="4.1.1",IF(TArticle[[#This Row],[کد وضعیت سند]]=1,TArticle[مبلغ],0),0),0)</f>
        <v>0</v>
      </c>
      <c r="AF397" s="1">
        <f>IFERROR(IF(((TArticle[[#This Row],[شناسه]]))="4.1.2",IF(TArticle[[#This Row],[کد وضعیت سند]]=1,TArticle[مبلغ],0),0),0)</f>
        <v>0</v>
      </c>
      <c r="AG397" s="1">
        <f>IFERROR(IF(INT(LEFT(TArticle[[#This Row],[شناسه]]))=1,IF(TArticle[[#This Row],[کد وضعیت سند]]=1,TArticle[مبلغ],0),0),0)</f>
        <v>0</v>
      </c>
      <c r="AH397" s="1">
        <f>IFERROR(IF(INT(LEFT(TArticle[[#This Row],[شناسه]]))=2,IF(TArticle[[#This Row],[کد وضعیت سند]]=1,TArticle[مبلغ],0),0),0)</f>
        <v>0</v>
      </c>
      <c r="AI397" s="1">
        <f>IFERROR(IF((LEFT(TArticle[[#This Row],[شناسه]],3))="5.2",IF(TArticle[[#This Row],[کد وضعیت سند]]=1,TArticle[مبلغ],0),0),0)</f>
        <v>0</v>
      </c>
      <c r="AJ397" s="1">
        <f>IF(TArticle[[#This Row],[کد وضعیت سند]]=1,1,0)</f>
        <v>0</v>
      </c>
      <c r="AK397" s="1">
        <f>IF(AND(TArticle[[#This Row],[کد وضعیت سند]]&lt;&gt;1,TArticle[[#This Row],[مبلغ]]&lt;&gt;0),1,0)</f>
        <v>1</v>
      </c>
      <c r="AL397" s="51">
        <f>IF(TArticle[[#This Row],[کد بانک]]&gt;0,TArticle[[#This Row],[مانده بانک]]-VLOOKUP(TArticle[[#This Row],[کد بانک]],TBank[],7,FALSE),"")</f>
        <v>105697</v>
      </c>
      <c r="AM397" s="58" t="str">
        <f>LEFT(TArticle[[#This Row],[تاریخ]],7)</f>
        <v>1402-06</v>
      </c>
    </row>
    <row r="398" spans="1:39" x14ac:dyDescent="0.25">
      <c r="A398" s="24" t="s">
        <v>78</v>
      </c>
      <c r="B398" s="49" t="str">
        <f>VLOOKUP(TArticle[[#This Row],[شناسه]],TAccount[],2,TRUE)</f>
        <v>چک</v>
      </c>
      <c r="C398" s="49" t="str">
        <f>VLOOKUP(TArticle[[#This Row],[تاریخ]],TDays[],7,FALSE)</f>
        <v>یکشنبه</v>
      </c>
      <c r="D398" s="21" t="s">
        <v>712</v>
      </c>
      <c r="E398" s="1">
        <v>-10000</v>
      </c>
      <c r="F398" s="1">
        <f>TArticle[[#This Row],[مبلغ]]+IFERROR(INT(F397),30181+3667+958)</f>
        <v>83795</v>
      </c>
      <c r="G398" s="49" t="s">
        <v>53</v>
      </c>
      <c r="H398" s="49">
        <v>131262</v>
      </c>
      <c r="J398" s="65"/>
      <c r="K398" s="64">
        <v>2</v>
      </c>
      <c r="L398" s="171" t="str">
        <f>IF(TArticle[[#This Row],[کد وضعیت سند]]&gt;0,VLOOKUP(TArticle[[#This Row],[کد وضعیت سند]],TDocState[],2,FALSE),"")</f>
        <v>قطعی</v>
      </c>
      <c r="M398" s="67"/>
      <c r="N398" s="171" t="str">
        <f>IF(TArticle[[#This Row],[کد طرف حساب]]&gt;0,VLOOKUP(TArticle[[#This Row],[کد طرف حساب]],TContact[],2,FALSE),"")</f>
        <v/>
      </c>
      <c r="O398" s="68" t="str">
        <f>IF(TArticle[[#This Row],[کد طرف حساب]]&gt;0,VLOOKUP(TArticle[[#This Row],[کد طرف حساب]],TContact[],7,FALSE)-SUMIF($M$2:M398,M398,$E$2:$E398),"")</f>
        <v/>
      </c>
      <c r="P398" s="67" t="str">
        <f>RIGHT(TArticle[[#This Row],[تاریخ]],2)</f>
        <v>05</v>
      </c>
      <c r="Q398" s="67">
        <f>VLOOKUP(TArticle[[#This Row],[تاریخ]],TDays[],16,FALSE)</f>
        <v>24</v>
      </c>
      <c r="R398" s="67" t="str">
        <f>RIGHT(LEFT(TArticle[[#This Row],[تاریخ]],7),2)</f>
        <v>06</v>
      </c>
      <c r="S398" s="67" t="str">
        <f>LEFT(TArticle[[#This Row],[تاریخ]],4)</f>
        <v>1402</v>
      </c>
      <c r="T398" s="64"/>
      <c r="U398" s="64">
        <f>VLOOKUP(TArticle[[#This Row],[شناسه]],TAccount[],7,TRUE)</f>
        <v>57000</v>
      </c>
      <c r="V398" s="64"/>
      <c r="W398" s="64">
        <f>IF(AND(TArticle[[#This Row],[مبلغ]]&gt;0, TArticle[[#This Row],[کد وضعیت سند]]=1),TArticle[[#This Row],[مبلغ]],0)</f>
        <v>0</v>
      </c>
      <c r="X398" s="67">
        <f>IF(AND(TArticle[[#This Row],[مبلغ]]&lt;0,TArticle[[#This Row],[کد وضعیت سند]]=1),0-TArticle[[#This Row],[مبلغ]],0)</f>
        <v>0</v>
      </c>
      <c r="Y398" s="27">
        <v>2</v>
      </c>
      <c r="Z398" s="171" t="str">
        <f>IF(TArticle[[#This Row],[کد بانک]]&gt;0,VLOOKUP(TArticle[[#This Row],[کد بانک]],TBank[],2,FALSE),"")</f>
        <v>ملی جاری</v>
      </c>
      <c r="AA398">
        <f>IF(AND(TArticle[[#This Row],[مبلغ]]&lt;0,TArticle[[#This Row],[کد وضعیت سند]]=1),0-TArticle[[#This Row],[مبلغ]],0)</f>
        <v>0</v>
      </c>
      <c r="AB398">
        <f>IF(AND(TArticle[[#This Row],[مبلغ]]&gt;0, TArticle[[#This Row],[کد وضعیت سند]]=1),TArticle[[#This Row],[مبلغ]],0)</f>
        <v>0</v>
      </c>
      <c r="AC398" s="93">
        <f>IF(TArticle[[#This Row],[کد بانک]]&gt;0,VLOOKUP(TArticle[[#This Row],[کد بانک]],TBank[],9,FALSE)+SUMIF($Y$2:Y398,Y398,$E$2:$E398),"")</f>
        <v>95697</v>
      </c>
      <c r="AD398" s="1">
        <f>IFERROR(IF(INT(LEFT(TArticle[[#This Row],[شناسه]]))=3,IF(TArticle[[#This Row],[کد وضعیت سند]]=1,TArticle[مبلغ],0),0),0)</f>
        <v>0</v>
      </c>
      <c r="AE398" s="1">
        <f>IFERROR(IF(((TArticle[[#This Row],[شناسه]]))="4.1.1",IF(TArticle[[#This Row],[کد وضعیت سند]]=1,TArticle[مبلغ],0),0),0)</f>
        <v>0</v>
      </c>
      <c r="AF398" s="1">
        <f>IFERROR(IF(((TArticle[[#This Row],[شناسه]]))="4.1.2",IF(TArticle[[#This Row],[کد وضعیت سند]]=1,TArticle[مبلغ],0),0),0)</f>
        <v>0</v>
      </c>
      <c r="AG398" s="1">
        <f>IFERROR(IF(INT(LEFT(TArticle[[#This Row],[شناسه]]))=1,IF(TArticle[[#This Row],[کد وضعیت سند]]=1,TArticle[مبلغ],0),0),0)</f>
        <v>0</v>
      </c>
      <c r="AH398" s="1">
        <f>IFERROR(IF(INT(LEFT(TArticle[[#This Row],[شناسه]]))=2,IF(TArticle[[#This Row],[کد وضعیت سند]]=1,TArticle[مبلغ],0),0),0)</f>
        <v>0</v>
      </c>
      <c r="AI398" s="1">
        <f>IFERROR(IF((LEFT(TArticle[[#This Row],[شناسه]],3))="5.2",IF(TArticle[[#This Row],[کد وضعیت سند]]=1,TArticle[مبلغ],0),0),0)</f>
        <v>0</v>
      </c>
      <c r="AJ398" s="1">
        <f>IF(TArticle[[#This Row],[کد وضعیت سند]]=1,1,0)</f>
        <v>0</v>
      </c>
      <c r="AK398" s="1">
        <f>IF(AND(TArticle[[#This Row],[کد وضعیت سند]]&lt;&gt;1,TArticle[[#This Row],[مبلغ]]&lt;&gt;0),1,0)</f>
        <v>1</v>
      </c>
      <c r="AL398" s="78">
        <f>IF(TArticle[[#This Row],[کد بانک]]&gt;0,TArticle[[#This Row],[مانده بانک]]-VLOOKUP(TArticle[[#This Row],[کد بانک]],TBank[],7,FALSE),"")</f>
        <v>95697</v>
      </c>
      <c r="AM398" s="69" t="str">
        <f>LEFT(TArticle[[#This Row],[تاریخ]],7)</f>
        <v>1402-06</v>
      </c>
    </row>
    <row r="399" spans="1:39" x14ac:dyDescent="0.25">
      <c r="A399" s="24" t="s">
        <v>1110</v>
      </c>
      <c r="B399" s="49" t="str">
        <f>VLOOKUP(TArticle[[#This Row],[شناسه]],TAccount[],2,TRUE)</f>
        <v>قسط وام بانکی</v>
      </c>
      <c r="C399" s="49" t="str">
        <f>VLOOKUP(TArticle[[#This Row],[تاریخ]],TDays[],7,FALSE)</f>
        <v>پنجشنبه</v>
      </c>
      <c r="D399" s="21" t="s">
        <v>716</v>
      </c>
      <c r="E399" s="1">
        <f>'طرف حساب'!$J$29</f>
        <v>-3616</v>
      </c>
      <c r="F399" s="1">
        <f>TArticle[[#This Row],[مبلغ]]+IFERROR(INT(F398),30181+3667+958)</f>
        <v>80179</v>
      </c>
      <c r="G399" s="49"/>
      <c r="H399" s="21">
        <v>7</v>
      </c>
      <c r="J399" s="51"/>
      <c r="K399" s="64">
        <v>2</v>
      </c>
      <c r="L399" s="171" t="str">
        <f>IF(TArticle[[#This Row],[کد وضعیت سند]]&gt;0,VLOOKUP(TArticle[[#This Row],[کد وضعیت سند]],TDocState[],2,FALSE),"")</f>
        <v>قطعی</v>
      </c>
      <c r="M399" s="67">
        <v>114</v>
      </c>
      <c r="N399" s="171" t="str">
        <f>IF(TArticle[[#This Row],[کد طرف حساب]]&gt;0,VLOOKUP(TArticle[[#This Row],[کد طرف حساب]],TContact[],2,FALSE),"")</f>
        <v>وام کارت ملی ف</v>
      </c>
      <c r="O399" s="60">
        <f>IF(TArticle[[#This Row],[کد طرف حساب]]&gt;0,VLOOKUP(TArticle[[#This Row],[کد طرف حساب]],TContact[],7,FALSE)-SUMIF($M$2:M399,M399,$E$2:$E399),"")</f>
        <v>-106146</v>
      </c>
      <c r="P399" s="27" t="str">
        <f>RIGHT(TArticle[[#This Row],[تاریخ]],2)</f>
        <v>09</v>
      </c>
      <c r="Q399" s="27">
        <f>VLOOKUP(TArticle[[#This Row],[تاریخ]],TDays[],16,FALSE)</f>
        <v>24</v>
      </c>
      <c r="R399" s="27" t="str">
        <f>RIGHT(LEFT(TArticle[[#This Row],[تاریخ]],7),2)</f>
        <v>06</v>
      </c>
      <c r="S399" s="27" t="str">
        <f>LEFT(TArticle[[#This Row],[تاریخ]],4)</f>
        <v>1402</v>
      </c>
      <c r="U399" s="21">
        <f>VLOOKUP(TArticle[[#This Row],[شناسه]],TAccount[],7,TRUE)</f>
        <v>81652</v>
      </c>
      <c r="W399" s="21">
        <f>IF(AND(TArticle[[#This Row],[مبلغ]]&gt;0, TArticle[[#This Row],[کد وضعیت سند]]=1),TArticle[[#This Row],[مبلغ]],0)</f>
        <v>0</v>
      </c>
      <c r="X399" s="27">
        <f>IF(AND(TArticle[[#This Row],[مبلغ]]&lt;0,TArticle[[#This Row],[کد وضعیت سند]]=1),0-TArticle[[#This Row],[مبلغ]],0)</f>
        <v>0</v>
      </c>
      <c r="Y399" s="27">
        <v>2</v>
      </c>
      <c r="Z399" s="171" t="str">
        <f>IF(TArticle[[#This Row],[کد بانک]]&gt;0,VLOOKUP(TArticle[[#This Row],[کد بانک]],TBank[],2,FALSE),"")</f>
        <v>ملی جاری</v>
      </c>
      <c r="AA399">
        <f>IF(AND(TArticle[[#This Row],[مبلغ]]&lt;0,TArticle[[#This Row],[کد وضعیت سند]]=1),0-TArticle[[#This Row],[مبلغ]],0)</f>
        <v>0</v>
      </c>
      <c r="AB399">
        <f>IF(AND(TArticle[[#This Row],[مبلغ]]&gt;0, TArticle[[#This Row],[کد وضعیت سند]]=1),TArticle[[#This Row],[مبلغ]],0)</f>
        <v>0</v>
      </c>
      <c r="AC399" s="92">
        <f>IF(TArticle[[#This Row],[کد بانک]]&gt;0,VLOOKUP(TArticle[[#This Row],[کد بانک]],TBank[],9,FALSE)+SUMIF($Y$2:Y399,Y399,$E$2:$E399),"")</f>
        <v>92081</v>
      </c>
      <c r="AD399" s="1">
        <f>IFERROR(IF(INT(LEFT(TArticle[[#This Row],[شناسه]]))=3,IF(TArticle[[#This Row],[کد وضعیت سند]]=1,TArticle[مبلغ],0),0),0)</f>
        <v>0</v>
      </c>
      <c r="AE399" s="1">
        <f>IFERROR(IF(((TArticle[[#This Row],[شناسه]]))="4.1.1",IF(TArticle[[#This Row],[کد وضعیت سند]]=1,TArticle[مبلغ],0),0),0)</f>
        <v>0</v>
      </c>
      <c r="AF399" s="1">
        <f>IFERROR(IF(((TArticle[[#This Row],[شناسه]]))="4.1.2",IF(TArticle[[#This Row],[کد وضعیت سند]]=1,TArticle[مبلغ],0),0),0)</f>
        <v>0</v>
      </c>
      <c r="AG399" s="1">
        <f>IFERROR(IF(INT(LEFT(TArticle[[#This Row],[شناسه]]))=1,IF(TArticle[[#This Row],[کد وضعیت سند]]=1,TArticle[مبلغ],0),0),0)</f>
        <v>0</v>
      </c>
      <c r="AH399" s="1">
        <f>IFERROR(IF(INT(LEFT(TArticle[[#This Row],[شناسه]]))=2,IF(TArticle[[#This Row],[کد وضعیت سند]]=1,TArticle[مبلغ],0),0),0)</f>
        <v>0</v>
      </c>
      <c r="AI399" s="1">
        <f>IFERROR(IF((LEFT(TArticle[[#This Row],[شناسه]],3))="5.2",IF(TArticle[[#This Row],[کد وضعیت سند]]=1,TArticle[مبلغ],0),0),0)</f>
        <v>0</v>
      </c>
      <c r="AJ399" s="1">
        <f>IF(TArticle[[#This Row],[کد وضعیت سند]]=1,1,0)</f>
        <v>0</v>
      </c>
      <c r="AK399" s="1">
        <f>IF(AND(TArticle[[#This Row],[کد وضعیت سند]]&lt;&gt;1,TArticle[[#This Row],[مبلغ]]&lt;&gt;0),1,0)</f>
        <v>1</v>
      </c>
      <c r="AL399" s="51">
        <f>IF(TArticle[[#This Row],[کد بانک]]&gt;0,TArticle[[#This Row],[مانده بانک]]-VLOOKUP(TArticle[[#This Row],[کد بانک]],TBank[],7,FALSE),"")</f>
        <v>92081</v>
      </c>
      <c r="AM399" s="58" t="str">
        <f>LEFT(TArticle[[#This Row],[تاریخ]],7)</f>
        <v>1402-06</v>
      </c>
    </row>
    <row r="400" spans="1:39" x14ac:dyDescent="0.25">
      <c r="A400" s="13" t="s">
        <v>78</v>
      </c>
      <c r="B400" s="49" t="str">
        <f>VLOOKUP(TArticle[[#This Row],[شناسه]],TAccount[],2,TRUE)</f>
        <v>چک</v>
      </c>
      <c r="C400" s="49" t="str">
        <f>VLOOKUP(TArticle[[#This Row],[تاریخ]],TDays[],7,FALSE)</f>
        <v>جمعه</v>
      </c>
      <c r="D400" s="21" t="s">
        <v>724</v>
      </c>
      <c r="E400" s="1">
        <v>-4250</v>
      </c>
      <c r="F400" s="1">
        <f>TArticle[[#This Row],[مبلغ]]+IFERROR(INT(F399),30181+3667+958)</f>
        <v>75929</v>
      </c>
      <c r="G400" s="167">
        <v>290883</v>
      </c>
      <c r="H400" s="21">
        <v>6</v>
      </c>
      <c r="K400" s="64">
        <v>2</v>
      </c>
      <c r="L400" s="171" t="str">
        <f>IF(TArticle[[#This Row],[کد وضعیت سند]]&gt;0,VLOOKUP(TArticle[[#This Row],[کد وضعیت سند]],TDocState[],2,FALSE),"")</f>
        <v>قطعی</v>
      </c>
      <c r="M400" s="27">
        <v>117</v>
      </c>
      <c r="N400" s="171" t="str">
        <f>IF(TArticle[[#This Row],[کد طرف حساب]]&gt;0,VLOOKUP(TArticle[[#This Row],[کد طرف حساب]],TContact[],2,FALSE),"")</f>
        <v>وام سرویس خواب</v>
      </c>
      <c r="O400" s="51">
        <f>IF(TArticle[[#This Row],[کد طرف حساب]]&gt;0,VLOOKUP(TArticle[[#This Row],[کد طرف حساب]],TContact[],7,FALSE)-SUMIF($M$2:M400,M400,$E$2:$E400),"")</f>
        <v>-25500</v>
      </c>
      <c r="P400" s="27" t="str">
        <f>RIGHT(TArticle[[#This Row],[تاریخ]],2)</f>
        <v>17</v>
      </c>
      <c r="Q400" s="27">
        <f>VLOOKUP(TArticle[[#This Row],[تاریخ]],TDays[],16,FALSE)</f>
        <v>25</v>
      </c>
      <c r="R400" s="27" t="str">
        <f>RIGHT(LEFT(TArticle[[#This Row],[تاریخ]],7),2)</f>
        <v>06</v>
      </c>
      <c r="S400" s="27" t="str">
        <f>LEFT(TArticle[[#This Row],[تاریخ]],4)</f>
        <v>1402</v>
      </c>
      <c r="U400" s="21">
        <f>VLOOKUP(TArticle[[#This Row],[شناسه]],TAccount[],7,TRUE)</f>
        <v>57000</v>
      </c>
      <c r="W400" s="21">
        <f>IF(AND(TArticle[[#This Row],[مبلغ]]&gt;0, TArticle[[#This Row],[کد وضعیت سند]]=1),TArticle[[#This Row],[مبلغ]],0)</f>
        <v>0</v>
      </c>
      <c r="X400" s="27">
        <f>IF(AND(TArticle[[#This Row],[مبلغ]]&lt;0,TArticle[[#This Row],[کد وضعیت سند]]=1),0-TArticle[[#This Row],[مبلغ]],0)</f>
        <v>0</v>
      </c>
      <c r="Y400" s="27">
        <v>4</v>
      </c>
      <c r="Z400" s="171" t="str">
        <f>IF(TArticle[[#This Row],[کد بانک]]&gt;0,VLOOKUP(TArticle[[#This Row],[کد بانک]],TBank[],2,FALSE),"")</f>
        <v>سپه</v>
      </c>
      <c r="AA400">
        <f>IF(AND(TArticle[[#This Row],[مبلغ]]&lt;0,TArticle[[#This Row],[کد وضعیت سند]]=1),0-TArticle[[#This Row],[مبلغ]],0)</f>
        <v>0</v>
      </c>
      <c r="AB400">
        <f>IF(AND(TArticle[[#This Row],[مبلغ]]&gt;0, TArticle[[#This Row],[کد وضعیت سند]]=1),TArticle[[#This Row],[مبلغ]],0)</f>
        <v>0</v>
      </c>
      <c r="AC400" s="84">
        <f>IF(TArticle[[#This Row],[کد بانک]]&gt;0,VLOOKUP(TArticle[[#This Row],[کد بانک]],TBank[],9,FALSE)+SUMIF($Y$2:Y400,Y400,$E$2:$E400),"")</f>
        <v>-21248</v>
      </c>
      <c r="AD400" s="1">
        <f>IFERROR(IF(INT(LEFT(TArticle[[#This Row],[شناسه]]))=3,IF(TArticle[[#This Row],[کد وضعیت سند]]=1,TArticle[مبلغ],0),0),0)</f>
        <v>0</v>
      </c>
      <c r="AE400" s="1">
        <f>IFERROR(IF(((TArticle[[#This Row],[شناسه]]))="4.1.1",IF(TArticle[[#This Row],[کد وضعیت سند]]=1,TArticle[مبلغ],0),0),0)</f>
        <v>0</v>
      </c>
      <c r="AF400" s="1">
        <f>IFERROR(IF(((TArticle[[#This Row],[شناسه]]))="4.1.2",IF(TArticle[[#This Row],[کد وضعیت سند]]=1,TArticle[مبلغ],0),0),0)</f>
        <v>0</v>
      </c>
      <c r="AG400" s="1">
        <f>IFERROR(IF(INT(LEFT(TArticle[[#This Row],[شناسه]]))=1,IF(TArticle[[#This Row],[کد وضعیت سند]]=1,TArticle[مبلغ],0),0),0)</f>
        <v>0</v>
      </c>
      <c r="AH400" s="1">
        <f>IFERROR(IF(INT(LEFT(TArticle[[#This Row],[شناسه]]))=2,IF(TArticle[[#This Row],[کد وضعیت سند]]=1,TArticle[مبلغ],0),0),0)</f>
        <v>0</v>
      </c>
      <c r="AI400" s="1">
        <f>IFERROR(IF((LEFT(TArticle[[#This Row],[شناسه]],3))="5.2",IF(TArticle[[#This Row],[کد وضعیت سند]]=1,TArticle[مبلغ],0),0),0)</f>
        <v>0</v>
      </c>
      <c r="AJ400" s="1">
        <f>IF(TArticle[[#This Row],[کد وضعیت سند]]=1,1,0)</f>
        <v>0</v>
      </c>
      <c r="AK400" s="1">
        <f>IF(AND(TArticle[[#This Row],[کد وضعیت سند]]&lt;&gt;1,TArticle[[#This Row],[مبلغ]]&lt;&gt;0),1,0)</f>
        <v>1</v>
      </c>
      <c r="AL400" s="51">
        <f>IF(TArticle[[#This Row],[کد بانک]]&gt;0,TArticle[[#This Row],[مانده بانک]]-VLOOKUP(TArticle[[#This Row],[کد بانک]],TBank[],7,FALSE),"")</f>
        <v>-21250</v>
      </c>
      <c r="AM400" s="49" t="str">
        <f>LEFT(TArticle[[#This Row],[تاریخ]],7)</f>
        <v>1402-06</v>
      </c>
    </row>
    <row r="401" spans="1:39" x14ac:dyDescent="0.25">
      <c r="A401" s="24" t="s">
        <v>1013</v>
      </c>
      <c r="B401" s="49" t="str">
        <f>VLOOKUP(TArticle[[#This Row],[شناسه]],TAccount[],2,TRUE)</f>
        <v>یارانه</v>
      </c>
      <c r="C401" s="49" t="str">
        <f>VLOOKUP(TArticle[[#This Row],[تاریخ]],TDays[],7,FALSE)</f>
        <v>دوشنبه</v>
      </c>
      <c r="D401" s="21" t="s">
        <v>727</v>
      </c>
      <c r="E401" s="1">
        <v>1500</v>
      </c>
      <c r="F401" s="1">
        <f>TArticle[[#This Row],[مبلغ]]+IFERROR(INT(F400),30181+3667+958)</f>
        <v>77429</v>
      </c>
      <c r="G401" s="49"/>
      <c r="H401" s="64"/>
      <c r="J401" s="65"/>
      <c r="K401" s="64">
        <v>2</v>
      </c>
      <c r="L401" s="171" t="str">
        <f>IF(TArticle[[#This Row],[کد وضعیت سند]]&gt;0,VLOOKUP(TArticle[[#This Row],[کد وضعیت سند]],TDocState[],2,FALSE),"")</f>
        <v>قطعی</v>
      </c>
      <c r="M401" s="67"/>
      <c r="N401" s="171" t="str">
        <f>IF(TArticle[[#This Row],[کد طرف حساب]]&gt;0,VLOOKUP(TArticle[[#This Row],[کد طرف حساب]],TContact[],2,FALSE),"")</f>
        <v/>
      </c>
      <c r="O401" s="68" t="str">
        <f>IF(TArticle[[#This Row],[کد طرف حساب]]&gt;0,VLOOKUP(TArticle[[#This Row],[کد طرف حساب]],TContact[],7,FALSE)-SUMIF($M$2:M401,M401,$E$2:$E401),"")</f>
        <v/>
      </c>
      <c r="P401" s="67" t="str">
        <f>RIGHT(TArticle[[#This Row],[تاریخ]],2)</f>
        <v>20</v>
      </c>
      <c r="Q401" s="67">
        <f>VLOOKUP(TArticle[[#This Row],[تاریخ]],TDays[],16,FALSE)</f>
        <v>26</v>
      </c>
      <c r="R401" s="67" t="str">
        <f>RIGHT(LEFT(TArticle[[#This Row],[تاریخ]],7),2)</f>
        <v>06</v>
      </c>
      <c r="S401" s="67" t="str">
        <f>LEFT(TArticle[[#This Row],[تاریخ]],4)</f>
        <v>1402</v>
      </c>
      <c r="T401" s="64"/>
      <c r="U401" s="64">
        <f>VLOOKUP(TArticle[[#This Row],[شناسه]],TAccount[],7,TRUE)</f>
        <v>12565</v>
      </c>
      <c r="V401" s="64"/>
      <c r="W401" s="64">
        <f>IF(AND(TArticle[[#This Row],[مبلغ]]&gt;0, TArticle[[#This Row],[کد وضعیت سند]]=1),TArticle[[#This Row],[مبلغ]],0)</f>
        <v>0</v>
      </c>
      <c r="X401" s="67">
        <f>IF(AND(TArticle[[#This Row],[مبلغ]]&lt;0,TArticle[[#This Row],[کد وضعیت سند]]=1),0-TArticle[[#This Row],[مبلغ]],0)</f>
        <v>0</v>
      </c>
      <c r="Y401" s="27">
        <v>2</v>
      </c>
      <c r="Z401" s="171" t="str">
        <f>IF(TArticle[[#This Row],[کد بانک]]&gt;0,VLOOKUP(TArticle[[#This Row],[کد بانک]],TBank[],2,FALSE),"")</f>
        <v>ملی جاری</v>
      </c>
      <c r="AA401">
        <f>IF(AND(TArticle[[#This Row],[مبلغ]]&lt;0,TArticle[[#This Row],[کد وضعیت سند]]=1),0-TArticle[[#This Row],[مبلغ]],0)</f>
        <v>0</v>
      </c>
      <c r="AB401">
        <f>IF(AND(TArticle[[#This Row],[مبلغ]]&gt;0, TArticle[[#This Row],[کد وضعیت سند]]=1),TArticle[[#This Row],[مبلغ]],0)</f>
        <v>0</v>
      </c>
      <c r="AC401" s="93">
        <f>IF(TArticle[[#This Row],[کد بانک]]&gt;0,VLOOKUP(TArticle[[#This Row],[کد بانک]],TBank[],9,FALSE)+SUMIF($Y$2:Y401,Y401,$E$2:$E401),"")</f>
        <v>93581</v>
      </c>
      <c r="AD401" s="1">
        <f>IFERROR(IF(INT(LEFT(TArticle[[#This Row],[شناسه]]))=3,IF(TArticle[[#This Row],[کد وضعیت سند]]=1,TArticle[مبلغ],0),0),0)</f>
        <v>0</v>
      </c>
      <c r="AE401" s="1">
        <f>IFERROR(IF(((TArticle[[#This Row],[شناسه]]))="4.1.1",IF(TArticle[[#This Row],[کد وضعیت سند]]=1,TArticle[مبلغ],0),0),0)</f>
        <v>0</v>
      </c>
      <c r="AF401" s="1">
        <f>IFERROR(IF(((TArticle[[#This Row],[شناسه]]))="4.1.2",IF(TArticle[[#This Row],[کد وضعیت سند]]=1,TArticle[مبلغ],0),0),0)</f>
        <v>0</v>
      </c>
      <c r="AG401" s="1">
        <f>IFERROR(IF(INT(LEFT(TArticle[[#This Row],[شناسه]]))=1,IF(TArticle[[#This Row],[کد وضعیت سند]]=1,TArticle[مبلغ],0),0),0)</f>
        <v>0</v>
      </c>
      <c r="AH401" s="1">
        <f>IFERROR(IF(INT(LEFT(TArticle[[#This Row],[شناسه]]))=2,IF(TArticle[[#This Row],[کد وضعیت سند]]=1,TArticle[مبلغ],0),0),0)</f>
        <v>0</v>
      </c>
      <c r="AI401" s="1">
        <f>IFERROR(IF((LEFT(TArticle[[#This Row],[شناسه]],3))="5.2",IF(TArticle[[#This Row],[کد وضعیت سند]]=1,TArticle[مبلغ],0),0),0)</f>
        <v>0</v>
      </c>
      <c r="AJ401" s="1">
        <f>IF(TArticle[[#This Row],[کد وضعیت سند]]=1,1,0)</f>
        <v>0</v>
      </c>
      <c r="AK401" s="1">
        <f>IF(AND(TArticle[[#This Row],[کد وضعیت سند]]&lt;&gt;1,TArticle[[#This Row],[مبلغ]]&lt;&gt;0),1,0)</f>
        <v>1</v>
      </c>
      <c r="AL401" s="78">
        <f>IF(TArticle[[#This Row],[کد بانک]]&gt;0,TArticle[[#This Row],[مانده بانک]]-VLOOKUP(TArticle[[#This Row],[کد بانک]],TBank[],7,FALSE),"")</f>
        <v>93581</v>
      </c>
      <c r="AM401" s="69" t="str">
        <f>LEFT(TArticle[[#This Row],[تاریخ]],7)</f>
        <v>1402-06</v>
      </c>
    </row>
    <row r="402" spans="1:39" x14ac:dyDescent="0.25">
      <c r="A402" s="24" t="s">
        <v>1110</v>
      </c>
      <c r="B402" s="49" t="str">
        <f>VLOOKUP(TArticle[[#This Row],[شناسه]],TAccount[],2,TRUE)</f>
        <v>قسط وام بانکی</v>
      </c>
      <c r="C402" s="49" t="str">
        <f>VLOOKUP(TArticle[[#This Row],[تاریخ]],TDays[],7,FALSE)</f>
        <v>سه شنبه</v>
      </c>
      <c r="D402" s="21" t="s">
        <v>735</v>
      </c>
      <c r="E402" s="1">
        <v>-1808</v>
      </c>
      <c r="F402" s="1">
        <f>TArticle[[#This Row],[مبلغ]]+IFERROR(INT(F401),30181+3667+958)</f>
        <v>75621</v>
      </c>
      <c r="G402" s="49" t="s">
        <v>1597</v>
      </c>
      <c r="H402" s="21">
        <v>23</v>
      </c>
      <c r="K402" s="21">
        <v>2</v>
      </c>
      <c r="L402" s="171" t="str">
        <f>IF(TArticle[[#This Row],[کد وضعیت سند]]&gt;0,VLOOKUP(TArticle[[#This Row],[کد وضعیت سند]],TDocState[],2,FALSE),"")</f>
        <v>قطعی</v>
      </c>
      <c r="M402" s="67">
        <v>112</v>
      </c>
      <c r="N402" s="171" t="str">
        <f>IF(TArticle[[#This Row],[کد طرف حساب]]&gt;0,VLOOKUP(TArticle[[#This Row],[کد طرف حساب]],TContact[],2,FALSE),"")</f>
        <v>وام ملی</v>
      </c>
      <c r="O402" s="51">
        <f>IF(TArticle[[#This Row],[کد طرف حساب]]&gt;0,VLOOKUP(TArticle[[#This Row],[کد طرف حساب]],TContact[],7,FALSE)-SUMIF($M$2:M402,M402,$E$2:$E402),"")</f>
        <v>-21072</v>
      </c>
      <c r="P402" s="27" t="str">
        <f>RIGHT(TArticle[[#This Row],[تاریخ]],2)</f>
        <v>28</v>
      </c>
      <c r="Q402" s="27">
        <f>VLOOKUP(TArticle[[#This Row],[تاریخ]],TDays[],16,FALSE)</f>
        <v>27</v>
      </c>
      <c r="R402" s="27" t="str">
        <f>RIGHT(LEFT(TArticle[[#This Row],[تاریخ]],7),2)</f>
        <v>06</v>
      </c>
      <c r="S402" s="27" t="str">
        <f>LEFT(TArticle[[#This Row],[تاریخ]],4)</f>
        <v>1402</v>
      </c>
      <c r="U402" s="21">
        <f>VLOOKUP(TArticle[[#This Row],[شناسه]],TAccount[],7,TRUE)</f>
        <v>81652</v>
      </c>
      <c r="V402" s="21" t="s">
        <v>735</v>
      </c>
      <c r="W402" s="21">
        <f>IF(AND(TArticle[[#This Row],[مبلغ]]&gt;0, TArticle[[#This Row],[کد وضعیت سند]]=1),TArticle[[#This Row],[مبلغ]],0)</f>
        <v>0</v>
      </c>
      <c r="X402" s="27">
        <f>IF(AND(TArticle[[#This Row],[مبلغ]]&lt;0,TArticle[[#This Row],[کد وضعیت سند]]=1),0-TArticle[[#This Row],[مبلغ]],0)</f>
        <v>0</v>
      </c>
      <c r="Y402" s="67">
        <v>2</v>
      </c>
      <c r="Z402" s="171" t="str">
        <f>IF(TArticle[[#This Row],[کد بانک]]&gt;0,VLOOKUP(TArticle[[#This Row],[کد بانک]],TBank[],2,FALSE),"")</f>
        <v>ملی جاری</v>
      </c>
      <c r="AA402">
        <f>IF(AND(TArticle[[#This Row],[مبلغ]]&lt;0,TArticle[[#This Row],[کد وضعیت سند]]=1),0-TArticle[[#This Row],[مبلغ]],0)</f>
        <v>0</v>
      </c>
      <c r="AB402">
        <f>IF(AND(TArticle[[#This Row],[مبلغ]]&gt;0, TArticle[[#This Row],[کد وضعیت سند]]=1),TArticle[[#This Row],[مبلغ]],0)</f>
        <v>0</v>
      </c>
      <c r="AC402" s="84">
        <f>IF(TArticle[[#This Row],[کد بانک]]&gt;0,VLOOKUP(TArticle[[#This Row],[کد بانک]],TBank[],9,FALSE)+SUMIF($Y$2:Y402,Y402,$E$2:$E402),"")</f>
        <v>91773</v>
      </c>
      <c r="AD402" s="1">
        <f>IFERROR(IF(INT(LEFT(TArticle[[#This Row],[شناسه]]))=3,IF(TArticle[[#This Row],[کد وضعیت سند]]=1,TArticle[مبلغ],0),0),0)</f>
        <v>0</v>
      </c>
      <c r="AE402" s="1">
        <f>IFERROR(IF(((TArticle[[#This Row],[شناسه]]))="4.1.1",IF(TArticle[[#This Row],[کد وضعیت سند]]=1,TArticle[مبلغ],0),0),0)</f>
        <v>0</v>
      </c>
      <c r="AF402" s="1">
        <f>IFERROR(IF(((TArticle[[#This Row],[شناسه]]))="4.1.2",IF(TArticle[[#This Row],[کد وضعیت سند]]=1,TArticle[مبلغ],0),0),0)</f>
        <v>0</v>
      </c>
      <c r="AG402" s="1">
        <f>IFERROR(IF(INT(LEFT(TArticle[[#This Row],[شناسه]]))=1,IF(TArticle[[#This Row],[کد وضعیت سند]]=1,TArticle[مبلغ],0),0),0)</f>
        <v>0</v>
      </c>
      <c r="AH402" s="1">
        <f>IFERROR(IF(INT(LEFT(TArticle[[#This Row],[شناسه]]))=2,IF(TArticle[[#This Row],[کد وضعیت سند]]=1,TArticle[مبلغ],0),0),0)</f>
        <v>0</v>
      </c>
      <c r="AI402" s="1">
        <f>IFERROR(IF((LEFT(TArticle[[#This Row],[شناسه]],3))="5.2",IF(TArticle[[#This Row],[کد وضعیت سند]]=1,TArticle[مبلغ],0),0),0)</f>
        <v>0</v>
      </c>
      <c r="AJ402" s="1">
        <f>IF(TArticle[[#This Row],[کد وضعیت سند]]=1,1,0)</f>
        <v>0</v>
      </c>
      <c r="AK402" s="1">
        <f>IF(AND(TArticle[[#This Row],[کد وضعیت سند]]&lt;&gt;1,TArticle[[#This Row],[مبلغ]]&lt;&gt;0),1,0)</f>
        <v>1</v>
      </c>
      <c r="AL402" s="51">
        <f>IF(TArticle[[#This Row],[کد بانک]]&gt;0,TArticle[[#This Row],[مانده بانک]]-VLOOKUP(TArticle[[#This Row],[کد بانک]],TBank[],7,FALSE),"")</f>
        <v>91773</v>
      </c>
      <c r="AM402" s="49" t="str">
        <f>LEFT(TArticle[[#This Row],[تاریخ]],7)</f>
        <v>1402-06</v>
      </c>
    </row>
    <row r="403" spans="1:39" x14ac:dyDescent="0.25">
      <c r="A403" s="24"/>
      <c r="B403" s="49" t="str">
        <f>VLOOKUP(TArticle[[#This Row],[شناسه]],TAccount[],2,TRUE)</f>
        <v>---</v>
      </c>
      <c r="C403" s="49" t="str">
        <f>VLOOKUP(TArticle[[#This Row],[تاریخ]],TDays[],7,FALSE)</f>
        <v>جمعه</v>
      </c>
      <c r="D403" s="21" t="s">
        <v>738</v>
      </c>
      <c r="F403" s="1">
        <f>TArticle[[#This Row],[مبلغ]]+IFERROR(INT(F402),30181+3667+958)</f>
        <v>75621</v>
      </c>
      <c r="G403" s="49"/>
      <c r="L403" s="171" t="str">
        <f>IF(TArticle[[#This Row],[کد وضعیت سند]]&gt;0,VLOOKUP(TArticle[[#This Row],[کد وضعیت سند]],TDocState[],2,FALSE),"")</f>
        <v/>
      </c>
      <c r="N403" s="171" t="str">
        <f>IF(TArticle[[#This Row],[کد طرف حساب]]&gt;0,VLOOKUP(TArticle[[#This Row],[کد طرف حساب]],TContact[],2,FALSE),"")</f>
        <v/>
      </c>
      <c r="O403" s="51" t="str">
        <f>IF(TArticle[[#This Row],[کد طرف حساب]]&gt;0,VLOOKUP(TArticle[[#This Row],[کد طرف حساب]],TContact[],7,FALSE)-SUMIF($M$2:M403,M403,$E$2:$E403),"")</f>
        <v/>
      </c>
      <c r="P403" s="27" t="str">
        <f>RIGHT(TArticle[[#This Row],[تاریخ]],2)</f>
        <v>31</v>
      </c>
      <c r="Q403" s="27">
        <f>VLOOKUP(TArticle[[#This Row],[تاریخ]],TDays[],16,FALSE)</f>
        <v>27</v>
      </c>
      <c r="R403" s="27" t="str">
        <f>RIGHT(LEFT(TArticle[[#This Row],[تاریخ]],7),2)</f>
        <v>06</v>
      </c>
      <c r="S403" s="27" t="str">
        <f>LEFT(TArticle[[#This Row],[تاریخ]],4)</f>
        <v>1402</v>
      </c>
      <c r="U403" s="21">
        <f>VLOOKUP(TArticle[[#This Row],[شناسه]],TAccount[],7,TRUE)</f>
        <v>0</v>
      </c>
      <c r="W403" s="21">
        <f>IF(AND(TArticle[[#This Row],[مبلغ]]&gt;0, TArticle[[#This Row],[کد وضعیت سند]]=1),TArticle[[#This Row],[مبلغ]],0)</f>
        <v>0</v>
      </c>
      <c r="X403" s="27">
        <f>IF(AND(TArticle[[#This Row],[مبلغ]]&lt;0,TArticle[[#This Row],[کد وضعیت سند]]=1),0-TArticle[[#This Row],[مبلغ]],0)</f>
        <v>0</v>
      </c>
      <c r="Y403" s="67">
        <v>2</v>
      </c>
      <c r="Z403" s="171" t="str">
        <f>IF(TArticle[[#This Row],[کد بانک]]&gt;0,VLOOKUP(TArticle[[#This Row],[کد بانک]],TBank[],2,FALSE),"")</f>
        <v>ملی جاری</v>
      </c>
      <c r="AA403">
        <f>IF(AND(TArticle[[#This Row],[مبلغ]]&lt;0,TArticle[[#This Row],[کد وضعیت سند]]=1),0-TArticle[[#This Row],[مبلغ]],0)</f>
        <v>0</v>
      </c>
      <c r="AB403">
        <f>IF(AND(TArticle[[#This Row],[مبلغ]]&gt;0, TArticle[[#This Row],[کد وضعیت سند]]=1),TArticle[[#This Row],[مبلغ]],0)</f>
        <v>0</v>
      </c>
      <c r="AC403" s="84">
        <f>IF(TArticle[[#This Row],[کد بانک]]&gt;0,VLOOKUP(TArticle[[#This Row],[کد بانک]],TBank[],9,FALSE)+SUMIF($Y$2:Y403,Y403,$E$2:$E403),"")</f>
        <v>91773</v>
      </c>
      <c r="AD403" s="1">
        <f>IFERROR(IF(INT(LEFT(TArticle[[#This Row],[شناسه]]))=3,IF(TArticle[[#This Row],[کد وضعیت سند]]=1,TArticle[مبلغ],0),0),0)</f>
        <v>0</v>
      </c>
      <c r="AE403" s="1">
        <f>IFERROR(IF(((TArticle[[#This Row],[شناسه]]))="4.1.1",IF(TArticle[[#This Row],[کد وضعیت سند]]=1,TArticle[مبلغ],0),0),0)</f>
        <v>0</v>
      </c>
      <c r="AF403" s="1">
        <f>IFERROR(IF(((TArticle[[#This Row],[شناسه]]))="4.1.2",IF(TArticle[[#This Row],[کد وضعیت سند]]=1,TArticle[مبلغ],0),0),0)</f>
        <v>0</v>
      </c>
      <c r="AG403" s="1">
        <f>IFERROR(IF(INT(LEFT(TArticle[[#This Row],[شناسه]]))=1,IF(TArticle[[#This Row],[کد وضعیت سند]]=1,TArticle[مبلغ],0),0),0)</f>
        <v>0</v>
      </c>
      <c r="AH403" s="1">
        <f>IFERROR(IF(INT(LEFT(TArticle[[#This Row],[شناسه]]))=2,IF(TArticle[[#This Row],[کد وضعیت سند]]=1,TArticle[مبلغ],0),0),0)</f>
        <v>0</v>
      </c>
      <c r="AI403" s="1">
        <f>IFERROR(IF((LEFT(TArticle[[#This Row],[شناسه]],3))="5.2",IF(TArticle[[#This Row],[کد وضعیت سند]]=1,TArticle[مبلغ],0),0),0)</f>
        <v>0</v>
      </c>
      <c r="AJ403" s="1">
        <f>IF(TArticle[[#This Row],[کد وضعیت سند]]=1,1,0)</f>
        <v>0</v>
      </c>
      <c r="AK403" s="1">
        <f>IF(AND(TArticle[[#This Row],[کد وضعیت سند]]&lt;&gt;1,TArticle[[#This Row],[مبلغ]]&lt;&gt;0),1,0)</f>
        <v>0</v>
      </c>
      <c r="AL403" s="51">
        <f>IF(TArticle[[#This Row],[کد بانک]]&gt;0,TArticle[[#This Row],[مانده بانک]]-VLOOKUP(TArticle[[#This Row],[کد بانک]],TBank[],7,FALSE),"")</f>
        <v>91773</v>
      </c>
      <c r="AM403" s="49" t="str">
        <f>LEFT(TArticle[[#This Row],[تاریخ]],7)</f>
        <v>1402-06</v>
      </c>
    </row>
    <row r="404" spans="1:39" x14ac:dyDescent="0.25">
      <c r="A404" s="24" t="s">
        <v>43</v>
      </c>
      <c r="B404" s="49" t="str">
        <f>VLOOKUP(TArticle[[#This Row],[شناسه]],TAccount[],2,TRUE)</f>
        <v>حقوق</v>
      </c>
      <c r="C404" s="49" t="str">
        <f>VLOOKUP(TArticle[[#This Row],[تاریخ]],TDays[],7,FALSE)</f>
        <v>شنبه</v>
      </c>
      <c r="D404" s="21" t="s">
        <v>739</v>
      </c>
      <c r="E404" s="1">
        <v>36000</v>
      </c>
      <c r="F404" s="1">
        <f>TArticle[[#This Row],[مبلغ]]+IFERROR(INT(F403),30181+3667+958)</f>
        <v>111621</v>
      </c>
      <c r="G404" s="49"/>
      <c r="K404" s="64">
        <v>2</v>
      </c>
      <c r="L404" s="171" t="str">
        <f>IF(TArticle[[#This Row],[کد وضعیت سند]]&gt;0,VLOOKUP(TArticle[[#This Row],[کد وضعیت سند]],TDocState[],2,FALSE),"")</f>
        <v>قطعی</v>
      </c>
      <c r="N404" s="171" t="str">
        <f>IF(TArticle[[#This Row],[کد طرف حساب]]&gt;0,VLOOKUP(TArticle[[#This Row],[کد طرف حساب]],TContact[],2,FALSE),"")</f>
        <v/>
      </c>
      <c r="O404" s="61" t="str">
        <f>IF(TArticle[[#This Row],[کد طرف حساب]]&gt;0,VLOOKUP(TArticle[[#This Row],[کد طرف حساب]],TContact[],7,FALSE)-SUMIF($M$2:M404,M404,$E$2:$E404),"")</f>
        <v/>
      </c>
      <c r="P404" s="27" t="str">
        <f>RIGHT(TArticle[[#This Row],[تاریخ]],2)</f>
        <v>01</v>
      </c>
      <c r="Q404" s="27">
        <f>VLOOKUP(TArticle[[#This Row],[تاریخ]],TDays[],16,FALSE)</f>
        <v>27</v>
      </c>
      <c r="R404" s="27" t="str">
        <f>RIGHT(LEFT(TArticle[[#This Row],[تاریخ]],7),2)</f>
        <v>07</v>
      </c>
      <c r="S404" s="27" t="str">
        <f>LEFT(TArticle[[#This Row],[تاریخ]],4)</f>
        <v>1402</v>
      </c>
      <c r="U404" s="21">
        <f>VLOOKUP(TArticle[[#This Row],[شناسه]],TAccount[],7,TRUE)</f>
        <v>416023</v>
      </c>
      <c r="W404" s="21">
        <f>IF(AND(TArticle[[#This Row],[مبلغ]]&gt;0, TArticle[[#This Row],[کد وضعیت سند]]=1),TArticle[[#This Row],[مبلغ]],0)</f>
        <v>0</v>
      </c>
      <c r="X404" s="27">
        <f>IF(AND(TArticle[[#This Row],[مبلغ]]&lt;0,TArticle[[#This Row],[کد وضعیت سند]]=1),0-TArticle[[#This Row],[مبلغ]],0)</f>
        <v>0</v>
      </c>
      <c r="Y404" s="27">
        <v>2</v>
      </c>
      <c r="Z404" s="171" t="str">
        <f>IF(TArticle[[#This Row],[کد بانک]]&gt;0,VLOOKUP(TArticle[[#This Row],[کد بانک]],TBank[],2,FALSE),"")</f>
        <v>ملی جاری</v>
      </c>
      <c r="AA404">
        <f>IF(AND(TArticle[[#This Row],[مبلغ]]&lt;0,TArticle[[#This Row],[کد وضعیت سند]]=1),0-TArticle[[#This Row],[مبلغ]],0)</f>
        <v>0</v>
      </c>
      <c r="AB404">
        <f>IF(AND(TArticle[[#This Row],[مبلغ]]&gt;0, TArticle[[#This Row],[کد وضعیت سند]]=1),TArticle[[#This Row],[مبلغ]],0)</f>
        <v>0</v>
      </c>
      <c r="AC404" s="84">
        <f>IF(TArticle[[#This Row],[کد بانک]]&gt;0,VLOOKUP(TArticle[[#This Row],[کد بانک]],TBank[],9,FALSE)+SUMIF($Y$2:Y404,Y404,$E$2:$E404),"")</f>
        <v>127773</v>
      </c>
      <c r="AD404" s="1">
        <f>IFERROR(IF(INT(LEFT(TArticle[[#This Row],[شناسه]]))=3,IF(TArticle[[#This Row],[کد وضعیت سند]]=1,TArticle[مبلغ],0),0),0)</f>
        <v>0</v>
      </c>
      <c r="AE404" s="1">
        <f>IFERROR(IF(((TArticle[[#This Row],[شناسه]]))="4.1.1",IF(TArticle[[#This Row],[کد وضعیت سند]]=1,TArticle[مبلغ],0),0),0)</f>
        <v>0</v>
      </c>
      <c r="AF404" s="1">
        <f>IFERROR(IF(((TArticle[[#This Row],[شناسه]]))="4.1.2",IF(TArticle[[#This Row],[کد وضعیت سند]]=1,TArticle[مبلغ],0),0),0)</f>
        <v>0</v>
      </c>
      <c r="AG404" s="1">
        <f>IFERROR(IF(INT(LEFT(TArticle[[#This Row],[شناسه]]))=1,IF(TArticle[[#This Row],[کد وضعیت سند]]=1,TArticle[مبلغ],0),0),0)</f>
        <v>0</v>
      </c>
      <c r="AH404" s="1">
        <f>IFERROR(IF(INT(LEFT(TArticle[[#This Row],[شناسه]]))=2,IF(TArticle[[#This Row],[کد وضعیت سند]]=1,TArticle[مبلغ],0),0),0)</f>
        <v>0</v>
      </c>
      <c r="AI404" s="1">
        <f>IFERROR(IF((LEFT(TArticle[[#This Row],[شناسه]],3))="5.2",IF(TArticle[[#This Row],[کد وضعیت سند]]=1,TArticle[مبلغ],0),0),0)</f>
        <v>0</v>
      </c>
      <c r="AJ404" s="1">
        <f>IF(TArticle[[#This Row],[کد وضعیت سند]]=1,1,0)</f>
        <v>0</v>
      </c>
      <c r="AK404" s="1">
        <f>IF(AND(TArticle[[#This Row],[کد وضعیت سند]]&lt;&gt;1,TArticle[[#This Row],[مبلغ]]&lt;&gt;0),1,0)</f>
        <v>1</v>
      </c>
      <c r="AL404" s="51">
        <f>IF(TArticle[[#This Row],[کد بانک]]&gt;0,TArticle[[#This Row],[مانده بانک]]-VLOOKUP(TArticle[[#This Row],[کد بانک]],TBank[],7,FALSE),"")</f>
        <v>127773</v>
      </c>
      <c r="AM404" s="58" t="str">
        <f>LEFT(TArticle[[#This Row],[تاریخ]],7)</f>
        <v>1402-07</v>
      </c>
    </row>
    <row r="405" spans="1:39" x14ac:dyDescent="0.25">
      <c r="A405" s="24" t="s">
        <v>1608</v>
      </c>
      <c r="B405" s="49" t="str">
        <f>VLOOKUP(TArticle[[#This Row],[شناسه]],TAccount[],2,TRUE)</f>
        <v>بن کارت</v>
      </c>
      <c r="C405" s="49" t="str">
        <f>VLOOKUP(TArticle[[#This Row],[تاریخ]],TDays[],7,FALSE)</f>
        <v>شنبه</v>
      </c>
      <c r="D405" s="21" t="s">
        <v>739</v>
      </c>
      <c r="E405" s="1">
        <v>1700</v>
      </c>
      <c r="F405" s="1">
        <f>TArticle[[#This Row],[مبلغ]]+IFERROR(INT(F404),30181+3667+958)</f>
        <v>113321</v>
      </c>
      <c r="G405" s="49"/>
      <c r="K405" s="64">
        <v>2</v>
      </c>
      <c r="L405" s="171" t="str">
        <f>IF(TArticle[[#This Row],[کد وضعیت سند]]&gt;0,VLOOKUP(TArticle[[#This Row],[کد وضعیت سند]],TDocState[],2,FALSE),"")</f>
        <v>قطعی</v>
      </c>
      <c r="N405" s="171" t="str">
        <f>IF(TArticle[[#This Row],[کد طرف حساب]]&gt;0,VLOOKUP(TArticle[[#This Row],[کد طرف حساب]],TContact[],2,FALSE),"")</f>
        <v/>
      </c>
      <c r="O405" s="61" t="str">
        <f>IF(TArticle[[#This Row],[کد طرف حساب]]&gt;0,VLOOKUP(TArticle[[#This Row],[کد طرف حساب]],TContact[],7,FALSE)-SUMIF($M$2:M405,M405,$E$2:$E405),"")</f>
        <v/>
      </c>
      <c r="P405" s="27" t="str">
        <f>RIGHT(TArticle[[#This Row],[تاریخ]],2)</f>
        <v>01</v>
      </c>
      <c r="Q405" s="27">
        <f>VLOOKUP(TArticle[[#This Row],[تاریخ]],TDays[],16,FALSE)</f>
        <v>27</v>
      </c>
      <c r="R405" s="27" t="str">
        <f>RIGHT(LEFT(TArticle[[#This Row],[تاریخ]],7),2)</f>
        <v>07</v>
      </c>
      <c r="S405" s="27" t="str">
        <f>LEFT(TArticle[[#This Row],[تاریخ]],4)</f>
        <v>1402</v>
      </c>
      <c r="U405" s="21">
        <f>VLOOKUP(TArticle[[#This Row],[شناسه]],TAccount[],7,TRUE)</f>
        <v>3000</v>
      </c>
      <c r="W405" s="21">
        <f>IF(AND(TArticle[[#This Row],[مبلغ]]&gt;0, TArticle[[#This Row],[کد وضعیت سند]]=1),TArticle[[#This Row],[مبلغ]],0)</f>
        <v>0</v>
      </c>
      <c r="X405" s="27">
        <f>IF(AND(TArticle[[#This Row],[مبلغ]]&lt;0,TArticle[[#This Row],[کد وضعیت سند]]=1),0-TArticle[[#This Row],[مبلغ]],0)</f>
        <v>0</v>
      </c>
      <c r="Y405" s="27">
        <v>2</v>
      </c>
      <c r="Z405" s="171" t="str">
        <f>IF(TArticle[[#This Row],[کد بانک]]&gt;0,VLOOKUP(TArticle[[#This Row],[کد بانک]],TBank[],2,FALSE),"")</f>
        <v>ملی جاری</v>
      </c>
      <c r="AA405">
        <f>IF(AND(TArticle[[#This Row],[مبلغ]]&lt;0,TArticle[[#This Row],[کد وضعیت سند]]=1),0-TArticle[[#This Row],[مبلغ]],0)</f>
        <v>0</v>
      </c>
      <c r="AB405">
        <f>IF(AND(TArticle[[#This Row],[مبلغ]]&gt;0, TArticle[[#This Row],[کد وضعیت سند]]=1),TArticle[[#This Row],[مبلغ]],0)</f>
        <v>0</v>
      </c>
      <c r="AC405" s="84">
        <f>IF(TArticle[[#This Row],[کد بانک]]&gt;0,VLOOKUP(TArticle[[#This Row],[کد بانک]],TBank[],9,FALSE)+SUMIF($Y$2:Y405,Y405,$E$2:$E405),"")</f>
        <v>129473</v>
      </c>
      <c r="AD405" s="1">
        <f>IFERROR(IF(INT(LEFT(TArticle[[#This Row],[شناسه]]))=3,IF(TArticle[[#This Row],[کد وضعیت سند]]=1,TArticle[مبلغ],0),0),0)</f>
        <v>0</v>
      </c>
      <c r="AE405" s="1">
        <f>IFERROR(IF(((TArticle[[#This Row],[شناسه]]))="4.1.1",IF(TArticle[[#This Row],[کد وضعیت سند]]=1,TArticle[مبلغ],0),0),0)</f>
        <v>0</v>
      </c>
      <c r="AF405" s="1">
        <f>IFERROR(IF(((TArticle[[#This Row],[شناسه]]))="4.1.2",IF(TArticle[[#This Row],[کد وضعیت سند]]=1,TArticle[مبلغ],0),0),0)</f>
        <v>0</v>
      </c>
      <c r="AG405" s="1">
        <f>IFERROR(IF(INT(LEFT(TArticle[[#This Row],[شناسه]]))=1,IF(TArticle[[#This Row],[کد وضعیت سند]]=1,TArticle[مبلغ],0),0),0)</f>
        <v>0</v>
      </c>
      <c r="AH405" s="1">
        <f>IFERROR(IF(INT(LEFT(TArticle[[#This Row],[شناسه]]))=2,IF(TArticle[[#This Row],[کد وضعیت سند]]=1,TArticle[مبلغ],0),0),0)</f>
        <v>0</v>
      </c>
      <c r="AI405" s="1">
        <f>IFERROR(IF((LEFT(TArticle[[#This Row],[شناسه]],3))="5.2",IF(TArticle[[#This Row],[کد وضعیت سند]]=1,TArticle[مبلغ],0),0),0)</f>
        <v>0</v>
      </c>
      <c r="AJ405" s="1">
        <f>IF(TArticle[[#This Row],[کد وضعیت سند]]=1,1,0)</f>
        <v>0</v>
      </c>
      <c r="AK405" s="1">
        <f>IF(AND(TArticle[[#This Row],[کد وضعیت سند]]&lt;&gt;1,TArticle[[#This Row],[مبلغ]]&lt;&gt;0),1,0)</f>
        <v>1</v>
      </c>
      <c r="AL405" s="51">
        <f>IF(TArticle[[#This Row],[کد بانک]]&gt;0,TArticle[[#This Row],[مانده بانک]]-VLOOKUP(TArticle[[#This Row],[کد بانک]],TBank[],7,FALSE),"")</f>
        <v>129473</v>
      </c>
      <c r="AM405" t="str">
        <f>LEFT(TArticle[[#This Row],[تاریخ]],7)</f>
        <v>1402-07</v>
      </c>
    </row>
    <row r="406" spans="1:39" x14ac:dyDescent="0.25">
      <c r="A406" s="24"/>
      <c r="B406" s="49" t="str">
        <f>VLOOKUP(TArticle[[#This Row],[شناسه]],TAccount[],2,TRUE)</f>
        <v>---</v>
      </c>
      <c r="C406" s="49" t="str">
        <f>VLOOKUP(TArticle[[#This Row],[تاریخ]],TDays[],7,FALSE)</f>
        <v>دوشنبه</v>
      </c>
      <c r="D406" s="21" t="s">
        <v>741</v>
      </c>
      <c r="F406" s="1">
        <f>TArticle[[#This Row],[مبلغ]]+IFERROR(INT(F405),30181+3667+958)</f>
        <v>113321</v>
      </c>
      <c r="G406" s="49"/>
      <c r="J406" s="51"/>
      <c r="K406" s="64"/>
      <c r="L406" s="171" t="str">
        <f>IF(TArticle[[#This Row],[کد وضعیت سند]]&gt;0,VLOOKUP(TArticle[[#This Row],[کد وضعیت سند]],TDocState[],2,FALSE),"")</f>
        <v/>
      </c>
      <c r="N406" s="171" t="str">
        <f>IF(TArticle[[#This Row],[کد طرف حساب]]&gt;0,VLOOKUP(TArticle[[#This Row],[کد طرف حساب]],TContact[],2,FALSE),"")</f>
        <v/>
      </c>
      <c r="O406" s="60" t="str">
        <f>IF(TArticle[[#This Row],[کد طرف حساب]]&gt;0,VLOOKUP(TArticle[[#This Row],[کد طرف حساب]],TContact[],7,FALSE)-SUMIF($M$2:M406,M406,$E$2:$E406),"")</f>
        <v/>
      </c>
      <c r="P406" s="27" t="str">
        <f>RIGHT(TArticle[[#This Row],[تاریخ]],2)</f>
        <v>03</v>
      </c>
      <c r="Q406" s="27">
        <f>VLOOKUP(TArticle[[#This Row],[تاریخ]],TDays[],16,FALSE)</f>
        <v>28</v>
      </c>
      <c r="R406" s="27" t="str">
        <f>RIGHT(LEFT(TArticle[[#This Row],[تاریخ]],7),2)</f>
        <v>07</v>
      </c>
      <c r="S406" s="27" t="str">
        <f>LEFT(TArticle[[#This Row],[تاریخ]],4)</f>
        <v>1402</v>
      </c>
      <c r="U406" s="21">
        <f>VLOOKUP(TArticle[[#This Row],[شناسه]],TAccount[],7,TRUE)</f>
        <v>0</v>
      </c>
      <c r="W406" s="21">
        <f>IF(AND(TArticle[[#This Row],[مبلغ]]&gt;0, TArticle[[#This Row],[کد وضعیت سند]]=1),TArticle[[#This Row],[مبلغ]],0)</f>
        <v>0</v>
      </c>
      <c r="X406" s="27">
        <f>IF(AND(TArticle[[#This Row],[مبلغ]]&lt;0,TArticle[[#This Row],[کد وضعیت سند]]=1),0-TArticle[[#This Row],[مبلغ]],0)</f>
        <v>0</v>
      </c>
      <c r="Y406" s="27">
        <v>2</v>
      </c>
      <c r="Z406" s="171" t="str">
        <f>IF(TArticle[[#This Row],[کد بانک]]&gt;0,VLOOKUP(TArticle[[#This Row],[کد بانک]],TBank[],2,FALSE),"")</f>
        <v>ملی جاری</v>
      </c>
      <c r="AA406">
        <f>IF(AND(TArticle[[#This Row],[مبلغ]]&lt;0,TArticle[[#This Row],[کد وضعیت سند]]=1),0-TArticle[[#This Row],[مبلغ]],0)</f>
        <v>0</v>
      </c>
      <c r="AB406">
        <f>IF(AND(TArticle[[#This Row],[مبلغ]]&gt;0, TArticle[[#This Row],[کد وضعیت سند]]=1),TArticle[[#This Row],[مبلغ]],0)</f>
        <v>0</v>
      </c>
      <c r="AC406" s="92">
        <f>IF(TArticle[[#This Row],[کد بانک]]&gt;0,VLOOKUP(TArticle[[#This Row],[کد بانک]],TBank[],9,FALSE)+SUMIF($Y$2:Y406,Y406,$E$2:$E406),"")</f>
        <v>129473</v>
      </c>
      <c r="AD406" s="1">
        <f>IFERROR(IF(INT(LEFT(TArticle[[#This Row],[شناسه]]))=3,IF(TArticle[[#This Row],[کد وضعیت سند]]=1,TArticle[مبلغ],0),0),0)</f>
        <v>0</v>
      </c>
      <c r="AE406" s="1">
        <f>IFERROR(IF(((TArticle[[#This Row],[شناسه]]))="4.1.1",IF(TArticle[[#This Row],[کد وضعیت سند]]=1,TArticle[مبلغ],0),0),0)</f>
        <v>0</v>
      </c>
      <c r="AF406" s="1">
        <f>IFERROR(IF(((TArticle[[#This Row],[شناسه]]))="4.1.2",IF(TArticle[[#This Row],[کد وضعیت سند]]=1,TArticle[مبلغ],0),0),0)</f>
        <v>0</v>
      </c>
      <c r="AG406" s="1">
        <f>IFERROR(IF(INT(LEFT(TArticle[[#This Row],[شناسه]]))=1,IF(TArticle[[#This Row],[کد وضعیت سند]]=1,TArticle[مبلغ],0),0),0)</f>
        <v>0</v>
      </c>
      <c r="AH406" s="1">
        <f>IFERROR(IF(INT(LEFT(TArticle[[#This Row],[شناسه]]))=2,IF(TArticle[[#This Row],[کد وضعیت سند]]=1,TArticle[مبلغ],0),0),0)</f>
        <v>0</v>
      </c>
      <c r="AI406" s="1">
        <f>IFERROR(IF((LEFT(TArticle[[#This Row],[شناسه]],3))="5.2",IF(TArticle[[#This Row],[کد وضعیت سند]]=1,TArticle[مبلغ],0),0),0)</f>
        <v>0</v>
      </c>
      <c r="AJ406" s="1">
        <f>IF(TArticle[[#This Row],[کد وضعیت سند]]=1,1,0)</f>
        <v>0</v>
      </c>
      <c r="AK406" s="1">
        <f>IF(AND(TArticle[[#This Row],[کد وضعیت سند]]&lt;&gt;1,TArticle[[#This Row],[مبلغ]]&lt;&gt;0),1,0)</f>
        <v>0</v>
      </c>
      <c r="AL406" s="51">
        <f>IF(TArticle[[#This Row],[کد بانک]]&gt;0,TArticle[[#This Row],[مانده بانک]]-VLOOKUP(TArticle[[#This Row],[کد بانک]],TBank[],7,FALSE),"")</f>
        <v>129473</v>
      </c>
      <c r="AM406" s="58" t="str">
        <f>LEFT(TArticle[[#This Row],[تاریخ]],7)</f>
        <v>1402-07</v>
      </c>
    </row>
    <row r="407" spans="1:39" x14ac:dyDescent="0.25">
      <c r="A407" s="24" t="s">
        <v>1110</v>
      </c>
      <c r="B407" s="49" t="str">
        <f>VLOOKUP(TArticle[[#This Row],[شناسه]],TAccount[],2,TRUE)</f>
        <v>قسط وام بانکی</v>
      </c>
      <c r="C407" s="49" t="str">
        <f>VLOOKUP(TArticle[[#This Row],[تاریخ]],TDays[],7,FALSE)</f>
        <v>دوشنبه</v>
      </c>
      <c r="D407" s="21" t="s">
        <v>741</v>
      </c>
      <c r="E407" s="1">
        <v>-3612</v>
      </c>
      <c r="F407" s="1">
        <f>TArticle[[#This Row],[مبلغ]]+IFERROR(INT(F406),30181+3667+958)</f>
        <v>109709</v>
      </c>
      <c r="G407" s="61" t="s">
        <v>1108</v>
      </c>
      <c r="H407" s="21">
        <v>1</v>
      </c>
      <c r="K407" s="64">
        <v>2</v>
      </c>
      <c r="L407" s="171" t="str">
        <f>IF(TArticle[[#This Row],[کد وضعیت سند]]&gt;0,VLOOKUP(TArticle[[#This Row],[کد وضعیت سند]],TDocState[],2,FALSE),"")</f>
        <v>قطعی</v>
      </c>
      <c r="M407" s="27">
        <v>115.1</v>
      </c>
      <c r="N407" s="171" t="str">
        <f>IF(TArticle[[#This Row],[کد طرف حساب]]&gt;0,VLOOKUP(TArticle[[#This Row],[کد طرف حساب]],TContact[],2,FALSE),"")</f>
        <v>سود فرزند مهر</v>
      </c>
      <c r="O407" s="61">
        <f>IF(TArticle[[#This Row],[کد طرف حساب]]&gt;0,VLOOKUP(TArticle[[#This Row],[کد طرف حساب]],TContact[],7,FALSE)-SUMIF($M$2:M407,M407,$E$2:$E407),"")</f>
        <v>-4090</v>
      </c>
      <c r="P407" s="27" t="str">
        <f>RIGHT(TArticle[[#This Row],[تاریخ]],2)</f>
        <v>03</v>
      </c>
      <c r="Q407" s="27">
        <f>VLOOKUP(TArticle[[#This Row],[تاریخ]],TDays[],16,FALSE)</f>
        <v>28</v>
      </c>
      <c r="R407" s="27" t="str">
        <f>RIGHT(LEFT(TArticle[[#This Row],[تاریخ]],7),2)</f>
        <v>07</v>
      </c>
      <c r="S407" s="27" t="str">
        <f>LEFT(TArticle[[#This Row],[تاریخ]],4)</f>
        <v>1402</v>
      </c>
      <c r="U407" s="21">
        <f>VLOOKUP(TArticle[[#This Row],[شناسه]],TAccount[],7,TRUE)</f>
        <v>81652</v>
      </c>
      <c r="W407" s="21">
        <f>IF(AND(TArticle[[#This Row],[مبلغ]]&gt;0, TArticle[[#This Row],[کد وضعیت سند]]=1),TArticle[[#This Row],[مبلغ]],0)</f>
        <v>0</v>
      </c>
      <c r="X407" s="27">
        <f>IF(AND(TArticle[[#This Row],[مبلغ]]&lt;0,TArticle[[#This Row],[کد وضعیت سند]]=1),0-TArticle[[#This Row],[مبلغ]],0)</f>
        <v>0</v>
      </c>
      <c r="Y407" s="27">
        <v>2</v>
      </c>
      <c r="Z407" s="171" t="str">
        <f>IF(TArticle[[#This Row],[کد بانک]]&gt;0,VLOOKUP(TArticle[[#This Row],[کد بانک]],TBank[],2,FALSE),"")</f>
        <v>ملی جاری</v>
      </c>
      <c r="AA407">
        <f>IF(AND(TArticle[[#This Row],[مبلغ]]&lt;0,TArticle[[#This Row],[کد وضعیت سند]]=1),0-TArticle[[#This Row],[مبلغ]],0)</f>
        <v>0</v>
      </c>
      <c r="AB407">
        <f>IF(AND(TArticle[[#This Row],[مبلغ]]&gt;0, TArticle[[#This Row],[کد وضعیت سند]]=1),TArticle[[#This Row],[مبلغ]],0)</f>
        <v>0</v>
      </c>
      <c r="AC407" s="84">
        <f>IF(TArticle[[#This Row],[کد بانک]]&gt;0,VLOOKUP(TArticle[[#This Row],[کد بانک]],TBank[],9,FALSE)+SUMIF($Y$2:Y407,Y407,$E$2:$E407),"")</f>
        <v>125861</v>
      </c>
      <c r="AD407" s="1">
        <f>IFERROR(IF(INT(LEFT(TArticle[[#This Row],[شناسه]]))=3,IF(TArticle[[#This Row],[کد وضعیت سند]]=1,TArticle[مبلغ],0),0),0)</f>
        <v>0</v>
      </c>
      <c r="AE407" s="1">
        <f>IFERROR(IF(((TArticle[[#This Row],[شناسه]]))="4.1.1",IF(TArticle[[#This Row],[کد وضعیت سند]]=1,TArticle[مبلغ],0),0),0)</f>
        <v>0</v>
      </c>
      <c r="AF407" s="1">
        <f>IFERROR(IF(((TArticle[[#This Row],[شناسه]]))="4.1.2",IF(TArticle[[#This Row],[کد وضعیت سند]]=1,TArticle[مبلغ],0),0),0)</f>
        <v>0</v>
      </c>
      <c r="AG407" s="1">
        <f>IFERROR(IF(INT(LEFT(TArticle[[#This Row],[شناسه]]))=1,IF(TArticle[[#This Row],[کد وضعیت سند]]=1,TArticle[مبلغ],0),0),0)</f>
        <v>0</v>
      </c>
      <c r="AH407" s="1">
        <f>IFERROR(IF(INT(LEFT(TArticle[[#This Row],[شناسه]]))=2,IF(TArticle[[#This Row],[کد وضعیت سند]]=1,TArticle[مبلغ],0),0),0)</f>
        <v>0</v>
      </c>
      <c r="AI407" s="1">
        <f>IFERROR(IF((LEFT(TArticle[[#This Row],[شناسه]],3))="5.2",IF(TArticle[[#This Row],[کد وضعیت سند]]=1,TArticle[مبلغ],0),0),0)</f>
        <v>0</v>
      </c>
      <c r="AJ407" s="1">
        <f>IF(TArticle[[#This Row],[کد وضعیت سند]]=1,1,0)</f>
        <v>0</v>
      </c>
      <c r="AK407" s="1">
        <f>IF(AND(TArticle[[#This Row],[کد وضعیت سند]]&lt;&gt;1,TArticle[[#This Row],[مبلغ]]&lt;&gt;0),1,0)</f>
        <v>1</v>
      </c>
      <c r="AL407" s="51">
        <f>IF(TArticle[[#This Row],[کد بانک]]&gt;0,TArticle[[#This Row],[مانده بانک]]-VLOOKUP(TArticle[[#This Row],[کد بانک]],TBank[],7,FALSE),"")</f>
        <v>125861</v>
      </c>
      <c r="AM407" s="49" t="str">
        <f>LEFT(TArticle[[#This Row],[تاریخ]],7)</f>
        <v>1402-07</v>
      </c>
    </row>
    <row r="408" spans="1:39" x14ac:dyDescent="0.25">
      <c r="A408" s="24" t="s">
        <v>1110</v>
      </c>
      <c r="B408" s="49" t="str">
        <f>VLOOKUP(TArticle[[#This Row],[شناسه]],TAccount[],2,TRUE)</f>
        <v>قسط وام بانکی</v>
      </c>
      <c r="C408" s="49" t="str">
        <f>VLOOKUP(TArticle[[#This Row],[تاریخ]],TDays[],7,FALSE)</f>
        <v>دوشنبه</v>
      </c>
      <c r="D408" s="21" t="s">
        <v>741</v>
      </c>
      <c r="E408" s="1">
        <v>-1830</v>
      </c>
      <c r="F408" s="1">
        <f>TArticle[[#This Row],[مبلغ]]+IFERROR(INT(F407),30181+3667+958)</f>
        <v>107879</v>
      </c>
      <c r="G408" s="49" t="s">
        <v>1591</v>
      </c>
      <c r="H408" s="21">
        <v>28</v>
      </c>
      <c r="K408" s="21">
        <v>2</v>
      </c>
      <c r="L408" s="171" t="str">
        <f>IF(TArticle[[#This Row],[کد وضعیت سند]]&gt;0,VLOOKUP(TArticle[[#This Row],[کد وضعیت سند]],TDocState[],2,FALSE),"")</f>
        <v>قطعی</v>
      </c>
      <c r="M408" s="27">
        <v>110</v>
      </c>
      <c r="N408" s="171" t="str">
        <f>IF(TArticle[[#This Row],[کد طرف حساب]]&gt;0,VLOOKUP(TArticle[[#This Row],[کد طرف حساب]],TContact[],2,FALSE),"")</f>
        <v>وام ملت</v>
      </c>
      <c r="O408" s="61">
        <f>IF(TArticle[[#This Row],[کد طرف حساب]]&gt;0,VLOOKUP(TArticle[[#This Row],[کد طرف حساب]],TContact[],7,FALSE)-SUMIF($M$2:M408,M408,$E$2:$E408),"")</f>
        <v>-13400</v>
      </c>
      <c r="P408" s="27" t="str">
        <f>RIGHT(TArticle[[#This Row],[تاریخ]],2)</f>
        <v>03</v>
      </c>
      <c r="Q408" s="27">
        <f>VLOOKUP(TArticle[[#This Row],[تاریخ]],TDays[],16,FALSE)</f>
        <v>28</v>
      </c>
      <c r="R408" s="27" t="str">
        <f>RIGHT(LEFT(TArticle[[#This Row],[تاریخ]],7),2)</f>
        <v>07</v>
      </c>
      <c r="S408" s="27" t="str">
        <f>LEFT(TArticle[[#This Row],[تاریخ]],4)</f>
        <v>1402</v>
      </c>
      <c r="U408" s="21">
        <f>VLOOKUP(TArticle[[#This Row],[شناسه]],TAccount[],7,TRUE)</f>
        <v>81652</v>
      </c>
      <c r="V408" s="21" t="s">
        <v>741</v>
      </c>
      <c r="W408" s="21">
        <f>IF(AND(TArticle[[#This Row],[مبلغ]]&gt;0, TArticle[[#This Row],[کد وضعیت سند]]=1),TArticle[[#This Row],[مبلغ]],0)</f>
        <v>0</v>
      </c>
      <c r="X408" s="27">
        <f>IF(AND(TArticle[[#This Row],[مبلغ]]&lt;0,TArticle[[#This Row],[کد وضعیت سند]]=1),0-TArticle[[#This Row],[مبلغ]],0)</f>
        <v>0</v>
      </c>
      <c r="Y408" s="27">
        <v>2</v>
      </c>
      <c r="Z408" s="171" t="str">
        <f>IF(TArticle[[#This Row],[کد بانک]]&gt;0,VLOOKUP(TArticle[[#This Row],[کد بانک]],TBank[],2,FALSE),"")</f>
        <v>ملی جاری</v>
      </c>
      <c r="AA408">
        <f>IF(AND(TArticle[[#This Row],[مبلغ]]&lt;0,TArticle[[#This Row],[کد وضعیت سند]]=1),0-TArticle[[#This Row],[مبلغ]],0)</f>
        <v>0</v>
      </c>
      <c r="AB408">
        <f>IF(AND(TArticle[[#This Row],[مبلغ]]&gt;0, TArticle[[#This Row],[کد وضعیت سند]]=1),TArticle[[#This Row],[مبلغ]],0)</f>
        <v>0</v>
      </c>
      <c r="AC408" s="84">
        <f>IF(TArticle[[#This Row],[کد بانک]]&gt;0,VLOOKUP(TArticle[[#This Row],[کد بانک]],TBank[],9,FALSE)+SUMIF($Y$2:Y408,Y408,$E$2:$E408),"")</f>
        <v>124031</v>
      </c>
      <c r="AD408" s="1">
        <f>IFERROR(IF(INT(LEFT(TArticle[[#This Row],[شناسه]]))=3,IF(TArticle[[#This Row],[کد وضعیت سند]]=1,TArticle[مبلغ],0),0),0)</f>
        <v>0</v>
      </c>
      <c r="AE408" s="1">
        <f>IFERROR(IF(((TArticle[[#This Row],[شناسه]]))="4.1.1",IF(TArticle[[#This Row],[کد وضعیت سند]]=1,TArticle[مبلغ],0),0),0)</f>
        <v>0</v>
      </c>
      <c r="AF408" s="1">
        <f>IFERROR(IF(((TArticle[[#This Row],[شناسه]]))="4.1.2",IF(TArticle[[#This Row],[کد وضعیت سند]]=1,TArticle[مبلغ],0),0),0)</f>
        <v>0</v>
      </c>
      <c r="AG408" s="1">
        <f>IFERROR(IF(INT(LEFT(TArticle[[#This Row],[شناسه]]))=1,IF(TArticle[[#This Row],[کد وضعیت سند]]=1,TArticle[مبلغ],0),0),0)</f>
        <v>0</v>
      </c>
      <c r="AH408" s="1">
        <f>IFERROR(IF(INT(LEFT(TArticle[[#This Row],[شناسه]]))=2,IF(TArticle[[#This Row],[کد وضعیت سند]]=1,TArticle[مبلغ],0),0),0)</f>
        <v>0</v>
      </c>
      <c r="AI408" s="1">
        <f>IFERROR(IF((LEFT(TArticle[[#This Row],[شناسه]],3))="5.2",IF(TArticle[[#This Row],[کد وضعیت سند]]=1,TArticle[مبلغ],0),0),0)</f>
        <v>0</v>
      </c>
      <c r="AJ408" s="1">
        <f>IF(TArticle[[#This Row],[کد وضعیت سند]]=1,1,0)</f>
        <v>0</v>
      </c>
      <c r="AK408" s="1">
        <f>IF(AND(TArticle[[#This Row],[کد وضعیت سند]]&lt;&gt;1,TArticle[[#This Row],[مبلغ]]&lt;&gt;0),1,0)</f>
        <v>1</v>
      </c>
      <c r="AL408" s="51">
        <f>IF(TArticle[[#This Row],[کد بانک]]&gt;0,TArticle[[#This Row],[مانده بانک]]-VLOOKUP(TArticle[[#This Row],[کد بانک]],TBank[],7,FALSE),"")</f>
        <v>124031</v>
      </c>
      <c r="AM408" s="49" t="str">
        <f>LEFT(TArticle[[#This Row],[تاریخ]],7)</f>
        <v>1402-07</v>
      </c>
    </row>
    <row r="409" spans="1:39" x14ac:dyDescent="0.25">
      <c r="A409" s="24" t="s">
        <v>1110</v>
      </c>
      <c r="B409" s="49" t="str">
        <f>VLOOKUP(TArticle[[#This Row],[شناسه]],TAccount[],2,TRUE)</f>
        <v>قسط وام بانکی</v>
      </c>
      <c r="C409" s="49" t="str">
        <f>VLOOKUP(TArticle[[#This Row],[تاریخ]],TDays[],7,FALSE)</f>
        <v>دوشنبه</v>
      </c>
      <c r="D409" s="21" t="s">
        <v>741</v>
      </c>
      <c r="E409" s="1">
        <v>-1830</v>
      </c>
      <c r="F409" s="1">
        <f>TArticle[[#This Row],[مبلغ]]+IFERROR(INT(F408),30181+3667+958)</f>
        <v>106049</v>
      </c>
      <c r="G409" s="49" t="s">
        <v>1591</v>
      </c>
      <c r="H409" s="21">
        <v>28</v>
      </c>
      <c r="K409" s="21">
        <v>2</v>
      </c>
      <c r="L409" s="171" t="str">
        <f>IF(TArticle[[#This Row],[کد وضعیت سند]]&gt;0,VLOOKUP(TArticle[[#This Row],[کد وضعیت سند]],TDocState[],2,FALSE),"")</f>
        <v>قطعی</v>
      </c>
      <c r="M409" s="27">
        <v>111</v>
      </c>
      <c r="N409" s="171" t="str">
        <f>IF(TArticle[[#This Row],[کد طرف حساب]]&gt;0,VLOOKUP(TArticle[[#This Row],[کد طرف حساب]],TContact[],2,FALSE),"")</f>
        <v>وام ملت ف</v>
      </c>
      <c r="O409" s="61">
        <f>IF(TArticle[[#This Row],[کد طرف حساب]]&gt;0,VLOOKUP(TArticle[[#This Row],[کد طرف حساب]],TContact[],7,FALSE)-SUMIF($M$2:M409,M409,$E$2:$E409),"")</f>
        <v>-13400</v>
      </c>
      <c r="P409" s="27" t="str">
        <f>RIGHT(TArticle[[#This Row],[تاریخ]],2)</f>
        <v>03</v>
      </c>
      <c r="Q409" s="27">
        <f>VLOOKUP(TArticle[[#This Row],[تاریخ]],TDays[],16,FALSE)</f>
        <v>28</v>
      </c>
      <c r="R409" s="27" t="str">
        <f>RIGHT(LEFT(TArticle[[#This Row],[تاریخ]],7),2)</f>
        <v>07</v>
      </c>
      <c r="S409" s="27" t="str">
        <f>LEFT(TArticle[[#This Row],[تاریخ]],4)</f>
        <v>1402</v>
      </c>
      <c r="U409" s="21">
        <f>VLOOKUP(TArticle[[#This Row],[شناسه]],TAccount[],7,TRUE)</f>
        <v>81652</v>
      </c>
      <c r="V409" s="21" t="s">
        <v>741</v>
      </c>
      <c r="W409" s="21">
        <f>IF(AND(TArticle[[#This Row],[مبلغ]]&gt;0, TArticle[[#This Row],[کد وضعیت سند]]=1),TArticle[[#This Row],[مبلغ]],0)</f>
        <v>0</v>
      </c>
      <c r="X409" s="27">
        <f>IF(AND(TArticle[[#This Row],[مبلغ]]&lt;0,TArticle[[#This Row],[کد وضعیت سند]]=1),0-TArticle[[#This Row],[مبلغ]],0)</f>
        <v>0</v>
      </c>
      <c r="Y409" s="27">
        <v>2</v>
      </c>
      <c r="Z409" s="171" t="str">
        <f>IF(TArticle[[#This Row],[کد بانک]]&gt;0,VLOOKUP(TArticle[[#This Row],[کد بانک]],TBank[],2,FALSE),"")</f>
        <v>ملی جاری</v>
      </c>
      <c r="AA409">
        <f>IF(AND(TArticle[[#This Row],[مبلغ]]&lt;0,TArticle[[#This Row],[کد وضعیت سند]]=1),0-TArticle[[#This Row],[مبلغ]],0)</f>
        <v>0</v>
      </c>
      <c r="AB409">
        <f>IF(AND(TArticle[[#This Row],[مبلغ]]&gt;0, TArticle[[#This Row],[کد وضعیت سند]]=1),TArticle[[#This Row],[مبلغ]],0)</f>
        <v>0</v>
      </c>
      <c r="AC409" s="84">
        <f>IF(TArticle[[#This Row],[کد بانک]]&gt;0,VLOOKUP(TArticle[[#This Row],[کد بانک]],TBank[],9,FALSE)+SUMIF($Y$2:Y409,Y409,$E$2:$E409),"")</f>
        <v>122201</v>
      </c>
      <c r="AD409" s="1">
        <f>IFERROR(IF(INT(LEFT(TArticle[[#This Row],[شناسه]]))=3,IF(TArticle[[#This Row],[کد وضعیت سند]]=1,TArticle[مبلغ],0),0),0)</f>
        <v>0</v>
      </c>
      <c r="AE409" s="1">
        <f>IFERROR(IF(((TArticle[[#This Row],[شناسه]]))="4.1.1",IF(TArticle[[#This Row],[کد وضعیت سند]]=1,TArticle[مبلغ],0),0),0)</f>
        <v>0</v>
      </c>
      <c r="AF409" s="1">
        <f>IFERROR(IF(((TArticle[[#This Row],[شناسه]]))="4.1.2",IF(TArticle[[#This Row],[کد وضعیت سند]]=1,TArticle[مبلغ],0),0),0)</f>
        <v>0</v>
      </c>
      <c r="AG409" s="1">
        <f>IFERROR(IF(INT(LEFT(TArticle[[#This Row],[شناسه]]))=1,IF(TArticle[[#This Row],[کد وضعیت سند]]=1,TArticle[مبلغ],0),0),0)</f>
        <v>0</v>
      </c>
      <c r="AH409" s="1">
        <f>IFERROR(IF(INT(LEFT(TArticle[[#This Row],[شناسه]]))=2,IF(TArticle[[#This Row],[کد وضعیت سند]]=1,TArticle[مبلغ],0),0),0)</f>
        <v>0</v>
      </c>
      <c r="AI409" s="1">
        <f>IFERROR(IF((LEFT(TArticle[[#This Row],[شناسه]],3))="5.2",IF(TArticle[[#This Row],[کد وضعیت سند]]=1,TArticle[مبلغ],0),0),0)</f>
        <v>0</v>
      </c>
      <c r="AJ409" s="1">
        <f>IF(TArticle[[#This Row],[کد وضعیت سند]]=1,1,0)</f>
        <v>0</v>
      </c>
      <c r="AK409" s="1">
        <f>IF(AND(TArticle[[#This Row],[کد وضعیت سند]]&lt;&gt;1,TArticle[[#This Row],[مبلغ]]&lt;&gt;0),1,0)</f>
        <v>1</v>
      </c>
      <c r="AL409" s="51">
        <f>IF(TArticle[[#This Row],[کد بانک]]&gt;0,TArticle[[#This Row],[مانده بانک]]-VLOOKUP(TArticle[[#This Row],[کد بانک]],TBank[],7,FALSE),"")</f>
        <v>122201</v>
      </c>
      <c r="AM409" s="49" t="str">
        <f>LEFT(TArticle[[#This Row],[تاریخ]],7)</f>
        <v>1402-07</v>
      </c>
    </row>
    <row r="410" spans="1:39" x14ac:dyDescent="0.25">
      <c r="A410" s="24" t="s">
        <v>1110</v>
      </c>
      <c r="B410" s="49" t="str">
        <f>VLOOKUP(TArticle[[#This Row],[شناسه]],TAccount[],2,TRUE)</f>
        <v>قسط وام بانکی</v>
      </c>
      <c r="C410" s="49" t="str">
        <f>VLOOKUP(TArticle[[#This Row],[تاریخ]],TDays[],7,FALSE)</f>
        <v>سه شنبه</v>
      </c>
      <c r="D410" s="21" t="s">
        <v>742</v>
      </c>
      <c r="E410" s="1">
        <v>-532</v>
      </c>
      <c r="F410" s="1">
        <f>TArticle[[#This Row],[مبلغ]]+IFERROR(INT(F409),30181+3667+958)</f>
        <v>105517</v>
      </c>
      <c r="G410" s="49"/>
      <c r="H410" s="21">
        <v>7</v>
      </c>
      <c r="K410" s="64">
        <v>2</v>
      </c>
      <c r="L410" s="171" t="str">
        <f>IF(TArticle[[#This Row],[کد وضعیت سند]]&gt;0,VLOOKUP(TArticle[[#This Row],[کد وضعیت سند]],TDocState[],2,FALSE),"")</f>
        <v>قطعی</v>
      </c>
      <c r="M410" s="67">
        <v>116</v>
      </c>
      <c r="N410" s="171" t="str">
        <f>IF(TArticle[[#This Row],[کد طرف حساب]]&gt;0,VLOOKUP(TArticle[[#This Row],[کد طرف حساب]],TContact[],2,FALSE),"")</f>
        <v>وام امتیازی مهر</v>
      </c>
      <c r="O410" s="61">
        <f>IF(TArticle[[#This Row],[کد طرف حساب]]&gt;0,VLOOKUP(TArticle[[#This Row],[کد طرف حساب]],TContact[],7,FALSE)-SUMIF($M$2:M410,M410,$E$2:$E410),"")</f>
        <v>-8508</v>
      </c>
      <c r="P410" s="27" t="str">
        <f>RIGHT(TArticle[[#This Row],[تاریخ]],2)</f>
        <v>04</v>
      </c>
      <c r="Q410" s="27">
        <f>VLOOKUP(TArticle[[#This Row],[تاریخ]],TDays[],16,FALSE)</f>
        <v>28</v>
      </c>
      <c r="R410" s="27" t="str">
        <f>RIGHT(LEFT(TArticle[[#This Row],[تاریخ]],7),2)</f>
        <v>07</v>
      </c>
      <c r="S410" s="27" t="str">
        <f>LEFT(TArticle[[#This Row],[تاریخ]],4)</f>
        <v>1402</v>
      </c>
      <c r="U410" s="21">
        <f>VLOOKUP(TArticle[[#This Row],[شناسه]],TAccount[],7,TRUE)</f>
        <v>81652</v>
      </c>
      <c r="W410" s="21">
        <f>IF(AND(TArticle[[#This Row],[مبلغ]]&gt;0, TArticle[[#This Row],[کد وضعیت سند]]=1),TArticle[[#This Row],[مبلغ]],0)</f>
        <v>0</v>
      </c>
      <c r="X410" s="27">
        <f>IF(AND(TArticle[[#This Row],[مبلغ]]&lt;0,TArticle[[#This Row],[کد وضعیت سند]]=1),0-TArticle[[#This Row],[مبلغ]],0)</f>
        <v>0</v>
      </c>
      <c r="Y410" s="27">
        <v>2</v>
      </c>
      <c r="Z410" s="171" t="str">
        <f>IF(TArticle[[#This Row],[کد بانک]]&gt;0,VLOOKUP(TArticle[[#This Row],[کد بانک]],TBank[],2,FALSE),"")</f>
        <v>ملی جاری</v>
      </c>
      <c r="AA410">
        <f>IF(AND(TArticle[[#This Row],[مبلغ]]&lt;0,TArticle[[#This Row],[کد وضعیت سند]]=1),0-TArticle[[#This Row],[مبلغ]],0)</f>
        <v>0</v>
      </c>
      <c r="AB410">
        <f>IF(AND(TArticle[[#This Row],[مبلغ]]&gt;0, TArticle[[#This Row],[کد وضعیت سند]]=1),TArticle[[#This Row],[مبلغ]],0)</f>
        <v>0</v>
      </c>
      <c r="AC410" s="84">
        <f>IF(TArticle[[#This Row],[کد بانک]]&gt;0,VLOOKUP(TArticle[[#This Row],[کد بانک]],TBank[],9,FALSE)+SUMIF($Y$2:Y410,Y410,$E$2:$E410),"")</f>
        <v>121669</v>
      </c>
      <c r="AD410" s="1">
        <f>IFERROR(IF(INT(LEFT(TArticle[[#This Row],[شناسه]]))=3,IF(TArticle[[#This Row],[کد وضعیت سند]]=1,TArticle[مبلغ],0),0),0)</f>
        <v>0</v>
      </c>
      <c r="AE410" s="1">
        <f>IFERROR(IF(((TArticle[[#This Row],[شناسه]]))="4.1.1",IF(TArticle[[#This Row],[کد وضعیت سند]]=1,TArticle[مبلغ],0),0),0)</f>
        <v>0</v>
      </c>
      <c r="AF410" s="1">
        <f>IFERROR(IF(((TArticle[[#This Row],[شناسه]]))="4.1.2",IF(TArticle[[#This Row],[کد وضعیت سند]]=1,TArticle[مبلغ],0),0),0)</f>
        <v>0</v>
      </c>
      <c r="AG410" s="1">
        <f>IFERROR(IF(INT(LEFT(TArticle[[#This Row],[شناسه]]))=1,IF(TArticle[[#This Row],[کد وضعیت سند]]=1,TArticle[مبلغ],0),0),0)</f>
        <v>0</v>
      </c>
      <c r="AH410" s="1">
        <f>IFERROR(IF(INT(LEFT(TArticle[[#This Row],[شناسه]]))=2,IF(TArticle[[#This Row],[کد وضعیت سند]]=1,TArticle[مبلغ],0),0),0)</f>
        <v>0</v>
      </c>
      <c r="AI410" s="1">
        <f>IFERROR(IF((LEFT(TArticle[[#This Row],[شناسه]],3))="5.2",IF(TArticle[[#This Row],[کد وضعیت سند]]=1,TArticle[مبلغ],0),0),0)</f>
        <v>0</v>
      </c>
      <c r="AJ410" s="1">
        <f>IF(TArticle[[#This Row],[کد وضعیت سند]]=1,1,0)</f>
        <v>0</v>
      </c>
      <c r="AK410" s="1">
        <f>IF(AND(TArticle[[#This Row],[کد وضعیت سند]]&lt;&gt;1,TArticle[[#This Row],[مبلغ]]&lt;&gt;0),1,0)</f>
        <v>1</v>
      </c>
      <c r="AL410" s="51">
        <f>IF(TArticle[[#This Row],[کد بانک]]&gt;0,TArticle[[#This Row],[مانده بانک]]-VLOOKUP(TArticle[[#This Row],[کد بانک]],TBank[],7,FALSE),"")</f>
        <v>121669</v>
      </c>
      <c r="AM410" s="58" t="str">
        <f>LEFT(TArticle[[#This Row],[تاریخ]],7)</f>
        <v>1402-07</v>
      </c>
    </row>
    <row r="411" spans="1:39" x14ac:dyDescent="0.25">
      <c r="A411" s="24" t="s">
        <v>1110</v>
      </c>
      <c r="B411" s="49" t="str">
        <f>VLOOKUP(TArticle[[#This Row],[شناسه]],TAccount[],2,TRUE)</f>
        <v>قسط وام بانکی</v>
      </c>
      <c r="C411" s="49" t="str">
        <f>VLOOKUP(TArticle[[#This Row],[تاریخ]],TDays[],7,FALSE)</f>
        <v>یکشنبه</v>
      </c>
      <c r="D411" s="21" t="s">
        <v>747</v>
      </c>
      <c r="E411" s="1">
        <f>'طرف حساب'!$J$29</f>
        <v>-3616</v>
      </c>
      <c r="F411" s="1">
        <f>TArticle[[#This Row],[مبلغ]]+IFERROR(INT(F410),30181+3667+958)</f>
        <v>101901</v>
      </c>
      <c r="G411" s="49"/>
      <c r="H411" s="21">
        <v>8</v>
      </c>
      <c r="K411" s="64">
        <v>2</v>
      </c>
      <c r="L411" s="171" t="str">
        <f>IF(TArticle[[#This Row],[کد وضعیت سند]]&gt;0,VLOOKUP(TArticle[[#This Row],[کد وضعیت سند]],TDocState[],2,FALSE),"")</f>
        <v>قطعی</v>
      </c>
      <c r="M411" s="67">
        <v>114</v>
      </c>
      <c r="N411" s="171" t="str">
        <f>IF(TArticle[[#This Row],[کد طرف حساب]]&gt;0,VLOOKUP(TArticle[[#This Row],[کد طرف حساب]],TContact[],2,FALSE),"")</f>
        <v>وام کارت ملی ف</v>
      </c>
      <c r="O411" s="61">
        <f>IF(TArticle[[#This Row],[کد طرف حساب]]&gt;0,VLOOKUP(TArticle[[#This Row],[کد طرف حساب]],TContact[],7,FALSE)-SUMIF($M$2:M411,M411,$E$2:$E411),"")</f>
        <v>-102530</v>
      </c>
      <c r="P411" s="27" t="str">
        <f>RIGHT(TArticle[[#This Row],[تاریخ]],2)</f>
        <v>09</v>
      </c>
      <c r="Q411" s="27">
        <f>VLOOKUP(TArticle[[#This Row],[تاریخ]],TDays[],16,FALSE)</f>
        <v>29</v>
      </c>
      <c r="R411" s="27" t="str">
        <f>RIGHT(LEFT(TArticle[[#This Row],[تاریخ]],7),2)</f>
        <v>07</v>
      </c>
      <c r="S411" s="27" t="str">
        <f>LEFT(TArticle[[#This Row],[تاریخ]],4)</f>
        <v>1402</v>
      </c>
      <c r="U411" s="21">
        <f>VLOOKUP(TArticle[[#This Row],[شناسه]],TAccount[],7,TRUE)</f>
        <v>81652</v>
      </c>
      <c r="W411" s="21">
        <f>IF(AND(TArticle[[#This Row],[مبلغ]]&gt;0, TArticle[[#This Row],[کد وضعیت سند]]=1),TArticle[[#This Row],[مبلغ]],0)</f>
        <v>0</v>
      </c>
      <c r="X411" s="27">
        <f>IF(AND(TArticle[[#This Row],[مبلغ]]&lt;0,TArticle[[#This Row],[کد وضعیت سند]]=1),0-TArticle[[#This Row],[مبلغ]],0)</f>
        <v>0</v>
      </c>
      <c r="Y411" s="27">
        <v>2</v>
      </c>
      <c r="Z411" s="171" t="str">
        <f>IF(TArticle[[#This Row],[کد بانک]]&gt;0,VLOOKUP(TArticle[[#This Row],[کد بانک]],TBank[],2,FALSE),"")</f>
        <v>ملی جاری</v>
      </c>
      <c r="AA411">
        <f>IF(AND(TArticle[[#This Row],[مبلغ]]&lt;0,TArticle[[#This Row],[کد وضعیت سند]]=1),0-TArticle[[#This Row],[مبلغ]],0)</f>
        <v>0</v>
      </c>
      <c r="AB411">
        <f>IF(AND(TArticle[[#This Row],[مبلغ]]&gt;0, TArticle[[#This Row],[کد وضعیت سند]]=1),TArticle[[#This Row],[مبلغ]],0)</f>
        <v>0</v>
      </c>
      <c r="AC411" s="84">
        <f>IF(TArticle[[#This Row],[کد بانک]]&gt;0,VLOOKUP(TArticle[[#This Row],[کد بانک]],TBank[],9,FALSE)+SUMIF($Y$2:Y411,Y411,$E$2:$E411),"")</f>
        <v>118053</v>
      </c>
      <c r="AD411" s="1">
        <f>IFERROR(IF(INT(LEFT(TArticle[[#This Row],[شناسه]]))=3,IF(TArticle[[#This Row],[کد وضعیت سند]]=1,TArticle[مبلغ],0),0),0)</f>
        <v>0</v>
      </c>
      <c r="AE411" s="1">
        <f>IFERROR(IF(((TArticle[[#This Row],[شناسه]]))="4.1.1",IF(TArticle[[#This Row],[کد وضعیت سند]]=1,TArticle[مبلغ],0),0),0)</f>
        <v>0</v>
      </c>
      <c r="AF411" s="1">
        <f>IFERROR(IF(((TArticle[[#This Row],[شناسه]]))="4.1.2",IF(TArticle[[#This Row],[کد وضعیت سند]]=1,TArticle[مبلغ],0),0),0)</f>
        <v>0</v>
      </c>
      <c r="AG411" s="1">
        <f>IFERROR(IF(INT(LEFT(TArticle[[#This Row],[شناسه]]))=1,IF(TArticle[[#This Row],[کد وضعیت سند]]=1,TArticle[مبلغ],0),0),0)</f>
        <v>0</v>
      </c>
      <c r="AH411" s="1">
        <f>IFERROR(IF(INT(LEFT(TArticle[[#This Row],[شناسه]]))=2,IF(TArticle[[#This Row],[کد وضعیت سند]]=1,TArticle[مبلغ],0),0),0)</f>
        <v>0</v>
      </c>
      <c r="AI411" s="1">
        <f>IFERROR(IF((LEFT(TArticle[[#This Row],[شناسه]],3))="5.2",IF(TArticle[[#This Row],[کد وضعیت سند]]=1,TArticle[مبلغ],0),0),0)</f>
        <v>0</v>
      </c>
      <c r="AJ411" s="1">
        <f>IF(TArticle[[#This Row],[کد وضعیت سند]]=1,1,0)</f>
        <v>0</v>
      </c>
      <c r="AK411" s="1">
        <f>IF(AND(TArticle[[#This Row],[کد وضعیت سند]]&lt;&gt;1,TArticle[[#This Row],[مبلغ]]&lt;&gt;0),1,0)</f>
        <v>1</v>
      </c>
      <c r="AL411" s="51">
        <f>IF(TArticle[[#This Row],[کد بانک]]&gt;0,TArticle[[#This Row],[مانده بانک]]-VLOOKUP(TArticle[[#This Row],[کد بانک]],TBank[],7,FALSE),"")</f>
        <v>118053</v>
      </c>
      <c r="AM411" s="58" t="str">
        <f>LEFT(TArticle[[#This Row],[تاریخ]],7)</f>
        <v>1402-07</v>
      </c>
    </row>
    <row r="412" spans="1:39" x14ac:dyDescent="0.25">
      <c r="A412" s="13" t="s">
        <v>78</v>
      </c>
      <c r="B412" s="49" t="str">
        <f>VLOOKUP(TArticle[[#This Row],[شناسه]],TAccount[],2,TRUE)</f>
        <v>چک</v>
      </c>
      <c r="C412" s="49" t="str">
        <f>VLOOKUP(TArticle[[#This Row],[تاریخ]],TDays[],7,FALSE)</f>
        <v>دوشنبه</v>
      </c>
      <c r="D412" s="21" t="s">
        <v>755</v>
      </c>
      <c r="E412" s="1">
        <v>-4250</v>
      </c>
      <c r="F412" s="1">
        <f>TArticle[[#This Row],[مبلغ]]+IFERROR(INT(F411),30181+3667+958)</f>
        <v>97651</v>
      </c>
      <c r="G412" s="167">
        <v>290884</v>
      </c>
      <c r="H412" s="64">
        <v>7</v>
      </c>
      <c r="J412" s="65"/>
      <c r="K412" s="64">
        <v>2</v>
      </c>
      <c r="L412" s="171" t="str">
        <f>IF(TArticle[[#This Row],[کد وضعیت سند]]&gt;0,VLOOKUP(TArticle[[#This Row],[کد وضعیت سند]],TDocState[],2,FALSE),"")</f>
        <v>قطعی</v>
      </c>
      <c r="M412" s="27">
        <v>117</v>
      </c>
      <c r="N412" s="171" t="str">
        <f>IF(TArticle[[#This Row],[کد طرف حساب]]&gt;0,VLOOKUP(TArticle[[#This Row],[کد طرف حساب]],TContact[],2,FALSE),"")</f>
        <v>وام سرویس خواب</v>
      </c>
      <c r="O412" s="68">
        <f>IF(TArticle[[#This Row],[کد طرف حساب]]&gt;0,VLOOKUP(TArticle[[#This Row],[کد طرف حساب]],TContact[],7,FALSE)-SUMIF($M$2:M412,M412,$E$2:$E412),"")</f>
        <v>-21250</v>
      </c>
      <c r="P412" s="67" t="str">
        <f>RIGHT(TArticle[[#This Row],[تاریخ]],2)</f>
        <v>17</v>
      </c>
      <c r="Q412" s="67">
        <f>VLOOKUP(TArticle[[#This Row],[تاریخ]],TDays[],16,FALSE)</f>
        <v>30</v>
      </c>
      <c r="R412" s="67" t="str">
        <f>RIGHT(LEFT(TArticle[[#This Row],[تاریخ]],7),2)</f>
        <v>07</v>
      </c>
      <c r="S412" s="67" t="str">
        <f>LEFT(TArticle[[#This Row],[تاریخ]],4)</f>
        <v>1402</v>
      </c>
      <c r="T412" s="64"/>
      <c r="U412" s="64">
        <f>VLOOKUP(TArticle[[#This Row],[شناسه]],TAccount[],7,TRUE)</f>
        <v>57000</v>
      </c>
      <c r="V412" s="64"/>
      <c r="W412" s="64">
        <f>IF(AND(TArticle[[#This Row],[مبلغ]]&gt;0, TArticle[[#This Row],[کد وضعیت سند]]=1),TArticle[[#This Row],[مبلغ]],0)</f>
        <v>0</v>
      </c>
      <c r="X412" s="67">
        <f>IF(AND(TArticle[[#This Row],[مبلغ]]&lt;0,TArticle[[#This Row],[کد وضعیت سند]]=1),0-TArticle[[#This Row],[مبلغ]],0)</f>
        <v>0</v>
      </c>
      <c r="Y412" s="27">
        <v>4</v>
      </c>
      <c r="Z412" s="171" t="str">
        <f>IF(TArticle[[#This Row],[کد بانک]]&gt;0,VLOOKUP(TArticle[[#This Row],[کد بانک]],TBank[],2,FALSE),"")</f>
        <v>سپه</v>
      </c>
      <c r="AA412">
        <f>IF(AND(TArticle[[#This Row],[مبلغ]]&lt;0,TArticle[[#This Row],[کد وضعیت سند]]=1),0-TArticle[[#This Row],[مبلغ]],0)</f>
        <v>0</v>
      </c>
      <c r="AB412">
        <f>IF(AND(TArticle[[#This Row],[مبلغ]]&gt;0, TArticle[[#This Row],[کد وضعیت سند]]=1),TArticle[[#This Row],[مبلغ]],0)</f>
        <v>0</v>
      </c>
      <c r="AC412" s="93">
        <f>IF(TArticle[[#This Row],[کد بانک]]&gt;0,VLOOKUP(TArticle[[#This Row],[کد بانک]],TBank[],9,FALSE)+SUMIF($Y$2:Y412,Y412,$E$2:$E412),"")</f>
        <v>-25498</v>
      </c>
      <c r="AD412" s="1">
        <f>IFERROR(IF(INT(LEFT(TArticle[[#This Row],[شناسه]]))=3,IF(TArticle[[#This Row],[کد وضعیت سند]]=1,TArticle[مبلغ],0),0),0)</f>
        <v>0</v>
      </c>
      <c r="AE412" s="1">
        <f>IFERROR(IF(((TArticle[[#This Row],[شناسه]]))="4.1.1",IF(TArticle[[#This Row],[کد وضعیت سند]]=1,TArticle[مبلغ],0),0),0)</f>
        <v>0</v>
      </c>
      <c r="AF412" s="1">
        <f>IFERROR(IF(((TArticle[[#This Row],[شناسه]]))="4.1.2",IF(TArticle[[#This Row],[کد وضعیت سند]]=1,TArticle[مبلغ],0),0),0)</f>
        <v>0</v>
      </c>
      <c r="AG412" s="1">
        <f>IFERROR(IF(INT(LEFT(TArticle[[#This Row],[شناسه]]))=1,IF(TArticle[[#This Row],[کد وضعیت سند]]=1,TArticle[مبلغ],0),0),0)</f>
        <v>0</v>
      </c>
      <c r="AH412" s="1">
        <f>IFERROR(IF(INT(LEFT(TArticle[[#This Row],[شناسه]]))=2,IF(TArticle[[#This Row],[کد وضعیت سند]]=1,TArticle[مبلغ],0),0),0)</f>
        <v>0</v>
      </c>
      <c r="AI412" s="1">
        <f>IFERROR(IF((LEFT(TArticle[[#This Row],[شناسه]],3))="5.2",IF(TArticle[[#This Row],[کد وضعیت سند]]=1,TArticle[مبلغ],0),0),0)</f>
        <v>0</v>
      </c>
      <c r="AJ412" s="1">
        <f>IF(TArticle[[#This Row],[کد وضعیت سند]]=1,1,0)</f>
        <v>0</v>
      </c>
      <c r="AK412" s="1">
        <f>IF(AND(TArticle[[#This Row],[کد وضعیت سند]]&lt;&gt;1,TArticle[[#This Row],[مبلغ]]&lt;&gt;0),1,0)</f>
        <v>1</v>
      </c>
      <c r="AL412" s="78">
        <f>IF(TArticle[[#This Row],[کد بانک]]&gt;0,TArticle[[#This Row],[مانده بانک]]-VLOOKUP(TArticle[[#This Row],[کد بانک]],TBank[],7,FALSE),"")</f>
        <v>-25500</v>
      </c>
      <c r="AM412" s="69" t="str">
        <f>LEFT(TArticle[[#This Row],[تاریخ]],7)</f>
        <v>1402-07</v>
      </c>
    </row>
    <row r="413" spans="1:39" x14ac:dyDescent="0.25">
      <c r="A413" s="24" t="s">
        <v>1013</v>
      </c>
      <c r="B413" s="49" t="str">
        <f>VLOOKUP(TArticle[[#This Row],[شناسه]],TAccount[],2,TRUE)</f>
        <v>یارانه</v>
      </c>
      <c r="C413" s="49" t="str">
        <f>VLOOKUP(TArticle[[#This Row],[تاریخ]],TDays[],7,FALSE)</f>
        <v>پنجشنبه</v>
      </c>
      <c r="D413" s="21" t="s">
        <v>758</v>
      </c>
      <c r="E413" s="1">
        <v>1500</v>
      </c>
      <c r="F413" s="1">
        <f>TArticle[[#This Row],[مبلغ]]+IFERROR(INT(F412),30181+3667+958)</f>
        <v>99151</v>
      </c>
      <c r="G413" s="49"/>
      <c r="H413" s="64"/>
      <c r="J413" s="65"/>
      <c r="K413" s="64">
        <v>2</v>
      </c>
      <c r="L413" s="171" t="str">
        <f>IF(TArticle[[#This Row],[کد وضعیت سند]]&gt;0,VLOOKUP(TArticle[[#This Row],[کد وضعیت سند]],TDocState[],2,FALSE),"")</f>
        <v>قطعی</v>
      </c>
      <c r="M413" s="67"/>
      <c r="N413" s="171" t="str">
        <f>IF(TArticle[[#This Row],[کد طرف حساب]]&gt;0,VLOOKUP(TArticle[[#This Row],[کد طرف حساب]],TContact[],2,FALSE),"")</f>
        <v/>
      </c>
      <c r="O413" s="68" t="str">
        <f>IF(TArticle[[#This Row],[کد طرف حساب]]&gt;0,VLOOKUP(TArticle[[#This Row],[کد طرف حساب]],TContact[],7,FALSE)-SUMIF($M$2:M413,M413,$E$2:$E413),"")</f>
        <v/>
      </c>
      <c r="P413" s="67" t="str">
        <f>RIGHT(TArticle[[#This Row],[تاریخ]],2)</f>
        <v>20</v>
      </c>
      <c r="Q413" s="67">
        <f>VLOOKUP(TArticle[[#This Row],[تاریخ]],TDays[],16,FALSE)</f>
        <v>30</v>
      </c>
      <c r="R413" s="67" t="str">
        <f>RIGHT(LEFT(TArticle[[#This Row],[تاریخ]],7),2)</f>
        <v>07</v>
      </c>
      <c r="S413" s="67" t="str">
        <f>LEFT(TArticle[[#This Row],[تاریخ]],4)</f>
        <v>1402</v>
      </c>
      <c r="T413" s="64"/>
      <c r="U413" s="64">
        <f>VLOOKUP(TArticle[[#This Row],[شناسه]],TAccount[],7,TRUE)</f>
        <v>12565</v>
      </c>
      <c r="V413" s="64"/>
      <c r="W413" s="64">
        <f>IF(AND(TArticle[[#This Row],[مبلغ]]&gt;0, TArticle[[#This Row],[کد وضعیت سند]]=1),TArticle[[#This Row],[مبلغ]],0)</f>
        <v>0</v>
      </c>
      <c r="X413" s="67">
        <f>IF(AND(TArticle[[#This Row],[مبلغ]]&lt;0,TArticle[[#This Row],[کد وضعیت سند]]=1),0-TArticle[[#This Row],[مبلغ]],0)</f>
        <v>0</v>
      </c>
      <c r="Y413" s="27">
        <v>2</v>
      </c>
      <c r="Z413" s="171" t="str">
        <f>IF(TArticle[[#This Row],[کد بانک]]&gt;0,VLOOKUP(TArticle[[#This Row],[کد بانک]],TBank[],2,FALSE),"")</f>
        <v>ملی جاری</v>
      </c>
      <c r="AA413">
        <f>IF(AND(TArticle[[#This Row],[مبلغ]]&lt;0,TArticle[[#This Row],[کد وضعیت سند]]=1),0-TArticle[[#This Row],[مبلغ]],0)</f>
        <v>0</v>
      </c>
      <c r="AB413">
        <f>IF(AND(TArticle[[#This Row],[مبلغ]]&gt;0, TArticle[[#This Row],[کد وضعیت سند]]=1),TArticle[[#This Row],[مبلغ]],0)</f>
        <v>0</v>
      </c>
      <c r="AC413" s="93">
        <f>IF(TArticle[[#This Row],[کد بانک]]&gt;0,VLOOKUP(TArticle[[#This Row],[کد بانک]],TBank[],9,FALSE)+SUMIF($Y$2:Y413,Y413,$E$2:$E413),"")</f>
        <v>119553</v>
      </c>
      <c r="AD413" s="1">
        <f>IFERROR(IF(INT(LEFT(TArticle[[#This Row],[شناسه]]))=3,IF(TArticle[[#This Row],[کد وضعیت سند]]=1,TArticle[مبلغ],0),0),0)</f>
        <v>0</v>
      </c>
      <c r="AE413" s="1">
        <f>IFERROR(IF(((TArticle[[#This Row],[شناسه]]))="4.1.1",IF(TArticle[[#This Row],[کد وضعیت سند]]=1,TArticle[مبلغ],0),0),0)</f>
        <v>0</v>
      </c>
      <c r="AF413" s="1">
        <f>IFERROR(IF(((TArticle[[#This Row],[شناسه]]))="4.1.2",IF(TArticle[[#This Row],[کد وضعیت سند]]=1,TArticle[مبلغ],0),0),0)</f>
        <v>0</v>
      </c>
      <c r="AG413" s="1">
        <f>IFERROR(IF(INT(LEFT(TArticle[[#This Row],[شناسه]]))=1,IF(TArticle[[#This Row],[کد وضعیت سند]]=1,TArticle[مبلغ],0),0),0)</f>
        <v>0</v>
      </c>
      <c r="AH413" s="1">
        <f>IFERROR(IF(INT(LEFT(TArticle[[#This Row],[شناسه]]))=2,IF(TArticle[[#This Row],[کد وضعیت سند]]=1,TArticle[مبلغ],0),0),0)</f>
        <v>0</v>
      </c>
      <c r="AI413" s="1">
        <f>IFERROR(IF((LEFT(TArticle[[#This Row],[شناسه]],3))="5.2",IF(TArticle[[#This Row],[کد وضعیت سند]]=1,TArticle[مبلغ],0),0),0)</f>
        <v>0</v>
      </c>
      <c r="AJ413" s="1">
        <f>IF(TArticle[[#This Row],[کد وضعیت سند]]=1,1,0)</f>
        <v>0</v>
      </c>
      <c r="AK413" s="1">
        <f>IF(AND(TArticle[[#This Row],[کد وضعیت سند]]&lt;&gt;1,TArticle[[#This Row],[مبلغ]]&lt;&gt;0),1,0)</f>
        <v>1</v>
      </c>
      <c r="AL413" s="78">
        <f>IF(TArticle[[#This Row],[کد بانک]]&gt;0,TArticle[[#This Row],[مانده بانک]]-VLOOKUP(TArticle[[#This Row],[کد بانک]],TBank[],7,FALSE),"")</f>
        <v>119553</v>
      </c>
      <c r="AM413" s="69" t="str">
        <f>LEFT(TArticle[[#This Row],[تاریخ]],7)</f>
        <v>1402-07</v>
      </c>
    </row>
    <row r="414" spans="1:39" x14ac:dyDescent="0.25">
      <c r="A414" s="24" t="s">
        <v>1110</v>
      </c>
      <c r="B414" s="49" t="str">
        <f>VLOOKUP(TArticle[[#This Row],[شناسه]],TAccount[],2,TRUE)</f>
        <v>قسط وام بانکی</v>
      </c>
      <c r="C414" s="49" t="str">
        <f>VLOOKUP(TArticle[[#This Row],[تاریخ]],TDays[],7,FALSE)</f>
        <v>جمعه</v>
      </c>
      <c r="D414" s="21" t="s">
        <v>766</v>
      </c>
      <c r="E414" s="1">
        <v>-1808</v>
      </c>
      <c r="F414" s="1">
        <f>TArticle[[#This Row],[مبلغ]]+IFERROR(INT(F413),30181+3667+958)</f>
        <v>97343</v>
      </c>
      <c r="G414" s="49" t="s">
        <v>1597</v>
      </c>
      <c r="H414" s="21">
        <v>24</v>
      </c>
      <c r="K414" s="21">
        <v>2</v>
      </c>
      <c r="L414" s="171" t="str">
        <f>IF(TArticle[[#This Row],[کد وضعیت سند]]&gt;0,VLOOKUP(TArticle[[#This Row],[کد وضعیت سند]],TDocState[],2,FALSE),"")</f>
        <v>قطعی</v>
      </c>
      <c r="M414" s="67">
        <v>112</v>
      </c>
      <c r="N414" s="171" t="str">
        <f>IF(TArticle[[#This Row],[کد طرف حساب]]&gt;0,VLOOKUP(TArticle[[#This Row],[کد طرف حساب]],TContact[],2,FALSE),"")</f>
        <v>وام ملی</v>
      </c>
      <c r="O414" s="51">
        <f>IF(TArticle[[#This Row],[کد طرف حساب]]&gt;0,VLOOKUP(TArticle[[#This Row],[کد طرف حساب]],TContact[],7,FALSE)-SUMIF($M$2:M414,M414,$E$2:$E414),"")</f>
        <v>-19264</v>
      </c>
      <c r="P414" s="27" t="str">
        <f>RIGHT(TArticle[[#This Row],[تاریخ]],2)</f>
        <v>28</v>
      </c>
      <c r="Q414" s="27">
        <f>VLOOKUP(TArticle[[#This Row],[تاریخ]],TDays[],16,FALSE)</f>
        <v>31</v>
      </c>
      <c r="R414" s="27" t="str">
        <f>RIGHT(LEFT(TArticle[[#This Row],[تاریخ]],7),2)</f>
        <v>07</v>
      </c>
      <c r="S414" s="27" t="str">
        <f>LEFT(TArticle[[#This Row],[تاریخ]],4)</f>
        <v>1402</v>
      </c>
      <c r="U414" s="21">
        <f>VLOOKUP(TArticle[[#This Row],[شناسه]],TAccount[],7,TRUE)</f>
        <v>81652</v>
      </c>
      <c r="V414" s="21" t="s">
        <v>766</v>
      </c>
      <c r="W414" s="21">
        <f>IF(AND(TArticle[[#This Row],[مبلغ]]&gt;0, TArticle[[#This Row],[کد وضعیت سند]]=1),TArticle[[#This Row],[مبلغ]],0)</f>
        <v>0</v>
      </c>
      <c r="X414" s="27">
        <f>IF(AND(TArticle[[#This Row],[مبلغ]]&lt;0,TArticle[[#This Row],[کد وضعیت سند]]=1),0-TArticle[[#This Row],[مبلغ]],0)</f>
        <v>0</v>
      </c>
      <c r="Y414" s="67">
        <v>2</v>
      </c>
      <c r="Z414" s="171" t="str">
        <f>IF(TArticle[[#This Row],[کد بانک]]&gt;0,VLOOKUP(TArticle[[#This Row],[کد بانک]],TBank[],2,FALSE),"")</f>
        <v>ملی جاری</v>
      </c>
      <c r="AA414">
        <f>IF(AND(TArticle[[#This Row],[مبلغ]]&lt;0,TArticle[[#This Row],[کد وضعیت سند]]=1),0-TArticle[[#This Row],[مبلغ]],0)</f>
        <v>0</v>
      </c>
      <c r="AB414">
        <f>IF(AND(TArticle[[#This Row],[مبلغ]]&gt;0, TArticle[[#This Row],[کد وضعیت سند]]=1),TArticle[[#This Row],[مبلغ]],0)</f>
        <v>0</v>
      </c>
      <c r="AC414" s="84">
        <f>IF(TArticle[[#This Row],[کد بانک]]&gt;0,VLOOKUP(TArticle[[#This Row],[کد بانک]],TBank[],9,FALSE)+SUMIF($Y$2:Y414,Y414,$E$2:$E414),"")</f>
        <v>117745</v>
      </c>
      <c r="AD414" s="1">
        <f>IFERROR(IF(INT(LEFT(TArticle[[#This Row],[شناسه]]))=3,IF(TArticle[[#This Row],[کد وضعیت سند]]=1,TArticle[مبلغ],0),0),0)</f>
        <v>0</v>
      </c>
      <c r="AE414" s="1">
        <f>IFERROR(IF(((TArticle[[#This Row],[شناسه]]))="4.1.1",IF(TArticle[[#This Row],[کد وضعیت سند]]=1,TArticle[مبلغ],0),0),0)</f>
        <v>0</v>
      </c>
      <c r="AF414" s="1">
        <f>IFERROR(IF(((TArticle[[#This Row],[شناسه]]))="4.1.2",IF(TArticle[[#This Row],[کد وضعیت سند]]=1,TArticle[مبلغ],0),0),0)</f>
        <v>0</v>
      </c>
      <c r="AG414" s="1">
        <f>IFERROR(IF(INT(LEFT(TArticle[[#This Row],[شناسه]]))=1,IF(TArticle[[#This Row],[کد وضعیت سند]]=1,TArticle[مبلغ],0),0),0)</f>
        <v>0</v>
      </c>
      <c r="AH414" s="1">
        <f>IFERROR(IF(INT(LEFT(TArticle[[#This Row],[شناسه]]))=2,IF(TArticle[[#This Row],[کد وضعیت سند]]=1,TArticle[مبلغ],0),0),0)</f>
        <v>0</v>
      </c>
      <c r="AI414" s="1">
        <f>IFERROR(IF((LEFT(TArticle[[#This Row],[شناسه]],3))="5.2",IF(TArticle[[#This Row],[کد وضعیت سند]]=1,TArticle[مبلغ],0),0),0)</f>
        <v>0</v>
      </c>
      <c r="AJ414" s="1">
        <f>IF(TArticle[[#This Row],[کد وضعیت سند]]=1,1,0)</f>
        <v>0</v>
      </c>
      <c r="AK414" s="1">
        <f>IF(AND(TArticle[[#This Row],[کد وضعیت سند]]&lt;&gt;1,TArticle[[#This Row],[مبلغ]]&lt;&gt;0),1,0)</f>
        <v>1</v>
      </c>
      <c r="AL414" s="51">
        <f>IF(TArticle[[#This Row],[کد بانک]]&gt;0,TArticle[[#This Row],[مانده بانک]]-VLOOKUP(TArticle[[#This Row],[کد بانک]],TBank[],7,FALSE),"")</f>
        <v>117745</v>
      </c>
      <c r="AM414" s="49" t="str">
        <f>LEFT(TArticle[[#This Row],[تاریخ]],7)</f>
        <v>1402-07</v>
      </c>
    </row>
    <row r="415" spans="1:39" x14ac:dyDescent="0.25">
      <c r="A415" s="24"/>
      <c r="B415" s="49" t="str">
        <f>VLOOKUP(TArticle[[#This Row],[شناسه]],TAccount[],2,TRUE)</f>
        <v>---</v>
      </c>
      <c r="C415" s="49" t="str">
        <f>VLOOKUP(TArticle[[#This Row],[تاریخ]],TDays[],7,FALSE)</f>
        <v>یکشنبه</v>
      </c>
      <c r="D415" s="21" t="s">
        <v>768</v>
      </c>
      <c r="F415" s="1">
        <f>TArticle[[#This Row],[مبلغ]]+IFERROR(INT(F414),30181+3667+958)</f>
        <v>97343</v>
      </c>
      <c r="G415" s="49"/>
      <c r="L415" s="171" t="str">
        <f>IF(TArticle[[#This Row],[کد وضعیت سند]]&gt;0,VLOOKUP(TArticle[[#This Row],[کد وضعیت سند]],TDocState[],2,FALSE),"")</f>
        <v/>
      </c>
      <c r="N415" s="171" t="str">
        <f>IF(TArticle[[#This Row],[کد طرف حساب]]&gt;0,VLOOKUP(TArticle[[#This Row],[کد طرف حساب]],TContact[],2,FALSE),"")</f>
        <v/>
      </c>
      <c r="O415" s="51" t="str">
        <f>IF(TArticle[[#This Row],[کد طرف حساب]]&gt;0,VLOOKUP(TArticle[[#This Row],[کد طرف حساب]],TContact[],7,FALSE)-SUMIF($M$2:M415,M415,$E$2:$E415),"")</f>
        <v/>
      </c>
      <c r="P415" s="27" t="str">
        <f>RIGHT(TArticle[[#This Row],[تاریخ]],2)</f>
        <v>30</v>
      </c>
      <c r="Q415" s="27">
        <f>VLOOKUP(TArticle[[#This Row],[تاریخ]],TDays[],16,FALSE)</f>
        <v>32</v>
      </c>
      <c r="R415" s="27" t="str">
        <f>RIGHT(LEFT(TArticle[[#This Row],[تاریخ]],7),2)</f>
        <v>07</v>
      </c>
      <c r="S415" s="27" t="str">
        <f>LEFT(TArticle[[#This Row],[تاریخ]],4)</f>
        <v>1402</v>
      </c>
      <c r="U415" s="21">
        <f>VLOOKUP(TArticle[[#This Row],[شناسه]],TAccount[],7,TRUE)</f>
        <v>0</v>
      </c>
      <c r="W415" s="21">
        <f>IF(AND(TArticle[[#This Row],[مبلغ]]&gt;0, TArticle[[#This Row],[کد وضعیت سند]]=1),TArticle[[#This Row],[مبلغ]],0)</f>
        <v>0</v>
      </c>
      <c r="X415" s="27">
        <f>IF(AND(TArticle[[#This Row],[مبلغ]]&lt;0,TArticle[[#This Row],[کد وضعیت سند]]=1),0-TArticle[[#This Row],[مبلغ]],0)</f>
        <v>0</v>
      </c>
      <c r="Y415" s="67">
        <v>2</v>
      </c>
      <c r="Z415" s="171" t="str">
        <f>IF(TArticle[[#This Row],[کد بانک]]&gt;0,VLOOKUP(TArticle[[#This Row],[کد بانک]],TBank[],2,FALSE),"")</f>
        <v>ملی جاری</v>
      </c>
      <c r="AA415">
        <f>IF(AND(TArticle[[#This Row],[مبلغ]]&lt;0,TArticle[[#This Row],[کد وضعیت سند]]=1),0-TArticle[[#This Row],[مبلغ]],0)</f>
        <v>0</v>
      </c>
      <c r="AB415">
        <f>IF(AND(TArticle[[#This Row],[مبلغ]]&gt;0, TArticle[[#This Row],[کد وضعیت سند]]=1),TArticle[[#This Row],[مبلغ]],0)</f>
        <v>0</v>
      </c>
      <c r="AC415" s="84">
        <f>IF(TArticle[[#This Row],[کد بانک]]&gt;0,VLOOKUP(TArticle[[#This Row],[کد بانک]],TBank[],9,FALSE)+SUMIF($Y$2:Y415,Y415,$E$2:$E415),"")</f>
        <v>117745</v>
      </c>
      <c r="AD415" s="1">
        <f>IFERROR(IF(INT(LEFT(TArticle[[#This Row],[شناسه]]))=3,IF(TArticle[[#This Row],[کد وضعیت سند]]=1,TArticle[مبلغ],0),0),0)</f>
        <v>0</v>
      </c>
      <c r="AE415" s="1">
        <f>IFERROR(IF(((TArticle[[#This Row],[شناسه]]))="4.1.1",IF(TArticle[[#This Row],[کد وضعیت سند]]=1,TArticle[مبلغ],0),0),0)</f>
        <v>0</v>
      </c>
      <c r="AF415" s="1">
        <f>IFERROR(IF(((TArticle[[#This Row],[شناسه]]))="4.1.2",IF(TArticle[[#This Row],[کد وضعیت سند]]=1,TArticle[مبلغ],0),0),0)</f>
        <v>0</v>
      </c>
      <c r="AG415" s="1">
        <f>IFERROR(IF(INT(LEFT(TArticle[[#This Row],[شناسه]]))=1,IF(TArticle[[#This Row],[کد وضعیت سند]]=1,TArticle[مبلغ],0),0),0)</f>
        <v>0</v>
      </c>
      <c r="AH415" s="1">
        <f>IFERROR(IF(INT(LEFT(TArticle[[#This Row],[شناسه]]))=2,IF(TArticle[[#This Row],[کد وضعیت سند]]=1,TArticle[مبلغ],0),0),0)</f>
        <v>0</v>
      </c>
      <c r="AI415" s="1">
        <f>IFERROR(IF((LEFT(TArticle[[#This Row],[شناسه]],3))="5.2",IF(TArticle[[#This Row],[کد وضعیت سند]]=1,TArticle[مبلغ],0),0),0)</f>
        <v>0</v>
      </c>
      <c r="AJ415" s="1">
        <f>IF(TArticle[[#This Row],[کد وضعیت سند]]=1,1,0)</f>
        <v>0</v>
      </c>
      <c r="AK415" s="1">
        <f>IF(AND(TArticle[[#This Row],[کد وضعیت سند]]&lt;&gt;1,TArticle[[#This Row],[مبلغ]]&lt;&gt;0),1,0)</f>
        <v>0</v>
      </c>
      <c r="AL415" s="51">
        <f>IF(TArticle[[#This Row],[کد بانک]]&gt;0,TArticle[[#This Row],[مانده بانک]]-VLOOKUP(TArticle[[#This Row],[کد بانک]],TBank[],7,FALSE),"")</f>
        <v>117745</v>
      </c>
      <c r="AM415" s="49" t="str">
        <f>LEFT(TArticle[[#This Row],[تاریخ]],7)</f>
        <v>1402-07</v>
      </c>
    </row>
    <row r="416" spans="1:39" x14ac:dyDescent="0.25">
      <c r="A416" s="24"/>
      <c r="B416" s="49" t="str">
        <f>VLOOKUP(TArticle[[#This Row],[شناسه]],TAccount[],2,TRUE)</f>
        <v>---</v>
      </c>
      <c r="C416" s="49" t="str">
        <f>VLOOKUP(TArticle[[#This Row],[تاریخ]],TDays[],7,FALSE)</f>
        <v>یکشنبه</v>
      </c>
      <c r="D416" s="21" t="s">
        <v>768</v>
      </c>
      <c r="F416" s="1">
        <f>TArticle[[#This Row],[مبلغ]]+IFERROR(INT(F415),30181+3667+958)</f>
        <v>97343</v>
      </c>
      <c r="G416" s="49"/>
      <c r="L416" s="171" t="str">
        <f>IF(TArticle[[#This Row],[کد وضعیت سند]]&gt;0,VLOOKUP(TArticle[[#This Row],[کد وضعیت سند]],TDocState[],2,FALSE),"")</f>
        <v/>
      </c>
      <c r="N416" s="171" t="str">
        <f>IF(TArticle[[#This Row],[کد طرف حساب]]&gt;0,VLOOKUP(TArticle[[#This Row],[کد طرف حساب]],TContact[],2,FALSE),"")</f>
        <v/>
      </c>
      <c r="O416" s="51" t="str">
        <f>IF(TArticle[[#This Row],[کد طرف حساب]]&gt;0,VLOOKUP(TArticle[[#This Row],[کد طرف حساب]],TContact[],7,FALSE)-SUMIF($M$2:M416,M416,$E$2:$E416),"")</f>
        <v/>
      </c>
      <c r="P416" s="27" t="str">
        <f>RIGHT(TArticle[[#This Row],[تاریخ]],2)</f>
        <v>30</v>
      </c>
      <c r="Q416" s="27">
        <f>VLOOKUP(TArticle[[#This Row],[تاریخ]],TDays[],16,FALSE)</f>
        <v>32</v>
      </c>
      <c r="R416" s="27" t="str">
        <f>RIGHT(LEFT(TArticle[[#This Row],[تاریخ]],7),2)</f>
        <v>07</v>
      </c>
      <c r="S416" s="27" t="str">
        <f>LEFT(TArticle[[#This Row],[تاریخ]],4)</f>
        <v>1402</v>
      </c>
      <c r="U416" s="21">
        <f>VLOOKUP(TArticle[[#This Row],[شناسه]],TAccount[],7,TRUE)</f>
        <v>0</v>
      </c>
      <c r="W416" s="21">
        <f>IF(AND(TArticle[[#This Row],[مبلغ]]&gt;0, TArticle[[#This Row],[کد وضعیت سند]]=1),TArticle[[#This Row],[مبلغ]],0)</f>
        <v>0</v>
      </c>
      <c r="X416" s="27">
        <f>IF(AND(TArticle[[#This Row],[مبلغ]]&lt;0,TArticle[[#This Row],[کد وضعیت سند]]=1),0-TArticle[[#This Row],[مبلغ]],0)</f>
        <v>0</v>
      </c>
      <c r="Y416" s="67">
        <v>2</v>
      </c>
      <c r="Z416" s="171" t="str">
        <f>IF(TArticle[[#This Row],[کد بانک]]&gt;0,VLOOKUP(TArticle[[#This Row],[کد بانک]],TBank[],2,FALSE),"")</f>
        <v>ملی جاری</v>
      </c>
      <c r="AA416">
        <f>IF(AND(TArticle[[#This Row],[مبلغ]]&lt;0,TArticle[[#This Row],[کد وضعیت سند]]=1),0-TArticle[[#This Row],[مبلغ]],0)</f>
        <v>0</v>
      </c>
      <c r="AB416">
        <f>IF(AND(TArticle[[#This Row],[مبلغ]]&gt;0, TArticle[[#This Row],[کد وضعیت سند]]=1),TArticle[[#This Row],[مبلغ]],0)</f>
        <v>0</v>
      </c>
      <c r="AC416" s="84">
        <f>IF(TArticle[[#This Row],[کد بانک]]&gt;0,VLOOKUP(TArticle[[#This Row],[کد بانک]],TBank[],9,FALSE)+SUMIF($Y$2:Y416,Y416,$E$2:$E416),"")</f>
        <v>117745</v>
      </c>
      <c r="AD416" s="1">
        <f>IFERROR(IF(INT(LEFT(TArticle[[#This Row],[شناسه]]))=3,IF(TArticle[[#This Row],[کد وضعیت سند]]=1,TArticle[مبلغ],0),0),0)</f>
        <v>0</v>
      </c>
      <c r="AE416" s="1">
        <f>IFERROR(IF(((TArticle[[#This Row],[شناسه]]))="4.1.1",IF(TArticle[[#This Row],[کد وضعیت سند]]=1,TArticle[مبلغ],0),0),0)</f>
        <v>0</v>
      </c>
      <c r="AF416" s="1">
        <f>IFERROR(IF(((TArticle[[#This Row],[شناسه]]))="4.1.2",IF(TArticle[[#This Row],[کد وضعیت سند]]=1,TArticle[مبلغ],0),0),0)</f>
        <v>0</v>
      </c>
      <c r="AG416" s="1">
        <f>IFERROR(IF(INT(LEFT(TArticle[[#This Row],[شناسه]]))=1,IF(TArticle[[#This Row],[کد وضعیت سند]]=1,TArticle[مبلغ],0),0),0)</f>
        <v>0</v>
      </c>
      <c r="AH416" s="1">
        <f>IFERROR(IF(INT(LEFT(TArticle[[#This Row],[شناسه]]))=2,IF(TArticle[[#This Row],[کد وضعیت سند]]=1,TArticle[مبلغ],0),0),0)</f>
        <v>0</v>
      </c>
      <c r="AI416" s="1">
        <f>IFERROR(IF((LEFT(TArticle[[#This Row],[شناسه]],3))="5.2",IF(TArticle[[#This Row],[کد وضعیت سند]]=1,TArticle[مبلغ],0),0),0)</f>
        <v>0</v>
      </c>
      <c r="AJ416" s="1">
        <f>IF(TArticle[[#This Row],[کد وضعیت سند]]=1,1,0)</f>
        <v>0</v>
      </c>
      <c r="AK416" s="1">
        <f>IF(AND(TArticle[[#This Row],[کد وضعیت سند]]&lt;&gt;1,TArticle[[#This Row],[مبلغ]]&lt;&gt;0),1,0)</f>
        <v>0</v>
      </c>
      <c r="AL416" s="51">
        <f>IF(TArticle[[#This Row],[کد بانک]]&gt;0,TArticle[[#This Row],[مانده بانک]]-VLOOKUP(TArticle[[#This Row],[کد بانک]],TBank[],7,FALSE),"")</f>
        <v>117745</v>
      </c>
      <c r="AM416" s="49" t="str">
        <f>LEFT(TArticle[[#This Row],[تاریخ]],7)</f>
        <v>1402-07</v>
      </c>
    </row>
    <row r="417" spans="1:39" x14ac:dyDescent="0.25">
      <c r="A417" s="24" t="s">
        <v>43</v>
      </c>
      <c r="B417" s="49" t="str">
        <f>VLOOKUP(TArticle[[#This Row],[شناسه]],TAccount[],2,TRUE)</f>
        <v>حقوق</v>
      </c>
      <c r="C417" s="49" t="str">
        <f>VLOOKUP(TArticle[[#This Row],[تاریخ]],TDays[],7,FALSE)</f>
        <v>دوشنبه</v>
      </c>
      <c r="D417" s="21" t="s">
        <v>769</v>
      </c>
      <c r="E417" s="1">
        <v>36000</v>
      </c>
      <c r="F417" s="1">
        <f>TArticle[[#This Row],[مبلغ]]+IFERROR(INT(F416),30181+3667+958)</f>
        <v>133343</v>
      </c>
      <c r="G417" s="49"/>
      <c r="K417" s="64">
        <v>2</v>
      </c>
      <c r="L417" s="171" t="str">
        <f>IF(TArticle[[#This Row],[کد وضعیت سند]]&gt;0,VLOOKUP(TArticle[[#This Row],[کد وضعیت سند]],TDocState[],2,FALSE),"")</f>
        <v>قطعی</v>
      </c>
      <c r="N417" s="171" t="str">
        <f>IF(TArticle[[#This Row],[کد طرف حساب]]&gt;0,VLOOKUP(TArticle[[#This Row],[کد طرف حساب]],TContact[],2,FALSE),"")</f>
        <v/>
      </c>
      <c r="O417" s="61" t="str">
        <f>IF(TArticle[[#This Row],[کد طرف حساب]]&gt;0,VLOOKUP(TArticle[[#This Row],[کد طرف حساب]],TContact[],7,FALSE)-SUMIF($M$2:M417,M417,$E$2:$E417),"")</f>
        <v/>
      </c>
      <c r="P417" s="27" t="str">
        <f>RIGHT(TArticle[[#This Row],[تاریخ]],2)</f>
        <v>01</v>
      </c>
      <c r="Q417" s="27">
        <f>VLOOKUP(TArticle[[#This Row],[تاریخ]],TDays[],16,FALSE)</f>
        <v>32</v>
      </c>
      <c r="R417" s="27" t="str">
        <f>RIGHT(LEFT(TArticle[[#This Row],[تاریخ]],7),2)</f>
        <v>08</v>
      </c>
      <c r="S417" s="27" t="str">
        <f>LEFT(TArticle[[#This Row],[تاریخ]],4)</f>
        <v>1402</v>
      </c>
      <c r="U417" s="21">
        <f>VLOOKUP(TArticle[[#This Row],[شناسه]],TAccount[],7,TRUE)</f>
        <v>416023</v>
      </c>
      <c r="W417" s="21">
        <f>IF(AND(TArticle[[#This Row],[مبلغ]]&gt;0, TArticle[[#This Row],[کد وضعیت سند]]=1),TArticle[[#This Row],[مبلغ]],0)</f>
        <v>0</v>
      </c>
      <c r="X417" s="27">
        <f>IF(AND(TArticle[[#This Row],[مبلغ]]&lt;0,TArticle[[#This Row],[کد وضعیت سند]]=1),0-TArticle[[#This Row],[مبلغ]],0)</f>
        <v>0</v>
      </c>
      <c r="Y417" s="27">
        <v>2</v>
      </c>
      <c r="Z417" s="171" t="str">
        <f>IF(TArticle[[#This Row],[کد بانک]]&gt;0,VLOOKUP(TArticle[[#This Row],[کد بانک]],TBank[],2,FALSE),"")</f>
        <v>ملی جاری</v>
      </c>
      <c r="AA417">
        <f>IF(AND(TArticle[[#This Row],[مبلغ]]&lt;0,TArticle[[#This Row],[کد وضعیت سند]]=1),0-TArticle[[#This Row],[مبلغ]],0)</f>
        <v>0</v>
      </c>
      <c r="AB417">
        <f>IF(AND(TArticle[[#This Row],[مبلغ]]&gt;0, TArticle[[#This Row],[کد وضعیت سند]]=1),TArticle[[#This Row],[مبلغ]],0)</f>
        <v>0</v>
      </c>
      <c r="AC417" s="84">
        <f>IF(TArticle[[#This Row],[کد بانک]]&gt;0,VLOOKUP(TArticle[[#This Row],[کد بانک]],TBank[],9,FALSE)+SUMIF($Y$2:Y417,Y417,$E$2:$E417),"")</f>
        <v>153745</v>
      </c>
      <c r="AD417" s="1">
        <f>IFERROR(IF(INT(LEFT(TArticle[[#This Row],[شناسه]]))=3,IF(TArticle[[#This Row],[کد وضعیت سند]]=1,TArticle[مبلغ],0),0),0)</f>
        <v>0</v>
      </c>
      <c r="AE417" s="1">
        <f>IFERROR(IF(((TArticle[[#This Row],[شناسه]]))="4.1.1",IF(TArticle[[#This Row],[کد وضعیت سند]]=1,TArticle[مبلغ],0),0),0)</f>
        <v>0</v>
      </c>
      <c r="AF417" s="1">
        <f>IFERROR(IF(((TArticle[[#This Row],[شناسه]]))="4.1.2",IF(TArticle[[#This Row],[کد وضعیت سند]]=1,TArticle[مبلغ],0),0),0)</f>
        <v>0</v>
      </c>
      <c r="AG417" s="1">
        <f>IFERROR(IF(INT(LEFT(TArticle[[#This Row],[شناسه]]))=1,IF(TArticle[[#This Row],[کد وضعیت سند]]=1,TArticle[مبلغ],0),0),0)</f>
        <v>0</v>
      </c>
      <c r="AH417" s="1">
        <f>IFERROR(IF(INT(LEFT(TArticle[[#This Row],[شناسه]]))=2,IF(TArticle[[#This Row],[کد وضعیت سند]]=1,TArticle[مبلغ],0),0),0)</f>
        <v>0</v>
      </c>
      <c r="AI417" s="1">
        <f>IFERROR(IF((LEFT(TArticle[[#This Row],[شناسه]],3))="5.2",IF(TArticle[[#This Row],[کد وضعیت سند]]=1,TArticle[مبلغ],0),0),0)</f>
        <v>0</v>
      </c>
      <c r="AJ417" s="1">
        <f>IF(TArticle[[#This Row],[کد وضعیت سند]]=1,1,0)</f>
        <v>0</v>
      </c>
      <c r="AK417" s="1">
        <f>IF(AND(TArticle[[#This Row],[کد وضعیت سند]]&lt;&gt;1,TArticle[[#This Row],[مبلغ]]&lt;&gt;0),1,0)</f>
        <v>1</v>
      </c>
      <c r="AL417" s="51">
        <f>IF(TArticle[[#This Row],[کد بانک]]&gt;0,TArticle[[#This Row],[مانده بانک]]-VLOOKUP(TArticle[[#This Row],[کد بانک]],TBank[],7,FALSE),"")</f>
        <v>153745</v>
      </c>
      <c r="AM417" s="58" t="str">
        <f>LEFT(TArticle[[#This Row],[تاریخ]],7)</f>
        <v>1402-08</v>
      </c>
    </row>
    <row r="418" spans="1:39" x14ac:dyDescent="0.25">
      <c r="A418" s="24" t="s">
        <v>1608</v>
      </c>
      <c r="B418" s="49" t="str">
        <f>VLOOKUP(TArticle[[#This Row],[شناسه]],TAccount[],2,TRUE)</f>
        <v>بن کارت</v>
      </c>
      <c r="C418" s="49" t="str">
        <f>VLOOKUP(TArticle[[#This Row],[تاریخ]],TDays[],7,FALSE)</f>
        <v>دوشنبه</v>
      </c>
      <c r="D418" s="21" t="s">
        <v>769</v>
      </c>
      <c r="E418" s="1">
        <v>1700</v>
      </c>
      <c r="F418" s="1">
        <f>TArticle[[#This Row],[مبلغ]]+IFERROR(INT(F417),30181+3667+958)</f>
        <v>135043</v>
      </c>
      <c r="G418" s="49"/>
      <c r="K418" s="64">
        <v>2</v>
      </c>
      <c r="L418" s="171" t="str">
        <f>IF(TArticle[[#This Row],[کد وضعیت سند]]&gt;0,VLOOKUP(TArticle[[#This Row],[کد وضعیت سند]],TDocState[],2,FALSE),"")</f>
        <v>قطعی</v>
      </c>
      <c r="N418" s="171" t="str">
        <f>IF(TArticle[[#This Row],[کد طرف حساب]]&gt;0,VLOOKUP(TArticle[[#This Row],[کد طرف حساب]],TContact[],2,FALSE),"")</f>
        <v/>
      </c>
      <c r="O418" s="61" t="str">
        <f>IF(TArticle[[#This Row],[کد طرف حساب]]&gt;0,VLOOKUP(TArticle[[#This Row],[کد طرف حساب]],TContact[],7,FALSE)-SUMIF($M$2:M418,M418,$E$2:$E418),"")</f>
        <v/>
      </c>
      <c r="P418" s="27" t="str">
        <f>RIGHT(TArticle[[#This Row],[تاریخ]],2)</f>
        <v>01</v>
      </c>
      <c r="Q418" s="27">
        <f>VLOOKUP(TArticle[[#This Row],[تاریخ]],TDays[],16,FALSE)</f>
        <v>32</v>
      </c>
      <c r="R418" s="27" t="str">
        <f>RIGHT(LEFT(TArticle[[#This Row],[تاریخ]],7),2)</f>
        <v>08</v>
      </c>
      <c r="S418" s="27" t="str">
        <f>LEFT(TArticle[[#This Row],[تاریخ]],4)</f>
        <v>1402</v>
      </c>
      <c r="U418" s="21">
        <f>VLOOKUP(TArticle[[#This Row],[شناسه]],TAccount[],7,TRUE)</f>
        <v>3000</v>
      </c>
      <c r="W418" s="21">
        <f>IF(AND(TArticle[[#This Row],[مبلغ]]&gt;0, TArticle[[#This Row],[کد وضعیت سند]]=1),TArticle[[#This Row],[مبلغ]],0)</f>
        <v>0</v>
      </c>
      <c r="X418" s="27">
        <f>IF(AND(TArticle[[#This Row],[مبلغ]]&lt;0,TArticle[[#This Row],[کد وضعیت سند]]=1),0-TArticle[[#This Row],[مبلغ]],0)</f>
        <v>0</v>
      </c>
      <c r="Y418" s="27">
        <v>2</v>
      </c>
      <c r="Z418" s="171" t="str">
        <f>IF(TArticle[[#This Row],[کد بانک]]&gt;0,VLOOKUP(TArticle[[#This Row],[کد بانک]],TBank[],2,FALSE),"")</f>
        <v>ملی جاری</v>
      </c>
      <c r="AA418">
        <f>IF(AND(TArticle[[#This Row],[مبلغ]]&lt;0,TArticle[[#This Row],[کد وضعیت سند]]=1),0-TArticle[[#This Row],[مبلغ]],0)</f>
        <v>0</v>
      </c>
      <c r="AB418">
        <f>IF(AND(TArticle[[#This Row],[مبلغ]]&gt;0, TArticle[[#This Row],[کد وضعیت سند]]=1),TArticle[[#This Row],[مبلغ]],0)</f>
        <v>0</v>
      </c>
      <c r="AC418" s="84">
        <f>IF(TArticle[[#This Row],[کد بانک]]&gt;0,VLOOKUP(TArticle[[#This Row],[کد بانک]],TBank[],9,FALSE)+SUMIF($Y$2:Y418,Y418,$E$2:$E418),"")</f>
        <v>155445</v>
      </c>
      <c r="AD418" s="1">
        <f>IFERROR(IF(INT(LEFT(TArticle[[#This Row],[شناسه]]))=3,IF(TArticle[[#This Row],[کد وضعیت سند]]=1,TArticle[مبلغ],0),0),0)</f>
        <v>0</v>
      </c>
      <c r="AE418" s="1">
        <f>IFERROR(IF(((TArticle[[#This Row],[شناسه]]))="4.1.1",IF(TArticle[[#This Row],[کد وضعیت سند]]=1,TArticle[مبلغ],0),0),0)</f>
        <v>0</v>
      </c>
      <c r="AF418" s="1">
        <f>IFERROR(IF(((TArticle[[#This Row],[شناسه]]))="4.1.2",IF(TArticle[[#This Row],[کد وضعیت سند]]=1,TArticle[مبلغ],0),0),0)</f>
        <v>0</v>
      </c>
      <c r="AG418" s="1">
        <f>IFERROR(IF(INT(LEFT(TArticle[[#This Row],[شناسه]]))=1,IF(TArticle[[#This Row],[کد وضعیت سند]]=1,TArticle[مبلغ],0),0),0)</f>
        <v>0</v>
      </c>
      <c r="AH418" s="1">
        <f>IFERROR(IF(INT(LEFT(TArticle[[#This Row],[شناسه]]))=2,IF(TArticle[[#This Row],[کد وضعیت سند]]=1,TArticle[مبلغ],0),0),0)</f>
        <v>0</v>
      </c>
      <c r="AI418" s="1">
        <f>IFERROR(IF((LEFT(TArticle[[#This Row],[شناسه]],3))="5.2",IF(TArticle[[#This Row],[کد وضعیت سند]]=1,TArticle[مبلغ],0),0),0)</f>
        <v>0</v>
      </c>
      <c r="AJ418" s="1">
        <f>IF(TArticle[[#This Row],[کد وضعیت سند]]=1,1,0)</f>
        <v>0</v>
      </c>
      <c r="AK418" s="1">
        <f>IF(AND(TArticle[[#This Row],[کد وضعیت سند]]&lt;&gt;1,TArticle[[#This Row],[مبلغ]]&lt;&gt;0),1,0)</f>
        <v>1</v>
      </c>
      <c r="AL418" s="51">
        <f>IF(TArticle[[#This Row],[کد بانک]]&gt;0,TArticle[[#This Row],[مانده بانک]]-VLOOKUP(TArticle[[#This Row],[کد بانک]],TBank[],7,FALSE),"")</f>
        <v>155445</v>
      </c>
      <c r="AM418" t="str">
        <f>LEFT(TArticle[[#This Row],[تاریخ]],7)</f>
        <v>1402-08</v>
      </c>
    </row>
    <row r="419" spans="1:39" x14ac:dyDescent="0.25">
      <c r="A419" s="24" t="s">
        <v>1110</v>
      </c>
      <c r="B419" s="49" t="str">
        <f>VLOOKUP(TArticle[[#This Row],[شناسه]],TAccount[],2,TRUE)</f>
        <v>قسط وام بانکی</v>
      </c>
      <c r="C419" s="49" t="str">
        <f>VLOOKUP(TArticle[[#This Row],[تاریخ]],TDays[],7,FALSE)</f>
        <v>چهارشنبه</v>
      </c>
      <c r="D419" s="21" t="s">
        <v>771</v>
      </c>
      <c r="E419" s="1">
        <v>-1224</v>
      </c>
      <c r="F419" s="1">
        <f>TArticle[[#This Row],[مبلغ]]+IFERROR(INT(F418),30181+3667+958)</f>
        <v>133819</v>
      </c>
      <c r="G419" s="49"/>
      <c r="H419" s="21">
        <v>2</v>
      </c>
      <c r="J419" s="65"/>
      <c r="K419" s="64">
        <v>2</v>
      </c>
      <c r="L419" s="171" t="str">
        <f>IF(TArticle[[#This Row],[کد وضعیت سند]]&gt;0,VLOOKUP(TArticle[[#This Row],[کد وضعیت سند]],TDocState[],2,FALSE),"")</f>
        <v>قطعی</v>
      </c>
      <c r="M419" s="27">
        <v>115</v>
      </c>
      <c r="N419" s="171" t="str">
        <f>IF(TArticle[[#This Row],[کد طرف حساب]]&gt;0,VLOOKUP(TArticle[[#This Row],[کد طرف حساب]],TContact[],2,FALSE),"")</f>
        <v>وام فرزند مهر</v>
      </c>
      <c r="O419" s="68">
        <f>IF(TArticle[[#This Row],[کد طرف حساب]]&gt;0,VLOOKUP(TArticle[[#This Row],[کد طرف حساب]],TContact[],7,FALSE)-SUMIF($M$2:M419,M419,$E$2:$E419),"")</f>
        <v>-58776</v>
      </c>
      <c r="P419" s="67" t="str">
        <f>RIGHT(TArticle[[#This Row],[تاریخ]],2)</f>
        <v>03</v>
      </c>
      <c r="Q419" s="67">
        <f>VLOOKUP(TArticle[[#This Row],[تاریخ]],TDays[],16,FALSE)</f>
        <v>32</v>
      </c>
      <c r="R419" s="67" t="str">
        <f>RIGHT(LEFT(TArticle[[#This Row],[تاریخ]],7),2)</f>
        <v>08</v>
      </c>
      <c r="S419" s="67" t="str">
        <f>LEFT(TArticle[[#This Row],[تاریخ]],4)</f>
        <v>1402</v>
      </c>
      <c r="T419" s="64"/>
      <c r="U419" s="64">
        <f>VLOOKUP(TArticle[[#This Row],[شناسه]],TAccount[],7,TRUE)</f>
        <v>81652</v>
      </c>
      <c r="V419" s="64"/>
      <c r="W419" s="64">
        <f>IF(AND(TArticle[[#This Row],[مبلغ]]&gt;0, TArticle[[#This Row],[کد وضعیت سند]]=1),TArticle[[#This Row],[مبلغ]],0)</f>
        <v>0</v>
      </c>
      <c r="X419" s="67">
        <f>IF(AND(TArticle[[#This Row],[مبلغ]]&lt;0,TArticle[[#This Row],[کد وضعیت سند]]=1),0-TArticle[[#This Row],[مبلغ]],0)</f>
        <v>0</v>
      </c>
      <c r="Y419" s="27">
        <v>2</v>
      </c>
      <c r="Z419" s="171" t="str">
        <f>IF(TArticle[[#This Row],[کد بانک]]&gt;0,VLOOKUP(TArticle[[#This Row],[کد بانک]],TBank[],2,FALSE),"")</f>
        <v>ملی جاری</v>
      </c>
      <c r="AA419">
        <f>IF(AND(TArticle[[#This Row],[مبلغ]]&lt;0,TArticle[[#This Row],[کد وضعیت سند]]=1),0-TArticle[[#This Row],[مبلغ]],0)</f>
        <v>0</v>
      </c>
      <c r="AB419">
        <f>IF(AND(TArticle[[#This Row],[مبلغ]]&gt;0, TArticle[[#This Row],[کد وضعیت سند]]=1),TArticle[[#This Row],[مبلغ]],0)</f>
        <v>0</v>
      </c>
      <c r="AC419" s="93">
        <f>IF(TArticle[[#This Row],[کد بانک]]&gt;0,VLOOKUP(TArticle[[#This Row],[کد بانک]],TBank[],9,FALSE)+SUMIF($Y$2:Y419,Y419,$E$2:$E419),"")</f>
        <v>154221</v>
      </c>
      <c r="AD419" s="1">
        <f>IFERROR(IF(INT(LEFT(TArticle[[#This Row],[شناسه]]))=3,IF(TArticle[[#This Row],[کد وضعیت سند]]=1,TArticle[مبلغ],0),0),0)</f>
        <v>0</v>
      </c>
      <c r="AE419" s="1">
        <f>IFERROR(IF(((TArticle[[#This Row],[شناسه]]))="4.1.1",IF(TArticle[[#This Row],[کد وضعیت سند]]=1,TArticle[مبلغ],0),0),0)</f>
        <v>0</v>
      </c>
      <c r="AF419" s="1">
        <f>IFERROR(IF(((TArticle[[#This Row],[شناسه]]))="4.1.2",IF(TArticle[[#This Row],[کد وضعیت سند]]=1,TArticle[مبلغ],0),0),0)</f>
        <v>0</v>
      </c>
      <c r="AG419" s="1">
        <f>IFERROR(IF(INT(LEFT(TArticle[[#This Row],[شناسه]]))=1,IF(TArticle[[#This Row],[کد وضعیت سند]]=1,TArticle[مبلغ],0),0),0)</f>
        <v>0</v>
      </c>
      <c r="AH419" s="1">
        <f>IFERROR(IF(INT(LEFT(TArticle[[#This Row],[شناسه]]))=2,IF(TArticle[[#This Row],[کد وضعیت سند]]=1,TArticle[مبلغ],0),0),0)</f>
        <v>0</v>
      </c>
      <c r="AI419" s="1">
        <f>IFERROR(IF((LEFT(TArticle[[#This Row],[شناسه]],3))="5.2",IF(TArticle[[#This Row],[کد وضعیت سند]]=1,TArticle[مبلغ],0),0),0)</f>
        <v>0</v>
      </c>
      <c r="AJ419" s="1">
        <f>IF(TArticle[[#This Row],[کد وضعیت سند]]=1,1,0)</f>
        <v>0</v>
      </c>
      <c r="AK419" s="1">
        <f>IF(AND(TArticle[[#This Row],[کد وضعیت سند]]&lt;&gt;1,TArticle[[#This Row],[مبلغ]]&lt;&gt;0),1,0)</f>
        <v>1</v>
      </c>
      <c r="AL419" s="78">
        <f>IF(TArticle[[#This Row],[کد بانک]]&gt;0,TArticle[[#This Row],[مانده بانک]]-VLOOKUP(TArticle[[#This Row],[کد بانک]],TBank[],7,FALSE),"")</f>
        <v>154221</v>
      </c>
      <c r="AM419" s="69" t="str">
        <f>LEFT(TArticle[[#This Row],[تاریخ]],7)</f>
        <v>1402-08</v>
      </c>
    </row>
    <row r="420" spans="1:39" x14ac:dyDescent="0.25">
      <c r="A420" s="24" t="s">
        <v>1110</v>
      </c>
      <c r="B420" s="49" t="str">
        <f>VLOOKUP(TArticle[[#This Row],[شناسه]],TAccount[],2,TRUE)</f>
        <v>قسط وام بانکی</v>
      </c>
      <c r="C420" s="49" t="str">
        <f>VLOOKUP(TArticle[[#This Row],[تاریخ]],TDays[],7,FALSE)</f>
        <v>چهارشنبه</v>
      </c>
      <c r="D420" s="21" t="s">
        <v>771</v>
      </c>
      <c r="E420" s="1">
        <v>-1830</v>
      </c>
      <c r="F420" s="1">
        <f>TArticle[[#This Row],[مبلغ]]+IFERROR(INT(F419),30181+3667+958)</f>
        <v>131989</v>
      </c>
      <c r="G420" s="49" t="s">
        <v>1591</v>
      </c>
      <c r="H420" s="21">
        <v>29</v>
      </c>
      <c r="K420" s="21">
        <v>2</v>
      </c>
      <c r="L420" s="171" t="str">
        <f>IF(TArticle[[#This Row],[کد وضعیت سند]]&gt;0,VLOOKUP(TArticle[[#This Row],[کد وضعیت سند]],TDocState[],2,FALSE),"")</f>
        <v>قطعی</v>
      </c>
      <c r="M420" s="27">
        <v>110</v>
      </c>
      <c r="N420" s="171" t="str">
        <f>IF(TArticle[[#This Row],[کد طرف حساب]]&gt;0,VLOOKUP(TArticle[[#This Row],[کد طرف حساب]],TContact[],2,FALSE),"")</f>
        <v>وام ملت</v>
      </c>
      <c r="O420" s="61">
        <f>IF(TArticle[[#This Row],[کد طرف حساب]]&gt;0,VLOOKUP(TArticle[[#This Row],[کد طرف حساب]],TContact[],7,FALSE)-SUMIF($M$2:M420,M420,$E$2:$E420),"")</f>
        <v>-11570</v>
      </c>
      <c r="P420" s="27" t="str">
        <f>RIGHT(TArticle[[#This Row],[تاریخ]],2)</f>
        <v>03</v>
      </c>
      <c r="Q420" s="27">
        <f>VLOOKUP(TArticle[[#This Row],[تاریخ]],TDays[],16,FALSE)</f>
        <v>32</v>
      </c>
      <c r="R420" s="27" t="str">
        <f>RIGHT(LEFT(TArticle[[#This Row],[تاریخ]],7),2)</f>
        <v>08</v>
      </c>
      <c r="S420" s="27" t="str">
        <f>LEFT(TArticle[[#This Row],[تاریخ]],4)</f>
        <v>1402</v>
      </c>
      <c r="U420" s="21">
        <f>VLOOKUP(TArticle[[#This Row],[شناسه]],TAccount[],7,TRUE)</f>
        <v>81652</v>
      </c>
      <c r="V420" s="21" t="s">
        <v>771</v>
      </c>
      <c r="W420" s="21">
        <f>IF(AND(TArticle[[#This Row],[مبلغ]]&gt;0, TArticle[[#This Row],[کد وضعیت سند]]=1),TArticle[[#This Row],[مبلغ]],0)</f>
        <v>0</v>
      </c>
      <c r="X420" s="27">
        <f>IF(AND(TArticle[[#This Row],[مبلغ]]&lt;0,TArticle[[#This Row],[کد وضعیت سند]]=1),0-TArticle[[#This Row],[مبلغ]],0)</f>
        <v>0</v>
      </c>
      <c r="Y420" s="27">
        <v>2</v>
      </c>
      <c r="Z420" s="171" t="str">
        <f>IF(TArticle[[#This Row],[کد بانک]]&gt;0,VLOOKUP(TArticle[[#This Row],[کد بانک]],TBank[],2,FALSE),"")</f>
        <v>ملی جاری</v>
      </c>
      <c r="AA420">
        <f>IF(AND(TArticle[[#This Row],[مبلغ]]&lt;0,TArticle[[#This Row],[کد وضعیت سند]]=1),0-TArticle[[#This Row],[مبلغ]],0)</f>
        <v>0</v>
      </c>
      <c r="AB420">
        <f>IF(AND(TArticle[[#This Row],[مبلغ]]&gt;0, TArticle[[#This Row],[کد وضعیت سند]]=1),TArticle[[#This Row],[مبلغ]],0)</f>
        <v>0</v>
      </c>
      <c r="AC420" s="84">
        <f>IF(TArticle[[#This Row],[کد بانک]]&gt;0,VLOOKUP(TArticle[[#This Row],[کد بانک]],TBank[],9,FALSE)+SUMIF($Y$2:Y420,Y420,$E$2:$E420),"")</f>
        <v>152391</v>
      </c>
      <c r="AD420" s="1">
        <f>IFERROR(IF(INT(LEFT(TArticle[[#This Row],[شناسه]]))=3,IF(TArticle[[#This Row],[کد وضعیت سند]]=1,TArticle[مبلغ],0),0),0)</f>
        <v>0</v>
      </c>
      <c r="AE420" s="1">
        <f>IFERROR(IF(((TArticle[[#This Row],[شناسه]]))="4.1.1",IF(TArticle[[#This Row],[کد وضعیت سند]]=1,TArticle[مبلغ],0),0),0)</f>
        <v>0</v>
      </c>
      <c r="AF420" s="1">
        <f>IFERROR(IF(((TArticle[[#This Row],[شناسه]]))="4.1.2",IF(TArticle[[#This Row],[کد وضعیت سند]]=1,TArticle[مبلغ],0),0),0)</f>
        <v>0</v>
      </c>
      <c r="AG420" s="1">
        <f>IFERROR(IF(INT(LEFT(TArticle[[#This Row],[شناسه]]))=1,IF(TArticle[[#This Row],[کد وضعیت سند]]=1,TArticle[مبلغ],0),0),0)</f>
        <v>0</v>
      </c>
      <c r="AH420" s="1">
        <f>IFERROR(IF(INT(LEFT(TArticle[[#This Row],[شناسه]]))=2,IF(TArticle[[#This Row],[کد وضعیت سند]]=1,TArticle[مبلغ],0),0),0)</f>
        <v>0</v>
      </c>
      <c r="AI420" s="1">
        <f>IFERROR(IF((LEFT(TArticle[[#This Row],[شناسه]],3))="5.2",IF(TArticle[[#This Row],[کد وضعیت سند]]=1,TArticle[مبلغ],0),0),0)</f>
        <v>0</v>
      </c>
      <c r="AJ420" s="1">
        <f>IF(TArticle[[#This Row],[کد وضعیت سند]]=1,1,0)</f>
        <v>0</v>
      </c>
      <c r="AK420" s="1">
        <f>IF(AND(TArticle[[#This Row],[کد وضعیت سند]]&lt;&gt;1,TArticle[[#This Row],[مبلغ]]&lt;&gt;0),1,0)</f>
        <v>1</v>
      </c>
      <c r="AL420" s="51">
        <f>IF(TArticle[[#This Row],[کد بانک]]&gt;0,TArticle[[#This Row],[مانده بانک]]-VLOOKUP(TArticle[[#This Row],[کد بانک]],TBank[],7,FALSE),"")</f>
        <v>152391</v>
      </c>
      <c r="AM420" s="49" t="str">
        <f>LEFT(TArticle[[#This Row],[تاریخ]],7)</f>
        <v>1402-08</v>
      </c>
    </row>
    <row r="421" spans="1:39" x14ac:dyDescent="0.25">
      <c r="A421" s="24" t="s">
        <v>1110</v>
      </c>
      <c r="B421" s="49" t="str">
        <f>VLOOKUP(TArticle[[#This Row],[شناسه]],TAccount[],2,TRUE)</f>
        <v>قسط وام بانکی</v>
      </c>
      <c r="C421" s="49" t="str">
        <f>VLOOKUP(TArticle[[#This Row],[تاریخ]],TDays[],7,FALSE)</f>
        <v>چهارشنبه</v>
      </c>
      <c r="D421" s="21" t="s">
        <v>771</v>
      </c>
      <c r="E421" s="1">
        <v>-1830</v>
      </c>
      <c r="F421" s="1">
        <f>TArticle[[#This Row],[مبلغ]]+IFERROR(INT(F420),30181+3667+958)</f>
        <v>130159</v>
      </c>
      <c r="G421" s="49" t="s">
        <v>1591</v>
      </c>
      <c r="H421" s="21">
        <v>29</v>
      </c>
      <c r="K421" s="21">
        <v>2</v>
      </c>
      <c r="L421" s="171" t="str">
        <f>IF(TArticle[[#This Row],[کد وضعیت سند]]&gt;0,VLOOKUP(TArticle[[#This Row],[کد وضعیت سند]],TDocState[],2,FALSE),"")</f>
        <v>قطعی</v>
      </c>
      <c r="M421" s="27">
        <v>111</v>
      </c>
      <c r="N421" s="171" t="str">
        <f>IF(TArticle[[#This Row],[کد طرف حساب]]&gt;0,VLOOKUP(TArticle[[#This Row],[کد طرف حساب]],TContact[],2,FALSE),"")</f>
        <v>وام ملت ف</v>
      </c>
      <c r="O421" s="61">
        <f>IF(TArticle[[#This Row],[کد طرف حساب]]&gt;0,VLOOKUP(TArticle[[#This Row],[کد طرف حساب]],TContact[],7,FALSE)-SUMIF($M$2:M421,M421,$E$2:$E421),"")</f>
        <v>-11570</v>
      </c>
      <c r="P421" s="27" t="str">
        <f>RIGHT(TArticle[[#This Row],[تاریخ]],2)</f>
        <v>03</v>
      </c>
      <c r="Q421" s="27">
        <f>VLOOKUP(TArticle[[#This Row],[تاریخ]],TDays[],16,FALSE)</f>
        <v>32</v>
      </c>
      <c r="R421" s="27" t="str">
        <f>RIGHT(LEFT(TArticle[[#This Row],[تاریخ]],7),2)</f>
        <v>08</v>
      </c>
      <c r="S421" s="27" t="str">
        <f>LEFT(TArticle[[#This Row],[تاریخ]],4)</f>
        <v>1402</v>
      </c>
      <c r="U421" s="21">
        <f>VLOOKUP(TArticle[[#This Row],[شناسه]],TAccount[],7,TRUE)</f>
        <v>81652</v>
      </c>
      <c r="V421" s="21" t="s">
        <v>771</v>
      </c>
      <c r="W421" s="21">
        <f>IF(AND(TArticle[[#This Row],[مبلغ]]&gt;0, TArticle[[#This Row],[کد وضعیت سند]]=1),TArticle[[#This Row],[مبلغ]],0)</f>
        <v>0</v>
      </c>
      <c r="X421" s="27">
        <f>IF(AND(TArticle[[#This Row],[مبلغ]]&lt;0,TArticle[[#This Row],[کد وضعیت سند]]=1),0-TArticle[[#This Row],[مبلغ]],0)</f>
        <v>0</v>
      </c>
      <c r="Y421" s="27">
        <v>2</v>
      </c>
      <c r="Z421" s="171" t="str">
        <f>IF(TArticle[[#This Row],[کد بانک]]&gt;0,VLOOKUP(TArticle[[#This Row],[کد بانک]],TBank[],2,FALSE),"")</f>
        <v>ملی جاری</v>
      </c>
      <c r="AA421">
        <f>IF(AND(TArticle[[#This Row],[مبلغ]]&lt;0,TArticle[[#This Row],[کد وضعیت سند]]=1),0-TArticle[[#This Row],[مبلغ]],0)</f>
        <v>0</v>
      </c>
      <c r="AB421">
        <f>IF(AND(TArticle[[#This Row],[مبلغ]]&gt;0, TArticle[[#This Row],[کد وضعیت سند]]=1),TArticle[[#This Row],[مبلغ]],0)</f>
        <v>0</v>
      </c>
      <c r="AC421" s="84">
        <f>IF(TArticle[[#This Row],[کد بانک]]&gt;0,VLOOKUP(TArticle[[#This Row],[کد بانک]],TBank[],9,FALSE)+SUMIF($Y$2:Y421,Y421,$E$2:$E421),"")</f>
        <v>150561</v>
      </c>
      <c r="AD421" s="1">
        <f>IFERROR(IF(INT(LEFT(TArticle[[#This Row],[شناسه]]))=3,IF(TArticle[[#This Row],[کد وضعیت سند]]=1,TArticle[مبلغ],0),0),0)</f>
        <v>0</v>
      </c>
      <c r="AE421" s="1">
        <f>IFERROR(IF(((TArticle[[#This Row],[شناسه]]))="4.1.1",IF(TArticle[[#This Row],[کد وضعیت سند]]=1,TArticle[مبلغ],0),0),0)</f>
        <v>0</v>
      </c>
      <c r="AF421" s="1">
        <f>IFERROR(IF(((TArticle[[#This Row],[شناسه]]))="4.1.2",IF(TArticle[[#This Row],[کد وضعیت سند]]=1,TArticle[مبلغ],0),0),0)</f>
        <v>0</v>
      </c>
      <c r="AG421" s="1">
        <f>IFERROR(IF(INT(LEFT(TArticle[[#This Row],[شناسه]]))=1,IF(TArticle[[#This Row],[کد وضعیت سند]]=1,TArticle[مبلغ],0),0),0)</f>
        <v>0</v>
      </c>
      <c r="AH421" s="1">
        <f>IFERROR(IF(INT(LEFT(TArticle[[#This Row],[شناسه]]))=2,IF(TArticle[[#This Row],[کد وضعیت سند]]=1,TArticle[مبلغ],0),0),0)</f>
        <v>0</v>
      </c>
      <c r="AI421" s="1">
        <f>IFERROR(IF((LEFT(TArticle[[#This Row],[شناسه]],3))="5.2",IF(TArticle[[#This Row],[کد وضعیت سند]]=1,TArticle[مبلغ],0),0),0)</f>
        <v>0</v>
      </c>
      <c r="AJ421" s="1">
        <f>IF(TArticle[[#This Row],[کد وضعیت سند]]=1,1,0)</f>
        <v>0</v>
      </c>
      <c r="AK421" s="1">
        <f>IF(AND(TArticle[[#This Row],[کد وضعیت سند]]&lt;&gt;1,TArticle[[#This Row],[مبلغ]]&lt;&gt;0),1,0)</f>
        <v>1</v>
      </c>
      <c r="AL421" s="51">
        <f>IF(TArticle[[#This Row],[کد بانک]]&gt;0,TArticle[[#This Row],[مانده بانک]]-VLOOKUP(TArticle[[#This Row],[کد بانک]],TBank[],7,FALSE),"")</f>
        <v>150561</v>
      </c>
      <c r="AM421" s="49" t="str">
        <f>LEFT(TArticle[[#This Row],[تاریخ]],7)</f>
        <v>1402-08</v>
      </c>
    </row>
    <row r="422" spans="1:39" x14ac:dyDescent="0.25">
      <c r="A422" s="24" t="s">
        <v>1110</v>
      </c>
      <c r="B422" s="49" t="str">
        <f>VLOOKUP(TArticle[[#This Row],[شناسه]],TAccount[],2,TRUE)</f>
        <v>قسط وام بانکی</v>
      </c>
      <c r="C422" s="49" t="str">
        <f>VLOOKUP(TArticle[[#This Row],[تاریخ]],TDays[],7,FALSE)</f>
        <v>پنجشنبه</v>
      </c>
      <c r="D422" s="21" t="s">
        <v>772</v>
      </c>
      <c r="E422" s="1">
        <v>-532</v>
      </c>
      <c r="F422" s="1">
        <f>TArticle[[#This Row],[مبلغ]]+IFERROR(INT(F421),30181+3667+958)</f>
        <v>129627</v>
      </c>
      <c r="G422" s="49"/>
      <c r="H422" s="21">
        <v>8</v>
      </c>
      <c r="K422" s="64">
        <v>2</v>
      </c>
      <c r="L422" s="171" t="str">
        <f>IF(TArticle[[#This Row],[کد وضعیت سند]]&gt;0,VLOOKUP(TArticle[[#This Row],[کد وضعیت سند]],TDocState[],2,FALSE),"")</f>
        <v>قطعی</v>
      </c>
      <c r="M422" s="67">
        <v>116</v>
      </c>
      <c r="N422" s="171" t="str">
        <f>IF(TArticle[[#This Row],[کد طرف حساب]]&gt;0,VLOOKUP(TArticle[[#This Row],[کد طرف حساب]],TContact[],2,FALSE),"")</f>
        <v>وام امتیازی مهر</v>
      </c>
      <c r="O422" s="51">
        <f>IF(TArticle[[#This Row],[کد طرف حساب]]&gt;0,VLOOKUP(TArticle[[#This Row],[کد طرف حساب]],TContact[],7,FALSE)-SUMIF($M$2:M422,M422,$E$2:$E422),"")</f>
        <v>-7976</v>
      </c>
      <c r="P422" s="27" t="str">
        <f>RIGHT(TArticle[[#This Row],[تاریخ]],2)</f>
        <v>04</v>
      </c>
      <c r="Q422" s="27">
        <f>VLOOKUP(TArticle[[#This Row],[تاریخ]],TDays[],16,FALSE)</f>
        <v>32</v>
      </c>
      <c r="R422" s="27" t="str">
        <f>RIGHT(LEFT(TArticle[[#This Row],[تاریخ]],7),2)</f>
        <v>08</v>
      </c>
      <c r="S422" s="27" t="str">
        <f>LEFT(TArticle[[#This Row],[تاریخ]],4)</f>
        <v>1402</v>
      </c>
      <c r="U422" s="21">
        <f>VLOOKUP(TArticle[[#This Row],[شناسه]],TAccount[],7,TRUE)</f>
        <v>81652</v>
      </c>
      <c r="W422" s="21">
        <f>IF(AND(TArticle[[#This Row],[مبلغ]]&gt;0, TArticle[[#This Row],[کد وضعیت سند]]=1),TArticle[[#This Row],[مبلغ]],0)</f>
        <v>0</v>
      </c>
      <c r="X422" s="21">
        <f>IF(AND(TArticle[[#This Row],[مبلغ]]&lt;0,TArticle[[#This Row],[کد وضعیت سند]]=1),0-TArticle[[#This Row],[مبلغ]],0)</f>
        <v>0</v>
      </c>
      <c r="Y422" s="27">
        <v>2</v>
      </c>
      <c r="Z422" s="171" t="str">
        <f>IF(TArticle[[#This Row],[کد بانک]]&gt;0,VLOOKUP(TArticle[[#This Row],[کد بانک]],TBank[],2,FALSE),"")</f>
        <v>ملی جاری</v>
      </c>
      <c r="AA422">
        <f>IF(AND(TArticle[[#This Row],[مبلغ]]&lt;0,TArticle[[#This Row],[کد وضعیت سند]]=1),0-TArticle[[#This Row],[مبلغ]],0)</f>
        <v>0</v>
      </c>
      <c r="AB422">
        <f>IF(AND(TArticle[[#This Row],[مبلغ]]&gt;0, TArticle[[#This Row],[کد وضعیت سند]]=1),TArticle[[#This Row],[مبلغ]],0)</f>
        <v>0</v>
      </c>
      <c r="AC422" s="84">
        <f>IF(TArticle[[#This Row],[کد بانک]]&gt;0,VLOOKUP(TArticle[[#This Row],[کد بانک]],TBank[],9,FALSE)+SUMIF($Y$2:Y422,Y422,$E$2:$E422),"")</f>
        <v>150029</v>
      </c>
      <c r="AD422" s="1">
        <f>IFERROR(IF(INT(LEFT(TArticle[[#This Row],[شناسه]]))=3,IF(TArticle[[#This Row],[کد وضعیت سند]]=1,TArticle[مبلغ],0),0),0)</f>
        <v>0</v>
      </c>
      <c r="AE422" s="1">
        <f>IFERROR(IF(((TArticle[[#This Row],[شناسه]]))="4.1.1",IF(TArticle[[#This Row],[کد وضعیت سند]]=1,TArticle[مبلغ],0),0),0)</f>
        <v>0</v>
      </c>
      <c r="AF422" s="1">
        <f>IFERROR(IF(((TArticle[[#This Row],[شناسه]]))="4.1.2",IF(TArticle[[#This Row],[کد وضعیت سند]]=1,TArticle[مبلغ],0),0),0)</f>
        <v>0</v>
      </c>
      <c r="AG422" s="1">
        <f>IFERROR(IF(INT(LEFT(TArticle[[#This Row],[شناسه]]))=1,IF(TArticle[[#This Row],[کد وضعیت سند]]=1,TArticle[مبلغ],0),0),0)</f>
        <v>0</v>
      </c>
      <c r="AH422" s="1">
        <f>IFERROR(IF(INT(LEFT(TArticle[[#This Row],[شناسه]]))=2,IF(TArticle[[#This Row],[کد وضعیت سند]]=1,TArticle[مبلغ],0),0),0)</f>
        <v>0</v>
      </c>
      <c r="AI422" s="1">
        <f>IFERROR(IF((LEFT(TArticle[[#This Row],[شناسه]],3))="5.2",IF(TArticle[[#This Row],[کد وضعیت سند]]=1,TArticle[مبلغ],0),0),0)</f>
        <v>0</v>
      </c>
      <c r="AJ422" s="1">
        <f>IF(TArticle[[#This Row],[کد وضعیت سند]]=1,1,0)</f>
        <v>0</v>
      </c>
      <c r="AK422" s="1">
        <f>IF(AND(TArticle[[#This Row],[کد وضعیت سند]]&lt;&gt;1,TArticle[[#This Row],[مبلغ]]&lt;&gt;0),1,0)</f>
        <v>1</v>
      </c>
      <c r="AL422" s="51">
        <f>IF(TArticle[[#This Row],[کد بانک]]&gt;0,TArticle[[#This Row],[مانده بانک]]-VLOOKUP(TArticle[[#This Row],[کد بانک]],TBank[],7,FALSE),"")</f>
        <v>150029</v>
      </c>
      <c r="AM422" s="58" t="str">
        <f>LEFT(TArticle[[#This Row],[تاریخ]],7)</f>
        <v>1402-08</v>
      </c>
    </row>
    <row r="423" spans="1:39" x14ac:dyDescent="0.25">
      <c r="A423" s="24" t="s">
        <v>1110</v>
      </c>
      <c r="B423" s="49" t="str">
        <f>VLOOKUP(TArticle[[#This Row],[شناسه]],TAccount[],2,TRUE)</f>
        <v>قسط وام بانکی</v>
      </c>
      <c r="C423" s="49" t="str">
        <f>VLOOKUP(TArticle[[#This Row],[تاریخ]],TDays[],7,FALSE)</f>
        <v>سه شنبه</v>
      </c>
      <c r="D423" s="21" t="s">
        <v>777</v>
      </c>
      <c r="E423" s="1">
        <f>'طرف حساب'!$J$29</f>
        <v>-3616</v>
      </c>
      <c r="F423" s="1">
        <f>TArticle[[#This Row],[مبلغ]]+IFERROR(INT(F422),30181+3667+958)</f>
        <v>126011</v>
      </c>
      <c r="G423" s="49"/>
      <c r="H423" s="21">
        <v>9</v>
      </c>
      <c r="J423" s="51"/>
      <c r="K423" s="64">
        <v>2</v>
      </c>
      <c r="L423" s="171" t="str">
        <f>IF(TArticle[[#This Row],[کد وضعیت سند]]&gt;0,VLOOKUP(TArticle[[#This Row],[کد وضعیت سند]],TDocState[],2,FALSE),"")</f>
        <v>قطعی</v>
      </c>
      <c r="M423" s="67">
        <v>114</v>
      </c>
      <c r="N423" s="171" t="str">
        <f>IF(TArticle[[#This Row],[کد طرف حساب]]&gt;0,VLOOKUP(TArticle[[#This Row],[کد طرف حساب]],TContact[],2,FALSE),"")</f>
        <v>وام کارت ملی ف</v>
      </c>
      <c r="O423" s="60">
        <f>IF(TArticle[[#This Row],[کد طرف حساب]]&gt;0,VLOOKUP(TArticle[[#This Row],[کد طرف حساب]],TContact[],7,FALSE)-SUMIF($M$2:M423,M423,$E$2:$E423),"")</f>
        <v>-98914</v>
      </c>
      <c r="P423" s="27" t="str">
        <f>RIGHT(TArticle[[#This Row],[تاریخ]],2)</f>
        <v>09</v>
      </c>
      <c r="Q423" s="27">
        <f>VLOOKUP(TArticle[[#This Row],[تاریخ]],TDays[],16,FALSE)</f>
        <v>33</v>
      </c>
      <c r="R423" s="27" t="str">
        <f>RIGHT(LEFT(TArticle[[#This Row],[تاریخ]],7),2)</f>
        <v>08</v>
      </c>
      <c r="S423" s="27" t="str">
        <f>LEFT(TArticle[[#This Row],[تاریخ]],4)</f>
        <v>1402</v>
      </c>
      <c r="U423" s="21">
        <f>VLOOKUP(TArticle[[#This Row],[شناسه]],TAccount[],7,TRUE)</f>
        <v>81652</v>
      </c>
      <c r="W423" s="21">
        <f>IF(AND(TArticle[[#This Row],[مبلغ]]&gt;0, TArticle[[#This Row],[کد وضعیت سند]]=1),TArticle[[#This Row],[مبلغ]],0)</f>
        <v>0</v>
      </c>
      <c r="X423" s="27">
        <f>IF(AND(TArticle[[#This Row],[مبلغ]]&lt;0,TArticle[[#This Row],[کد وضعیت سند]]=1),0-TArticle[[#This Row],[مبلغ]],0)</f>
        <v>0</v>
      </c>
      <c r="Y423" s="27">
        <v>2</v>
      </c>
      <c r="Z423" s="171" t="str">
        <f>IF(TArticle[[#This Row],[کد بانک]]&gt;0,VLOOKUP(TArticle[[#This Row],[کد بانک]],TBank[],2,FALSE),"")</f>
        <v>ملی جاری</v>
      </c>
      <c r="AA423">
        <f>IF(AND(TArticle[[#This Row],[مبلغ]]&lt;0,TArticle[[#This Row],[کد وضعیت سند]]=1),0-TArticle[[#This Row],[مبلغ]],0)</f>
        <v>0</v>
      </c>
      <c r="AB423">
        <f>IF(AND(TArticle[[#This Row],[مبلغ]]&gt;0, TArticle[[#This Row],[کد وضعیت سند]]=1),TArticle[[#This Row],[مبلغ]],0)</f>
        <v>0</v>
      </c>
      <c r="AC423" s="92">
        <f>IF(TArticle[[#This Row],[کد بانک]]&gt;0,VLOOKUP(TArticle[[#This Row],[کد بانک]],TBank[],9,FALSE)+SUMIF($Y$2:Y423,Y423,$E$2:$E423),"")</f>
        <v>146413</v>
      </c>
      <c r="AD423" s="1">
        <f>IFERROR(IF(INT(LEFT(TArticle[[#This Row],[شناسه]]))=3,IF(TArticle[[#This Row],[کد وضعیت سند]]=1,TArticle[مبلغ],0),0),0)</f>
        <v>0</v>
      </c>
      <c r="AE423" s="1">
        <f>IFERROR(IF(((TArticle[[#This Row],[شناسه]]))="4.1.1",IF(TArticle[[#This Row],[کد وضعیت سند]]=1,TArticle[مبلغ],0),0),0)</f>
        <v>0</v>
      </c>
      <c r="AF423" s="1">
        <f>IFERROR(IF(((TArticle[[#This Row],[شناسه]]))="4.1.2",IF(TArticle[[#This Row],[کد وضعیت سند]]=1,TArticle[مبلغ],0),0),0)</f>
        <v>0</v>
      </c>
      <c r="AG423" s="1">
        <f>IFERROR(IF(INT(LEFT(TArticle[[#This Row],[شناسه]]))=1,IF(TArticle[[#This Row],[کد وضعیت سند]]=1,TArticle[مبلغ],0),0),0)</f>
        <v>0</v>
      </c>
      <c r="AH423" s="1">
        <f>IFERROR(IF(INT(LEFT(TArticle[[#This Row],[شناسه]]))=2,IF(TArticle[[#This Row],[کد وضعیت سند]]=1,TArticle[مبلغ],0),0),0)</f>
        <v>0</v>
      </c>
      <c r="AI423" s="1">
        <f>IFERROR(IF((LEFT(TArticle[[#This Row],[شناسه]],3))="5.2",IF(TArticle[[#This Row],[کد وضعیت سند]]=1,TArticle[مبلغ],0),0),0)</f>
        <v>0</v>
      </c>
      <c r="AJ423" s="1">
        <f>IF(TArticle[[#This Row],[کد وضعیت سند]]=1,1,0)</f>
        <v>0</v>
      </c>
      <c r="AK423" s="1">
        <f>IF(AND(TArticle[[#This Row],[کد وضعیت سند]]&lt;&gt;1,TArticle[[#This Row],[مبلغ]]&lt;&gt;0),1,0)</f>
        <v>1</v>
      </c>
      <c r="AL423" s="51">
        <f>IF(TArticle[[#This Row],[کد بانک]]&gt;0,TArticle[[#This Row],[مانده بانک]]-VLOOKUP(TArticle[[#This Row],[کد بانک]],TBank[],7,FALSE),"")</f>
        <v>146413</v>
      </c>
      <c r="AM423" s="58" t="str">
        <f>LEFT(TArticle[[#This Row],[تاریخ]],7)</f>
        <v>1402-08</v>
      </c>
    </row>
    <row r="424" spans="1:39" x14ac:dyDescent="0.25">
      <c r="A424" s="13" t="s">
        <v>78</v>
      </c>
      <c r="B424" s="49" t="str">
        <f>VLOOKUP(TArticle[[#This Row],[شناسه]],TAccount[],2,TRUE)</f>
        <v>چک</v>
      </c>
      <c r="C424" s="49" t="str">
        <f>VLOOKUP(TArticle[[#This Row],[تاریخ]],TDays[],7,FALSE)</f>
        <v>چهارشنبه</v>
      </c>
      <c r="D424" s="21" t="s">
        <v>785</v>
      </c>
      <c r="E424" s="1">
        <v>-4250</v>
      </c>
      <c r="F424" s="1">
        <f>TArticle[[#This Row],[مبلغ]]+IFERROR(INT(F423),30181+3667+958)</f>
        <v>121761</v>
      </c>
      <c r="G424" s="167">
        <v>290885</v>
      </c>
      <c r="H424" s="21">
        <v>8</v>
      </c>
      <c r="K424" s="64">
        <v>2</v>
      </c>
      <c r="L424" s="171" t="str">
        <f>IF(TArticle[[#This Row],[کد وضعیت سند]]&gt;0,VLOOKUP(TArticle[[#This Row],[کد وضعیت سند]],TDocState[],2,FALSE),"")</f>
        <v>قطعی</v>
      </c>
      <c r="M424" s="27">
        <v>117</v>
      </c>
      <c r="N424" s="171" t="str">
        <f>IF(TArticle[[#This Row],[کد طرف حساب]]&gt;0,VLOOKUP(TArticle[[#This Row],[کد طرف حساب]],TContact[],2,FALSE),"")</f>
        <v>وام سرویس خواب</v>
      </c>
      <c r="O424" s="61">
        <f>IF(TArticle[[#This Row],[کد طرف حساب]]&gt;0,VLOOKUP(TArticle[[#This Row],[کد طرف حساب]],TContact[],7,FALSE)-SUMIF($M$2:M424,M424,$E$2:$E424),"")</f>
        <v>-17000</v>
      </c>
      <c r="P424" s="27" t="str">
        <f>RIGHT(TArticle[[#This Row],[تاریخ]],2)</f>
        <v>17</v>
      </c>
      <c r="Q424" s="27">
        <f>VLOOKUP(TArticle[[#This Row],[تاریخ]],TDays[],16,FALSE)</f>
        <v>34</v>
      </c>
      <c r="R424" s="27" t="str">
        <f>RIGHT(LEFT(TArticle[[#This Row],[تاریخ]],7),2)</f>
        <v>08</v>
      </c>
      <c r="S424" s="27" t="str">
        <f>LEFT(TArticle[[#This Row],[تاریخ]],4)</f>
        <v>1402</v>
      </c>
      <c r="U424" s="21">
        <f>VLOOKUP(TArticle[[#This Row],[شناسه]],TAccount[],7,TRUE)</f>
        <v>57000</v>
      </c>
      <c r="W424" s="21">
        <f>IF(AND(TArticle[[#This Row],[مبلغ]]&gt;0, TArticle[[#This Row],[کد وضعیت سند]]=1),TArticle[[#This Row],[مبلغ]],0)</f>
        <v>0</v>
      </c>
      <c r="X424" s="27">
        <f>IF(AND(TArticle[[#This Row],[مبلغ]]&lt;0,TArticle[[#This Row],[کد وضعیت سند]]=1),0-TArticle[[#This Row],[مبلغ]],0)</f>
        <v>0</v>
      </c>
      <c r="Y424" s="27">
        <v>4</v>
      </c>
      <c r="Z424" s="171" t="str">
        <f>IF(TArticle[[#This Row],[کد بانک]]&gt;0,VLOOKUP(TArticle[[#This Row],[کد بانک]],TBank[],2,FALSE),"")</f>
        <v>سپه</v>
      </c>
      <c r="AA424">
        <f>IF(AND(TArticle[[#This Row],[مبلغ]]&lt;0,TArticle[[#This Row],[کد وضعیت سند]]=1),0-TArticle[[#This Row],[مبلغ]],0)</f>
        <v>0</v>
      </c>
      <c r="AB424">
        <f>IF(AND(TArticle[[#This Row],[مبلغ]]&gt;0, TArticle[[#This Row],[کد وضعیت سند]]=1),TArticle[[#This Row],[مبلغ]],0)</f>
        <v>0</v>
      </c>
      <c r="AC424" s="84">
        <f>IF(TArticle[[#This Row],[کد بانک]]&gt;0,VLOOKUP(TArticle[[#This Row],[کد بانک]],TBank[],9,FALSE)+SUMIF($Y$2:Y424,Y424,$E$2:$E424),"")</f>
        <v>-29748</v>
      </c>
      <c r="AD424" s="1">
        <f>IFERROR(IF(INT(LEFT(TArticle[[#This Row],[شناسه]]))=3,IF(TArticle[[#This Row],[کد وضعیت سند]]=1,TArticle[مبلغ],0),0),0)</f>
        <v>0</v>
      </c>
      <c r="AE424" s="1">
        <f>IFERROR(IF(((TArticle[[#This Row],[شناسه]]))="4.1.1",IF(TArticle[[#This Row],[کد وضعیت سند]]=1,TArticle[مبلغ],0),0),0)</f>
        <v>0</v>
      </c>
      <c r="AF424" s="1">
        <f>IFERROR(IF(((TArticle[[#This Row],[شناسه]]))="4.1.2",IF(TArticle[[#This Row],[کد وضعیت سند]]=1,TArticle[مبلغ],0),0),0)</f>
        <v>0</v>
      </c>
      <c r="AG424" s="1">
        <f>IFERROR(IF(INT(LEFT(TArticle[[#This Row],[شناسه]]))=1,IF(TArticle[[#This Row],[کد وضعیت سند]]=1,TArticle[مبلغ],0),0),0)</f>
        <v>0</v>
      </c>
      <c r="AH424" s="1">
        <f>IFERROR(IF(INT(LEFT(TArticle[[#This Row],[شناسه]]))=2,IF(TArticle[[#This Row],[کد وضعیت سند]]=1,TArticle[مبلغ],0),0),0)</f>
        <v>0</v>
      </c>
      <c r="AI424" s="1">
        <f>IFERROR(IF((LEFT(TArticle[[#This Row],[شناسه]],3))="5.2",IF(TArticle[[#This Row],[کد وضعیت سند]]=1,TArticle[مبلغ],0),0),0)</f>
        <v>0</v>
      </c>
      <c r="AJ424" s="1">
        <f>IF(TArticle[[#This Row],[کد وضعیت سند]]=1,1,0)</f>
        <v>0</v>
      </c>
      <c r="AK424" s="1">
        <f>IF(AND(TArticle[[#This Row],[کد وضعیت سند]]&lt;&gt;1,TArticle[[#This Row],[مبلغ]]&lt;&gt;0),1,0)</f>
        <v>1</v>
      </c>
      <c r="AL424" s="51">
        <f>IF(TArticle[[#This Row],[کد بانک]]&gt;0,TArticle[[#This Row],[مانده بانک]]-VLOOKUP(TArticle[[#This Row],[کد بانک]],TBank[],7,FALSE),"")</f>
        <v>-29750</v>
      </c>
      <c r="AM424" t="str">
        <f>LEFT(TArticle[[#This Row],[تاریخ]],7)</f>
        <v>1402-08</v>
      </c>
    </row>
    <row r="425" spans="1:39" x14ac:dyDescent="0.25">
      <c r="A425" s="24" t="s">
        <v>1013</v>
      </c>
      <c r="B425" s="49" t="str">
        <f>VLOOKUP(TArticle[[#This Row],[شناسه]],TAccount[],2,TRUE)</f>
        <v>یارانه</v>
      </c>
      <c r="C425" s="49" t="str">
        <f>VLOOKUP(TArticle[[#This Row],[تاریخ]],TDays[],7,FALSE)</f>
        <v>شنبه</v>
      </c>
      <c r="D425" s="21" t="s">
        <v>788</v>
      </c>
      <c r="E425" s="1">
        <v>1500</v>
      </c>
      <c r="F425" s="1">
        <f>TArticle[[#This Row],[مبلغ]]+IFERROR(INT(F424),30181+3667+958)</f>
        <v>123261</v>
      </c>
      <c r="G425" s="49"/>
      <c r="H425" s="64"/>
      <c r="J425" s="65"/>
      <c r="K425" s="64">
        <v>2</v>
      </c>
      <c r="L425" s="171" t="str">
        <f>IF(TArticle[[#This Row],[کد وضعیت سند]]&gt;0,VLOOKUP(TArticle[[#This Row],[کد وضعیت سند]],TDocState[],2,FALSE),"")</f>
        <v>قطعی</v>
      </c>
      <c r="M425" s="67"/>
      <c r="N425" s="171" t="str">
        <f>IF(TArticle[[#This Row],[کد طرف حساب]]&gt;0,VLOOKUP(TArticle[[#This Row],[کد طرف حساب]],TContact[],2,FALSE),"")</f>
        <v/>
      </c>
      <c r="O425" s="68" t="str">
        <f>IF(TArticle[[#This Row],[کد طرف حساب]]&gt;0,VLOOKUP(TArticle[[#This Row],[کد طرف حساب]],TContact[],7,FALSE)-SUMIF($M$2:M425,M425,$E$2:$E425),"")</f>
        <v/>
      </c>
      <c r="P425" s="67" t="str">
        <f>RIGHT(TArticle[[#This Row],[تاریخ]],2)</f>
        <v>20</v>
      </c>
      <c r="Q425" s="67">
        <f>VLOOKUP(TArticle[[#This Row],[تاریخ]],TDays[],16,FALSE)</f>
        <v>35</v>
      </c>
      <c r="R425" s="67" t="str">
        <f>RIGHT(LEFT(TArticle[[#This Row],[تاریخ]],7),2)</f>
        <v>08</v>
      </c>
      <c r="S425" s="67" t="str">
        <f>LEFT(TArticle[[#This Row],[تاریخ]],4)</f>
        <v>1402</v>
      </c>
      <c r="T425" s="64"/>
      <c r="U425" s="64">
        <f>VLOOKUP(TArticle[[#This Row],[شناسه]],TAccount[],7,TRUE)</f>
        <v>12565</v>
      </c>
      <c r="V425" s="64"/>
      <c r="W425" s="64">
        <f>IF(AND(TArticle[[#This Row],[مبلغ]]&gt;0, TArticle[[#This Row],[کد وضعیت سند]]=1),TArticle[[#This Row],[مبلغ]],0)</f>
        <v>0</v>
      </c>
      <c r="X425" s="67">
        <f>IF(AND(TArticle[[#This Row],[مبلغ]]&lt;0,TArticle[[#This Row],[کد وضعیت سند]]=1),0-TArticle[[#This Row],[مبلغ]],0)</f>
        <v>0</v>
      </c>
      <c r="Y425" s="27">
        <v>2</v>
      </c>
      <c r="Z425" s="171" t="str">
        <f>IF(TArticle[[#This Row],[کد بانک]]&gt;0,VLOOKUP(TArticle[[#This Row],[کد بانک]],TBank[],2,FALSE),"")</f>
        <v>ملی جاری</v>
      </c>
      <c r="AA425">
        <f>IF(AND(TArticle[[#This Row],[مبلغ]]&lt;0,TArticle[[#This Row],[کد وضعیت سند]]=1),0-TArticle[[#This Row],[مبلغ]],0)</f>
        <v>0</v>
      </c>
      <c r="AB425">
        <f>IF(AND(TArticle[[#This Row],[مبلغ]]&gt;0, TArticle[[#This Row],[کد وضعیت سند]]=1),TArticle[[#This Row],[مبلغ]],0)</f>
        <v>0</v>
      </c>
      <c r="AC425" s="93">
        <f>IF(TArticle[[#This Row],[کد بانک]]&gt;0,VLOOKUP(TArticle[[#This Row],[کد بانک]],TBank[],9,FALSE)+SUMIF($Y$2:Y425,Y425,$E$2:$E425),"")</f>
        <v>147913</v>
      </c>
      <c r="AD425" s="1">
        <f>IFERROR(IF(INT(LEFT(TArticle[[#This Row],[شناسه]]))=3,IF(TArticle[[#This Row],[کد وضعیت سند]]=1,TArticle[مبلغ],0),0),0)</f>
        <v>0</v>
      </c>
      <c r="AE425" s="1">
        <f>IFERROR(IF(((TArticle[[#This Row],[شناسه]]))="4.1.1",IF(TArticle[[#This Row],[کد وضعیت سند]]=1,TArticle[مبلغ],0),0),0)</f>
        <v>0</v>
      </c>
      <c r="AF425" s="1">
        <f>IFERROR(IF(((TArticle[[#This Row],[شناسه]]))="4.1.2",IF(TArticle[[#This Row],[کد وضعیت سند]]=1,TArticle[مبلغ],0),0),0)</f>
        <v>0</v>
      </c>
      <c r="AG425" s="1">
        <f>IFERROR(IF(INT(LEFT(TArticle[[#This Row],[شناسه]]))=1,IF(TArticle[[#This Row],[کد وضعیت سند]]=1,TArticle[مبلغ],0),0),0)</f>
        <v>0</v>
      </c>
      <c r="AH425" s="1">
        <f>IFERROR(IF(INT(LEFT(TArticle[[#This Row],[شناسه]]))=2,IF(TArticle[[#This Row],[کد وضعیت سند]]=1,TArticle[مبلغ],0),0),0)</f>
        <v>0</v>
      </c>
      <c r="AI425" s="1">
        <f>IFERROR(IF((LEFT(TArticle[[#This Row],[شناسه]],3))="5.2",IF(TArticle[[#This Row],[کد وضعیت سند]]=1,TArticle[مبلغ],0),0),0)</f>
        <v>0</v>
      </c>
      <c r="AJ425" s="1">
        <f>IF(TArticle[[#This Row],[کد وضعیت سند]]=1,1,0)</f>
        <v>0</v>
      </c>
      <c r="AK425" s="1">
        <f>IF(AND(TArticle[[#This Row],[کد وضعیت سند]]&lt;&gt;1,TArticle[[#This Row],[مبلغ]]&lt;&gt;0),1,0)</f>
        <v>1</v>
      </c>
      <c r="AL425" s="78">
        <f>IF(TArticle[[#This Row],[کد بانک]]&gt;0,TArticle[[#This Row],[مانده بانک]]-VLOOKUP(TArticle[[#This Row],[کد بانک]],TBank[],7,FALSE),"")</f>
        <v>147913</v>
      </c>
      <c r="AM425" s="69" t="str">
        <f>LEFT(TArticle[[#This Row],[تاریخ]],7)</f>
        <v>1402-08</v>
      </c>
    </row>
    <row r="426" spans="1:39" x14ac:dyDescent="0.25">
      <c r="A426" s="24" t="s">
        <v>1110</v>
      </c>
      <c r="B426" s="49" t="str">
        <f>VLOOKUP(TArticle[[#This Row],[شناسه]],TAccount[],2,TRUE)</f>
        <v>قسط وام بانکی</v>
      </c>
      <c r="C426" s="49" t="str">
        <f>VLOOKUP(TArticle[[#This Row],[تاریخ]],TDays[],7,FALSE)</f>
        <v>یکشنبه</v>
      </c>
      <c r="D426" s="21" t="s">
        <v>796</v>
      </c>
      <c r="E426" s="1">
        <v>-1808</v>
      </c>
      <c r="F426" s="1">
        <f>TArticle[[#This Row],[مبلغ]]+IFERROR(INT(F425),30181+3667+958)</f>
        <v>121453</v>
      </c>
      <c r="G426" s="49" t="s">
        <v>1597</v>
      </c>
      <c r="H426" s="64">
        <v>25</v>
      </c>
      <c r="J426" s="65"/>
      <c r="K426" s="21">
        <v>2</v>
      </c>
      <c r="L426" s="171" t="str">
        <f>IF(TArticle[[#This Row],[کد وضعیت سند]]&gt;0,VLOOKUP(TArticle[[#This Row],[کد وضعیت سند]],TDocState[],2,FALSE),"")</f>
        <v>قطعی</v>
      </c>
      <c r="M426" s="67">
        <v>112</v>
      </c>
      <c r="N426" s="171" t="str">
        <f>IF(TArticle[[#This Row],[کد طرف حساب]]&gt;0,VLOOKUP(TArticle[[#This Row],[کد طرف حساب]],TContact[],2,FALSE),"")</f>
        <v>وام ملی</v>
      </c>
      <c r="O426" s="68">
        <f>IF(TArticle[[#This Row],[کد طرف حساب]]&gt;0,VLOOKUP(TArticle[[#This Row],[کد طرف حساب]],TContact[],7,FALSE)-SUMIF($M$2:M426,M426,$E$2:$E426),"")</f>
        <v>-17456</v>
      </c>
      <c r="P426" s="67" t="str">
        <f>RIGHT(TArticle[[#This Row],[تاریخ]],2)</f>
        <v>28</v>
      </c>
      <c r="Q426" s="67">
        <f>VLOOKUP(TArticle[[#This Row],[تاریخ]],TDays[],16,FALSE)</f>
        <v>36</v>
      </c>
      <c r="R426" s="67" t="str">
        <f>RIGHT(LEFT(TArticle[[#This Row],[تاریخ]],7),2)</f>
        <v>08</v>
      </c>
      <c r="S426" s="67" t="str">
        <f>LEFT(TArticle[[#This Row],[تاریخ]],4)</f>
        <v>1402</v>
      </c>
      <c r="T426" s="64"/>
      <c r="U426" s="64">
        <f>VLOOKUP(TArticle[[#This Row],[شناسه]],TAccount[],7,TRUE)</f>
        <v>81652</v>
      </c>
      <c r="V426" s="21" t="s">
        <v>796</v>
      </c>
      <c r="W426" s="64">
        <f>IF(AND(TArticle[[#This Row],[مبلغ]]&gt;0, TArticle[[#This Row],[کد وضعیت سند]]=1),TArticle[[#This Row],[مبلغ]],0)</f>
        <v>0</v>
      </c>
      <c r="X426" s="67">
        <f>IF(AND(TArticle[[#This Row],[مبلغ]]&lt;0,TArticle[[#This Row],[کد وضعیت سند]]=1),0-TArticle[[#This Row],[مبلغ]],0)</f>
        <v>0</v>
      </c>
      <c r="Y426" s="67">
        <v>2</v>
      </c>
      <c r="Z426" s="171" t="str">
        <f>IF(TArticle[[#This Row],[کد بانک]]&gt;0,VLOOKUP(TArticle[[#This Row],[کد بانک]],TBank[],2,FALSE),"")</f>
        <v>ملی جاری</v>
      </c>
      <c r="AA426">
        <f>IF(AND(TArticle[[#This Row],[مبلغ]]&lt;0,TArticle[[#This Row],[کد وضعیت سند]]=1),0-TArticle[[#This Row],[مبلغ]],0)</f>
        <v>0</v>
      </c>
      <c r="AB426">
        <f>IF(AND(TArticle[[#This Row],[مبلغ]]&gt;0, TArticle[[#This Row],[کد وضعیت سند]]=1),TArticle[[#This Row],[مبلغ]],0)</f>
        <v>0</v>
      </c>
      <c r="AC426" s="93">
        <f>IF(TArticle[[#This Row],[کد بانک]]&gt;0,VLOOKUP(TArticle[[#This Row],[کد بانک]],TBank[],9,FALSE)+SUMIF($Y$2:Y426,Y426,$E$2:$E426),"")</f>
        <v>146105</v>
      </c>
      <c r="AD426" s="1">
        <f>IFERROR(IF(INT(LEFT(TArticle[[#This Row],[شناسه]]))=3,IF(TArticle[[#This Row],[کد وضعیت سند]]=1,TArticle[مبلغ],0),0),0)</f>
        <v>0</v>
      </c>
      <c r="AE426" s="1">
        <f>IFERROR(IF(((TArticle[[#This Row],[شناسه]]))="4.1.1",IF(TArticle[[#This Row],[کد وضعیت سند]]=1,TArticle[مبلغ],0),0),0)</f>
        <v>0</v>
      </c>
      <c r="AF426" s="1">
        <f>IFERROR(IF(((TArticle[[#This Row],[شناسه]]))="4.1.2",IF(TArticle[[#This Row],[کد وضعیت سند]]=1,TArticle[مبلغ],0),0),0)</f>
        <v>0</v>
      </c>
      <c r="AG426" s="1">
        <f>IFERROR(IF(INT(LEFT(TArticle[[#This Row],[شناسه]]))=1,IF(TArticle[[#This Row],[کد وضعیت سند]]=1,TArticle[مبلغ],0),0),0)</f>
        <v>0</v>
      </c>
      <c r="AH426" s="1">
        <f>IFERROR(IF(INT(LEFT(TArticle[[#This Row],[شناسه]]))=2,IF(TArticle[[#This Row],[کد وضعیت سند]]=1,TArticle[مبلغ],0),0),0)</f>
        <v>0</v>
      </c>
      <c r="AI426" s="1">
        <f>IFERROR(IF((LEFT(TArticle[[#This Row],[شناسه]],3))="5.2",IF(TArticle[[#This Row],[کد وضعیت سند]]=1,TArticle[مبلغ],0),0),0)</f>
        <v>0</v>
      </c>
      <c r="AJ426" s="1">
        <f>IF(TArticle[[#This Row],[کد وضعیت سند]]=1,1,0)</f>
        <v>0</v>
      </c>
      <c r="AK426" s="1">
        <f>IF(AND(TArticle[[#This Row],[کد وضعیت سند]]&lt;&gt;1,TArticle[[#This Row],[مبلغ]]&lt;&gt;0),1,0)</f>
        <v>1</v>
      </c>
      <c r="AL426" s="78">
        <f>IF(TArticle[[#This Row],[کد بانک]]&gt;0,TArticle[[#This Row],[مانده بانک]]-VLOOKUP(TArticle[[#This Row],[کد بانک]],TBank[],7,FALSE),"")</f>
        <v>146105</v>
      </c>
      <c r="AM426" s="58" t="str">
        <f>LEFT(TArticle[[#This Row],[تاریخ]],7)</f>
        <v>1402-08</v>
      </c>
    </row>
    <row r="427" spans="1:39" x14ac:dyDescent="0.25">
      <c r="A427" s="24"/>
      <c r="B427" s="49" t="str">
        <f>VLOOKUP(TArticle[[#This Row],[شناسه]],TAccount[],2,TRUE)</f>
        <v>---</v>
      </c>
      <c r="C427" s="49" t="str">
        <f>VLOOKUP(TArticle[[#This Row],[تاریخ]],TDays[],7,FALSE)</f>
        <v>سه شنبه</v>
      </c>
      <c r="D427" s="21" t="s">
        <v>798</v>
      </c>
      <c r="F427" s="1">
        <f>TArticle[[#This Row],[مبلغ]]+IFERROR(INT(F426),30181+3667+958)</f>
        <v>121453</v>
      </c>
      <c r="G427" s="49"/>
      <c r="L427" s="171" t="str">
        <f>IF(TArticle[[#This Row],[کد وضعیت سند]]&gt;0,VLOOKUP(TArticle[[#This Row],[کد وضعیت سند]],TDocState[],2,FALSE),"")</f>
        <v/>
      </c>
      <c r="N427" s="171" t="str">
        <f>IF(TArticle[[#This Row],[کد طرف حساب]]&gt;0,VLOOKUP(TArticle[[#This Row],[کد طرف حساب]],TContact[],2,FALSE),"")</f>
        <v/>
      </c>
      <c r="O427" s="51" t="str">
        <f>IF(TArticle[[#This Row],[کد طرف حساب]]&gt;0,VLOOKUP(TArticle[[#This Row],[کد طرف حساب]],TContact[],7,FALSE)-SUMIF($M$2:M427,M427,$E$2:$E427),"")</f>
        <v/>
      </c>
      <c r="P427" s="27" t="str">
        <f>RIGHT(TArticle[[#This Row],[تاریخ]],2)</f>
        <v>30</v>
      </c>
      <c r="Q427" s="27">
        <f>VLOOKUP(TArticle[[#This Row],[تاریخ]],TDays[],16,FALSE)</f>
        <v>36</v>
      </c>
      <c r="R427" s="27" t="str">
        <f>RIGHT(LEFT(TArticle[[#This Row],[تاریخ]],7),2)</f>
        <v>08</v>
      </c>
      <c r="S427" s="27" t="str">
        <f>LEFT(TArticle[[#This Row],[تاریخ]],4)</f>
        <v>1402</v>
      </c>
      <c r="U427" s="21">
        <f>VLOOKUP(TArticle[[#This Row],[شناسه]],TAccount[],7,TRUE)</f>
        <v>0</v>
      </c>
      <c r="W427" s="21">
        <f>IF(AND(TArticle[[#This Row],[مبلغ]]&gt;0, TArticle[[#This Row],[کد وضعیت سند]]=1),TArticle[[#This Row],[مبلغ]],0)</f>
        <v>0</v>
      </c>
      <c r="X427" s="27">
        <f>IF(AND(TArticle[[#This Row],[مبلغ]]&lt;0,TArticle[[#This Row],[کد وضعیت سند]]=1),0-TArticle[[#This Row],[مبلغ]],0)</f>
        <v>0</v>
      </c>
      <c r="Y427" s="67">
        <v>2</v>
      </c>
      <c r="Z427" s="171" t="str">
        <f>IF(TArticle[[#This Row],[کد بانک]]&gt;0,VLOOKUP(TArticle[[#This Row],[کد بانک]],TBank[],2,FALSE),"")</f>
        <v>ملی جاری</v>
      </c>
      <c r="AA427">
        <f>IF(AND(TArticle[[#This Row],[مبلغ]]&lt;0,TArticle[[#This Row],[کد وضعیت سند]]=1),0-TArticle[[#This Row],[مبلغ]],0)</f>
        <v>0</v>
      </c>
      <c r="AB427">
        <f>IF(AND(TArticle[[#This Row],[مبلغ]]&gt;0, TArticle[[#This Row],[کد وضعیت سند]]=1),TArticle[[#This Row],[مبلغ]],0)</f>
        <v>0</v>
      </c>
      <c r="AC427" s="84">
        <f>IF(TArticle[[#This Row],[کد بانک]]&gt;0,VLOOKUP(TArticle[[#This Row],[کد بانک]],TBank[],9,FALSE)+SUMIF($Y$2:Y427,Y427,$E$2:$E427),"")</f>
        <v>146105</v>
      </c>
      <c r="AD427" s="1">
        <f>IFERROR(IF(INT(LEFT(TArticle[[#This Row],[شناسه]]))=3,IF(TArticle[[#This Row],[کد وضعیت سند]]=1,TArticle[مبلغ],0),0),0)</f>
        <v>0</v>
      </c>
      <c r="AE427" s="1">
        <f>IFERROR(IF(((TArticle[[#This Row],[شناسه]]))="4.1.1",IF(TArticle[[#This Row],[کد وضعیت سند]]=1,TArticle[مبلغ],0),0),0)</f>
        <v>0</v>
      </c>
      <c r="AF427" s="1">
        <f>IFERROR(IF(((TArticle[[#This Row],[شناسه]]))="4.1.2",IF(TArticle[[#This Row],[کد وضعیت سند]]=1,TArticle[مبلغ],0),0),0)</f>
        <v>0</v>
      </c>
      <c r="AG427" s="1">
        <f>IFERROR(IF(INT(LEFT(TArticle[[#This Row],[شناسه]]))=1,IF(TArticle[[#This Row],[کد وضعیت سند]]=1,TArticle[مبلغ],0),0),0)</f>
        <v>0</v>
      </c>
      <c r="AH427" s="1">
        <f>IFERROR(IF(INT(LEFT(TArticle[[#This Row],[شناسه]]))=2,IF(TArticle[[#This Row],[کد وضعیت سند]]=1,TArticle[مبلغ],0),0),0)</f>
        <v>0</v>
      </c>
      <c r="AI427" s="1">
        <f>IFERROR(IF((LEFT(TArticle[[#This Row],[شناسه]],3))="5.2",IF(TArticle[[#This Row],[کد وضعیت سند]]=1,TArticle[مبلغ],0),0),0)</f>
        <v>0</v>
      </c>
      <c r="AJ427" s="1">
        <f>IF(TArticle[[#This Row],[کد وضعیت سند]]=1,1,0)</f>
        <v>0</v>
      </c>
      <c r="AK427" s="1">
        <f>IF(AND(TArticle[[#This Row],[کد وضعیت سند]]&lt;&gt;1,TArticle[[#This Row],[مبلغ]]&lt;&gt;0),1,0)</f>
        <v>0</v>
      </c>
      <c r="AL427" s="51">
        <f>IF(TArticle[[#This Row],[کد بانک]]&gt;0,TArticle[[#This Row],[مانده بانک]]-VLOOKUP(TArticle[[#This Row],[کد بانک]],TBank[],7,FALSE),"")</f>
        <v>146105</v>
      </c>
      <c r="AM427" s="49" t="str">
        <f>LEFT(TArticle[[#This Row],[تاریخ]],7)</f>
        <v>1402-08</v>
      </c>
    </row>
    <row r="428" spans="1:39" x14ac:dyDescent="0.25">
      <c r="A428" s="24"/>
      <c r="B428" s="49" t="str">
        <f>VLOOKUP(TArticle[[#This Row],[شناسه]],TAccount[],2,TRUE)</f>
        <v>---</v>
      </c>
      <c r="C428" s="49" t="str">
        <f>VLOOKUP(TArticle[[#This Row],[تاریخ]],TDays[],7,FALSE)</f>
        <v>سه شنبه</v>
      </c>
      <c r="D428" s="21" t="s">
        <v>798</v>
      </c>
      <c r="F428" s="1">
        <f>TArticle[[#This Row],[مبلغ]]+IFERROR(INT(F427),30181+3667+958)</f>
        <v>121453</v>
      </c>
      <c r="G428" s="49"/>
      <c r="L428" s="171" t="str">
        <f>IF(TArticle[[#This Row],[کد وضعیت سند]]&gt;0,VLOOKUP(TArticle[[#This Row],[کد وضعیت سند]],TDocState[],2,FALSE),"")</f>
        <v/>
      </c>
      <c r="N428" s="171" t="str">
        <f>IF(TArticle[[#This Row],[کد طرف حساب]]&gt;0,VLOOKUP(TArticle[[#This Row],[کد طرف حساب]],TContact[],2,FALSE),"")</f>
        <v/>
      </c>
      <c r="O428" s="51" t="str">
        <f>IF(TArticle[[#This Row],[کد طرف حساب]]&gt;0,VLOOKUP(TArticle[[#This Row],[کد طرف حساب]],TContact[],7,FALSE)-SUMIF($M$2:M428,M428,$E$2:$E428),"")</f>
        <v/>
      </c>
      <c r="P428" s="27" t="str">
        <f>RIGHT(TArticle[[#This Row],[تاریخ]],2)</f>
        <v>30</v>
      </c>
      <c r="Q428" s="27">
        <f>VLOOKUP(TArticle[[#This Row],[تاریخ]],TDays[],16,FALSE)</f>
        <v>36</v>
      </c>
      <c r="R428" s="27" t="str">
        <f>RIGHT(LEFT(TArticle[[#This Row],[تاریخ]],7),2)</f>
        <v>08</v>
      </c>
      <c r="S428" s="27" t="str">
        <f>LEFT(TArticle[[#This Row],[تاریخ]],4)</f>
        <v>1402</v>
      </c>
      <c r="U428" s="21">
        <f>VLOOKUP(TArticle[[#This Row],[شناسه]],TAccount[],7,TRUE)</f>
        <v>0</v>
      </c>
      <c r="W428" s="21">
        <f>IF(AND(TArticle[[#This Row],[مبلغ]]&gt;0, TArticle[[#This Row],[کد وضعیت سند]]=1),TArticle[[#This Row],[مبلغ]],0)</f>
        <v>0</v>
      </c>
      <c r="X428" s="27">
        <f>IF(AND(TArticle[[#This Row],[مبلغ]]&lt;0,TArticle[[#This Row],[کد وضعیت سند]]=1),0-TArticle[[#This Row],[مبلغ]],0)</f>
        <v>0</v>
      </c>
      <c r="Y428" s="67">
        <v>2</v>
      </c>
      <c r="Z428" s="171" t="str">
        <f>IF(TArticle[[#This Row],[کد بانک]]&gt;0,VLOOKUP(TArticle[[#This Row],[کد بانک]],TBank[],2,FALSE),"")</f>
        <v>ملی جاری</v>
      </c>
      <c r="AA428">
        <f>IF(AND(TArticle[[#This Row],[مبلغ]]&lt;0,TArticle[[#This Row],[کد وضعیت سند]]=1),0-TArticle[[#This Row],[مبلغ]],0)</f>
        <v>0</v>
      </c>
      <c r="AB428">
        <f>IF(AND(TArticle[[#This Row],[مبلغ]]&gt;0, TArticle[[#This Row],[کد وضعیت سند]]=1),TArticle[[#This Row],[مبلغ]],0)</f>
        <v>0</v>
      </c>
      <c r="AC428" s="84">
        <f>IF(TArticle[[#This Row],[کد بانک]]&gt;0,VLOOKUP(TArticle[[#This Row],[کد بانک]],TBank[],9,FALSE)+SUMIF($Y$2:Y428,Y428,$E$2:$E428),"")</f>
        <v>146105</v>
      </c>
      <c r="AD428" s="1">
        <f>IFERROR(IF(INT(LEFT(TArticle[[#This Row],[شناسه]]))=3,IF(TArticle[[#This Row],[کد وضعیت سند]]=1,TArticle[مبلغ],0),0),0)</f>
        <v>0</v>
      </c>
      <c r="AE428" s="1">
        <f>IFERROR(IF(((TArticle[[#This Row],[شناسه]]))="4.1.1",IF(TArticle[[#This Row],[کد وضعیت سند]]=1,TArticle[مبلغ],0),0),0)</f>
        <v>0</v>
      </c>
      <c r="AF428" s="1">
        <f>IFERROR(IF(((TArticle[[#This Row],[شناسه]]))="4.1.2",IF(TArticle[[#This Row],[کد وضعیت سند]]=1,TArticle[مبلغ],0),0),0)</f>
        <v>0</v>
      </c>
      <c r="AG428" s="1">
        <f>IFERROR(IF(INT(LEFT(TArticle[[#This Row],[شناسه]]))=1,IF(TArticle[[#This Row],[کد وضعیت سند]]=1,TArticle[مبلغ],0),0),0)</f>
        <v>0</v>
      </c>
      <c r="AH428" s="1">
        <f>IFERROR(IF(INT(LEFT(TArticle[[#This Row],[شناسه]]))=2,IF(TArticle[[#This Row],[کد وضعیت سند]]=1,TArticle[مبلغ],0),0),0)</f>
        <v>0</v>
      </c>
      <c r="AI428" s="1">
        <f>IFERROR(IF((LEFT(TArticle[[#This Row],[شناسه]],3))="5.2",IF(TArticle[[#This Row],[کد وضعیت سند]]=1,TArticle[مبلغ],0),0),0)</f>
        <v>0</v>
      </c>
      <c r="AJ428" s="1">
        <f>IF(TArticle[[#This Row],[کد وضعیت سند]]=1,1,0)</f>
        <v>0</v>
      </c>
      <c r="AK428" s="1">
        <f>IF(AND(TArticle[[#This Row],[کد وضعیت سند]]&lt;&gt;1,TArticle[[#This Row],[مبلغ]]&lt;&gt;0),1,0)</f>
        <v>0</v>
      </c>
      <c r="AL428" s="51">
        <f>IF(TArticle[[#This Row],[کد بانک]]&gt;0,TArticle[[#This Row],[مانده بانک]]-VLOOKUP(TArticle[[#This Row],[کد بانک]],TBank[],7,FALSE),"")</f>
        <v>146105</v>
      </c>
      <c r="AM428" s="49" t="str">
        <f>LEFT(TArticle[[#This Row],[تاریخ]],7)</f>
        <v>1402-08</v>
      </c>
    </row>
    <row r="429" spans="1:39" x14ac:dyDescent="0.25">
      <c r="A429" s="24" t="s">
        <v>43</v>
      </c>
      <c r="B429" s="49" t="str">
        <f>VLOOKUP(TArticle[[#This Row],[شناسه]],TAccount[],2,TRUE)</f>
        <v>حقوق</v>
      </c>
      <c r="C429" s="49" t="str">
        <f>VLOOKUP(TArticle[[#This Row],[تاریخ]],TDays[],7,FALSE)</f>
        <v>چهارشنبه</v>
      </c>
      <c r="D429" s="21" t="s">
        <v>799</v>
      </c>
      <c r="E429" s="1">
        <v>36000</v>
      </c>
      <c r="F429" s="1">
        <f>TArticle[[#This Row],[مبلغ]]+IFERROR(INT(F428),30181+3667+958)</f>
        <v>157453</v>
      </c>
      <c r="G429" s="49"/>
      <c r="H429" s="64"/>
      <c r="J429" s="65"/>
      <c r="K429" s="64">
        <v>2</v>
      </c>
      <c r="L429" s="171" t="str">
        <f>IF(TArticle[[#This Row],[کد وضعیت سند]]&gt;0,VLOOKUP(TArticle[[#This Row],[کد وضعیت سند]],TDocState[],2,FALSE),"")</f>
        <v>قطعی</v>
      </c>
      <c r="M429" s="67"/>
      <c r="N429" s="171" t="str">
        <f>IF(TArticle[[#This Row],[کد طرف حساب]]&gt;0,VLOOKUP(TArticle[[#This Row],[کد طرف حساب]],TContact[],2,FALSE),"")</f>
        <v/>
      </c>
      <c r="O429" s="68" t="str">
        <f>IF(TArticle[[#This Row],[کد طرف حساب]]&gt;0,VLOOKUP(TArticle[[#This Row],[کد طرف حساب]],TContact[],7,FALSE)-SUMIF($M$2:M429,M429,$E$2:$E429),"")</f>
        <v/>
      </c>
      <c r="P429" s="67" t="str">
        <f>RIGHT(TArticle[[#This Row],[تاریخ]],2)</f>
        <v>01</v>
      </c>
      <c r="Q429" s="67">
        <f>VLOOKUP(TArticle[[#This Row],[تاریخ]],TDays[],16,FALSE)</f>
        <v>36</v>
      </c>
      <c r="R429" s="67" t="str">
        <f>RIGHT(LEFT(TArticle[[#This Row],[تاریخ]],7),2)</f>
        <v>09</v>
      </c>
      <c r="S429" s="67" t="str">
        <f>LEFT(TArticle[[#This Row],[تاریخ]],4)</f>
        <v>1402</v>
      </c>
      <c r="T429" s="64"/>
      <c r="U429" s="64">
        <f>VLOOKUP(TArticle[[#This Row],[شناسه]],TAccount[],7,TRUE)</f>
        <v>416023</v>
      </c>
      <c r="V429" s="64"/>
      <c r="W429" s="64">
        <f>IF(AND(TArticle[[#This Row],[مبلغ]]&gt;0, TArticle[[#This Row],[کد وضعیت سند]]=1),TArticle[[#This Row],[مبلغ]],0)</f>
        <v>0</v>
      </c>
      <c r="X429" s="67">
        <f>IF(AND(TArticle[[#This Row],[مبلغ]]&lt;0,TArticle[[#This Row],[کد وضعیت سند]]=1),0-TArticle[[#This Row],[مبلغ]],0)</f>
        <v>0</v>
      </c>
      <c r="Y429" s="27">
        <v>2</v>
      </c>
      <c r="Z429" s="171" t="str">
        <f>IF(TArticle[[#This Row],[کد بانک]]&gt;0,VLOOKUP(TArticle[[#This Row],[کد بانک]],TBank[],2,FALSE),"")</f>
        <v>ملی جاری</v>
      </c>
      <c r="AA429">
        <f>IF(AND(TArticle[[#This Row],[مبلغ]]&lt;0,TArticle[[#This Row],[کد وضعیت سند]]=1),0-TArticle[[#This Row],[مبلغ]],0)</f>
        <v>0</v>
      </c>
      <c r="AB429">
        <f>IF(AND(TArticle[[#This Row],[مبلغ]]&gt;0, TArticle[[#This Row],[کد وضعیت سند]]=1),TArticle[[#This Row],[مبلغ]],0)</f>
        <v>0</v>
      </c>
      <c r="AC429" s="93">
        <f>IF(TArticle[[#This Row],[کد بانک]]&gt;0,VLOOKUP(TArticle[[#This Row],[کد بانک]],TBank[],9,FALSE)+SUMIF($Y$2:Y429,Y429,$E$2:$E429),"")</f>
        <v>182105</v>
      </c>
      <c r="AD429" s="1">
        <f>IFERROR(IF(INT(LEFT(TArticle[[#This Row],[شناسه]]))=3,IF(TArticle[[#This Row],[کد وضعیت سند]]=1,TArticle[مبلغ],0),0),0)</f>
        <v>0</v>
      </c>
      <c r="AE429" s="1">
        <f>IFERROR(IF(((TArticle[[#This Row],[شناسه]]))="4.1.1",IF(TArticle[[#This Row],[کد وضعیت سند]]=1,TArticle[مبلغ],0),0),0)</f>
        <v>0</v>
      </c>
      <c r="AF429" s="1">
        <f>IFERROR(IF(((TArticle[[#This Row],[شناسه]]))="4.1.2",IF(TArticle[[#This Row],[کد وضعیت سند]]=1,TArticle[مبلغ],0),0),0)</f>
        <v>0</v>
      </c>
      <c r="AG429" s="1">
        <f>IFERROR(IF(INT(LEFT(TArticle[[#This Row],[شناسه]]))=1,IF(TArticle[[#This Row],[کد وضعیت سند]]=1,TArticle[مبلغ],0),0),0)</f>
        <v>0</v>
      </c>
      <c r="AH429" s="1">
        <f>IFERROR(IF(INT(LEFT(TArticle[[#This Row],[شناسه]]))=2,IF(TArticle[[#This Row],[کد وضعیت سند]]=1,TArticle[مبلغ],0),0),0)</f>
        <v>0</v>
      </c>
      <c r="AI429" s="1">
        <f>IFERROR(IF((LEFT(TArticle[[#This Row],[شناسه]],3))="5.2",IF(TArticle[[#This Row],[کد وضعیت سند]]=1,TArticle[مبلغ],0),0),0)</f>
        <v>0</v>
      </c>
      <c r="AJ429" s="1">
        <f>IF(TArticle[[#This Row],[کد وضعیت سند]]=1,1,0)</f>
        <v>0</v>
      </c>
      <c r="AK429" s="1">
        <f>IF(AND(TArticle[[#This Row],[کد وضعیت سند]]&lt;&gt;1,TArticle[[#This Row],[مبلغ]]&lt;&gt;0),1,0)</f>
        <v>1</v>
      </c>
      <c r="AL429" s="78">
        <f>IF(TArticle[[#This Row],[کد بانک]]&gt;0,TArticle[[#This Row],[مانده بانک]]-VLOOKUP(TArticle[[#This Row],[کد بانک]],TBank[],7,FALSE),"")</f>
        <v>182105</v>
      </c>
      <c r="AM429" s="69" t="str">
        <f>LEFT(TArticle[[#This Row],[تاریخ]],7)</f>
        <v>1402-09</v>
      </c>
    </row>
    <row r="430" spans="1:39" x14ac:dyDescent="0.25">
      <c r="A430" s="24" t="s">
        <v>1608</v>
      </c>
      <c r="B430" s="49" t="str">
        <f>VLOOKUP(TArticle[[#This Row],[شناسه]],TAccount[],2,TRUE)</f>
        <v>بن کارت</v>
      </c>
      <c r="C430" s="49" t="str">
        <f>VLOOKUP(TArticle[[#This Row],[تاریخ]],TDays[],7,FALSE)</f>
        <v>چهارشنبه</v>
      </c>
      <c r="D430" s="21" t="s">
        <v>799</v>
      </c>
      <c r="E430" s="1">
        <v>1700</v>
      </c>
      <c r="F430" s="1">
        <f>TArticle[[#This Row],[مبلغ]]+IFERROR(INT(F429),30181+3667+958)</f>
        <v>159153</v>
      </c>
      <c r="G430" s="49"/>
      <c r="H430" s="64"/>
      <c r="J430" s="65"/>
      <c r="K430" s="64">
        <v>2</v>
      </c>
      <c r="L430" s="171" t="str">
        <f>IF(TArticle[[#This Row],[کد وضعیت سند]]&gt;0,VLOOKUP(TArticle[[#This Row],[کد وضعیت سند]],TDocState[],2,FALSE),"")</f>
        <v>قطعی</v>
      </c>
      <c r="M430" s="67"/>
      <c r="N430" s="171" t="str">
        <f>IF(TArticle[[#This Row],[کد طرف حساب]]&gt;0,VLOOKUP(TArticle[[#This Row],[کد طرف حساب]],TContact[],2,FALSE),"")</f>
        <v/>
      </c>
      <c r="O430" s="68" t="str">
        <f>IF(TArticle[[#This Row],[کد طرف حساب]]&gt;0,VLOOKUP(TArticle[[#This Row],[کد طرف حساب]],TContact[],7,FALSE)-SUMIF($M$2:M430,M430,$E$2:$E430),"")</f>
        <v/>
      </c>
      <c r="P430" s="67" t="str">
        <f>RIGHT(TArticle[[#This Row],[تاریخ]],2)</f>
        <v>01</v>
      </c>
      <c r="Q430" s="67">
        <f>VLOOKUP(TArticle[[#This Row],[تاریخ]],TDays[],16,FALSE)</f>
        <v>36</v>
      </c>
      <c r="R430" s="67" t="str">
        <f>RIGHT(LEFT(TArticle[[#This Row],[تاریخ]],7),2)</f>
        <v>09</v>
      </c>
      <c r="S430" s="67" t="str">
        <f>LEFT(TArticle[[#This Row],[تاریخ]],4)</f>
        <v>1402</v>
      </c>
      <c r="T430" s="64"/>
      <c r="U430" s="64">
        <f>VLOOKUP(TArticle[[#This Row],[شناسه]],TAccount[],7,TRUE)</f>
        <v>3000</v>
      </c>
      <c r="V430" s="64"/>
      <c r="W430" s="64">
        <f>IF(AND(TArticle[[#This Row],[مبلغ]]&gt;0, TArticle[[#This Row],[کد وضعیت سند]]=1),TArticle[[#This Row],[مبلغ]],0)</f>
        <v>0</v>
      </c>
      <c r="X430" s="67">
        <f>IF(AND(TArticle[[#This Row],[مبلغ]]&lt;0,TArticle[[#This Row],[کد وضعیت سند]]=1),0-TArticle[[#This Row],[مبلغ]],0)</f>
        <v>0</v>
      </c>
      <c r="Y430" s="27">
        <v>2</v>
      </c>
      <c r="Z430" s="171" t="str">
        <f>IF(TArticle[[#This Row],[کد بانک]]&gt;0,VLOOKUP(TArticle[[#This Row],[کد بانک]],TBank[],2,FALSE),"")</f>
        <v>ملی جاری</v>
      </c>
      <c r="AA430">
        <f>IF(AND(TArticle[[#This Row],[مبلغ]]&lt;0,TArticle[[#This Row],[کد وضعیت سند]]=1),0-TArticle[[#This Row],[مبلغ]],0)</f>
        <v>0</v>
      </c>
      <c r="AB430">
        <f>IF(AND(TArticle[[#This Row],[مبلغ]]&gt;0, TArticle[[#This Row],[کد وضعیت سند]]=1),TArticle[[#This Row],[مبلغ]],0)</f>
        <v>0</v>
      </c>
      <c r="AC430" s="93">
        <f>IF(TArticle[[#This Row],[کد بانک]]&gt;0,VLOOKUP(TArticle[[#This Row],[کد بانک]],TBank[],9,FALSE)+SUMIF($Y$2:Y430,Y430,$E$2:$E430),"")</f>
        <v>183805</v>
      </c>
      <c r="AD430" s="1">
        <f>IFERROR(IF(INT(LEFT(TArticle[[#This Row],[شناسه]]))=3,IF(TArticle[[#This Row],[کد وضعیت سند]]=1,TArticle[مبلغ],0),0),0)</f>
        <v>0</v>
      </c>
      <c r="AE430" s="1">
        <f>IFERROR(IF(((TArticle[[#This Row],[شناسه]]))="4.1.1",IF(TArticle[[#This Row],[کد وضعیت سند]]=1,TArticle[مبلغ],0),0),0)</f>
        <v>0</v>
      </c>
      <c r="AF430" s="1">
        <f>IFERROR(IF(((TArticle[[#This Row],[شناسه]]))="4.1.2",IF(TArticle[[#This Row],[کد وضعیت سند]]=1,TArticle[مبلغ],0),0),0)</f>
        <v>0</v>
      </c>
      <c r="AG430" s="1">
        <f>IFERROR(IF(INT(LEFT(TArticle[[#This Row],[شناسه]]))=1,IF(TArticle[[#This Row],[کد وضعیت سند]]=1,TArticle[مبلغ],0),0),0)</f>
        <v>0</v>
      </c>
      <c r="AH430" s="1">
        <f>IFERROR(IF(INT(LEFT(TArticle[[#This Row],[شناسه]]))=2,IF(TArticle[[#This Row],[کد وضعیت سند]]=1,TArticle[مبلغ],0),0),0)</f>
        <v>0</v>
      </c>
      <c r="AI430" s="1">
        <f>IFERROR(IF((LEFT(TArticle[[#This Row],[شناسه]],3))="5.2",IF(TArticle[[#This Row],[کد وضعیت سند]]=1,TArticle[مبلغ],0),0),0)</f>
        <v>0</v>
      </c>
      <c r="AJ430" s="1">
        <f>IF(TArticle[[#This Row],[کد وضعیت سند]]=1,1,0)</f>
        <v>0</v>
      </c>
      <c r="AK430" s="1">
        <f>IF(AND(TArticle[[#This Row],[کد وضعیت سند]]&lt;&gt;1,TArticle[[#This Row],[مبلغ]]&lt;&gt;0),1,0)</f>
        <v>1</v>
      </c>
      <c r="AL430" s="78">
        <f>IF(TArticle[[#This Row],[کد بانک]]&gt;0,TArticle[[#This Row],[مانده بانک]]-VLOOKUP(TArticle[[#This Row],[کد بانک]],TBank[],7,FALSE),"")</f>
        <v>183805</v>
      </c>
      <c r="AM430" s="69" t="str">
        <f>LEFT(TArticle[[#This Row],[تاریخ]],7)</f>
        <v>1402-09</v>
      </c>
    </row>
    <row r="431" spans="1:39" x14ac:dyDescent="0.25">
      <c r="A431" s="24" t="s">
        <v>1110</v>
      </c>
      <c r="B431" s="49" t="str">
        <f>VLOOKUP(TArticle[[#This Row],[شناسه]],TAccount[],2,TRUE)</f>
        <v>قسط وام بانکی</v>
      </c>
      <c r="C431" s="49" t="str">
        <f>VLOOKUP(TArticle[[#This Row],[تاریخ]],TDays[],7,FALSE)</f>
        <v>جمعه</v>
      </c>
      <c r="D431" s="21" t="s">
        <v>801</v>
      </c>
      <c r="E431" s="1">
        <v>-1224</v>
      </c>
      <c r="F431" s="1">
        <f>TArticle[[#This Row],[مبلغ]]+IFERROR(INT(F430),30181+3667+958)</f>
        <v>157929</v>
      </c>
      <c r="G431" s="49"/>
      <c r="H431" s="21">
        <v>3</v>
      </c>
      <c r="J431" s="84"/>
      <c r="K431" s="64">
        <v>2</v>
      </c>
      <c r="L431" s="171" t="str">
        <f>IF(TArticle[[#This Row],[کد وضعیت سند]]&gt;0,VLOOKUP(TArticle[[#This Row],[کد وضعیت سند]],TDocState[],2,FALSE),"")</f>
        <v>قطعی</v>
      </c>
      <c r="M431" s="27">
        <v>115</v>
      </c>
      <c r="N431" s="171" t="str">
        <f>IF(TArticle[[#This Row],[کد طرف حساب]]&gt;0,VLOOKUP(TArticle[[#This Row],[کد طرف حساب]],TContact[],2,FALSE),"")</f>
        <v>وام فرزند مهر</v>
      </c>
      <c r="O431" s="60">
        <f>IF(TArticle[[#This Row],[کد طرف حساب]]&gt;0,VLOOKUP(TArticle[[#This Row],[کد طرف حساب]],TContact[],7,FALSE)-SUMIF($M$2:M431,M431,$E$2:$E431),"")</f>
        <v>-57552</v>
      </c>
      <c r="P431" s="21" t="str">
        <f>RIGHT(TArticle[[#This Row],[تاریخ]],2)</f>
        <v>03</v>
      </c>
      <c r="Q431" s="21">
        <f>VLOOKUP(TArticle[[#This Row],[تاریخ]],TDays[],16,FALSE)</f>
        <v>37</v>
      </c>
      <c r="R431" s="21" t="str">
        <f>RIGHT(LEFT(TArticle[[#This Row],[تاریخ]],7),2)</f>
        <v>09</v>
      </c>
      <c r="S431" s="21" t="str">
        <f>LEFT(TArticle[[#This Row],[تاریخ]],4)</f>
        <v>1402</v>
      </c>
      <c r="U431" s="21">
        <f>VLOOKUP(TArticle[[#This Row],[شناسه]],TAccount[],7,TRUE)</f>
        <v>81652</v>
      </c>
      <c r="W431" s="21">
        <f>IF(AND(TArticle[[#This Row],[مبلغ]]&gt;0, TArticle[[#This Row],[کد وضعیت سند]]=1),TArticle[[#This Row],[مبلغ]],0)</f>
        <v>0</v>
      </c>
      <c r="X431" s="21">
        <f>IF(AND(TArticle[[#This Row],[مبلغ]]&lt;0,TArticle[[#This Row],[کد وضعیت سند]]=1),0-TArticle[[#This Row],[مبلغ]],0)</f>
        <v>0</v>
      </c>
      <c r="Y431" s="27">
        <v>2</v>
      </c>
      <c r="Z431" s="171" t="str">
        <f>IF(TArticle[[#This Row],[کد بانک]]&gt;0,VLOOKUP(TArticle[[#This Row],[کد بانک]],TBank[],2,FALSE),"")</f>
        <v>ملی جاری</v>
      </c>
      <c r="AA431">
        <f>IF(AND(TArticle[[#This Row],[مبلغ]]&lt;0,TArticle[[#This Row],[کد وضعیت سند]]=1),0-TArticle[[#This Row],[مبلغ]],0)</f>
        <v>0</v>
      </c>
      <c r="AB431">
        <f>IF(AND(TArticle[[#This Row],[مبلغ]]&gt;0, TArticle[[#This Row],[کد وضعیت سند]]=1),TArticle[[#This Row],[مبلغ]],0)</f>
        <v>0</v>
      </c>
      <c r="AC431" s="84">
        <f>IF(TArticle[[#This Row],[کد بانک]]&gt;0,VLOOKUP(TArticle[[#This Row],[کد بانک]],TBank[],9,FALSE)+SUMIF($Y$2:Y431,Y431,$E$2:$E431),"")</f>
        <v>182581</v>
      </c>
      <c r="AD431" s="1">
        <f>IFERROR(IF(INT(LEFT(TArticle[[#This Row],[شناسه]]))=3,IF(TArticle[[#This Row],[کد وضعیت سند]]=1,TArticle[مبلغ],0),0),0)</f>
        <v>0</v>
      </c>
      <c r="AE431" s="1">
        <f>IFERROR(IF(((TArticle[[#This Row],[شناسه]]))="4.1.1",IF(TArticle[[#This Row],[کد وضعیت سند]]=1,TArticle[مبلغ],0),0),0)</f>
        <v>0</v>
      </c>
      <c r="AF431" s="1">
        <f>IFERROR(IF(((TArticle[[#This Row],[شناسه]]))="4.1.2",IF(TArticle[[#This Row],[کد وضعیت سند]]=1,TArticle[مبلغ],0),0),0)</f>
        <v>0</v>
      </c>
      <c r="AG431" s="1">
        <f>IFERROR(IF(INT(LEFT(TArticle[[#This Row],[شناسه]]))=1,IF(TArticle[[#This Row],[کد وضعیت سند]]=1,TArticle[مبلغ],0),0),0)</f>
        <v>0</v>
      </c>
      <c r="AH431" s="1">
        <f>IFERROR(IF(INT(LEFT(TArticle[[#This Row],[شناسه]]))=2,IF(TArticle[[#This Row],[کد وضعیت سند]]=1,TArticle[مبلغ],0),0),0)</f>
        <v>0</v>
      </c>
      <c r="AI431" s="1">
        <f>IFERROR(IF((LEFT(TArticle[[#This Row],[شناسه]],3))="5.2",IF(TArticle[[#This Row],[کد وضعیت سند]]=1,TArticle[مبلغ],0),0),0)</f>
        <v>0</v>
      </c>
      <c r="AJ431" s="1">
        <f>IF(TArticle[[#This Row],[کد وضعیت سند]]=1,1,0)</f>
        <v>0</v>
      </c>
      <c r="AK431" s="1">
        <f>IF(AND(TArticle[[#This Row],[کد وضعیت سند]]&lt;&gt;1,TArticle[[#This Row],[مبلغ]]&lt;&gt;0),1,0)</f>
        <v>1</v>
      </c>
      <c r="AL431" s="51">
        <f>IF(TArticle[[#This Row],[کد بانک]]&gt;0,TArticle[[#This Row],[مانده بانک]]-VLOOKUP(TArticle[[#This Row],[کد بانک]],TBank[],7,FALSE),"")</f>
        <v>182581</v>
      </c>
      <c r="AM431" s="58" t="str">
        <f>LEFT(TArticle[[#This Row],[تاریخ]],7)</f>
        <v>1402-09</v>
      </c>
    </row>
    <row r="432" spans="1:39" x14ac:dyDescent="0.25">
      <c r="A432" s="24" t="s">
        <v>1110</v>
      </c>
      <c r="B432" s="49" t="str">
        <f>VLOOKUP(TArticle[[#This Row],[شناسه]],TAccount[],2,TRUE)</f>
        <v>قسط وام بانکی</v>
      </c>
      <c r="C432" s="49" t="str">
        <f>VLOOKUP(TArticle[[#This Row],[تاریخ]],TDays[],7,FALSE)</f>
        <v>جمعه</v>
      </c>
      <c r="D432" s="21" t="s">
        <v>801</v>
      </c>
      <c r="E432" s="1">
        <v>-1830</v>
      </c>
      <c r="F432" s="1">
        <f>TArticle[[#This Row],[مبلغ]]+IFERROR(INT(F431),30181+3667+958)</f>
        <v>156099</v>
      </c>
      <c r="G432" s="49" t="s">
        <v>1591</v>
      </c>
      <c r="H432" s="21">
        <v>30</v>
      </c>
      <c r="K432" s="21">
        <v>2</v>
      </c>
      <c r="L432" s="171" t="str">
        <f>IF(TArticle[[#This Row],[کد وضعیت سند]]&gt;0,VLOOKUP(TArticle[[#This Row],[کد وضعیت سند]],TDocState[],2,FALSE),"")</f>
        <v>قطعی</v>
      </c>
      <c r="M432" s="27">
        <v>110</v>
      </c>
      <c r="N432" s="171" t="str">
        <f>IF(TArticle[[#This Row],[کد طرف حساب]]&gt;0,VLOOKUP(TArticle[[#This Row],[کد طرف حساب]],TContact[],2,FALSE),"")</f>
        <v>وام ملت</v>
      </c>
      <c r="O432" s="61">
        <f>IF(TArticle[[#This Row],[کد طرف حساب]]&gt;0,VLOOKUP(TArticle[[#This Row],[کد طرف حساب]],TContact[],7,FALSE)-SUMIF($M$2:M432,M432,$E$2:$E432),"")</f>
        <v>-9740</v>
      </c>
      <c r="P432" s="27" t="str">
        <f>RIGHT(TArticle[[#This Row],[تاریخ]],2)</f>
        <v>03</v>
      </c>
      <c r="Q432" s="27">
        <f>VLOOKUP(TArticle[[#This Row],[تاریخ]],TDays[],16,FALSE)</f>
        <v>37</v>
      </c>
      <c r="R432" s="27" t="str">
        <f>RIGHT(LEFT(TArticle[[#This Row],[تاریخ]],7),2)</f>
        <v>09</v>
      </c>
      <c r="S432" s="27" t="str">
        <f>LEFT(TArticle[[#This Row],[تاریخ]],4)</f>
        <v>1402</v>
      </c>
      <c r="U432" s="21">
        <f>VLOOKUP(TArticle[[#This Row],[شناسه]],TAccount[],7,TRUE)</f>
        <v>81652</v>
      </c>
      <c r="V432" s="21" t="s">
        <v>801</v>
      </c>
      <c r="W432" s="21">
        <f>IF(AND(TArticle[[#This Row],[مبلغ]]&gt;0, TArticle[[#This Row],[کد وضعیت سند]]=1),TArticle[[#This Row],[مبلغ]],0)</f>
        <v>0</v>
      </c>
      <c r="X432" s="27">
        <f>IF(AND(TArticle[[#This Row],[مبلغ]]&lt;0,TArticle[[#This Row],[کد وضعیت سند]]=1),0-TArticle[[#This Row],[مبلغ]],0)</f>
        <v>0</v>
      </c>
      <c r="Y432" s="27">
        <v>2</v>
      </c>
      <c r="Z432" s="171" t="str">
        <f>IF(TArticle[[#This Row],[کد بانک]]&gt;0,VLOOKUP(TArticle[[#This Row],[کد بانک]],TBank[],2,FALSE),"")</f>
        <v>ملی جاری</v>
      </c>
      <c r="AA432">
        <f>IF(AND(TArticle[[#This Row],[مبلغ]]&lt;0,TArticle[[#This Row],[کد وضعیت سند]]=1),0-TArticle[[#This Row],[مبلغ]],0)</f>
        <v>0</v>
      </c>
      <c r="AB432">
        <f>IF(AND(TArticle[[#This Row],[مبلغ]]&gt;0, TArticle[[#This Row],[کد وضعیت سند]]=1),TArticle[[#This Row],[مبلغ]],0)</f>
        <v>0</v>
      </c>
      <c r="AC432" s="84">
        <f>IF(TArticle[[#This Row],[کد بانک]]&gt;0,VLOOKUP(TArticle[[#This Row],[کد بانک]],TBank[],9,FALSE)+SUMIF($Y$2:Y432,Y432,$E$2:$E432),"")</f>
        <v>180751</v>
      </c>
      <c r="AD432" s="1">
        <f>IFERROR(IF(INT(LEFT(TArticle[[#This Row],[شناسه]]))=3,IF(TArticle[[#This Row],[کد وضعیت سند]]=1,TArticle[مبلغ],0),0),0)</f>
        <v>0</v>
      </c>
      <c r="AE432" s="1">
        <f>IFERROR(IF(((TArticle[[#This Row],[شناسه]]))="4.1.1",IF(TArticle[[#This Row],[کد وضعیت سند]]=1,TArticle[مبلغ],0),0),0)</f>
        <v>0</v>
      </c>
      <c r="AF432" s="1">
        <f>IFERROR(IF(((TArticle[[#This Row],[شناسه]]))="4.1.2",IF(TArticle[[#This Row],[کد وضعیت سند]]=1,TArticle[مبلغ],0),0),0)</f>
        <v>0</v>
      </c>
      <c r="AG432" s="1">
        <f>IFERROR(IF(INT(LEFT(TArticle[[#This Row],[شناسه]]))=1,IF(TArticle[[#This Row],[کد وضعیت سند]]=1,TArticle[مبلغ],0),0),0)</f>
        <v>0</v>
      </c>
      <c r="AH432" s="1">
        <f>IFERROR(IF(INT(LEFT(TArticle[[#This Row],[شناسه]]))=2,IF(TArticle[[#This Row],[کد وضعیت سند]]=1,TArticle[مبلغ],0),0),0)</f>
        <v>0</v>
      </c>
      <c r="AI432" s="1">
        <f>IFERROR(IF((LEFT(TArticle[[#This Row],[شناسه]],3))="5.2",IF(TArticle[[#This Row],[کد وضعیت سند]]=1,TArticle[مبلغ],0),0),0)</f>
        <v>0</v>
      </c>
      <c r="AJ432" s="1">
        <f>IF(TArticle[[#This Row],[کد وضعیت سند]]=1,1,0)</f>
        <v>0</v>
      </c>
      <c r="AK432" s="1">
        <f>IF(AND(TArticle[[#This Row],[کد وضعیت سند]]&lt;&gt;1,TArticle[[#This Row],[مبلغ]]&lt;&gt;0),1,0)</f>
        <v>1</v>
      </c>
      <c r="AL432" s="51">
        <f>IF(TArticle[[#This Row],[کد بانک]]&gt;0,TArticle[[#This Row],[مانده بانک]]-VLOOKUP(TArticle[[#This Row],[کد بانک]],TBank[],7,FALSE),"")</f>
        <v>180751</v>
      </c>
      <c r="AM432" s="49" t="str">
        <f>LEFT(TArticle[[#This Row],[تاریخ]],7)</f>
        <v>1402-09</v>
      </c>
    </row>
    <row r="433" spans="1:39" x14ac:dyDescent="0.25">
      <c r="A433" s="24" t="s">
        <v>1110</v>
      </c>
      <c r="B433" s="49" t="str">
        <f>VLOOKUP(TArticle[[#This Row],[شناسه]],TAccount[],2,TRUE)</f>
        <v>قسط وام بانکی</v>
      </c>
      <c r="C433" s="49" t="str">
        <f>VLOOKUP(TArticle[[#This Row],[تاریخ]],TDays[],7,FALSE)</f>
        <v>جمعه</v>
      </c>
      <c r="D433" s="21" t="s">
        <v>801</v>
      </c>
      <c r="E433" s="1">
        <v>-1830</v>
      </c>
      <c r="F433" s="1">
        <f>TArticle[[#This Row],[مبلغ]]+IFERROR(INT(F432),30181+3667+958)</f>
        <v>154269</v>
      </c>
      <c r="G433" s="49" t="s">
        <v>1591</v>
      </c>
      <c r="H433" s="21">
        <v>30</v>
      </c>
      <c r="K433" s="21">
        <v>2</v>
      </c>
      <c r="L433" s="171" t="str">
        <f>IF(TArticle[[#This Row],[کد وضعیت سند]]&gt;0,VLOOKUP(TArticle[[#This Row],[کد وضعیت سند]],TDocState[],2,FALSE),"")</f>
        <v>قطعی</v>
      </c>
      <c r="M433" s="27">
        <v>111</v>
      </c>
      <c r="N433" s="171" t="str">
        <f>IF(TArticle[[#This Row],[کد طرف حساب]]&gt;0,VLOOKUP(TArticle[[#This Row],[کد طرف حساب]],TContact[],2,FALSE),"")</f>
        <v>وام ملت ف</v>
      </c>
      <c r="O433" s="61">
        <f>IF(TArticle[[#This Row],[کد طرف حساب]]&gt;0,VLOOKUP(TArticle[[#This Row],[کد طرف حساب]],TContact[],7,FALSE)-SUMIF($M$2:M433,M433,$E$2:$E433),"")</f>
        <v>-9740</v>
      </c>
      <c r="P433" s="27" t="str">
        <f>RIGHT(TArticle[[#This Row],[تاریخ]],2)</f>
        <v>03</v>
      </c>
      <c r="Q433" s="27">
        <f>VLOOKUP(TArticle[[#This Row],[تاریخ]],TDays[],16,FALSE)</f>
        <v>37</v>
      </c>
      <c r="R433" s="27" t="str">
        <f>RIGHT(LEFT(TArticle[[#This Row],[تاریخ]],7),2)</f>
        <v>09</v>
      </c>
      <c r="S433" s="27" t="str">
        <f>LEFT(TArticle[[#This Row],[تاریخ]],4)</f>
        <v>1402</v>
      </c>
      <c r="U433" s="21">
        <f>VLOOKUP(TArticle[[#This Row],[شناسه]],TAccount[],7,TRUE)</f>
        <v>81652</v>
      </c>
      <c r="V433" s="21" t="s">
        <v>801</v>
      </c>
      <c r="W433" s="21">
        <f>IF(AND(TArticle[[#This Row],[مبلغ]]&gt;0, TArticle[[#This Row],[کد وضعیت سند]]=1),TArticle[[#This Row],[مبلغ]],0)</f>
        <v>0</v>
      </c>
      <c r="X433" s="27">
        <f>IF(AND(TArticle[[#This Row],[مبلغ]]&lt;0,TArticle[[#This Row],[کد وضعیت سند]]=1),0-TArticle[[#This Row],[مبلغ]],0)</f>
        <v>0</v>
      </c>
      <c r="Y433" s="27">
        <v>2</v>
      </c>
      <c r="Z433" s="171" t="str">
        <f>IF(TArticle[[#This Row],[کد بانک]]&gt;0,VLOOKUP(TArticle[[#This Row],[کد بانک]],TBank[],2,FALSE),"")</f>
        <v>ملی جاری</v>
      </c>
      <c r="AA433">
        <f>IF(AND(TArticle[[#This Row],[مبلغ]]&lt;0,TArticle[[#This Row],[کد وضعیت سند]]=1),0-TArticle[[#This Row],[مبلغ]],0)</f>
        <v>0</v>
      </c>
      <c r="AB433">
        <f>IF(AND(TArticle[[#This Row],[مبلغ]]&gt;0, TArticle[[#This Row],[کد وضعیت سند]]=1),TArticle[[#This Row],[مبلغ]],0)</f>
        <v>0</v>
      </c>
      <c r="AC433" s="84">
        <f>IF(TArticle[[#This Row],[کد بانک]]&gt;0,VLOOKUP(TArticle[[#This Row],[کد بانک]],TBank[],9,FALSE)+SUMIF($Y$2:Y433,Y433,$E$2:$E433),"")</f>
        <v>178921</v>
      </c>
      <c r="AD433" s="1">
        <f>IFERROR(IF(INT(LEFT(TArticle[[#This Row],[شناسه]]))=3,IF(TArticle[[#This Row],[کد وضعیت سند]]=1,TArticle[مبلغ],0),0),0)</f>
        <v>0</v>
      </c>
      <c r="AE433" s="1">
        <f>IFERROR(IF(((TArticle[[#This Row],[شناسه]]))="4.1.1",IF(TArticle[[#This Row],[کد وضعیت سند]]=1,TArticle[مبلغ],0),0),0)</f>
        <v>0</v>
      </c>
      <c r="AF433" s="1">
        <f>IFERROR(IF(((TArticle[[#This Row],[شناسه]]))="4.1.2",IF(TArticle[[#This Row],[کد وضعیت سند]]=1,TArticle[مبلغ],0),0),0)</f>
        <v>0</v>
      </c>
      <c r="AG433" s="1">
        <f>IFERROR(IF(INT(LEFT(TArticle[[#This Row],[شناسه]]))=1,IF(TArticle[[#This Row],[کد وضعیت سند]]=1,TArticle[مبلغ],0),0),0)</f>
        <v>0</v>
      </c>
      <c r="AH433" s="1">
        <f>IFERROR(IF(INT(LEFT(TArticle[[#This Row],[شناسه]]))=2,IF(TArticle[[#This Row],[کد وضعیت سند]]=1,TArticle[مبلغ],0),0),0)</f>
        <v>0</v>
      </c>
      <c r="AI433" s="1">
        <f>IFERROR(IF((LEFT(TArticle[[#This Row],[شناسه]],3))="5.2",IF(TArticle[[#This Row],[کد وضعیت سند]]=1,TArticle[مبلغ],0),0),0)</f>
        <v>0</v>
      </c>
      <c r="AJ433" s="1">
        <f>IF(TArticle[[#This Row],[کد وضعیت سند]]=1,1,0)</f>
        <v>0</v>
      </c>
      <c r="AK433" s="1">
        <f>IF(AND(TArticle[[#This Row],[کد وضعیت سند]]&lt;&gt;1,TArticle[[#This Row],[مبلغ]]&lt;&gt;0),1,0)</f>
        <v>1</v>
      </c>
      <c r="AL433" s="51">
        <f>IF(TArticle[[#This Row],[کد بانک]]&gt;0,TArticle[[#This Row],[مانده بانک]]-VLOOKUP(TArticle[[#This Row],[کد بانک]],TBank[],7,FALSE),"")</f>
        <v>178921</v>
      </c>
      <c r="AM433" s="49" t="str">
        <f>LEFT(TArticle[[#This Row],[تاریخ]],7)</f>
        <v>1402-09</v>
      </c>
    </row>
    <row r="434" spans="1:39" x14ac:dyDescent="0.25">
      <c r="A434" s="24" t="s">
        <v>1110</v>
      </c>
      <c r="B434" s="49" t="str">
        <f>VLOOKUP(TArticle[[#This Row],[شناسه]],TAccount[],2,TRUE)</f>
        <v>قسط وام بانکی</v>
      </c>
      <c r="C434" s="49" t="str">
        <f>VLOOKUP(TArticle[[#This Row],[تاریخ]],TDays[],7,FALSE)</f>
        <v>شنبه</v>
      </c>
      <c r="D434" s="21" t="s">
        <v>802</v>
      </c>
      <c r="E434" s="1">
        <v>-532</v>
      </c>
      <c r="F434" s="1">
        <f>TArticle[[#This Row],[مبلغ]]+IFERROR(INT(F433),30181+3667+958)</f>
        <v>153737</v>
      </c>
      <c r="G434" s="49"/>
      <c r="H434" s="21">
        <v>9</v>
      </c>
      <c r="J434" s="51"/>
      <c r="K434" s="64">
        <v>2</v>
      </c>
      <c r="L434" s="171" t="str">
        <f>IF(TArticle[[#This Row],[کد وضعیت سند]]&gt;0,VLOOKUP(TArticle[[#This Row],[کد وضعیت سند]],TDocState[],2,FALSE),"")</f>
        <v>قطعی</v>
      </c>
      <c r="M434" s="67">
        <v>116</v>
      </c>
      <c r="N434" s="171" t="str">
        <f>IF(TArticle[[#This Row],[کد طرف حساب]]&gt;0,VLOOKUP(TArticle[[#This Row],[کد طرف حساب]],TContact[],2,FALSE),"")</f>
        <v>وام امتیازی مهر</v>
      </c>
      <c r="O434" s="60">
        <f>IF(TArticle[[#This Row],[کد طرف حساب]]&gt;0,VLOOKUP(TArticle[[#This Row],[کد طرف حساب]],TContact[],7,FALSE)-SUMIF($M$2:M434,M434,$E$2:$E434),"")</f>
        <v>-7444</v>
      </c>
      <c r="P434" s="27" t="str">
        <f>RIGHT(TArticle[[#This Row],[تاریخ]],2)</f>
        <v>04</v>
      </c>
      <c r="Q434" s="27">
        <f>VLOOKUP(TArticle[[#This Row],[تاریخ]],TDays[],16,FALSE)</f>
        <v>37</v>
      </c>
      <c r="R434" s="27" t="str">
        <f>RIGHT(LEFT(TArticle[[#This Row],[تاریخ]],7),2)</f>
        <v>09</v>
      </c>
      <c r="S434" s="27" t="str">
        <f>LEFT(TArticle[[#This Row],[تاریخ]],4)</f>
        <v>1402</v>
      </c>
      <c r="U434" s="21">
        <f>VLOOKUP(TArticle[[#This Row],[شناسه]],TAccount[],7,TRUE)</f>
        <v>81652</v>
      </c>
      <c r="W434" s="21">
        <f>IF(AND(TArticle[[#This Row],[مبلغ]]&gt;0, TArticle[[#This Row],[کد وضعیت سند]]=1),TArticle[[#This Row],[مبلغ]],0)</f>
        <v>0</v>
      </c>
      <c r="X434" s="27">
        <f>IF(AND(TArticle[[#This Row],[مبلغ]]&lt;0,TArticle[[#This Row],[کد وضعیت سند]]=1),0-TArticle[[#This Row],[مبلغ]],0)</f>
        <v>0</v>
      </c>
      <c r="Y434" s="27">
        <v>2</v>
      </c>
      <c r="Z434" s="171" t="str">
        <f>IF(TArticle[[#This Row],[کد بانک]]&gt;0,VLOOKUP(TArticle[[#This Row],[کد بانک]],TBank[],2,FALSE),"")</f>
        <v>ملی جاری</v>
      </c>
      <c r="AA434">
        <f>IF(AND(TArticle[[#This Row],[مبلغ]]&lt;0,TArticle[[#This Row],[کد وضعیت سند]]=1),0-TArticle[[#This Row],[مبلغ]],0)</f>
        <v>0</v>
      </c>
      <c r="AB434">
        <f>IF(AND(TArticle[[#This Row],[مبلغ]]&gt;0, TArticle[[#This Row],[کد وضعیت سند]]=1),TArticle[[#This Row],[مبلغ]],0)</f>
        <v>0</v>
      </c>
      <c r="AC434" s="92">
        <f>IF(TArticle[[#This Row],[کد بانک]]&gt;0,VLOOKUP(TArticle[[#This Row],[کد بانک]],TBank[],9,FALSE)+SUMIF($Y$2:Y434,Y434,$E$2:$E434),"")</f>
        <v>178389</v>
      </c>
      <c r="AD434" s="1">
        <f>IFERROR(IF(INT(LEFT(TArticle[[#This Row],[شناسه]]))=3,IF(TArticle[[#This Row],[کد وضعیت سند]]=1,TArticle[مبلغ],0),0),0)</f>
        <v>0</v>
      </c>
      <c r="AE434" s="1">
        <f>IFERROR(IF(((TArticle[[#This Row],[شناسه]]))="4.1.1",IF(TArticle[[#This Row],[کد وضعیت سند]]=1,TArticle[مبلغ],0),0),0)</f>
        <v>0</v>
      </c>
      <c r="AF434" s="1">
        <f>IFERROR(IF(((TArticle[[#This Row],[شناسه]]))="4.1.2",IF(TArticle[[#This Row],[کد وضعیت سند]]=1,TArticle[مبلغ],0),0),0)</f>
        <v>0</v>
      </c>
      <c r="AG434" s="1">
        <f>IFERROR(IF(INT(LEFT(TArticle[[#This Row],[شناسه]]))=1,IF(TArticle[[#This Row],[کد وضعیت سند]]=1,TArticle[مبلغ],0),0),0)</f>
        <v>0</v>
      </c>
      <c r="AH434" s="1">
        <f>IFERROR(IF(INT(LEFT(TArticle[[#This Row],[شناسه]]))=2,IF(TArticle[[#This Row],[کد وضعیت سند]]=1,TArticle[مبلغ],0),0),0)</f>
        <v>0</v>
      </c>
      <c r="AI434" s="1">
        <f>IFERROR(IF((LEFT(TArticle[[#This Row],[شناسه]],3))="5.2",IF(TArticle[[#This Row],[کد وضعیت سند]]=1,TArticle[مبلغ],0),0),0)</f>
        <v>0</v>
      </c>
      <c r="AJ434" s="1">
        <f>IF(TArticle[[#This Row],[کد وضعیت سند]]=1,1,0)</f>
        <v>0</v>
      </c>
      <c r="AK434" s="1">
        <f>IF(AND(TArticle[[#This Row],[کد وضعیت سند]]&lt;&gt;1,TArticle[[#This Row],[مبلغ]]&lt;&gt;0),1,0)</f>
        <v>1</v>
      </c>
      <c r="AL434" s="51">
        <f>IF(TArticle[[#This Row],[کد بانک]]&gt;0,TArticle[[#This Row],[مانده بانک]]-VLOOKUP(TArticle[[#This Row],[کد بانک]],TBank[],7,FALSE),"")</f>
        <v>178389</v>
      </c>
      <c r="AM434" s="58" t="str">
        <f>LEFT(TArticle[[#This Row],[تاریخ]],7)</f>
        <v>1402-09</v>
      </c>
    </row>
    <row r="435" spans="1:39" x14ac:dyDescent="0.25">
      <c r="A435" s="24" t="s">
        <v>1110</v>
      </c>
      <c r="B435" s="49" t="str">
        <f>VLOOKUP(TArticle[[#This Row],[شناسه]],TAccount[],2,TRUE)</f>
        <v>قسط وام بانکی</v>
      </c>
      <c r="C435" s="49" t="str">
        <f>VLOOKUP(TArticle[[#This Row],[تاریخ]],TDays[],7,FALSE)</f>
        <v>پنجشنبه</v>
      </c>
      <c r="D435" s="21" t="s">
        <v>807</v>
      </c>
      <c r="E435" s="1">
        <f>'طرف حساب'!$J$29</f>
        <v>-3616</v>
      </c>
      <c r="F435" s="1">
        <f>TArticle[[#This Row],[مبلغ]]+IFERROR(INT(F434),30181+3667+958)</f>
        <v>150121</v>
      </c>
      <c r="G435" s="49"/>
      <c r="H435" s="21">
        <v>10</v>
      </c>
      <c r="J435" s="51"/>
      <c r="K435" s="64">
        <v>2</v>
      </c>
      <c r="L435" s="171" t="str">
        <f>IF(TArticle[[#This Row],[کد وضعیت سند]]&gt;0,VLOOKUP(TArticle[[#This Row],[کد وضعیت سند]],TDocState[],2,FALSE),"")</f>
        <v>قطعی</v>
      </c>
      <c r="M435" s="67">
        <v>114</v>
      </c>
      <c r="N435" s="171" t="str">
        <f>IF(TArticle[[#This Row],[کد طرف حساب]]&gt;0,VLOOKUP(TArticle[[#This Row],[کد طرف حساب]],TContact[],2,FALSE),"")</f>
        <v>وام کارت ملی ف</v>
      </c>
      <c r="O435" s="60">
        <f>IF(TArticle[[#This Row],[کد طرف حساب]]&gt;0,VLOOKUP(TArticle[[#This Row],[کد طرف حساب]],TContact[],7,FALSE)-SUMIF($M$2:M435,M435,$E$2:$E435),"")</f>
        <v>-95298</v>
      </c>
      <c r="P435" s="27" t="str">
        <f>RIGHT(TArticle[[#This Row],[تاریخ]],2)</f>
        <v>09</v>
      </c>
      <c r="Q435" s="27">
        <f>VLOOKUP(TArticle[[#This Row],[تاریخ]],TDays[],16,FALSE)</f>
        <v>37</v>
      </c>
      <c r="R435" s="27" t="str">
        <f>RIGHT(LEFT(TArticle[[#This Row],[تاریخ]],7),2)</f>
        <v>09</v>
      </c>
      <c r="S435" s="27" t="str">
        <f>LEFT(TArticle[[#This Row],[تاریخ]],4)</f>
        <v>1402</v>
      </c>
      <c r="U435" s="21">
        <f>VLOOKUP(TArticle[[#This Row],[شناسه]],TAccount[],7,TRUE)</f>
        <v>81652</v>
      </c>
      <c r="W435" s="21">
        <f>IF(AND(TArticle[[#This Row],[مبلغ]]&gt;0, TArticle[[#This Row],[کد وضعیت سند]]=1),TArticle[[#This Row],[مبلغ]],0)</f>
        <v>0</v>
      </c>
      <c r="X435" s="27">
        <f>IF(AND(TArticle[[#This Row],[مبلغ]]&lt;0,TArticle[[#This Row],[کد وضعیت سند]]=1),0-TArticle[[#This Row],[مبلغ]],0)</f>
        <v>0</v>
      </c>
      <c r="Y435" s="27">
        <v>2</v>
      </c>
      <c r="Z435" s="171" t="str">
        <f>IF(TArticle[[#This Row],[کد بانک]]&gt;0,VLOOKUP(TArticle[[#This Row],[کد بانک]],TBank[],2,FALSE),"")</f>
        <v>ملی جاری</v>
      </c>
      <c r="AA435">
        <f>IF(AND(TArticle[[#This Row],[مبلغ]]&lt;0,TArticle[[#This Row],[کد وضعیت سند]]=1),0-TArticle[[#This Row],[مبلغ]],0)</f>
        <v>0</v>
      </c>
      <c r="AB435">
        <f>IF(AND(TArticle[[#This Row],[مبلغ]]&gt;0, TArticle[[#This Row],[کد وضعیت سند]]=1),TArticle[[#This Row],[مبلغ]],0)</f>
        <v>0</v>
      </c>
      <c r="AC435" s="92">
        <f>IF(TArticle[[#This Row],[کد بانک]]&gt;0,VLOOKUP(TArticle[[#This Row],[کد بانک]],TBank[],9,FALSE)+SUMIF($Y$2:Y435,Y435,$E$2:$E435),"")</f>
        <v>174773</v>
      </c>
      <c r="AD435" s="1">
        <f>IFERROR(IF(INT(LEFT(TArticle[[#This Row],[شناسه]]))=3,IF(TArticle[[#This Row],[کد وضعیت سند]]=1,TArticle[مبلغ],0),0),0)</f>
        <v>0</v>
      </c>
      <c r="AE435" s="1">
        <f>IFERROR(IF(((TArticle[[#This Row],[شناسه]]))="4.1.1",IF(TArticle[[#This Row],[کد وضعیت سند]]=1,TArticle[مبلغ],0),0),0)</f>
        <v>0</v>
      </c>
      <c r="AF435" s="1">
        <f>IFERROR(IF(((TArticle[[#This Row],[شناسه]]))="4.1.2",IF(TArticle[[#This Row],[کد وضعیت سند]]=1,TArticle[مبلغ],0),0),0)</f>
        <v>0</v>
      </c>
      <c r="AG435" s="1">
        <f>IFERROR(IF(INT(LEFT(TArticle[[#This Row],[شناسه]]))=1,IF(TArticle[[#This Row],[کد وضعیت سند]]=1,TArticle[مبلغ],0),0),0)</f>
        <v>0</v>
      </c>
      <c r="AH435" s="1">
        <f>IFERROR(IF(INT(LEFT(TArticle[[#This Row],[شناسه]]))=2,IF(TArticle[[#This Row],[کد وضعیت سند]]=1,TArticle[مبلغ],0),0),0)</f>
        <v>0</v>
      </c>
      <c r="AI435" s="1">
        <f>IFERROR(IF((LEFT(TArticle[[#This Row],[شناسه]],3))="5.2",IF(TArticle[[#This Row],[کد وضعیت سند]]=1,TArticle[مبلغ],0),0),0)</f>
        <v>0</v>
      </c>
      <c r="AJ435" s="1">
        <f>IF(TArticle[[#This Row],[کد وضعیت سند]]=1,1,0)</f>
        <v>0</v>
      </c>
      <c r="AK435" s="1">
        <f>IF(AND(TArticle[[#This Row],[کد وضعیت سند]]&lt;&gt;1,TArticle[[#This Row],[مبلغ]]&lt;&gt;0),1,0)</f>
        <v>1</v>
      </c>
      <c r="AL435" s="51">
        <f>IF(TArticle[[#This Row],[کد بانک]]&gt;0,TArticle[[#This Row],[مانده بانک]]-VLOOKUP(TArticle[[#This Row],[کد بانک]],TBank[],7,FALSE),"")</f>
        <v>174773</v>
      </c>
      <c r="AM435" s="58" t="str">
        <f>LEFT(TArticle[[#This Row],[تاریخ]],7)</f>
        <v>1402-09</v>
      </c>
    </row>
    <row r="436" spans="1:39" x14ac:dyDescent="0.25">
      <c r="A436" s="24" t="s">
        <v>76</v>
      </c>
      <c r="B436" s="49" t="str">
        <f>VLOOKUP(TArticle[[#This Row],[شناسه]],TAccount[],2,TRUE)</f>
        <v>قسط</v>
      </c>
      <c r="C436" s="49" t="str">
        <f>VLOOKUP(TArticle[[#This Row],[تاریخ]],TDays[],7,FALSE)</f>
        <v>شنبه</v>
      </c>
      <c r="D436" s="21" t="s">
        <v>809</v>
      </c>
      <c r="E436" s="1">
        <v>-6000</v>
      </c>
      <c r="F436" s="1">
        <f>TArticle[[#This Row],[مبلغ]]+IFERROR(INT(F435),30181+3667+958)</f>
        <v>144121</v>
      </c>
      <c r="G436" s="49"/>
      <c r="H436" s="64"/>
      <c r="J436" s="65"/>
      <c r="K436" s="64">
        <v>2</v>
      </c>
      <c r="L436" s="171" t="str">
        <f>IF(TArticle[[#This Row],[کد وضعیت سند]]&gt;0,VLOOKUP(TArticle[[#This Row],[کد وضعیت سند]],TDocState[],2,FALSE),"")</f>
        <v>قطعی</v>
      </c>
      <c r="M436" s="67">
        <v>33</v>
      </c>
      <c r="N436" s="171" t="str">
        <f>IF(TArticle[[#This Row],[کد طرف حساب]]&gt;0,VLOOKUP(TArticle[[#This Row],[کد طرف حساب]],TContact[],2,FALSE),"")</f>
        <v>محمدرضا بهرهمند</v>
      </c>
      <c r="O436" s="68">
        <f>IF(TArticle[[#This Row],[کد طرف حساب]]&gt;0,VLOOKUP(TArticle[[#This Row],[کد طرف حساب]],TContact[],7,FALSE)-SUMIF($M$2:M436,M436,$E$2:$E436),"")</f>
        <v>-14000</v>
      </c>
      <c r="P436" s="67" t="str">
        <f>RIGHT(TArticle[[#This Row],[تاریخ]],2)</f>
        <v>11</v>
      </c>
      <c r="Q436" s="67">
        <f>VLOOKUP(TArticle[[#This Row],[تاریخ]],TDays[],16,FALSE)</f>
        <v>38</v>
      </c>
      <c r="R436" s="67" t="str">
        <f>RIGHT(LEFT(TArticle[[#This Row],[تاریخ]],7),2)</f>
        <v>09</v>
      </c>
      <c r="S436" s="67" t="str">
        <f>LEFT(TArticle[[#This Row],[تاریخ]],4)</f>
        <v>1402</v>
      </c>
      <c r="T436" s="64"/>
      <c r="U436" s="64">
        <f>VLOOKUP(TArticle[[#This Row],[شناسه]],TAccount[],7,TRUE)</f>
        <v>36266</v>
      </c>
      <c r="V436" s="64"/>
      <c r="W436" s="64">
        <f>IF(AND(TArticle[[#This Row],[مبلغ]]&gt;0, TArticle[[#This Row],[کد وضعیت سند]]=1),TArticle[[#This Row],[مبلغ]],0)</f>
        <v>0</v>
      </c>
      <c r="X436" s="67">
        <f>IF(AND(TArticle[[#This Row],[مبلغ]]&lt;0,TArticle[[#This Row],[کد وضعیت سند]]=1),0-TArticle[[#This Row],[مبلغ]],0)</f>
        <v>0</v>
      </c>
      <c r="Y436" s="67">
        <v>2</v>
      </c>
      <c r="Z436" s="171" t="str">
        <f>IF(TArticle[[#This Row],[کد بانک]]&gt;0,VLOOKUP(TArticle[[#This Row],[کد بانک]],TBank[],2,FALSE),"")</f>
        <v>ملی جاری</v>
      </c>
      <c r="AA436">
        <f>IF(AND(TArticle[[#This Row],[مبلغ]]&lt;0,TArticle[[#This Row],[کد وضعیت سند]]=1),0-TArticle[[#This Row],[مبلغ]],0)</f>
        <v>0</v>
      </c>
      <c r="AB436">
        <f>IF(AND(TArticle[[#This Row],[مبلغ]]&gt;0, TArticle[[#This Row],[کد وضعیت سند]]=1),TArticle[[#This Row],[مبلغ]],0)</f>
        <v>0</v>
      </c>
      <c r="AC436" s="84">
        <f>IF(TArticle[[#This Row],[کد بانک]]&gt;0,VLOOKUP(TArticle[[#This Row],[کد بانک]],TBank[],9,FALSE)+SUMIF($Y$2:Y436,Y436,$E$2:$E436),"")</f>
        <v>168773</v>
      </c>
      <c r="AD436" s="1">
        <f>IFERROR(IF(INT(LEFT(TArticle[[#This Row],[شناسه]]))=3,IF(TArticle[[#This Row],[کد وضعیت سند]]=1,TArticle[مبلغ],0),0),0)</f>
        <v>0</v>
      </c>
      <c r="AE436" s="1">
        <f>IFERROR(IF(((TArticle[[#This Row],[شناسه]]))="4.1.1",IF(TArticle[[#This Row],[کد وضعیت سند]]=1,TArticle[مبلغ],0),0),0)</f>
        <v>0</v>
      </c>
      <c r="AF436" s="1">
        <f>IFERROR(IF(((TArticle[[#This Row],[شناسه]]))="4.1.2",IF(TArticle[[#This Row],[کد وضعیت سند]]=1,TArticle[مبلغ],0),0),0)</f>
        <v>0</v>
      </c>
      <c r="AG436" s="1">
        <f>IFERROR(IF(INT(LEFT(TArticle[[#This Row],[شناسه]]))=1,IF(TArticle[[#This Row],[کد وضعیت سند]]=1,TArticle[مبلغ],0),0),0)</f>
        <v>0</v>
      </c>
      <c r="AH436" s="1">
        <f>IFERROR(IF(INT(LEFT(TArticle[[#This Row],[شناسه]]))=2,IF(TArticle[[#This Row],[کد وضعیت سند]]=1,TArticle[مبلغ],0),0),0)</f>
        <v>0</v>
      </c>
      <c r="AI436" s="1">
        <f>IFERROR(IF((LEFT(TArticle[[#This Row],[شناسه]],3))="5.2",IF(TArticle[[#This Row],[کد وضعیت سند]]=1,TArticle[مبلغ],0),0),0)</f>
        <v>0</v>
      </c>
      <c r="AJ436" s="1">
        <f>IF(TArticle[[#This Row],[کد وضعیت سند]]=1,1,0)</f>
        <v>0</v>
      </c>
      <c r="AK436" s="1">
        <f>IF(AND(TArticle[[#This Row],[کد وضعیت سند]]&lt;&gt;1,TArticle[[#This Row],[مبلغ]]&lt;&gt;0),1,0)</f>
        <v>1</v>
      </c>
      <c r="AL436" s="78">
        <f>IF(TArticle[[#This Row],[کد بانک]]&gt;0,TArticle[[#This Row],[مانده بانک]]-VLOOKUP(TArticle[[#This Row],[کد بانک]],TBank[],7,FALSE),"")</f>
        <v>168773</v>
      </c>
      <c r="AM436" s="58" t="str">
        <f>LEFT(TArticle[[#This Row],[تاریخ]],7)</f>
        <v>1402-09</v>
      </c>
    </row>
    <row r="437" spans="1:39" x14ac:dyDescent="0.25">
      <c r="A437" s="13" t="s">
        <v>78</v>
      </c>
      <c r="B437" s="49" t="str">
        <f>VLOOKUP(TArticle[[#This Row],[شناسه]],TAccount[],2,TRUE)</f>
        <v>چک</v>
      </c>
      <c r="C437" s="49" t="str">
        <f>VLOOKUP(TArticle[[#This Row],[تاریخ]],TDays[],7,FALSE)</f>
        <v>جمعه</v>
      </c>
      <c r="D437" s="21" t="s">
        <v>815</v>
      </c>
      <c r="E437" s="1">
        <v>-4250</v>
      </c>
      <c r="F437" s="1">
        <f>TArticle[[#This Row],[مبلغ]]+IFERROR(INT(F436),30181+3667+958)</f>
        <v>139871</v>
      </c>
      <c r="G437" s="167">
        <v>290886</v>
      </c>
      <c r="H437" s="21">
        <v>9</v>
      </c>
      <c r="K437" s="64">
        <v>2</v>
      </c>
      <c r="L437" s="171" t="str">
        <f>IF(TArticle[[#This Row],[کد وضعیت سند]]&gt;0,VLOOKUP(TArticle[[#This Row],[کد وضعیت سند]],TDocState[],2,FALSE),"")</f>
        <v>قطعی</v>
      </c>
      <c r="M437" s="27">
        <v>117</v>
      </c>
      <c r="N437" s="171" t="str">
        <f>IF(TArticle[[#This Row],[کد طرف حساب]]&gt;0,VLOOKUP(TArticle[[#This Row],[کد طرف حساب]],TContact[],2,FALSE),"")</f>
        <v>وام سرویس خواب</v>
      </c>
      <c r="O437" s="61">
        <f>IF(TArticle[[#This Row],[کد طرف حساب]]&gt;0,VLOOKUP(TArticle[[#This Row],[کد طرف حساب]],TContact[],7,FALSE)-SUMIF($M$2:M437,M437,$E$2:$E437),"")</f>
        <v>-12750</v>
      </c>
      <c r="P437" s="27" t="str">
        <f>RIGHT(TArticle[[#This Row],[تاریخ]],2)</f>
        <v>17</v>
      </c>
      <c r="Q437" s="27">
        <f>VLOOKUP(TArticle[[#This Row],[تاریخ]],TDays[],16,FALSE)</f>
        <v>39</v>
      </c>
      <c r="R437" s="27" t="str">
        <f>RIGHT(LEFT(TArticle[[#This Row],[تاریخ]],7),2)</f>
        <v>09</v>
      </c>
      <c r="S437" s="27" t="str">
        <f>LEFT(TArticle[[#This Row],[تاریخ]],4)</f>
        <v>1402</v>
      </c>
      <c r="U437" s="21">
        <f>VLOOKUP(TArticle[[#This Row],[شناسه]],TAccount[],7,TRUE)</f>
        <v>57000</v>
      </c>
      <c r="W437" s="21">
        <f>IF(AND(TArticle[[#This Row],[مبلغ]]&gt;0, TArticle[[#This Row],[کد وضعیت سند]]=1),TArticle[[#This Row],[مبلغ]],0)</f>
        <v>0</v>
      </c>
      <c r="X437" s="27">
        <f>IF(AND(TArticle[[#This Row],[مبلغ]]&lt;0,TArticle[[#This Row],[کد وضعیت سند]]=1),0-TArticle[[#This Row],[مبلغ]],0)</f>
        <v>0</v>
      </c>
      <c r="Y437" s="27">
        <v>4</v>
      </c>
      <c r="Z437" s="171" t="str">
        <f>IF(TArticle[[#This Row],[کد بانک]]&gt;0,VLOOKUP(TArticle[[#This Row],[کد بانک]],TBank[],2,FALSE),"")</f>
        <v>سپه</v>
      </c>
      <c r="AA437">
        <f>IF(AND(TArticle[[#This Row],[مبلغ]]&lt;0,TArticle[[#This Row],[کد وضعیت سند]]=1),0-TArticle[[#This Row],[مبلغ]],0)</f>
        <v>0</v>
      </c>
      <c r="AB437">
        <f>IF(AND(TArticle[[#This Row],[مبلغ]]&gt;0, TArticle[[#This Row],[کد وضعیت سند]]=1),TArticle[[#This Row],[مبلغ]],0)</f>
        <v>0</v>
      </c>
      <c r="AC437" s="84">
        <f>IF(TArticle[[#This Row],[کد بانک]]&gt;0,VLOOKUP(TArticle[[#This Row],[کد بانک]],TBank[],9,FALSE)+SUMIF($Y$2:Y437,Y437,$E$2:$E437),"")</f>
        <v>-33998</v>
      </c>
      <c r="AD437" s="1">
        <f>IFERROR(IF(INT(LEFT(TArticle[[#This Row],[شناسه]]))=3,IF(TArticle[[#This Row],[کد وضعیت سند]]=1,TArticle[مبلغ],0),0),0)</f>
        <v>0</v>
      </c>
      <c r="AE437" s="1">
        <f>IFERROR(IF(((TArticle[[#This Row],[شناسه]]))="4.1.1",IF(TArticle[[#This Row],[کد وضعیت سند]]=1,TArticle[مبلغ],0),0),0)</f>
        <v>0</v>
      </c>
      <c r="AF437" s="1">
        <f>IFERROR(IF(((TArticle[[#This Row],[شناسه]]))="4.1.2",IF(TArticle[[#This Row],[کد وضعیت سند]]=1,TArticle[مبلغ],0),0),0)</f>
        <v>0</v>
      </c>
      <c r="AG437" s="1">
        <f>IFERROR(IF(INT(LEFT(TArticle[[#This Row],[شناسه]]))=1,IF(TArticle[[#This Row],[کد وضعیت سند]]=1,TArticle[مبلغ],0),0),0)</f>
        <v>0</v>
      </c>
      <c r="AH437" s="1">
        <f>IFERROR(IF(INT(LEFT(TArticle[[#This Row],[شناسه]]))=2,IF(TArticle[[#This Row],[کد وضعیت سند]]=1,TArticle[مبلغ],0),0),0)</f>
        <v>0</v>
      </c>
      <c r="AI437" s="1">
        <f>IFERROR(IF((LEFT(TArticle[[#This Row],[شناسه]],3))="5.2",IF(TArticle[[#This Row],[کد وضعیت سند]]=1,TArticle[مبلغ],0),0),0)</f>
        <v>0</v>
      </c>
      <c r="AJ437" s="1">
        <f>IF(TArticle[[#This Row],[کد وضعیت سند]]=1,1,0)</f>
        <v>0</v>
      </c>
      <c r="AK437" s="1">
        <f>IF(AND(TArticle[[#This Row],[کد وضعیت سند]]&lt;&gt;1,TArticle[[#This Row],[مبلغ]]&lt;&gt;0),1,0)</f>
        <v>1</v>
      </c>
      <c r="AL437" s="51">
        <f>IF(TArticle[[#This Row],[کد بانک]]&gt;0,TArticle[[#This Row],[مانده بانک]]-VLOOKUP(TArticle[[#This Row],[کد بانک]],TBank[],7,FALSE),"")</f>
        <v>-34000</v>
      </c>
      <c r="AM437" t="str">
        <f>LEFT(TArticle[[#This Row],[تاریخ]],7)</f>
        <v>1402-09</v>
      </c>
    </row>
    <row r="438" spans="1:39" x14ac:dyDescent="0.25">
      <c r="A438" s="24" t="s">
        <v>1013</v>
      </c>
      <c r="B438" s="49" t="str">
        <f>VLOOKUP(TArticle[[#This Row],[شناسه]],TAccount[],2,TRUE)</f>
        <v>یارانه</v>
      </c>
      <c r="C438" s="49" t="str">
        <f>VLOOKUP(TArticle[[#This Row],[تاریخ]],TDays[],7,FALSE)</f>
        <v>دوشنبه</v>
      </c>
      <c r="D438" s="21" t="s">
        <v>818</v>
      </c>
      <c r="E438" s="1">
        <v>1500</v>
      </c>
      <c r="F438" s="1">
        <f>TArticle[[#This Row],[مبلغ]]+IFERROR(INT(F437),30181+3667+958)</f>
        <v>141371</v>
      </c>
      <c r="G438" s="49"/>
      <c r="H438" s="64"/>
      <c r="J438" s="65"/>
      <c r="K438" s="64">
        <v>2</v>
      </c>
      <c r="L438" s="171" t="str">
        <f>IF(TArticle[[#This Row],[کد وضعیت سند]]&gt;0,VLOOKUP(TArticle[[#This Row],[کد وضعیت سند]],TDocState[],2,FALSE),"")</f>
        <v>قطعی</v>
      </c>
      <c r="M438" s="67"/>
      <c r="N438" s="171" t="str">
        <f>IF(TArticle[[#This Row],[کد طرف حساب]]&gt;0,VLOOKUP(TArticle[[#This Row],[کد طرف حساب]],TContact[],2,FALSE),"")</f>
        <v/>
      </c>
      <c r="O438" s="68" t="str">
        <f>IF(TArticle[[#This Row],[کد طرف حساب]]&gt;0,VLOOKUP(TArticle[[#This Row],[کد طرف حساب]],TContact[],7,FALSE)-SUMIF($M$2:M438,M438,$E$2:$E438),"")</f>
        <v/>
      </c>
      <c r="P438" s="67" t="str">
        <f>RIGHT(TArticle[[#This Row],[تاریخ]],2)</f>
        <v>20</v>
      </c>
      <c r="Q438" s="67">
        <f>VLOOKUP(TArticle[[#This Row],[تاریخ]],TDays[],16,FALSE)</f>
        <v>39</v>
      </c>
      <c r="R438" s="67" t="str">
        <f>RIGHT(LEFT(TArticle[[#This Row],[تاریخ]],7),2)</f>
        <v>09</v>
      </c>
      <c r="S438" s="67" t="str">
        <f>LEFT(TArticle[[#This Row],[تاریخ]],4)</f>
        <v>1402</v>
      </c>
      <c r="T438" s="64"/>
      <c r="U438" s="64">
        <f>VLOOKUP(TArticle[[#This Row],[شناسه]],TAccount[],7,TRUE)</f>
        <v>12565</v>
      </c>
      <c r="V438" s="64"/>
      <c r="W438" s="64">
        <f>IF(AND(TArticle[[#This Row],[مبلغ]]&gt;0, TArticle[[#This Row],[کد وضعیت سند]]=1),TArticle[[#This Row],[مبلغ]],0)</f>
        <v>0</v>
      </c>
      <c r="X438" s="67">
        <f>IF(AND(TArticle[[#This Row],[مبلغ]]&lt;0,TArticle[[#This Row],[کد وضعیت سند]]=1),0-TArticle[[#This Row],[مبلغ]],0)</f>
        <v>0</v>
      </c>
      <c r="Y438" s="27">
        <v>2</v>
      </c>
      <c r="Z438" s="171" t="str">
        <f>IF(TArticle[[#This Row],[کد بانک]]&gt;0,VLOOKUP(TArticle[[#This Row],[کد بانک]],TBank[],2,FALSE),"")</f>
        <v>ملی جاری</v>
      </c>
      <c r="AA438">
        <f>IF(AND(TArticle[[#This Row],[مبلغ]]&lt;0,TArticle[[#This Row],[کد وضعیت سند]]=1),0-TArticle[[#This Row],[مبلغ]],0)</f>
        <v>0</v>
      </c>
      <c r="AB438">
        <f>IF(AND(TArticle[[#This Row],[مبلغ]]&gt;0, TArticle[[#This Row],[کد وضعیت سند]]=1),TArticle[[#This Row],[مبلغ]],0)</f>
        <v>0</v>
      </c>
      <c r="AC438" s="93">
        <f>IF(TArticle[[#This Row],[کد بانک]]&gt;0,VLOOKUP(TArticle[[#This Row],[کد بانک]],TBank[],9,FALSE)+SUMIF($Y$2:Y438,Y438,$E$2:$E438),"")</f>
        <v>170273</v>
      </c>
      <c r="AD438" s="1">
        <f>IFERROR(IF(INT(LEFT(TArticle[[#This Row],[شناسه]]))=3,IF(TArticle[[#This Row],[کد وضعیت سند]]=1,TArticle[مبلغ],0),0),0)</f>
        <v>0</v>
      </c>
      <c r="AE438" s="1">
        <f>IFERROR(IF(((TArticle[[#This Row],[شناسه]]))="4.1.1",IF(TArticle[[#This Row],[کد وضعیت سند]]=1,TArticle[مبلغ],0),0),0)</f>
        <v>0</v>
      </c>
      <c r="AF438" s="1">
        <f>IFERROR(IF(((TArticle[[#This Row],[شناسه]]))="4.1.2",IF(TArticle[[#This Row],[کد وضعیت سند]]=1,TArticle[مبلغ],0),0),0)</f>
        <v>0</v>
      </c>
      <c r="AG438" s="1">
        <f>IFERROR(IF(INT(LEFT(TArticle[[#This Row],[شناسه]]))=1,IF(TArticle[[#This Row],[کد وضعیت سند]]=1,TArticle[مبلغ],0),0),0)</f>
        <v>0</v>
      </c>
      <c r="AH438" s="1">
        <f>IFERROR(IF(INT(LEFT(TArticle[[#This Row],[شناسه]]))=2,IF(TArticle[[#This Row],[کد وضعیت سند]]=1,TArticle[مبلغ],0),0),0)</f>
        <v>0</v>
      </c>
      <c r="AI438" s="1">
        <f>IFERROR(IF((LEFT(TArticle[[#This Row],[شناسه]],3))="5.2",IF(TArticle[[#This Row],[کد وضعیت سند]]=1,TArticle[مبلغ],0),0),0)</f>
        <v>0</v>
      </c>
      <c r="AJ438" s="1">
        <f>IF(TArticle[[#This Row],[کد وضعیت سند]]=1,1,0)</f>
        <v>0</v>
      </c>
      <c r="AK438" s="1">
        <f>IF(AND(TArticle[[#This Row],[کد وضعیت سند]]&lt;&gt;1,TArticle[[#This Row],[مبلغ]]&lt;&gt;0),1,0)</f>
        <v>1</v>
      </c>
      <c r="AL438" s="78">
        <f>IF(TArticle[[#This Row],[کد بانک]]&gt;0,TArticle[[#This Row],[مانده بانک]]-VLOOKUP(TArticle[[#This Row],[کد بانک]],TBank[],7,FALSE),"")</f>
        <v>170273</v>
      </c>
      <c r="AM438" s="69" t="str">
        <f>LEFT(TArticle[[#This Row],[تاریخ]],7)</f>
        <v>1402-09</v>
      </c>
    </row>
    <row r="439" spans="1:39" x14ac:dyDescent="0.25">
      <c r="A439" s="24" t="s">
        <v>1110</v>
      </c>
      <c r="B439" s="49" t="str">
        <f>VLOOKUP(TArticle[[#This Row],[شناسه]],TAccount[],2,TRUE)</f>
        <v>قسط وام بانکی</v>
      </c>
      <c r="C439" s="49" t="str">
        <f>VLOOKUP(TArticle[[#This Row],[تاریخ]],TDays[],7,FALSE)</f>
        <v>سه شنبه</v>
      </c>
      <c r="D439" s="21" t="s">
        <v>826</v>
      </c>
      <c r="E439" s="1">
        <v>-1808</v>
      </c>
      <c r="F439" s="1">
        <f>TArticle[[#This Row],[مبلغ]]+IFERROR(INT(F438),30181+3667+958)</f>
        <v>139563</v>
      </c>
      <c r="G439" s="49" t="s">
        <v>1597</v>
      </c>
      <c r="H439" s="64">
        <v>26</v>
      </c>
      <c r="J439" s="65"/>
      <c r="K439" s="21">
        <v>2</v>
      </c>
      <c r="L439" s="171" t="str">
        <f>IF(TArticle[[#This Row],[کد وضعیت سند]]&gt;0,VLOOKUP(TArticle[[#This Row],[کد وضعیت سند]],TDocState[],2,FALSE),"")</f>
        <v>قطعی</v>
      </c>
      <c r="M439" s="67">
        <v>112</v>
      </c>
      <c r="N439" s="171" t="str">
        <f>IF(TArticle[[#This Row],[کد طرف حساب]]&gt;0,VLOOKUP(TArticle[[#This Row],[کد طرف حساب]],TContact[],2,FALSE),"")</f>
        <v>وام ملی</v>
      </c>
      <c r="O439" s="68">
        <f>IF(TArticle[[#This Row],[کد طرف حساب]]&gt;0,VLOOKUP(TArticle[[#This Row],[کد طرف حساب]],TContact[],7,FALSE)-SUMIF($M$2:M439,M439,$E$2:$E439),"")</f>
        <v>-15648</v>
      </c>
      <c r="P439" s="67" t="str">
        <f>RIGHT(TArticle[[#This Row],[تاریخ]],2)</f>
        <v>28</v>
      </c>
      <c r="Q439" s="67">
        <f>VLOOKUP(TArticle[[#This Row],[تاریخ]],TDays[],16,FALSE)</f>
        <v>40</v>
      </c>
      <c r="R439" s="67" t="str">
        <f>RIGHT(LEFT(TArticle[[#This Row],[تاریخ]],7),2)</f>
        <v>09</v>
      </c>
      <c r="S439" s="67" t="str">
        <f>LEFT(TArticle[[#This Row],[تاریخ]],4)</f>
        <v>1402</v>
      </c>
      <c r="T439" s="64"/>
      <c r="U439" s="64">
        <f>VLOOKUP(TArticle[[#This Row],[شناسه]],TAccount[],7,TRUE)</f>
        <v>81652</v>
      </c>
      <c r="V439" s="21" t="s">
        <v>826</v>
      </c>
      <c r="W439" s="64">
        <f>IF(AND(TArticle[[#This Row],[مبلغ]]&gt;0, TArticle[[#This Row],[کد وضعیت سند]]=1),TArticle[[#This Row],[مبلغ]],0)</f>
        <v>0</v>
      </c>
      <c r="X439" s="67">
        <f>IF(AND(TArticle[[#This Row],[مبلغ]]&lt;0,TArticle[[#This Row],[کد وضعیت سند]]=1),0-TArticle[[#This Row],[مبلغ]],0)</f>
        <v>0</v>
      </c>
      <c r="Y439" s="67">
        <v>2</v>
      </c>
      <c r="Z439" s="171" t="str">
        <f>IF(TArticle[[#This Row],[کد بانک]]&gt;0,VLOOKUP(TArticle[[#This Row],[کد بانک]],TBank[],2,FALSE),"")</f>
        <v>ملی جاری</v>
      </c>
      <c r="AA439">
        <f>IF(AND(TArticle[[#This Row],[مبلغ]]&lt;0,TArticle[[#This Row],[کد وضعیت سند]]=1),0-TArticle[[#This Row],[مبلغ]],0)</f>
        <v>0</v>
      </c>
      <c r="AB439">
        <f>IF(AND(TArticle[[#This Row],[مبلغ]]&gt;0, TArticle[[#This Row],[کد وضعیت سند]]=1),TArticle[[#This Row],[مبلغ]],0)</f>
        <v>0</v>
      </c>
      <c r="AC439" s="93">
        <f>IF(TArticle[[#This Row],[کد بانک]]&gt;0,VLOOKUP(TArticle[[#This Row],[کد بانک]],TBank[],9,FALSE)+SUMIF($Y$2:Y439,Y439,$E$2:$E439),"")</f>
        <v>168465</v>
      </c>
      <c r="AD439" s="1">
        <f>IFERROR(IF(INT(LEFT(TArticle[[#This Row],[شناسه]]))=3,IF(TArticle[[#This Row],[کد وضعیت سند]]=1,TArticle[مبلغ],0),0),0)</f>
        <v>0</v>
      </c>
      <c r="AE439" s="1">
        <f>IFERROR(IF(((TArticle[[#This Row],[شناسه]]))="4.1.1",IF(TArticle[[#This Row],[کد وضعیت سند]]=1,TArticle[مبلغ],0),0),0)</f>
        <v>0</v>
      </c>
      <c r="AF439" s="1">
        <f>IFERROR(IF(((TArticle[[#This Row],[شناسه]]))="4.1.2",IF(TArticle[[#This Row],[کد وضعیت سند]]=1,TArticle[مبلغ],0),0),0)</f>
        <v>0</v>
      </c>
      <c r="AG439" s="1">
        <f>IFERROR(IF(INT(LEFT(TArticle[[#This Row],[شناسه]]))=1,IF(TArticle[[#This Row],[کد وضعیت سند]]=1,TArticle[مبلغ],0),0),0)</f>
        <v>0</v>
      </c>
      <c r="AH439" s="1">
        <f>IFERROR(IF(INT(LEFT(TArticle[[#This Row],[شناسه]]))=2,IF(TArticle[[#This Row],[کد وضعیت سند]]=1,TArticle[مبلغ],0),0),0)</f>
        <v>0</v>
      </c>
      <c r="AI439" s="1">
        <f>IFERROR(IF((LEFT(TArticle[[#This Row],[شناسه]],3))="5.2",IF(TArticle[[#This Row],[کد وضعیت سند]]=1,TArticle[مبلغ],0),0),0)</f>
        <v>0</v>
      </c>
      <c r="AJ439" s="1">
        <f>IF(TArticle[[#This Row],[کد وضعیت سند]]=1,1,0)</f>
        <v>0</v>
      </c>
      <c r="AK439" s="1">
        <f>IF(AND(TArticle[[#This Row],[کد وضعیت سند]]&lt;&gt;1,TArticle[[#This Row],[مبلغ]]&lt;&gt;0),1,0)</f>
        <v>1</v>
      </c>
      <c r="AL439" s="78">
        <f>IF(TArticle[[#This Row],[کد بانک]]&gt;0,TArticle[[#This Row],[مانده بانک]]-VLOOKUP(TArticle[[#This Row],[کد بانک]],TBank[],7,FALSE),"")</f>
        <v>168465</v>
      </c>
      <c r="AM439" s="58" t="str">
        <f>LEFT(TArticle[[#This Row],[تاریخ]],7)</f>
        <v>1402-09</v>
      </c>
    </row>
    <row r="440" spans="1:39" x14ac:dyDescent="0.25">
      <c r="A440" s="24"/>
      <c r="B440" s="49" t="str">
        <f>VLOOKUP(TArticle[[#This Row],[شناسه]],TAccount[],2,TRUE)</f>
        <v>---</v>
      </c>
      <c r="C440" s="49" t="str">
        <f>VLOOKUP(TArticle[[#This Row],[تاریخ]],TDays[],7,FALSE)</f>
        <v>پنجشنبه</v>
      </c>
      <c r="D440" s="21" t="s">
        <v>828</v>
      </c>
      <c r="F440" s="1">
        <f>TArticle[[#This Row],[مبلغ]]+IFERROR(INT(F439),30181+3667+958)</f>
        <v>139563</v>
      </c>
      <c r="G440" s="49"/>
      <c r="L440" s="171" t="str">
        <f>IF(TArticle[[#This Row],[کد وضعیت سند]]&gt;0,VLOOKUP(TArticle[[#This Row],[کد وضعیت سند]],TDocState[],2,FALSE),"")</f>
        <v/>
      </c>
      <c r="N440" s="171" t="str">
        <f>IF(TArticle[[#This Row],[کد طرف حساب]]&gt;0,VLOOKUP(TArticle[[#This Row],[کد طرف حساب]],TContact[],2,FALSE),"")</f>
        <v/>
      </c>
      <c r="O440" s="51" t="str">
        <f>IF(TArticle[[#This Row],[کد طرف حساب]]&gt;0,VLOOKUP(TArticle[[#This Row],[کد طرف حساب]],TContact[],7,FALSE)-SUMIF($M$2:M440,M440,$E$2:$E440),"")</f>
        <v/>
      </c>
      <c r="P440" s="27" t="str">
        <f>RIGHT(TArticle[[#This Row],[تاریخ]],2)</f>
        <v>30</v>
      </c>
      <c r="Q440" s="27">
        <f>VLOOKUP(TArticle[[#This Row],[تاریخ]],TDays[],16,FALSE)</f>
        <v>40</v>
      </c>
      <c r="R440" s="27" t="str">
        <f>RIGHT(LEFT(TArticle[[#This Row],[تاریخ]],7),2)</f>
        <v>09</v>
      </c>
      <c r="S440" s="27" t="str">
        <f>LEFT(TArticle[[#This Row],[تاریخ]],4)</f>
        <v>1402</v>
      </c>
      <c r="U440" s="21">
        <f>VLOOKUP(TArticle[[#This Row],[شناسه]],TAccount[],7,TRUE)</f>
        <v>0</v>
      </c>
      <c r="W440" s="21">
        <f>IF(AND(TArticle[[#This Row],[مبلغ]]&gt;0, TArticle[[#This Row],[کد وضعیت سند]]=1),TArticle[[#This Row],[مبلغ]],0)</f>
        <v>0</v>
      </c>
      <c r="X440" s="27">
        <f>IF(AND(TArticle[[#This Row],[مبلغ]]&lt;0,TArticle[[#This Row],[کد وضعیت سند]]=1),0-TArticle[[#This Row],[مبلغ]],0)</f>
        <v>0</v>
      </c>
      <c r="Y440" s="67">
        <v>2</v>
      </c>
      <c r="Z440" s="171" t="str">
        <f>IF(TArticle[[#This Row],[کد بانک]]&gt;0,VLOOKUP(TArticle[[#This Row],[کد بانک]],TBank[],2,FALSE),"")</f>
        <v>ملی جاری</v>
      </c>
      <c r="AA440">
        <f>IF(AND(TArticle[[#This Row],[مبلغ]]&lt;0,TArticle[[#This Row],[کد وضعیت سند]]=1),0-TArticle[[#This Row],[مبلغ]],0)</f>
        <v>0</v>
      </c>
      <c r="AB440">
        <f>IF(AND(TArticle[[#This Row],[مبلغ]]&gt;0, TArticle[[#This Row],[کد وضعیت سند]]=1),TArticle[[#This Row],[مبلغ]],0)</f>
        <v>0</v>
      </c>
      <c r="AC440" s="84">
        <f>IF(TArticle[[#This Row],[کد بانک]]&gt;0,VLOOKUP(TArticle[[#This Row],[کد بانک]],TBank[],9,FALSE)+SUMIF($Y$2:Y440,Y440,$E$2:$E440),"")</f>
        <v>168465</v>
      </c>
      <c r="AD440" s="1">
        <f>IFERROR(IF(INT(LEFT(TArticle[[#This Row],[شناسه]]))=3,IF(TArticle[[#This Row],[کد وضعیت سند]]=1,TArticle[مبلغ],0),0),0)</f>
        <v>0</v>
      </c>
      <c r="AE440" s="1">
        <f>IFERROR(IF(((TArticle[[#This Row],[شناسه]]))="4.1.1",IF(TArticle[[#This Row],[کد وضعیت سند]]=1,TArticle[مبلغ],0),0),0)</f>
        <v>0</v>
      </c>
      <c r="AF440" s="1">
        <f>IFERROR(IF(((TArticle[[#This Row],[شناسه]]))="4.1.2",IF(TArticle[[#This Row],[کد وضعیت سند]]=1,TArticle[مبلغ],0),0),0)</f>
        <v>0</v>
      </c>
      <c r="AG440" s="1">
        <f>IFERROR(IF(INT(LEFT(TArticle[[#This Row],[شناسه]]))=1,IF(TArticle[[#This Row],[کد وضعیت سند]]=1,TArticle[مبلغ],0),0),0)</f>
        <v>0</v>
      </c>
      <c r="AH440" s="1">
        <f>IFERROR(IF(INT(LEFT(TArticle[[#This Row],[شناسه]]))=2,IF(TArticle[[#This Row],[کد وضعیت سند]]=1,TArticle[مبلغ],0),0),0)</f>
        <v>0</v>
      </c>
      <c r="AI440" s="1">
        <f>IFERROR(IF((LEFT(TArticle[[#This Row],[شناسه]],3))="5.2",IF(TArticle[[#This Row],[کد وضعیت سند]]=1,TArticle[مبلغ],0),0),0)</f>
        <v>0</v>
      </c>
      <c r="AJ440" s="1">
        <f>IF(TArticle[[#This Row],[کد وضعیت سند]]=1,1,0)</f>
        <v>0</v>
      </c>
      <c r="AK440" s="1">
        <f>IF(AND(TArticle[[#This Row],[کد وضعیت سند]]&lt;&gt;1,TArticle[[#This Row],[مبلغ]]&lt;&gt;0),1,0)</f>
        <v>0</v>
      </c>
      <c r="AL440" s="51">
        <f>IF(TArticle[[#This Row],[کد بانک]]&gt;0,TArticle[[#This Row],[مانده بانک]]-VLOOKUP(TArticle[[#This Row],[کد بانک]],TBank[],7,FALSE),"")</f>
        <v>168465</v>
      </c>
      <c r="AM440" s="49" t="str">
        <f>LEFT(TArticle[[#This Row],[تاریخ]],7)</f>
        <v>1402-09</v>
      </c>
    </row>
    <row r="441" spans="1:39" x14ac:dyDescent="0.25">
      <c r="A441" s="24"/>
      <c r="B441" s="49" t="str">
        <f>VLOOKUP(TArticle[[#This Row],[شناسه]],TAccount[],2,TRUE)</f>
        <v>---</v>
      </c>
      <c r="C441" s="49" t="str">
        <f>VLOOKUP(TArticle[[#This Row],[تاریخ]],TDays[],7,FALSE)</f>
        <v>پنجشنبه</v>
      </c>
      <c r="D441" s="21" t="s">
        <v>828</v>
      </c>
      <c r="F441" s="1">
        <f>TArticle[[#This Row],[مبلغ]]+IFERROR(INT(F440),30181+3667+958)</f>
        <v>139563</v>
      </c>
      <c r="G441" s="49"/>
      <c r="L441" s="171" t="str">
        <f>IF(TArticle[[#This Row],[کد وضعیت سند]]&gt;0,VLOOKUP(TArticle[[#This Row],[کد وضعیت سند]],TDocState[],2,FALSE),"")</f>
        <v/>
      </c>
      <c r="N441" s="171" t="str">
        <f>IF(TArticle[[#This Row],[کد طرف حساب]]&gt;0,VLOOKUP(TArticle[[#This Row],[کد طرف حساب]],TContact[],2,FALSE),"")</f>
        <v/>
      </c>
      <c r="O441" s="51" t="str">
        <f>IF(TArticle[[#This Row],[کد طرف حساب]]&gt;0,VLOOKUP(TArticle[[#This Row],[کد طرف حساب]],TContact[],7,FALSE)-SUMIF($M$2:M441,M441,$E$2:$E441),"")</f>
        <v/>
      </c>
      <c r="P441" s="27" t="str">
        <f>RIGHT(TArticle[[#This Row],[تاریخ]],2)</f>
        <v>30</v>
      </c>
      <c r="Q441" s="27">
        <f>VLOOKUP(TArticle[[#This Row],[تاریخ]],TDays[],16,FALSE)</f>
        <v>40</v>
      </c>
      <c r="R441" s="27" t="str">
        <f>RIGHT(LEFT(TArticle[[#This Row],[تاریخ]],7),2)</f>
        <v>09</v>
      </c>
      <c r="S441" s="27" t="str">
        <f>LEFT(TArticle[[#This Row],[تاریخ]],4)</f>
        <v>1402</v>
      </c>
      <c r="U441" s="21">
        <f>VLOOKUP(TArticle[[#This Row],[شناسه]],TAccount[],7,TRUE)</f>
        <v>0</v>
      </c>
      <c r="W441" s="21">
        <f>IF(AND(TArticle[[#This Row],[مبلغ]]&gt;0, TArticle[[#This Row],[کد وضعیت سند]]=1),TArticle[[#This Row],[مبلغ]],0)</f>
        <v>0</v>
      </c>
      <c r="X441" s="27">
        <f>IF(AND(TArticle[[#This Row],[مبلغ]]&lt;0,TArticle[[#This Row],[کد وضعیت سند]]=1),0-TArticle[[#This Row],[مبلغ]],0)</f>
        <v>0</v>
      </c>
      <c r="Y441" s="67">
        <v>2</v>
      </c>
      <c r="Z441" s="171" t="str">
        <f>IF(TArticle[[#This Row],[کد بانک]]&gt;0,VLOOKUP(TArticle[[#This Row],[کد بانک]],TBank[],2,FALSE),"")</f>
        <v>ملی جاری</v>
      </c>
      <c r="AA441">
        <f>IF(AND(TArticle[[#This Row],[مبلغ]]&lt;0,TArticle[[#This Row],[کد وضعیت سند]]=1),0-TArticle[[#This Row],[مبلغ]],0)</f>
        <v>0</v>
      </c>
      <c r="AB441">
        <f>IF(AND(TArticle[[#This Row],[مبلغ]]&gt;0, TArticle[[#This Row],[کد وضعیت سند]]=1),TArticle[[#This Row],[مبلغ]],0)</f>
        <v>0</v>
      </c>
      <c r="AC441" s="84">
        <f>IF(TArticle[[#This Row],[کد بانک]]&gt;0,VLOOKUP(TArticle[[#This Row],[کد بانک]],TBank[],9,FALSE)+SUMIF($Y$2:Y441,Y441,$E$2:$E441),"")</f>
        <v>168465</v>
      </c>
      <c r="AD441" s="1">
        <f>IFERROR(IF(INT(LEFT(TArticle[[#This Row],[شناسه]]))=3,IF(TArticle[[#This Row],[کد وضعیت سند]]=1,TArticle[مبلغ],0),0),0)</f>
        <v>0</v>
      </c>
      <c r="AE441" s="1">
        <f>IFERROR(IF(((TArticle[[#This Row],[شناسه]]))="4.1.1",IF(TArticle[[#This Row],[کد وضعیت سند]]=1,TArticle[مبلغ],0),0),0)</f>
        <v>0</v>
      </c>
      <c r="AF441" s="1">
        <f>IFERROR(IF(((TArticle[[#This Row],[شناسه]]))="4.1.2",IF(TArticle[[#This Row],[کد وضعیت سند]]=1,TArticle[مبلغ],0),0),0)</f>
        <v>0</v>
      </c>
      <c r="AG441" s="1">
        <f>IFERROR(IF(INT(LEFT(TArticle[[#This Row],[شناسه]]))=1,IF(TArticle[[#This Row],[کد وضعیت سند]]=1,TArticle[مبلغ],0),0),0)</f>
        <v>0</v>
      </c>
      <c r="AH441" s="1">
        <f>IFERROR(IF(INT(LEFT(TArticle[[#This Row],[شناسه]]))=2,IF(TArticle[[#This Row],[کد وضعیت سند]]=1,TArticle[مبلغ],0),0),0)</f>
        <v>0</v>
      </c>
      <c r="AI441" s="1">
        <f>IFERROR(IF((LEFT(TArticle[[#This Row],[شناسه]],3))="5.2",IF(TArticle[[#This Row],[کد وضعیت سند]]=1,TArticle[مبلغ],0),0),0)</f>
        <v>0</v>
      </c>
      <c r="AJ441" s="1">
        <f>IF(TArticle[[#This Row],[کد وضعیت سند]]=1,1,0)</f>
        <v>0</v>
      </c>
      <c r="AK441" s="1">
        <f>IF(AND(TArticle[[#This Row],[کد وضعیت سند]]&lt;&gt;1,TArticle[[#This Row],[مبلغ]]&lt;&gt;0),1,0)</f>
        <v>0</v>
      </c>
      <c r="AL441" s="51">
        <f>IF(TArticle[[#This Row],[کد بانک]]&gt;0,TArticle[[#This Row],[مانده بانک]]-VLOOKUP(TArticle[[#This Row],[کد بانک]],TBank[],7,FALSE),"")</f>
        <v>168465</v>
      </c>
      <c r="AM441" s="49" t="str">
        <f>LEFT(TArticle[[#This Row],[تاریخ]],7)</f>
        <v>1402-09</v>
      </c>
    </row>
    <row r="442" spans="1:39" x14ac:dyDescent="0.25">
      <c r="A442" s="24" t="s">
        <v>43</v>
      </c>
      <c r="B442" s="49" t="str">
        <f>VLOOKUP(TArticle[[#This Row],[شناسه]],TAccount[],2,TRUE)</f>
        <v>حقوق</v>
      </c>
      <c r="C442" s="49" t="str">
        <f>VLOOKUP(TArticle[[#This Row],[تاریخ]],TDays[],7,FALSE)</f>
        <v>جمعه</v>
      </c>
      <c r="D442" s="21" t="s">
        <v>829</v>
      </c>
      <c r="E442" s="1">
        <v>36000</v>
      </c>
      <c r="F442" s="1">
        <f>TArticle[[#This Row],[مبلغ]]+IFERROR(INT(F441),30181+3667+958)</f>
        <v>175563</v>
      </c>
      <c r="G442" s="49"/>
      <c r="H442" s="64"/>
      <c r="J442" s="65"/>
      <c r="K442" s="64">
        <v>2</v>
      </c>
      <c r="L442" s="171" t="str">
        <f>IF(TArticle[[#This Row],[کد وضعیت سند]]&gt;0,VLOOKUP(TArticle[[#This Row],[کد وضعیت سند]],TDocState[],2,FALSE),"")</f>
        <v>قطعی</v>
      </c>
      <c r="M442" s="67"/>
      <c r="N442" s="171" t="str">
        <f>IF(TArticle[[#This Row],[کد طرف حساب]]&gt;0,VLOOKUP(TArticle[[#This Row],[کد طرف حساب]],TContact[],2,FALSE),"")</f>
        <v/>
      </c>
      <c r="O442" s="68" t="str">
        <f>IF(TArticle[[#This Row],[کد طرف حساب]]&gt;0,VLOOKUP(TArticle[[#This Row],[کد طرف حساب]],TContact[],7,FALSE)-SUMIF($M$2:M442,M442,$E$2:$E442),"")</f>
        <v/>
      </c>
      <c r="P442" s="67" t="str">
        <f>RIGHT(TArticle[[#This Row],[تاریخ]],2)</f>
        <v>01</v>
      </c>
      <c r="Q442" s="67">
        <f>VLOOKUP(TArticle[[#This Row],[تاریخ]],TDays[],16,FALSE)</f>
        <v>41</v>
      </c>
      <c r="R442" s="67" t="str">
        <f>RIGHT(LEFT(TArticle[[#This Row],[تاریخ]],7),2)</f>
        <v>10</v>
      </c>
      <c r="S442" s="67" t="str">
        <f>LEFT(TArticle[[#This Row],[تاریخ]],4)</f>
        <v>1402</v>
      </c>
      <c r="T442" s="64"/>
      <c r="U442" s="64">
        <f>VLOOKUP(TArticle[[#This Row],[شناسه]],TAccount[],7,TRUE)</f>
        <v>416023</v>
      </c>
      <c r="V442" s="64"/>
      <c r="W442" s="64">
        <f>IF(AND(TArticle[[#This Row],[مبلغ]]&gt;0, TArticle[[#This Row],[کد وضعیت سند]]=1),TArticle[[#This Row],[مبلغ]],0)</f>
        <v>0</v>
      </c>
      <c r="X442" s="67">
        <f>IF(AND(TArticle[[#This Row],[مبلغ]]&lt;0,TArticle[[#This Row],[کد وضعیت سند]]=1),0-TArticle[[#This Row],[مبلغ]],0)</f>
        <v>0</v>
      </c>
      <c r="Y442" s="27">
        <v>2</v>
      </c>
      <c r="Z442" s="171" t="str">
        <f>IF(TArticle[[#This Row],[کد بانک]]&gt;0,VLOOKUP(TArticle[[#This Row],[کد بانک]],TBank[],2,FALSE),"")</f>
        <v>ملی جاری</v>
      </c>
      <c r="AA442">
        <f>IF(AND(TArticle[[#This Row],[مبلغ]]&lt;0,TArticle[[#This Row],[کد وضعیت سند]]=1),0-TArticle[[#This Row],[مبلغ]],0)</f>
        <v>0</v>
      </c>
      <c r="AB442">
        <f>IF(AND(TArticle[[#This Row],[مبلغ]]&gt;0, TArticle[[#This Row],[کد وضعیت سند]]=1),TArticle[[#This Row],[مبلغ]],0)</f>
        <v>0</v>
      </c>
      <c r="AC442" s="93">
        <f>IF(TArticle[[#This Row],[کد بانک]]&gt;0,VLOOKUP(TArticle[[#This Row],[کد بانک]],TBank[],9,FALSE)+SUMIF($Y$2:Y442,Y442,$E$2:$E442),"")</f>
        <v>204465</v>
      </c>
      <c r="AD442" s="1">
        <f>IFERROR(IF(INT(LEFT(TArticle[[#This Row],[شناسه]]))=3,IF(TArticle[[#This Row],[کد وضعیت سند]]=1,TArticle[مبلغ],0),0),0)</f>
        <v>0</v>
      </c>
      <c r="AE442" s="1">
        <f>IFERROR(IF(((TArticle[[#This Row],[شناسه]]))="4.1.1",IF(TArticle[[#This Row],[کد وضعیت سند]]=1,TArticle[مبلغ],0),0),0)</f>
        <v>0</v>
      </c>
      <c r="AF442" s="1">
        <f>IFERROR(IF(((TArticle[[#This Row],[شناسه]]))="4.1.2",IF(TArticle[[#This Row],[کد وضعیت سند]]=1,TArticle[مبلغ],0),0),0)</f>
        <v>0</v>
      </c>
      <c r="AG442" s="1">
        <f>IFERROR(IF(INT(LEFT(TArticle[[#This Row],[شناسه]]))=1,IF(TArticle[[#This Row],[کد وضعیت سند]]=1,TArticle[مبلغ],0),0),0)</f>
        <v>0</v>
      </c>
      <c r="AH442" s="1">
        <f>IFERROR(IF(INT(LEFT(TArticle[[#This Row],[شناسه]]))=2,IF(TArticle[[#This Row],[کد وضعیت سند]]=1,TArticle[مبلغ],0),0),0)</f>
        <v>0</v>
      </c>
      <c r="AI442" s="1">
        <f>IFERROR(IF((LEFT(TArticle[[#This Row],[شناسه]],3))="5.2",IF(TArticle[[#This Row],[کد وضعیت سند]]=1,TArticle[مبلغ],0),0),0)</f>
        <v>0</v>
      </c>
      <c r="AJ442" s="1">
        <f>IF(TArticle[[#This Row],[کد وضعیت سند]]=1,1,0)</f>
        <v>0</v>
      </c>
      <c r="AK442" s="1">
        <f>IF(AND(TArticle[[#This Row],[کد وضعیت سند]]&lt;&gt;1,TArticle[[#This Row],[مبلغ]]&lt;&gt;0),1,0)</f>
        <v>1</v>
      </c>
      <c r="AL442" s="78">
        <f>IF(TArticle[[#This Row],[کد بانک]]&gt;0,TArticle[[#This Row],[مانده بانک]]-VLOOKUP(TArticle[[#This Row],[کد بانک]],TBank[],7,FALSE),"")</f>
        <v>204465</v>
      </c>
      <c r="AM442" s="69" t="str">
        <f>LEFT(TArticle[[#This Row],[تاریخ]],7)</f>
        <v>1402-10</v>
      </c>
    </row>
    <row r="443" spans="1:39" x14ac:dyDescent="0.25">
      <c r="A443" s="24" t="s">
        <v>1608</v>
      </c>
      <c r="B443" s="49" t="str">
        <f>VLOOKUP(TArticle[[#This Row],[شناسه]],TAccount[],2,TRUE)</f>
        <v>بن کارت</v>
      </c>
      <c r="C443" s="49" t="str">
        <f>VLOOKUP(TArticle[[#This Row],[تاریخ]],TDays[],7,FALSE)</f>
        <v>جمعه</v>
      </c>
      <c r="D443" s="21" t="s">
        <v>829</v>
      </c>
      <c r="E443" s="1">
        <v>1700</v>
      </c>
      <c r="F443" s="1">
        <f>TArticle[[#This Row],[مبلغ]]+IFERROR(INT(F442),30181+3667+958)</f>
        <v>177263</v>
      </c>
      <c r="G443" s="166"/>
      <c r="J443" s="51"/>
      <c r="K443" s="64">
        <v>2</v>
      </c>
      <c r="L443" s="171" t="str">
        <f>IF(TArticle[[#This Row],[کد وضعیت سند]]&gt;0,VLOOKUP(TArticle[[#This Row],[کد وضعیت سند]],TDocState[],2,FALSE),"")</f>
        <v>قطعی</v>
      </c>
      <c r="N443" s="171" t="str">
        <f>IF(TArticle[[#This Row],[کد طرف حساب]]&gt;0,VLOOKUP(TArticle[[#This Row],[کد طرف حساب]],TContact[],2,FALSE),"")</f>
        <v/>
      </c>
      <c r="O443" s="60" t="str">
        <f>IF(TArticle[[#This Row],[کد طرف حساب]]&gt;0,VLOOKUP(TArticle[[#This Row],[کد طرف حساب]],TContact[],7,FALSE)-SUMIF($M$2:M443,M443,$E$2:$E443),"")</f>
        <v/>
      </c>
      <c r="P443" s="27" t="str">
        <f>RIGHT(TArticle[[#This Row],[تاریخ]],2)</f>
        <v>01</v>
      </c>
      <c r="Q443" s="27">
        <f>VLOOKUP(TArticle[[#This Row],[تاریخ]],TDays[],16,FALSE)</f>
        <v>41</v>
      </c>
      <c r="R443" s="27" t="str">
        <f>RIGHT(LEFT(TArticle[[#This Row],[تاریخ]],7),2)</f>
        <v>10</v>
      </c>
      <c r="S443" s="27" t="str">
        <f>LEFT(TArticle[[#This Row],[تاریخ]],4)</f>
        <v>1402</v>
      </c>
      <c r="U443" s="21">
        <f>VLOOKUP(TArticle[[#This Row],[شناسه]],TAccount[],7,TRUE)</f>
        <v>3000</v>
      </c>
      <c r="V443" s="28"/>
      <c r="W443" s="21">
        <f>IF(AND(TArticle[[#This Row],[مبلغ]]&gt;0, TArticle[[#This Row],[کد وضعیت سند]]=1),TArticle[[#This Row],[مبلغ]],0)</f>
        <v>0</v>
      </c>
      <c r="X443" s="27">
        <f>IF(AND(TArticle[[#This Row],[مبلغ]]&lt;0,TArticle[[#This Row],[کد وضعیت سند]]=1),0-TArticle[[#This Row],[مبلغ]],0)</f>
        <v>0</v>
      </c>
      <c r="Y443" s="27">
        <v>2</v>
      </c>
      <c r="Z443" s="171" t="str">
        <f>IF(TArticle[[#This Row],[کد بانک]]&gt;0,VLOOKUP(TArticle[[#This Row],[کد بانک]],TBank[],2,FALSE),"")</f>
        <v>ملی جاری</v>
      </c>
      <c r="AA443">
        <f>IF(AND(TArticle[[#This Row],[مبلغ]]&lt;0,TArticle[[#This Row],[کد وضعیت سند]]=1),0-TArticle[[#This Row],[مبلغ]],0)</f>
        <v>0</v>
      </c>
      <c r="AB443">
        <f>IF(AND(TArticle[[#This Row],[مبلغ]]&gt;0, TArticle[[#This Row],[کد وضعیت سند]]=1),TArticle[[#This Row],[مبلغ]],0)</f>
        <v>0</v>
      </c>
      <c r="AC443" s="92">
        <f>IF(TArticle[[#This Row],[کد بانک]]&gt;0,VLOOKUP(TArticle[[#This Row],[کد بانک]],TBank[],9,FALSE)+SUMIF($Y$2:Y443,Y443,$E$2:$E443),"")</f>
        <v>206165</v>
      </c>
      <c r="AD443" s="1">
        <f>IFERROR(IF(INT(LEFT(TArticle[[#This Row],[شناسه]]))=3,IF(TArticle[[#This Row],[کد وضعیت سند]]=1,TArticle[مبلغ],0),0),0)</f>
        <v>0</v>
      </c>
      <c r="AE443" s="1">
        <f>IFERROR(IF(((TArticle[[#This Row],[شناسه]]))="4.1.1",IF(TArticle[[#This Row],[کد وضعیت سند]]=1,TArticle[مبلغ],0),0),0)</f>
        <v>0</v>
      </c>
      <c r="AF443" s="1">
        <f>IFERROR(IF(((TArticle[[#This Row],[شناسه]]))="4.1.2",IF(TArticle[[#This Row],[کد وضعیت سند]]=1,TArticle[مبلغ],0),0),0)</f>
        <v>0</v>
      </c>
      <c r="AG443" s="1">
        <f>IFERROR(IF(INT(LEFT(TArticle[[#This Row],[شناسه]]))=1,IF(TArticle[[#This Row],[کد وضعیت سند]]=1,TArticle[مبلغ],0),0),0)</f>
        <v>0</v>
      </c>
      <c r="AH443" s="1">
        <f>IFERROR(IF(INT(LEFT(TArticle[[#This Row],[شناسه]]))=2,IF(TArticle[[#This Row],[کد وضعیت سند]]=1,TArticle[مبلغ],0),0),0)</f>
        <v>0</v>
      </c>
      <c r="AI443" s="1">
        <f>IFERROR(IF((LEFT(TArticle[[#This Row],[شناسه]],3))="5.2",IF(TArticle[[#This Row],[کد وضعیت سند]]=1,TArticle[مبلغ],0),0),0)</f>
        <v>0</v>
      </c>
      <c r="AJ443" s="1">
        <f>IF(TArticle[[#This Row],[کد وضعیت سند]]=1,1,0)</f>
        <v>0</v>
      </c>
      <c r="AK443" s="1">
        <f>IF(AND(TArticle[[#This Row],[کد وضعیت سند]]&lt;&gt;1,TArticle[[#This Row],[مبلغ]]&lt;&gt;0),1,0)</f>
        <v>1</v>
      </c>
      <c r="AL443" s="51">
        <f>IF(TArticle[[#This Row],[کد بانک]]&gt;0,TArticle[[#This Row],[مانده بانک]]-VLOOKUP(TArticle[[#This Row],[کد بانک]],TBank[],7,FALSE),"")</f>
        <v>206165</v>
      </c>
      <c r="AM443" s="58" t="str">
        <f>LEFT(TArticle[[#This Row],[تاریخ]],7)</f>
        <v>1402-10</v>
      </c>
    </row>
    <row r="444" spans="1:39" x14ac:dyDescent="0.25">
      <c r="A444" s="24" t="s">
        <v>1110</v>
      </c>
      <c r="B444" s="49" t="str">
        <f>VLOOKUP(TArticle[[#This Row],[شناسه]],TAccount[],2,TRUE)</f>
        <v>قسط وام بانکی</v>
      </c>
      <c r="C444" s="49" t="str">
        <f>VLOOKUP(TArticle[[#This Row],[تاریخ]],TDays[],7,FALSE)</f>
        <v>یکشنبه</v>
      </c>
      <c r="D444" s="21" t="s">
        <v>831</v>
      </c>
      <c r="E444" s="1">
        <v>-1224</v>
      </c>
      <c r="F444" s="1">
        <f>TArticle[[#This Row],[مبلغ]]+IFERROR(INT(F443),30181+3667+958)</f>
        <v>176039</v>
      </c>
      <c r="G444" s="49"/>
      <c r="H444" s="21">
        <v>4</v>
      </c>
      <c r="J444" s="65"/>
      <c r="K444" s="64">
        <v>2</v>
      </c>
      <c r="L444" s="171" t="str">
        <f>IF(TArticle[[#This Row],[کد وضعیت سند]]&gt;0,VLOOKUP(TArticle[[#This Row],[کد وضعیت سند]],TDocState[],2,FALSE),"")</f>
        <v>قطعی</v>
      </c>
      <c r="M444" s="27">
        <v>115</v>
      </c>
      <c r="N444" s="171" t="str">
        <f>IF(TArticle[[#This Row],[کد طرف حساب]]&gt;0,VLOOKUP(TArticle[[#This Row],[کد طرف حساب]],TContact[],2,FALSE),"")</f>
        <v>وام فرزند مهر</v>
      </c>
      <c r="O444" s="68">
        <f>IF(TArticle[[#This Row],[کد طرف حساب]]&gt;0,VLOOKUP(TArticle[[#This Row],[کد طرف حساب]],TContact[],7,FALSE)-SUMIF($M$2:M444,M444,$E$2:$E444),"")</f>
        <v>-56328</v>
      </c>
      <c r="P444" s="67" t="str">
        <f>RIGHT(TArticle[[#This Row],[تاریخ]],2)</f>
        <v>03</v>
      </c>
      <c r="Q444" s="67">
        <f>VLOOKUP(TArticle[[#This Row],[تاریخ]],TDays[],16,FALSE)</f>
        <v>41</v>
      </c>
      <c r="R444" s="67" t="str">
        <f>RIGHT(LEFT(TArticle[[#This Row],[تاریخ]],7),2)</f>
        <v>10</v>
      </c>
      <c r="S444" s="67" t="str">
        <f>LEFT(TArticle[[#This Row],[تاریخ]],4)</f>
        <v>1402</v>
      </c>
      <c r="T444" s="64"/>
      <c r="U444" s="64">
        <f>VLOOKUP(TArticle[[#This Row],[شناسه]],TAccount[],7,TRUE)</f>
        <v>81652</v>
      </c>
      <c r="W444" s="64">
        <f>IF(AND(TArticle[[#This Row],[مبلغ]]&gt;0, TArticle[[#This Row],[کد وضعیت سند]]=1),TArticle[[#This Row],[مبلغ]],0)</f>
        <v>0</v>
      </c>
      <c r="X444" s="67">
        <f>IF(AND(TArticle[[#This Row],[مبلغ]]&lt;0,TArticle[[#This Row],[کد وضعیت سند]]=1),0-TArticle[[#This Row],[مبلغ]],0)</f>
        <v>0</v>
      </c>
      <c r="Y444" s="27">
        <v>2</v>
      </c>
      <c r="Z444" s="171" t="str">
        <f>IF(TArticle[[#This Row],[کد بانک]]&gt;0,VLOOKUP(TArticle[[#This Row],[کد بانک]],TBank[],2,FALSE),"")</f>
        <v>ملی جاری</v>
      </c>
      <c r="AA444">
        <f>IF(AND(TArticle[[#This Row],[مبلغ]]&lt;0,TArticle[[#This Row],[کد وضعیت سند]]=1),0-TArticle[[#This Row],[مبلغ]],0)</f>
        <v>0</v>
      </c>
      <c r="AB444">
        <f>IF(AND(TArticle[[#This Row],[مبلغ]]&gt;0, TArticle[[#This Row],[کد وضعیت سند]]=1),TArticle[[#This Row],[مبلغ]],0)</f>
        <v>0</v>
      </c>
      <c r="AC444" s="93">
        <f>IF(TArticle[[#This Row],[کد بانک]]&gt;0,VLOOKUP(TArticle[[#This Row],[کد بانک]],TBank[],9,FALSE)+SUMIF($Y$2:Y444,Y444,$E$2:$E444),"")</f>
        <v>204941</v>
      </c>
      <c r="AD444" s="1">
        <f>IFERROR(IF(INT(LEFT(TArticle[[#This Row],[شناسه]]))=3,IF(TArticle[[#This Row],[کد وضعیت سند]]=1,TArticle[مبلغ],0),0),0)</f>
        <v>0</v>
      </c>
      <c r="AE444" s="1">
        <f>IFERROR(IF(((TArticle[[#This Row],[شناسه]]))="4.1.1",IF(TArticle[[#This Row],[کد وضعیت سند]]=1,TArticle[مبلغ],0),0),0)</f>
        <v>0</v>
      </c>
      <c r="AF444" s="1">
        <f>IFERROR(IF(((TArticle[[#This Row],[شناسه]]))="4.1.2",IF(TArticle[[#This Row],[کد وضعیت سند]]=1,TArticle[مبلغ],0),0),0)</f>
        <v>0</v>
      </c>
      <c r="AG444" s="1">
        <f>IFERROR(IF(INT(LEFT(TArticle[[#This Row],[شناسه]]))=1,IF(TArticle[[#This Row],[کد وضعیت سند]]=1,TArticle[مبلغ],0),0),0)</f>
        <v>0</v>
      </c>
      <c r="AH444" s="1">
        <f>IFERROR(IF(INT(LEFT(TArticle[[#This Row],[شناسه]]))=2,IF(TArticle[[#This Row],[کد وضعیت سند]]=1,TArticle[مبلغ],0),0),0)</f>
        <v>0</v>
      </c>
      <c r="AI444" s="1">
        <f>IFERROR(IF((LEFT(TArticle[[#This Row],[شناسه]],3))="5.2",IF(TArticle[[#This Row],[کد وضعیت سند]]=1,TArticle[مبلغ],0),0),0)</f>
        <v>0</v>
      </c>
      <c r="AJ444" s="1">
        <f>IF(TArticle[[#This Row],[کد وضعیت سند]]=1,1,0)</f>
        <v>0</v>
      </c>
      <c r="AK444" s="1">
        <f>IF(AND(TArticle[[#This Row],[کد وضعیت سند]]&lt;&gt;1,TArticle[[#This Row],[مبلغ]]&lt;&gt;0),1,0)</f>
        <v>1</v>
      </c>
      <c r="AL444" s="78">
        <f>IF(TArticle[[#This Row],[کد بانک]]&gt;0,TArticle[[#This Row],[مانده بانک]]-VLOOKUP(TArticle[[#This Row],[کد بانک]],TBank[],7,FALSE),"")</f>
        <v>204941</v>
      </c>
      <c r="AM444" s="69" t="str">
        <f>LEFT(TArticle[[#This Row],[تاریخ]],7)</f>
        <v>1402-10</v>
      </c>
    </row>
    <row r="445" spans="1:39" x14ac:dyDescent="0.25">
      <c r="A445" s="24" t="s">
        <v>1110</v>
      </c>
      <c r="B445" s="49" t="str">
        <f>VLOOKUP(TArticle[[#This Row],[شناسه]],TAccount[],2,TRUE)</f>
        <v>قسط وام بانکی</v>
      </c>
      <c r="C445" s="49" t="str">
        <f>VLOOKUP(TArticle[[#This Row],[تاریخ]],TDays[],7,FALSE)</f>
        <v>یکشنبه</v>
      </c>
      <c r="D445" s="21" t="s">
        <v>831</v>
      </c>
      <c r="E445" s="1">
        <v>-1830</v>
      </c>
      <c r="F445" s="1">
        <f>TArticle[[#This Row],[مبلغ]]+IFERROR(INT(F444),30181+3667+958)</f>
        <v>174209</v>
      </c>
      <c r="G445" s="49" t="s">
        <v>1591</v>
      </c>
      <c r="H445" s="21">
        <v>31</v>
      </c>
      <c r="K445" s="21">
        <v>2</v>
      </c>
      <c r="L445" s="171" t="str">
        <f>IF(TArticle[[#This Row],[کد وضعیت سند]]&gt;0,VLOOKUP(TArticle[[#This Row],[کد وضعیت سند]],TDocState[],2,FALSE),"")</f>
        <v>قطعی</v>
      </c>
      <c r="M445" s="27">
        <v>110</v>
      </c>
      <c r="N445" s="171" t="str">
        <f>IF(TArticle[[#This Row],[کد طرف حساب]]&gt;0,VLOOKUP(TArticle[[#This Row],[کد طرف حساب]],TContact[],2,FALSE),"")</f>
        <v>وام ملت</v>
      </c>
      <c r="O445" s="61">
        <f>IF(TArticle[[#This Row],[کد طرف حساب]]&gt;0,VLOOKUP(TArticle[[#This Row],[کد طرف حساب]],TContact[],7,FALSE)-SUMIF($M$2:M445,M445,$E$2:$E445),"")</f>
        <v>-7910</v>
      </c>
      <c r="P445" s="27" t="str">
        <f>RIGHT(TArticle[[#This Row],[تاریخ]],2)</f>
        <v>03</v>
      </c>
      <c r="Q445" s="27">
        <f>VLOOKUP(TArticle[[#This Row],[تاریخ]],TDays[],16,FALSE)</f>
        <v>41</v>
      </c>
      <c r="R445" s="27" t="str">
        <f>RIGHT(LEFT(TArticle[[#This Row],[تاریخ]],7),2)</f>
        <v>10</v>
      </c>
      <c r="S445" s="27" t="str">
        <f>LEFT(TArticle[[#This Row],[تاریخ]],4)</f>
        <v>1402</v>
      </c>
      <c r="U445" s="21">
        <f>VLOOKUP(TArticle[[#This Row],[شناسه]],TAccount[],7,TRUE)</f>
        <v>81652</v>
      </c>
      <c r="V445" s="21" t="s">
        <v>831</v>
      </c>
      <c r="W445" s="21">
        <f>IF(AND(TArticle[[#This Row],[مبلغ]]&gt;0, TArticle[[#This Row],[کد وضعیت سند]]=1),TArticle[[#This Row],[مبلغ]],0)</f>
        <v>0</v>
      </c>
      <c r="X445" s="27">
        <f>IF(AND(TArticle[[#This Row],[مبلغ]]&lt;0,TArticle[[#This Row],[کد وضعیت سند]]=1),0-TArticle[[#This Row],[مبلغ]],0)</f>
        <v>0</v>
      </c>
      <c r="Y445" s="27">
        <v>2</v>
      </c>
      <c r="Z445" s="171" t="str">
        <f>IF(TArticle[[#This Row],[کد بانک]]&gt;0,VLOOKUP(TArticle[[#This Row],[کد بانک]],TBank[],2,FALSE),"")</f>
        <v>ملی جاری</v>
      </c>
      <c r="AA445">
        <f>IF(AND(TArticle[[#This Row],[مبلغ]]&lt;0,TArticle[[#This Row],[کد وضعیت سند]]=1),0-TArticle[[#This Row],[مبلغ]],0)</f>
        <v>0</v>
      </c>
      <c r="AB445">
        <f>IF(AND(TArticle[[#This Row],[مبلغ]]&gt;0, TArticle[[#This Row],[کد وضعیت سند]]=1),TArticle[[#This Row],[مبلغ]],0)</f>
        <v>0</v>
      </c>
      <c r="AC445" s="84">
        <f>IF(TArticle[[#This Row],[کد بانک]]&gt;0,VLOOKUP(TArticle[[#This Row],[کد بانک]],TBank[],9,FALSE)+SUMIF($Y$2:Y445,Y445,$E$2:$E445),"")</f>
        <v>203111</v>
      </c>
      <c r="AD445" s="1">
        <f>IFERROR(IF(INT(LEFT(TArticle[[#This Row],[شناسه]]))=3,IF(TArticle[[#This Row],[کد وضعیت سند]]=1,TArticle[مبلغ],0),0),0)</f>
        <v>0</v>
      </c>
      <c r="AE445" s="1">
        <f>IFERROR(IF(((TArticle[[#This Row],[شناسه]]))="4.1.1",IF(TArticle[[#This Row],[کد وضعیت سند]]=1,TArticle[مبلغ],0),0),0)</f>
        <v>0</v>
      </c>
      <c r="AF445" s="1">
        <f>IFERROR(IF(((TArticle[[#This Row],[شناسه]]))="4.1.2",IF(TArticle[[#This Row],[کد وضعیت سند]]=1,TArticle[مبلغ],0),0),0)</f>
        <v>0</v>
      </c>
      <c r="AG445" s="1">
        <f>IFERROR(IF(INT(LEFT(TArticle[[#This Row],[شناسه]]))=1,IF(TArticle[[#This Row],[کد وضعیت سند]]=1,TArticle[مبلغ],0),0),0)</f>
        <v>0</v>
      </c>
      <c r="AH445" s="1">
        <f>IFERROR(IF(INT(LEFT(TArticle[[#This Row],[شناسه]]))=2,IF(TArticle[[#This Row],[کد وضعیت سند]]=1,TArticle[مبلغ],0),0),0)</f>
        <v>0</v>
      </c>
      <c r="AI445" s="1">
        <f>IFERROR(IF((LEFT(TArticle[[#This Row],[شناسه]],3))="5.2",IF(TArticle[[#This Row],[کد وضعیت سند]]=1,TArticle[مبلغ],0),0),0)</f>
        <v>0</v>
      </c>
      <c r="AJ445" s="1">
        <f>IF(TArticle[[#This Row],[کد وضعیت سند]]=1,1,0)</f>
        <v>0</v>
      </c>
      <c r="AK445" s="1">
        <f>IF(AND(TArticle[[#This Row],[کد وضعیت سند]]&lt;&gt;1,TArticle[[#This Row],[مبلغ]]&lt;&gt;0),1,0)</f>
        <v>1</v>
      </c>
      <c r="AL445" s="51">
        <f>IF(TArticle[[#This Row],[کد بانک]]&gt;0,TArticle[[#This Row],[مانده بانک]]-VLOOKUP(TArticle[[#This Row],[کد بانک]],TBank[],7,FALSE),"")</f>
        <v>203111</v>
      </c>
      <c r="AM445" s="49" t="str">
        <f>LEFT(TArticle[[#This Row],[تاریخ]],7)</f>
        <v>1402-10</v>
      </c>
    </row>
    <row r="446" spans="1:39" x14ac:dyDescent="0.25">
      <c r="A446" s="24" t="s">
        <v>1110</v>
      </c>
      <c r="B446" s="49" t="str">
        <f>VLOOKUP(TArticle[[#This Row],[شناسه]],TAccount[],2,TRUE)</f>
        <v>قسط وام بانکی</v>
      </c>
      <c r="C446" s="49" t="str">
        <f>VLOOKUP(TArticle[[#This Row],[تاریخ]],TDays[],7,FALSE)</f>
        <v>یکشنبه</v>
      </c>
      <c r="D446" s="21" t="s">
        <v>831</v>
      </c>
      <c r="E446" s="1">
        <v>-1830</v>
      </c>
      <c r="F446" s="1">
        <f>TArticle[[#This Row],[مبلغ]]+IFERROR(INT(F445),30181+3667+958)</f>
        <v>172379</v>
      </c>
      <c r="G446" s="49" t="s">
        <v>1591</v>
      </c>
      <c r="H446" s="21">
        <v>31</v>
      </c>
      <c r="K446" s="21">
        <v>2</v>
      </c>
      <c r="L446" s="171" t="str">
        <f>IF(TArticle[[#This Row],[کد وضعیت سند]]&gt;0,VLOOKUP(TArticle[[#This Row],[کد وضعیت سند]],TDocState[],2,FALSE),"")</f>
        <v>قطعی</v>
      </c>
      <c r="M446" s="27">
        <v>111</v>
      </c>
      <c r="N446" s="171" t="str">
        <f>IF(TArticle[[#This Row],[کد طرف حساب]]&gt;0,VLOOKUP(TArticle[[#This Row],[کد طرف حساب]],TContact[],2,FALSE),"")</f>
        <v>وام ملت ف</v>
      </c>
      <c r="O446" s="61">
        <f>IF(TArticle[[#This Row],[کد طرف حساب]]&gt;0,VLOOKUP(TArticle[[#This Row],[کد طرف حساب]],TContact[],7,FALSE)-SUMIF($M$2:M446,M446,$E$2:$E446),"")</f>
        <v>-7910</v>
      </c>
      <c r="P446" s="27" t="str">
        <f>RIGHT(TArticle[[#This Row],[تاریخ]],2)</f>
        <v>03</v>
      </c>
      <c r="Q446" s="27">
        <f>VLOOKUP(TArticle[[#This Row],[تاریخ]],TDays[],16,FALSE)</f>
        <v>41</v>
      </c>
      <c r="R446" s="27" t="str">
        <f>RIGHT(LEFT(TArticle[[#This Row],[تاریخ]],7),2)</f>
        <v>10</v>
      </c>
      <c r="S446" s="27" t="str">
        <f>LEFT(TArticle[[#This Row],[تاریخ]],4)</f>
        <v>1402</v>
      </c>
      <c r="U446" s="21">
        <f>VLOOKUP(TArticle[[#This Row],[شناسه]],TAccount[],7,TRUE)</f>
        <v>81652</v>
      </c>
      <c r="V446" s="21" t="s">
        <v>831</v>
      </c>
      <c r="W446" s="21">
        <f>IF(AND(TArticle[[#This Row],[مبلغ]]&gt;0, TArticle[[#This Row],[کد وضعیت سند]]=1),TArticle[[#This Row],[مبلغ]],0)</f>
        <v>0</v>
      </c>
      <c r="X446" s="27">
        <f>IF(AND(TArticle[[#This Row],[مبلغ]]&lt;0,TArticle[[#This Row],[کد وضعیت سند]]=1),0-TArticle[[#This Row],[مبلغ]],0)</f>
        <v>0</v>
      </c>
      <c r="Y446" s="27">
        <v>2</v>
      </c>
      <c r="Z446" s="171" t="str">
        <f>IF(TArticle[[#This Row],[کد بانک]]&gt;0,VLOOKUP(TArticle[[#This Row],[کد بانک]],TBank[],2,FALSE),"")</f>
        <v>ملی جاری</v>
      </c>
      <c r="AA446">
        <f>IF(AND(TArticle[[#This Row],[مبلغ]]&lt;0,TArticle[[#This Row],[کد وضعیت سند]]=1),0-TArticle[[#This Row],[مبلغ]],0)</f>
        <v>0</v>
      </c>
      <c r="AB446">
        <f>IF(AND(TArticle[[#This Row],[مبلغ]]&gt;0, TArticle[[#This Row],[کد وضعیت سند]]=1),TArticle[[#This Row],[مبلغ]],0)</f>
        <v>0</v>
      </c>
      <c r="AC446" s="84">
        <f>IF(TArticle[[#This Row],[کد بانک]]&gt;0,VLOOKUP(TArticle[[#This Row],[کد بانک]],TBank[],9,FALSE)+SUMIF($Y$2:Y446,Y446,$E$2:$E446),"")</f>
        <v>201281</v>
      </c>
      <c r="AD446" s="1">
        <f>IFERROR(IF(INT(LEFT(TArticle[[#This Row],[شناسه]]))=3,IF(TArticle[[#This Row],[کد وضعیت سند]]=1,TArticle[مبلغ],0),0),0)</f>
        <v>0</v>
      </c>
      <c r="AE446" s="1">
        <f>IFERROR(IF(((TArticle[[#This Row],[شناسه]]))="4.1.1",IF(TArticle[[#This Row],[کد وضعیت سند]]=1,TArticle[مبلغ],0),0),0)</f>
        <v>0</v>
      </c>
      <c r="AF446" s="1">
        <f>IFERROR(IF(((TArticle[[#This Row],[شناسه]]))="4.1.2",IF(TArticle[[#This Row],[کد وضعیت سند]]=1,TArticle[مبلغ],0),0),0)</f>
        <v>0</v>
      </c>
      <c r="AG446" s="1">
        <f>IFERROR(IF(INT(LEFT(TArticle[[#This Row],[شناسه]]))=1,IF(TArticle[[#This Row],[کد وضعیت سند]]=1,TArticle[مبلغ],0),0),0)</f>
        <v>0</v>
      </c>
      <c r="AH446" s="1">
        <f>IFERROR(IF(INT(LEFT(TArticle[[#This Row],[شناسه]]))=2,IF(TArticle[[#This Row],[کد وضعیت سند]]=1,TArticle[مبلغ],0),0),0)</f>
        <v>0</v>
      </c>
      <c r="AI446" s="1">
        <f>IFERROR(IF((LEFT(TArticle[[#This Row],[شناسه]],3))="5.2",IF(TArticle[[#This Row],[کد وضعیت سند]]=1,TArticle[مبلغ],0),0),0)</f>
        <v>0</v>
      </c>
      <c r="AJ446" s="1">
        <f>IF(TArticle[[#This Row],[کد وضعیت سند]]=1,1,0)</f>
        <v>0</v>
      </c>
      <c r="AK446" s="1">
        <f>IF(AND(TArticle[[#This Row],[کد وضعیت سند]]&lt;&gt;1,TArticle[[#This Row],[مبلغ]]&lt;&gt;0),1,0)</f>
        <v>1</v>
      </c>
      <c r="AL446" s="51">
        <f>IF(TArticle[[#This Row],[کد بانک]]&gt;0,TArticle[[#This Row],[مانده بانک]]-VLOOKUP(TArticle[[#This Row],[کد بانک]],TBank[],7,FALSE),"")</f>
        <v>201281</v>
      </c>
      <c r="AM446" s="49" t="str">
        <f>LEFT(TArticle[[#This Row],[تاریخ]],7)</f>
        <v>1402-10</v>
      </c>
    </row>
    <row r="447" spans="1:39" x14ac:dyDescent="0.25">
      <c r="A447" s="24" t="s">
        <v>1110</v>
      </c>
      <c r="B447" s="49" t="str">
        <f>VLOOKUP(TArticle[[#This Row],[شناسه]],TAccount[],2,TRUE)</f>
        <v>قسط وام بانکی</v>
      </c>
      <c r="C447" s="49" t="str">
        <f>VLOOKUP(TArticle[[#This Row],[تاریخ]],TDays[],7,FALSE)</f>
        <v>دوشنبه</v>
      </c>
      <c r="D447" s="21" t="s">
        <v>832</v>
      </c>
      <c r="E447" s="1">
        <v>-532</v>
      </c>
      <c r="F447" s="1">
        <f>TArticle[[#This Row],[مبلغ]]+IFERROR(INT(F446),30181+3667+958)</f>
        <v>171847</v>
      </c>
      <c r="G447" s="49"/>
      <c r="H447" s="21">
        <v>10</v>
      </c>
      <c r="K447" s="64">
        <v>2</v>
      </c>
      <c r="L447" s="171" t="str">
        <f>IF(TArticle[[#This Row],[کد وضعیت سند]]&gt;0,VLOOKUP(TArticle[[#This Row],[کد وضعیت سند]],TDocState[],2,FALSE),"")</f>
        <v>قطعی</v>
      </c>
      <c r="M447" s="67">
        <v>116</v>
      </c>
      <c r="N447" s="171" t="str">
        <f>IF(TArticle[[#This Row],[کد طرف حساب]]&gt;0,VLOOKUP(TArticle[[#This Row],[کد طرف حساب]],TContact[],2,FALSE),"")</f>
        <v>وام امتیازی مهر</v>
      </c>
      <c r="O447" s="61">
        <f>IF(TArticle[[#This Row],[کد طرف حساب]]&gt;0,VLOOKUP(TArticle[[#This Row],[کد طرف حساب]],TContact[],7,FALSE)-SUMIF($M$2:M447,M447,$E$2:$E447),"")</f>
        <v>-6912</v>
      </c>
      <c r="P447" s="27" t="str">
        <f>RIGHT(TArticle[[#This Row],[تاریخ]],2)</f>
        <v>04</v>
      </c>
      <c r="Q447" s="27">
        <f>VLOOKUP(TArticle[[#This Row],[تاریخ]],TDays[],16,FALSE)</f>
        <v>41</v>
      </c>
      <c r="R447" s="27" t="str">
        <f>RIGHT(LEFT(TArticle[[#This Row],[تاریخ]],7),2)</f>
        <v>10</v>
      </c>
      <c r="S447" s="27" t="str">
        <f>LEFT(TArticle[[#This Row],[تاریخ]],4)</f>
        <v>1402</v>
      </c>
      <c r="U447" s="21">
        <f>VLOOKUP(TArticle[[#This Row],[شناسه]],TAccount[],7,TRUE)</f>
        <v>81652</v>
      </c>
      <c r="W447" s="21">
        <f>IF(AND(TArticle[[#This Row],[مبلغ]]&gt;0, TArticle[[#This Row],[کد وضعیت سند]]=1),TArticle[[#This Row],[مبلغ]],0)</f>
        <v>0</v>
      </c>
      <c r="X447" s="27">
        <f>IF(AND(TArticle[[#This Row],[مبلغ]]&lt;0,TArticle[[#This Row],[کد وضعیت سند]]=1),0-TArticle[[#This Row],[مبلغ]],0)</f>
        <v>0</v>
      </c>
      <c r="Y447" s="27">
        <v>2</v>
      </c>
      <c r="Z447" s="171" t="str">
        <f>IF(TArticle[[#This Row],[کد بانک]]&gt;0,VLOOKUP(TArticle[[#This Row],[کد بانک]],TBank[],2,FALSE),"")</f>
        <v>ملی جاری</v>
      </c>
      <c r="AA447">
        <f>IF(AND(TArticle[[#This Row],[مبلغ]]&lt;0,TArticle[[#This Row],[کد وضعیت سند]]=1),0-TArticle[[#This Row],[مبلغ]],0)</f>
        <v>0</v>
      </c>
      <c r="AB447">
        <f>IF(AND(TArticle[[#This Row],[مبلغ]]&gt;0, TArticle[[#This Row],[کد وضعیت سند]]=1),TArticle[[#This Row],[مبلغ]],0)</f>
        <v>0</v>
      </c>
      <c r="AC447" s="84">
        <f>IF(TArticle[[#This Row],[کد بانک]]&gt;0,VLOOKUP(TArticle[[#This Row],[کد بانک]],TBank[],9,FALSE)+SUMIF($Y$2:Y447,Y447,$E$2:$E447),"")</f>
        <v>200749</v>
      </c>
      <c r="AD447" s="1">
        <f>IFERROR(IF(INT(LEFT(TArticle[[#This Row],[شناسه]]))=3,IF(TArticle[[#This Row],[کد وضعیت سند]]=1,TArticle[مبلغ],0),0),0)</f>
        <v>0</v>
      </c>
      <c r="AE447" s="1">
        <f>IFERROR(IF(((TArticle[[#This Row],[شناسه]]))="4.1.1",IF(TArticle[[#This Row],[کد وضعیت سند]]=1,TArticle[مبلغ],0),0),0)</f>
        <v>0</v>
      </c>
      <c r="AF447" s="1">
        <f>IFERROR(IF(((TArticle[[#This Row],[شناسه]]))="4.1.2",IF(TArticle[[#This Row],[کد وضعیت سند]]=1,TArticle[مبلغ],0),0),0)</f>
        <v>0</v>
      </c>
      <c r="AG447" s="1">
        <f>IFERROR(IF(INT(LEFT(TArticle[[#This Row],[شناسه]]))=1,IF(TArticle[[#This Row],[کد وضعیت سند]]=1,TArticle[مبلغ],0),0),0)</f>
        <v>0</v>
      </c>
      <c r="AH447" s="1">
        <f>IFERROR(IF(INT(LEFT(TArticle[[#This Row],[شناسه]]))=2,IF(TArticle[[#This Row],[کد وضعیت سند]]=1,TArticle[مبلغ],0),0),0)</f>
        <v>0</v>
      </c>
      <c r="AI447" s="1">
        <f>IFERROR(IF((LEFT(TArticle[[#This Row],[شناسه]],3))="5.2",IF(TArticle[[#This Row],[کد وضعیت سند]]=1,TArticle[مبلغ],0),0),0)</f>
        <v>0</v>
      </c>
      <c r="AJ447" s="1">
        <f>IF(TArticle[[#This Row],[کد وضعیت سند]]=1,1,0)</f>
        <v>0</v>
      </c>
      <c r="AK447" s="1">
        <f>IF(AND(TArticle[[#This Row],[کد وضعیت سند]]&lt;&gt;1,TArticle[[#This Row],[مبلغ]]&lt;&gt;0),1,0)</f>
        <v>1</v>
      </c>
      <c r="AL447" s="51">
        <f>IF(TArticle[[#This Row],[کد بانک]]&gt;0,TArticle[[#This Row],[مانده بانک]]-VLOOKUP(TArticle[[#This Row],[کد بانک]],TBank[],7,FALSE),"")</f>
        <v>200749</v>
      </c>
      <c r="AM447" s="58" t="str">
        <f>LEFT(TArticle[[#This Row],[تاریخ]],7)</f>
        <v>1402-10</v>
      </c>
    </row>
    <row r="448" spans="1:39" x14ac:dyDescent="0.25">
      <c r="A448" s="24" t="s">
        <v>1110</v>
      </c>
      <c r="B448" s="49" t="str">
        <f>VLOOKUP(TArticle[[#This Row],[شناسه]],TAccount[],2,TRUE)</f>
        <v>قسط وام بانکی</v>
      </c>
      <c r="C448" s="49" t="str">
        <f>VLOOKUP(TArticle[[#This Row],[تاریخ]],TDays[],7,FALSE)</f>
        <v>شنبه</v>
      </c>
      <c r="D448" s="21" t="s">
        <v>837</v>
      </c>
      <c r="E448" s="1">
        <f>'طرف حساب'!$J$29</f>
        <v>-3616</v>
      </c>
      <c r="F448" s="1">
        <f>TArticle[[#This Row],[مبلغ]]+IFERROR(INT(F447),30181+3667+958)</f>
        <v>168231</v>
      </c>
      <c r="G448" s="49"/>
      <c r="H448" s="21">
        <v>11</v>
      </c>
      <c r="J448" s="65"/>
      <c r="K448" s="64">
        <v>2</v>
      </c>
      <c r="L448" s="171" t="str">
        <f>IF(TArticle[[#This Row],[کد وضعیت سند]]&gt;0,VLOOKUP(TArticle[[#This Row],[کد وضعیت سند]],TDocState[],2,FALSE),"")</f>
        <v>قطعی</v>
      </c>
      <c r="M448" s="67">
        <v>114</v>
      </c>
      <c r="N448" s="171" t="str">
        <f>IF(TArticle[[#This Row],[کد طرف حساب]]&gt;0,VLOOKUP(TArticle[[#This Row],[کد طرف حساب]],TContact[],2,FALSE),"")</f>
        <v>وام کارت ملی ف</v>
      </c>
      <c r="O448" s="68">
        <f>IF(TArticle[[#This Row],[کد طرف حساب]]&gt;0,VLOOKUP(TArticle[[#This Row],[کد طرف حساب]],TContact[],7,FALSE)-SUMIF($M$2:M448,M448,$E$2:$E448),"")</f>
        <v>-91682</v>
      </c>
      <c r="P448" s="67" t="str">
        <f>RIGHT(TArticle[[#This Row],[تاریخ]],2)</f>
        <v>09</v>
      </c>
      <c r="Q448" s="67">
        <f>VLOOKUP(TArticle[[#This Row],[تاریخ]],TDays[],16,FALSE)</f>
        <v>42</v>
      </c>
      <c r="R448" s="67" t="str">
        <f>RIGHT(LEFT(TArticle[[#This Row],[تاریخ]],7),2)</f>
        <v>10</v>
      </c>
      <c r="S448" s="67" t="str">
        <f>LEFT(TArticle[[#This Row],[تاریخ]],4)</f>
        <v>1402</v>
      </c>
      <c r="T448" s="64"/>
      <c r="U448" s="64">
        <f>VLOOKUP(TArticle[[#This Row],[شناسه]],TAccount[],7,TRUE)</f>
        <v>81652</v>
      </c>
      <c r="V448" s="64"/>
      <c r="W448" s="64">
        <f>IF(AND(TArticle[[#This Row],[مبلغ]]&gt;0, TArticle[[#This Row],[کد وضعیت سند]]=1),TArticle[[#This Row],[مبلغ]],0)</f>
        <v>0</v>
      </c>
      <c r="X448" s="67">
        <f>IF(AND(TArticle[[#This Row],[مبلغ]]&lt;0,TArticle[[#This Row],[کد وضعیت سند]]=1),0-TArticle[[#This Row],[مبلغ]],0)</f>
        <v>0</v>
      </c>
      <c r="Y448" s="27">
        <v>2</v>
      </c>
      <c r="Z448" s="171" t="str">
        <f>IF(TArticle[[#This Row],[کد بانک]]&gt;0,VLOOKUP(TArticle[[#This Row],[کد بانک]],TBank[],2,FALSE),"")</f>
        <v>ملی جاری</v>
      </c>
      <c r="AA448">
        <f>IF(AND(TArticle[[#This Row],[مبلغ]]&lt;0,TArticle[[#This Row],[کد وضعیت سند]]=1),0-TArticle[[#This Row],[مبلغ]],0)</f>
        <v>0</v>
      </c>
      <c r="AB448">
        <f>IF(AND(TArticle[[#This Row],[مبلغ]]&gt;0, TArticle[[#This Row],[کد وضعیت سند]]=1),TArticle[[#This Row],[مبلغ]],0)</f>
        <v>0</v>
      </c>
      <c r="AC448" s="93">
        <f>IF(TArticle[[#This Row],[کد بانک]]&gt;0,VLOOKUP(TArticle[[#This Row],[کد بانک]],TBank[],9,FALSE)+SUMIF($Y$2:Y448,Y448,$E$2:$E448),"")</f>
        <v>197133</v>
      </c>
      <c r="AD448" s="1">
        <f>IFERROR(IF(INT(LEFT(TArticle[[#This Row],[شناسه]]))=3,IF(TArticle[[#This Row],[کد وضعیت سند]]=1,TArticle[مبلغ],0),0),0)</f>
        <v>0</v>
      </c>
      <c r="AE448" s="1">
        <f>IFERROR(IF(((TArticle[[#This Row],[شناسه]]))="4.1.1",IF(TArticle[[#This Row],[کد وضعیت سند]]=1,TArticle[مبلغ],0),0),0)</f>
        <v>0</v>
      </c>
      <c r="AF448" s="1">
        <f>IFERROR(IF(((TArticle[[#This Row],[شناسه]]))="4.1.2",IF(TArticle[[#This Row],[کد وضعیت سند]]=1,TArticle[مبلغ],0),0),0)</f>
        <v>0</v>
      </c>
      <c r="AG448" s="1">
        <f>IFERROR(IF(INT(LEFT(TArticle[[#This Row],[شناسه]]))=1,IF(TArticle[[#This Row],[کد وضعیت سند]]=1,TArticle[مبلغ],0),0),0)</f>
        <v>0</v>
      </c>
      <c r="AH448" s="1">
        <f>IFERROR(IF(INT(LEFT(TArticle[[#This Row],[شناسه]]))=2,IF(TArticle[[#This Row],[کد وضعیت سند]]=1,TArticle[مبلغ],0),0),0)</f>
        <v>0</v>
      </c>
      <c r="AI448" s="1">
        <f>IFERROR(IF((LEFT(TArticle[[#This Row],[شناسه]],3))="5.2",IF(TArticle[[#This Row],[کد وضعیت سند]]=1,TArticle[مبلغ],0),0),0)</f>
        <v>0</v>
      </c>
      <c r="AJ448" s="1">
        <f>IF(TArticle[[#This Row],[کد وضعیت سند]]=1,1,0)</f>
        <v>0</v>
      </c>
      <c r="AK448" s="1">
        <f>IF(AND(TArticle[[#This Row],[کد وضعیت سند]]&lt;&gt;1,TArticle[[#This Row],[مبلغ]]&lt;&gt;0),1,0)</f>
        <v>1</v>
      </c>
      <c r="AL448" s="78">
        <f>IF(TArticle[[#This Row],[کد بانک]]&gt;0,TArticle[[#This Row],[مانده بانک]]-VLOOKUP(TArticle[[#This Row],[کد بانک]],TBank[],7,FALSE),"")</f>
        <v>197133</v>
      </c>
      <c r="AM448" s="69" t="str">
        <f>LEFT(TArticle[[#This Row],[تاریخ]],7)</f>
        <v>1402-10</v>
      </c>
    </row>
    <row r="449" spans="1:39" x14ac:dyDescent="0.25">
      <c r="A449" s="24" t="s">
        <v>76</v>
      </c>
      <c r="B449" s="49" t="str">
        <f>VLOOKUP(TArticle[[#This Row],[شناسه]],TAccount[],2,TRUE)</f>
        <v>قسط</v>
      </c>
      <c r="C449" s="49" t="str">
        <f>VLOOKUP(TArticle[[#This Row],[تاریخ]],TDays[],7,FALSE)</f>
        <v>دوشنبه</v>
      </c>
      <c r="D449" s="21" t="s">
        <v>839</v>
      </c>
      <c r="E449" s="1">
        <v>-6000</v>
      </c>
      <c r="F449" s="1">
        <f>TArticle[[#This Row],[مبلغ]]+IFERROR(INT(F448),30181+3667+958)</f>
        <v>162231</v>
      </c>
      <c r="G449" s="49"/>
      <c r="H449" s="64"/>
      <c r="J449" s="65"/>
      <c r="K449" s="64">
        <v>2</v>
      </c>
      <c r="L449" s="171" t="str">
        <f>IF(TArticle[[#This Row],[کد وضعیت سند]]&gt;0,VLOOKUP(TArticle[[#This Row],[کد وضعیت سند]],TDocState[],2,FALSE),"")</f>
        <v>قطعی</v>
      </c>
      <c r="M449" s="67">
        <v>33</v>
      </c>
      <c r="N449" s="171" t="str">
        <f>IF(TArticle[[#This Row],[کد طرف حساب]]&gt;0,VLOOKUP(TArticle[[#This Row],[کد طرف حساب]],TContact[],2,FALSE),"")</f>
        <v>محمدرضا بهرهمند</v>
      </c>
      <c r="O449" s="68">
        <f>IF(TArticle[[#This Row],[کد طرف حساب]]&gt;0,VLOOKUP(TArticle[[#This Row],[کد طرف حساب]],TContact[],7,FALSE)-SUMIF($M$2:M449,M449,$E$2:$E449),"")</f>
        <v>-8000</v>
      </c>
      <c r="P449" s="67" t="str">
        <f>RIGHT(TArticle[[#This Row],[تاریخ]],2)</f>
        <v>11</v>
      </c>
      <c r="Q449" s="67">
        <f>VLOOKUP(TArticle[[#This Row],[تاریخ]],TDays[],16,FALSE)</f>
        <v>42</v>
      </c>
      <c r="R449" s="67" t="str">
        <f>RIGHT(LEFT(TArticle[[#This Row],[تاریخ]],7),2)</f>
        <v>10</v>
      </c>
      <c r="S449" s="67" t="str">
        <f>LEFT(TArticle[[#This Row],[تاریخ]],4)</f>
        <v>1402</v>
      </c>
      <c r="T449" s="64"/>
      <c r="U449" s="64">
        <f>VLOOKUP(TArticle[[#This Row],[شناسه]],TAccount[],7,TRUE)</f>
        <v>36266</v>
      </c>
      <c r="V449" s="64"/>
      <c r="W449" s="64">
        <f>IF(AND(TArticle[[#This Row],[مبلغ]]&gt;0, TArticle[[#This Row],[کد وضعیت سند]]=1),TArticle[[#This Row],[مبلغ]],0)</f>
        <v>0</v>
      </c>
      <c r="X449" s="67">
        <f>IF(AND(TArticle[[#This Row],[مبلغ]]&lt;0,TArticle[[#This Row],[کد وضعیت سند]]=1),0-TArticle[[#This Row],[مبلغ]],0)</f>
        <v>0</v>
      </c>
      <c r="Y449" s="67">
        <v>2</v>
      </c>
      <c r="Z449" s="171" t="str">
        <f>IF(TArticle[[#This Row],[کد بانک]]&gt;0,VLOOKUP(TArticle[[#This Row],[کد بانک]],TBank[],2,FALSE),"")</f>
        <v>ملی جاری</v>
      </c>
      <c r="AA449">
        <f>IF(AND(TArticle[[#This Row],[مبلغ]]&lt;0,TArticle[[#This Row],[کد وضعیت سند]]=1),0-TArticle[[#This Row],[مبلغ]],0)</f>
        <v>0</v>
      </c>
      <c r="AB449">
        <f>IF(AND(TArticle[[#This Row],[مبلغ]]&gt;0, TArticle[[#This Row],[کد وضعیت سند]]=1),TArticle[[#This Row],[مبلغ]],0)</f>
        <v>0</v>
      </c>
      <c r="AC449" s="93">
        <f>IF(TArticle[[#This Row],[کد بانک]]&gt;0,VLOOKUP(TArticle[[#This Row],[کد بانک]],TBank[],9,FALSE)+SUMIF($Y$2:Y449,Y449,$E$2:$E449),"")</f>
        <v>191133</v>
      </c>
      <c r="AD449" s="1">
        <f>IFERROR(IF(INT(LEFT(TArticle[[#This Row],[شناسه]]))=3,IF(TArticle[[#This Row],[کد وضعیت سند]]=1,TArticle[مبلغ],0),0),0)</f>
        <v>0</v>
      </c>
      <c r="AE449" s="1">
        <f>IFERROR(IF(((TArticle[[#This Row],[شناسه]]))="4.1.1",IF(TArticle[[#This Row],[کد وضعیت سند]]=1,TArticle[مبلغ],0),0),0)</f>
        <v>0</v>
      </c>
      <c r="AF449" s="1">
        <f>IFERROR(IF(((TArticle[[#This Row],[شناسه]]))="4.1.2",IF(TArticle[[#This Row],[کد وضعیت سند]]=1,TArticle[مبلغ],0),0),0)</f>
        <v>0</v>
      </c>
      <c r="AG449" s="1">
        <f>IFERROR(IF(INT(LEFT(TArticle[[#This Row],[شناسه]]))=1,IF(TArticle[[#This Row],[کد وضعیت سند]]=1,TArticle[مبلغ],0),0),0)</f>
        <v>0</v>
      </c>
      <c r="AH449" s="1">
        <f>IFERROR(IF(INT(LEFT(TArticle[[#This Row],[شناسه]]))=2,IF(TArticle[[#This Row],[کد وضعیت سند]]=1,TArticle[مبلغ],0),0),0)</f>
        <v>0</v>
      </c>
      <c r="AI449" s="1">
        <f>IFERROR(IF((LEFT(TArticle[[#This Row],[شناسه]],3))="5.2",IF(TArticle[[#This Row],[کد وضعیت سند]]=1,TArticle[مبلغ],0),0),0)</f>
        <v>0</v>
      </c>
      <c r="AJ449" s="1">
        <f>IF(TArticle[[#This Row],[کد وضعیت سند]]=1,1,0)</f>
        <v>0</v>
      </c>
      <c r="AK449" s="1">
        <f>IF(AND(TArticle[[#This Row],[کد وضعیت سند]]&lt;&gt;1,TArticle[[#This Row],[مبلغ]]&lt;&gt;0),1,0)</f>
        <v>1</v>
      </c>
      <c r="AL449" s="78">
        <f>IF(TArticle[[#This Row],[کد بانک]]&gt;0,TArticle[[#This Row],[مانده بانک]]-VLOOKUP(TArticle[[#This Row],[کد بانک]],TBank[],7,FALSE),"")</f>
        <v>191133</v>
      </c>
      <c r="AM449" s="58" t="str">
        <f>LEFT(TArticle[[#This Row],[تاریخ]],7)</f>
        <v>1402-10</v>
      </c>
    </row>
    <row r="450" spans="1:39" x14ac:dyDescent="0.25">
      <c r="A450" s="13" t="s">
        <v>78</v>
      </c>
      <c r="B450" s="49" t="str">
        <f>VLOOKUP(TArticle[[#This Row],[شناسه]],TAccount[],2,TRUE)</f>
        <v>چک</v>
      </c>
      <c r="C450" s="49" t="str">
        <f>VLOOKUP(TArticle[[#This Row],[تاریخ]],TDays[],7,FALSE)</f>
        <v>یکشنبه</v>
      </c>
      <c r="D450" s="21" t="s">
        <v>845</v>
      </c>
      <c r="E450" s="1">
        <v>-4250</v>
      </c>
      <c r="F450" s="1">
        <f>TArticle[[#This Row],[مبلغ]]+IFERROR(INT(F449),30181+3667+958)</f>
        <v>157981</v>
      </c>
      <c r="G450" s="167">
        <v>290887</v>
      </c>
      <c r="H450" s="64">
        <v>10</v>
      </c>
      <c r="J450" s="65"/>
      <c r="K450" s="64">
        <v>2</v>
      </c>
      <c r="L450" s="171" t="str">
        <f>IF(TArticle[[#This Row],[کد وضعیت سند]]&gt;0,VLOOKUP(TArticle[[#This Row],[کد وضعیت سند]],TDocState[],2,FALSE),"")</f>
        <v>قطعی</v>
      </c>
      <c r="M450" s="27">
        <v>117</v>
      </c>
      <c r="N450" s="171" t="str">
        <f>IF(TArticle[[#This Row],[کد طرف حساب]]&gt;0,VLOOKUP(TArticle[[#This Row],[کد طرف حساب]],TContact[],2,FALSE),"")</f>
        <v>وام سرویس خواب</v>
      </c>
      <c r="O450" s="68">
        <f>IF(TArticle[[#This Row],[کد طرف حساب]]&gt;0,VLOOKUP(TArticle[[#This Row],[کد طرف حساب]],TContact[],7,FALSE)-SUMIF($M$2:M450,M450,$E$2:$E450),"")</f>
        <v>-8500</v>
      </c>
      <c r="P450" s="67" t="str">
        <f>RIGHT(TArticle[[#This Row],[تاریخ]],2)</f>
        <v>17</v>
      </c>
      <c r="Q450" s="67">
        <f>VLOOKUP(TArticle[[#This Row],[تاریخ]],TDays[],16,FALSE)</f>
        <v>43</v>
      </c>
      <c r="R450" s="67" t="str">
        <f>RIGHT(LEFT(TArticle[[#This Row],[تاریخ]],7),2)</f>
        <v>10</v>
      </c>
      <c r="S450" s="67" t="str">
        <f>LEFT(TArticle[[#This Row],[تاریخ]],4)</f>
        <v>1402</v>
      </c>
      <c r="T450" s="64"/>
      <c r="U450" s="64">
        <f>VLOOKUP(TArticle[[#This Row],[شناسه]],TAccount[],7,TRUE)</f>
        <v>57000</v>
      </c>
      <c r="W450" s="64">
        <f>IF(AND(TArticle[[#This Row],[مبلغ]]&gt;0, TArticle[[#This Row],[کد وضعیت سند]]=1),TArticle[[#This Row],[مبلغ]],0)</f>
        <v>0</v>
      </c>
      <c r="X450" s="67">
        <f>IF(AND(TArticle[[#This Row],[مبلغ]]&lt;0,TArticle[[#This Row],[کد وضعیت سند]]=1),0-TArticle[[#This Row],[مبلغ]],0)</f>
        <v>0</v>
      </c>
      <c r="Y450" s="27">
        <v>4</v>
      </c>
      <c r="Z450" s="171" t="str">
        <f>IF(TArticle[[#This Row],[کد بانک]]&gt;0,VLOOKUP(TArticle[[#This Row],[کد بانک]],TBank[],2,FALSE),"")</f>
        <v>سپه</v>
      </c>
      <c r="AA450">
        <f>IF(AND(TArticle[[#This Row],[مبلغ]]&lt;0,TArticle[[#This Row],[کد وضعیت سند]]=1),0-TArticle[[#This Row],[مبلغ]],0)</f>
        <v>0</v>
      </c>
      <c r="AB450">
        <f>IF(AND(TArticle[[#This Row],[مبلغ]]&gt;0, TArticle[[#This Row],[کد وضعیت سند]]=1),TArticle[[#This Row],[مبلغ]],0)</f>
        <v>0</v>
      </c>
      <c r="AC450" s="93">
        <f>IF(TArticle[[#This Row],[کد بانک]]&gt;0,VLOOKUP(TArticle[[#This Row],[کد بانک]],TBank[],9,FALSE)+SUMIF($Y$2:Y450,Y450,$E$2:$E450),"")</f>
        <v>-38248</v>
      </c>
      <c r="AD450" s="1">
        <f>IFERROR(IF(INT(LEFT(TArticle[[#This Row],[شناسه]]))=3,IF(TArticle[[#This Row],[کد وضعیت سند]]=1,TArticle[مبلغ],0),0),0)</f>
        <v>0</v>
      </c>
      <c r="AE450" s="1">
        <f>IFERROR(IF(((TArticle[[#This Row],[شناسه]]))="4.1.1",IF(TArticle[[#This Row],[کد وضعیت سند]]=1,TArticle[مبلغ],0),0),0)</f>
        <v>0</v>
      </c>
      <c r="AF450" s="1">
        <f>IFERROR(IF(((TArticle[[#This Row],[شناسه]]))="4.1.2",IF(TArticle[[#This Row],[کد وضعیت سند]]=1,TArticle[مبلغ],0),0),0)</f>
        <v>0</v>
      </c>
      <c r="AG450" s="1">
        <f>IFERROR(IF(INT(LEFT(TArticle[[#This Row],[شناسه]]))=1,IF(TArticle[[#This Row],[کد وضعیت سند]]=1,TArticle[مبلغ],0),0),0)</f>
        <v>0</v>
      </c>
      <c r="AH450" s="1">
        <f>IFERROR(IF(INT(LEFT(TArticle[[#This Row],[شناسه]]))=2,IF(TArticle[[#This Row],[کد وضعیت سند]]=1,TArticle[مبلغ],0),0),0)</f>
        <v>0</v>
      </c>
      <c r="AI450" s="1">
        <f>IFERROR(IF((LEFT(TArticle[[#This Row],[شناسه]],3))="5.2",IF(TArticle[[#This Row],[کد وضعیت سند]]=1,TArticle[مبلغ],0),0),0)</f>
        <v>0</v>
      </c>
      <c r="AJ450" s="1">
        <f>IF(TArticle[[#This Row],[کد وضعیت سند]]=1,1,0)</f>
        <v>0</v>
      </c>
      <c r="AK450" s="1">
        <f>IF(AND(TArticle[[#This Row],[کد وضعیت سند]]&lt;&gt;1,TArticle[[#This Row],[مبلغ]]&lt;&gt;0),1,0)</f>
        <v>1</v>
      </c>
      <c r="AL450" s="78">
        <f>IF(TArticle[[#This Row],[کد بانک]]&gt;0,TArticle[[#This Row],[مانده بانک]]-VLOOKUP(TArticle[[#This Row],[کد بانک]],TBank[],7,FALSE),"")</f>
        <v>-38250</v>
      </c>
      <c r="AM450" s="69" t="str">
        <f>LEFT(TArticle[[#This Row],[تاریخ]],7)</f>
        <v>1402-10</v>
      </c>
    </row>
    <row r="451" spans="1:39" x14ac:dyDescent="0.25">
      <c r="A451" s="24" t="s">
        <v>1013</v>
      </c>
      <c r="B451" s="49" t="str">
        <f>VLOOKUP(TArticle[[#This Row],[شناسه]],TAccount[],2,TRUE)</f>
        <v>یارانه</v>
      </c>
      <c r="C451" s="49" t="str">
        <f>VLOOKUP(TArticle[[#This Row],[تاریخ]],TDays[],7,FALSE)</f>
        <v>چهارشنبه</v>
      </c>
      <c r="D451" s="21" t="s">
        <v>848</v>
      </c>
      <c r="E451" s="1">
        <v>1500</v>
      </c>
      <c r="F451" s="1">
        <f>TArticle[[#This Row],[مبلغ]]+IFERROR(INT(F450),30181+3667+958)</f>
        <v>159481</v>
      </c>
      <c r="G451" s="49"/>
      <c r="K451" s="64">
        <v>2</v>
      </c>
      <c r="L451" s="171" t="str">
        <f>IF(TArticle[[#This Row],[کد وضعیت سند]]&gt;0,VLOOKUP(TArticle[[#This Row],[کد وضعیت سند]],TDocState[],2,FALSE),"")</f>
        <v>قطعی</v>
      </c>
      <c r="N451" s="171" t="str">
        <f>IF(TArticle[[#This Row],[کد طرف حساب]]&gt;0,VLOOKUP(TArticle[[#This Row],[کد طرف حساب]],TContact[],2,FALSE),"")</f>
        <v/>
      </c>
      <c r="O451" s="51" t="str">
        <f>IF(TArticle[[#This Row],[کد طرف حساب]]&gt;0,VLOOKUP(TArticle[[#This Row],[کد طرف حساب]],TContact[],7,FALSE)-SUMIF($M$2:M451,M451,$E$2:$E451),"")</f>
        <v/>
      </c>
      <c r="P451" s="27" t="str">
        <f>RIGHT(TArticle[[#This Row],[تاریخ]],2)</f>
        <v>20</v>
      </c>
      <c r="Q451" s="27">
        <f>VLOOKUP(TArticle[[#This Row],[تاریخ]],TDays[],16,FALSE)</f>
        <v>43</v>
      </c>
      <c r="R451" s="27" t="str">
        <f>RIGHT(LEFT(TArticle[[#This Row],[تاریخ]],7),2)</f>
        <v>10</v>
      </c>
      <c r="S451" s="27" t="str">
        <f>LEFT(TArticle[[#This Row],[تاریخ]],4)</f>
        <v>1402</v>
      </c>
      <c r="U451" s="21">
        <f>VLOOKUP(TArticle[[#This Row],[شناسه]],TAccount[],7,TRUE)</f>
        <v>12565</v>
      </c>
      <c r="W451" s="21">
        <f>IF(AND(TArticle[[#This Row],[مبلغ]]&gt;0, TArticle[[#This Row],[کد وضعیت سند]]=1),TArticle[[#This Row],[مبلغ]],0)</f>
        <v>0</v>
      </c>
      <c r="X451" s="27">
        <f>IF(AND(TArticle[[#This Row],[مبلغ]]&lt;0,TArticle[[#This Row],[کد وضعیت سند]]=1),0-TArticle[[#This Row],[مبلغ]],0)</f>
        <v>0</v>
      </c>
      <c r="Y451" s="27">
        <v>2</v>
      </c>
      <c r="Z451" s="171" t="str">
        <f>IF(TArticle[[#This Row],[کد بانک]]&gt;0,VLOOKUP(TArticle[[#This Row],[کد بانک]],TBank[],2,FALSE),"")</f>
        <v>ملی جاری</v>
      </c>
      <c r="AA451">
        <f>IF(AND(TArticle[[#This Row],[مبلغ]]&lt;0,TArticle[[#This Row],[کد وضعیت سند]]=1),0-TArticle[[#This Row],[مبلغ]],0)</f>
        <v>0</v>
      </c>
      <c r="AB451">
        <f>IF(AND(TArticle[[#This Row],[مبلغ]]&gt;0, TArticle[[#This Row],[کد وضعیت سند]]=1),TArticle[[#This Row],[مبلغ]],0)</f>
        <v>0</v>
      </c>
      <c r="AC451" s="84">
        <f>IF(TArticle[[#This Row],[کد بانک]]&gt;0,VLOOKUP(TArticle[[#This Row],[کد بانک]],TBank[],9,FALSE)+SUMIF($Y$2:Y451,Y451,$E$2:$E451),"")</f>
        <v>192633</v>
      </c>
      <c r="AD451" s="1">
        <f>IFERROR(IF(INT(LEFT(TArticle[[#This Row],[شناسه]]))=3,IF(TArticle[[#This Row],[کد وضعیت سند]]=1,TArticle[مبلغ],0),0),0)</f>
        <v>0</v>
      </c>
      <c r="AE451" s="1">
        <f>IFERROR(IF(((TArticle[[#This Row],[شناسه]]))="4.1.1",IF(TArticle[[#This Row],[کد وضعیت سند]]=1,TArticle[مبلغ],0),0),0)</f>
        <v>0</v>
      </c>
      <c r="AF451" s="1">
        <f>IFERROR(IF(((TArticle[[#This Row],[شناسه]]))="4.1.2",IF(TArticle[[#This Row],[کد وضعیت سند]]=1,TArticle[مبلغ],0),0),0)</f>
        <v>0</v>
      </c>
      <c r="AG451" s="1">
        <f>IFERROR(IF(INT(LEFT(TArticle[[#This Row],[شناسه]]))=1,IF(TArticle[[#This Row],[کد وضعیت سند]]=1,TArticle[مبلغ],0),0),0)</f>
        <v>0</v>
      </c>
      <c r="AH451" s="1">
        <f>IFERROR(IF(INT(LEFT(TArticle[[#This Row],[شناسه]]))=2,IF(TArticle[[#This Row],[کد وضعیت سند]]=1,TArticle[مبلغ],0),0),0)</f>
        <v>0</v>
      </c>
      <c r="AI451" s="1">
        <f>IFERROR(IF((LEFT(TArticle[[#This Row],[شناسه]],3))="5.2",IF(TArticle[[#This Row],[کد وضعیت سند]]=1,TArticle[مبلغ],0),0),0)</f>
        <v>0</v>
      </c>
      <c r="AJ451" s="1">
        <f>IF(TArticle[[#This Row],[کد وضعیت سند]]=1,1,0)</f>
        <v>0</v>
      </c>
      <c r="AK451" s="1">
        <f>IF(AND(TArticle[[#This Row],[کد وضعیت سند]]&lt;&gt;1,TArticle[[#This Row],[مبلغ]]&lt;&gt;0),1,0)</f>
        <v>1</v>
      </c>
      <c r="AL451" s="51">
        <f>IF(TArticle[[#This Row],[کد بانک]]&gt;0,TArticle[[#This Row],[مانده بانک]]-VLOOKUP(TArticle[[#This Row],[کد بانک]],TBank[],7,FALSE),"")</f>
        <v>192633</v>
      </c>
      <c r="AM451" s="49" t="str">
        <f>LEFT(TArticle[[#This Row],[تاریخ]],7)</f>
        <v>1402-10</v>
      </c>
    </row>
    <row r="452" spans="1:39" x14ac:dyDescent="0.25">
      <c r="A452" s="24" t="s">
        <v>1110</v>
      </c>
      <c r="B452" s="49" t="str">
        <f>VLOOKUP(TArticle[[#This Row],[شناسه]],TAccount[],2,TRUE)</f>
        <v>قسط وام بانکی</v>
      </c>
      <c r="C452" s="49" t="str">
        <f>VLOOKUP(TArticle[[#This Row],[تاریخ]],TDays[],7,FALSE)</f>
        <v>پنجشنبه</v>
      </c>
      <c r="D452" s="21" t="s">
        <v>856</v>
      </c>
      <c r="E452" s="1">
        <v>-1808</v>
      </c>
      <c r="F452" s="1">
        <f>TArticle[[#This Row],[مبلغ]]+IFERROR(INT(F451),30181+3667+958)</f>
        <v>157673</v>
      </c>
      <c r="G452" s="49" t="s">
        <v>1597</v>
      </c>
      <c r="H452" s="21">
        <v>27</v>
      </c>
      <c r="K452" s="21">
        <v>2</v>
      </c>
      <c r="L452" s="171" t="str">
        <f>IF(TArticle[[#This Row],[کد وضعیت سند]]&gt;0,VLOOKUP(TArticle[[#This Row],[کد وضعیت سند]],TDocState[],2,FALSE),"")</f>
        <v>قطعی</v>
      </c>
      <c r="M452" s="67">
        <v>112</v>
      </c>
      <c r="N452" s="171" t="str">
        <f>IF(TArticle[[#This Row],[کد طرف حساب]]&gt;0,VLOOKUP(TArticle[[#This Row],[کد طرف حساب]],TContact[],2,FALSE),"")</f>
        <v>وام ملی</v>
      </c>
      <c r="O452" s="51">
        <f>IF(TArticle[[#This Row],[کد طرف حساب]]&gt;0,VLOOKUP(TArticle[[#This Row],[کد طرف حساب]],TContact[],7,FALSE)-SUMIF($M$2:M452,M452,$E$2:$E452),"")</f>
        <v>-13840</v>
      </c>
      <c r="P452" s="27" t="str">
        <f>RIGHT(TArticle[[#This Row],[تاریخ]],2)</f>
        <v>28</v>
      </c>
      <c r="Q452" s="27">
        <f>VLOOKUP(TArticle[[#This Row],[تاریخ]],TDays[],16,FALSE)</f>
        <v>45</v>
      </c>
      <c r="R452" s="27" t="str">
        <f>RIGHT(LEFT(TArticle[[#This Row],[تاریخ]],7),2)</f>
        <v>10</v>
      </c>
      <c r="S452" s="27" t="str">
        <f>LEFT(TArticle[[#This Row],[تاریخ]],4)</f>
        <v>1402</v>
      </c>
      <c r="U452" s="21">
        <f>VLOOKUP(TArticle[[#This Row],[شناسه]],TAccount[],7,TRUE)</f>
        <v>81652</v>
      </c>
      <c r="V452" s="21" t="s">
        <v>856</v>
      </c>
      <c r="W452" s="21">
        <f>IF(AND(TArticle[[#This Row],[مبلغ]]&gt;0, TArticle[[#This Row],[کد وضعیت سند]]=1),TArticle[[#This Row],[مبلغ]],0)</f>
        <v>0</v>
      </c>
      <c r="X452" s="27">
        <f>IF(AND(TArticle[[#This Row],[مبلغ]]&lt;0,TArticle[[#This Row],[کد وضعیت سند]]=1),0-TArticle[[#This Row],[مبلغ]],0)</f>
        <v>0</v>
      </c>
      <c r="Y452" s="67">
        <v>2</v>
      </c>
      <c r="Z452" s="171" t="str">
        <f>IF(TArticle[[#This Row],[کد بانک]]&gt;0,VLOOKUP(TArticle[[#This Row],[کد بانک]],TBank[],2,FALSE),"")</f>
        <v>ملی جاری</v>
      </c>
      <c r="AA452">
        <f>IF(AND(TArticle[[#This Row],[مبلغ]]&lt;0,TArticle[[#This Row],[کد وضعیت سند]]=1),0-TArticle[[#This Row],[مبلغ]],0)</f>
        <v>0</v>
      </c>
      <c r="AB452">
        <f>IF(AND(TArticle[[#This Row],[مبلغ]]&gt;0, TArticle[[#This Row],[کد وضعیت سند]]=1),TArticle[[#This Row],[مبلغ]],0)</f>
        <v>0</v>
      </c>
      <c r="AC452" s="84">
        <f>IF(TArticle[[#This Row],[کد بانک]]&gt;0,VLOOKUP(TArticle[[#This Row],[کد بانک]],TBank[],9,FALSE)+SUMIF($Y$2:Y452,Y452,$E$2:$E452),"")</f>
        <v>190825</v>
      </c>
      <c r="AD452" s="1">
        <f>IFERROR(IF(INT(LEFT(TArticle[[#This Row],[شناسه]]))=3,IF(TArticle[[#This Row],[کد وضعیت سند]]=1,TArticle[مبلغ],0),0),0)</f>
        <v>0</v>
      </c>
      <c r="AE452" s="1">
        <f>IFERROR(IF(((TArticle[[#This Row],[شناسه]]))="4.1.1",IF(TArticle[[#This Row],[کد وضعیت سند]]=1,TArticle[مبلغ],0),0),0)</f>
        <v>0</v>
      </c>
      <c r="AF452" s="1">
        <f>IFERROR(IF(((TArticle[[#This Row],[شناسه]]))="4.1.2",IF(TArticle[[#This Row],[کد وضعیت سند]]=1,TArticle[مبلغ],0),0),0)</f>
        <v>0</v>
      </c>
      <c r="AG452" s="1">
        <f>IFERROR(IF(INT(LEFT(TArticle[[#This Row],[شناسه]]))=1,IF(TArticle[[#This Row],[کد وضعیت سند]]=1,TArticle[مبلغ],0),0),0)</f>
        <v>0</v>
      </c>
      <c r="AH452" s="1">
        <f>IFERROR(IF(INT(LEFT(TArticle[[#This Row],[شناسه]]))=2,IF(TArticle[[#This Row],[کد وضعیت سند]]=1,TArticle[مبلغ],0),0),0)</f>
        <v>0</v>
      </c>
      <c r="AI452" s="1">
        <f>IFERROR(IF((LEFT(TArticle[[#This Row],[شناسه]],3))="5.2",IF(TArticle[[#This Row],[کد وضعیت سند]]=1,TArticle[مبلغ],0),0),0)</f>
        <v>0</v>
      </c>
      <c r="AJ452" s="1">
        <f>IF(TArticle[[#This Row],[کد وضعیت سند]]=1,1,0)</f>
        <v>0</v>
      </c>
      <c r="AK452" s="1">
        <f>IF(AND(TArticle[[#This Row],[کد وضعیت سند]]&lt;&gt;1,TArticle[[#This Row],[مبلغ]]&lt;&gt;0),1,0)</f>
        <v>1</v>
      </c>
      <c r="AL452" s="51">
        <f>IF(TArticle[[#This Row],[کد بانک]]&gt;0,TArticle[[#This Row],[مانده بانک]]-VLOOKUP(TArticle[[#This Row],[کد بانک]],TBank[],7,FALSE),"")</f>
        <v>190825</v>
      </c>
      <c r="AM452" s="49" t="str">
        <f>LEFT(TArticle[[#This Row],[تاریخ]],7)</f>
        <v>1402-10</v>
      </c>
    </row>
    <row r="453" spans="1:39" x14ac:dyDescent="0.25">
      <c r="A453" s="24"/>
      <c r="B453" s="49" t="str">
        <f>VLOOKUP(TArticle[[#This Row],[شناسه]],TAccount[],2,TRUE)</f>
        <v>---</v>
      </c>
      <c r="C453" s="49" t="str">
        <f>VLOOKUP(TArticle[[#This Row],[تاریخ]],TDays[],7,FALSE)</f>
        <v>شنبه</v>
      </c>
      <c r="D453" s="21" t="s">
        <v>858</v>
      </c>
      <c r="F453" s="1">
        <f>TArticle[[#This Row],[مبلغ]]+IFERROR(INT(F452),30181+3667+958)</f>
        <v>157673</v>
      </c>
      <c r="G453" s="49"/>
      <c r="L453" s="171" t="str">
        <f>IF(TArticle[[#This Row],[کد وضعیت سند]]&gt;0,VLOOKUP(TArticle[[#This Row],[کد وضعیت سند]],TDocState[],2,FALSE),"")</f>
        <v/>
      </c>
      <c r="N453" s="171" t="str">
        <f>IF(TArticle[[#This Row],[کد طرف حساب]]&gt;0,VLOOKUP(TArticle[[#This Row],[کد طرف حساب]],TContact[],2,FALSE),"")</f>
        <v/>
      </c>
      <c r="O453" s="51" t="str">
        <f>IF(TArticle[[#This Row],[کد طرف حساب]]&gt;0,VLOOKUP(TArticle[[#This Row],[کد طرف حساب]],TContact[],7,FALSE)-SUMIF($M$2:M453,M453,$E$2:$E453),"")</f>
        <v/>
      </c>
      <c r="P453" s="27" t="str">
        <f>RIGHT(TArticle[[#This Row],[تاریخ]],2)</f>
        <v>30</v>
      </c>
      <c r="Q453" s="27">
        <f>VLOOKUP(TArticle[[#This Row],[تاریخ]],TDays[],16,FALSE)</f>
        <v>45</v>
      </c>
      <c r="R453" s="27" t="str">
        <f>RIGHT(LEFT(TArticle[[#This Row],[تاریخ]],7),2)</f>
        <v>10</v>
      </c>
      <c r="S453" s="27" t="str">
        <f>LEFT(TArticle[[#This Row],[تاریخ]],4)</f>
        <v>1402</v>
      </c>
      <c r="U453" s="21">
        <f>VLOOKUP(TArticle[[#This Row],[شناسه]],TAccount[],7,TRUE)</f>
        <v>0</v>
      </c>
      <c r="W453" s="21">
        <f>IF(AND(TArticle[[#This Row],[مبلغ]]&gt;0, TArticle[[#This Row],[کد وضعیت سند]]=1),TArticle[[#This Row],[مبلغ]],0)</f>
        <v>0</v>
      </c>
      <c r="X453" s="27">
        <f>IF(AND(TArticle[[#This Row],[مبلغ]]&lt;0,TArticle[[#This Row],[کد وضعیت سند]]=1),0-TArticle[[#This Row],[مبلغ]],0)</f>
        <v>0</v>
      </c>
      <c r="Y453" s="67">
        <v>2</v>
      </c>
      <c r="Z453" s="171" t="str">
        <f>IF(TArticle[[#This Row],[کد بانک]]&gt;0,VLOOKUP(TArticle[[#This Row],[کد بانک]],TBank[],2,FALSE),"")</f>
        <v>ملی جاری</v>
      </c>
      <c r="AA453">
        <f>IF(AND(TArticle[[#This Row],[مبلغ]]&lt;0,TArticle[[#This Row],[کد وضعیت سند]]=1),0-TArticle[[#This Row],[مبلغ]],0)</f>
        <v>0</v>
      </c>
      <c r="AB453">
        <f>IF(AND(TArticle[[#This Row],[مبلغ]]&gt;0, TArticle[[#This Row],[کد وضعیت سند]]=1),TArticle[[#This Row],[مبلغ]],0)</f>
        <v>0</v>
      </c>
      <c r="AC453" s="84">
        <f>IF(TArticle[[#This Row],[کد بانک]]&gt;0,VLOOKUP(TArticle[[#This Row],[کد بانک]],TBank[],9,FALSE)+SUMIF($Y$2:Y453,Y453,$E$2:$E453),"")</f>
        <v>190825</v>
      </c>
      <c r="AD453" s="1">
        <f>IFERROR(IF(INT(LEFT(TArticle[[#This Row],[شناسه]]))=3,IF(TArticle[[#This Row],[کد وضعیت سند]]=1,TArticle[مبلغ],0),0),0)</f>
        <v>0</v>
      </c>
      <c r="AE453" s="1">
        <f>IFERROR(IF(((TArticle[[#This Row],[شناسه]]))="4.1.1",IF(TArticle[[#This Row],[کد وضعیت سند]]=1,TArticle[مبلغ],0),0),0)</f>
        <v>0</v>
      </c>
      <c r="AF453" s="1">
        <f>IFERROR(IF(((TArticle[[#This Row],[شناسه]]))="4.1.2",IF(TArticle[[#This Row],[کد وضعیت سند]]=1,TArticle[مبلغ],0),0),0)</f>
        <v>0</v>
      </c>
      <c r="AG453" s="1">
        <f>IFERROR(IF(INT(LEFT(TArticle[[#This Row],[شناسه]]))=1,IF(TArticle[[#This Row],[کد وضعیت سند]]=1,TArticle[مبلغ],0),0),0)</f>
        <v>0</v>
      </c>
      <c r="AH453" s="1">
        <f>IFERROR(IF(INT(LEFT(TArticle[[#This Row],[شناسه]]))=2,IF(TArticle[[#This Row],[کد وضعیت سند]]=1,TArticle[مبلغ],0),0),0)</f>
        <v>0</v>
      </c>
      <c r="AI453" s="1">
        <f>IFERROR(IF((LEFT(TArticle[[#This Row],[شناسه]],3))="5.2",IF(TArticle[[#This Row],[کد وضعیت سند]]=1,TArticle[مبلغ],0),0),0)</f>
        <v>0</v>
      </c>
      <c r="AJ453" s="1">
        <f>IF(TArticle[[#This Row],[کد وضعیت سند]]=1,1,0)</f>
        <v>0</v>
      </c>
      <c r="AK453" s="1">
        <f>IF(AND(TArticle[[#This Row],[کد وضعیت سند]]&lt;&gt;1,TArticle[[#This Row],[مبلغ]]&lt;&gt;0),1,0)</f>
        <v>0</v>
      </c>
      <c r="AL453" s="51">
        <f>IF(TArticle[[#This Row],[کد بانک]]&gt;0,TArticle[[#This Row],[مانده بانک]]-VLOOKUP(TArticle[[#This Row],[کد بانک]],TBank[],7,FALSE),"")</f>
        <v>190825</v>
      </c>
      <c r="AM453" s="49" t="str">
        <f>LEFT(TArticle[[#This Row],[تاریخ]],7)</f>
        <v>1402-10</v>
      </c>
    </row>
    <row r="454" spans="1:39" x14ac:dyDescent="0.25">
      <c r="A454" s="24" t="s">
        <v>43</v>
      </c>
      <c r="B454" s="49" t="str">
        <f>VLOOKUP(TArticle[[#This Row],[شناسه]],TAccount[],2,TRUE)</f>
        <v>حقوق</v>
      </c>
      <c r="C454" s="49" t="str">
        <f>VLOOKUP(TArticle[[#This Row],[تاریخ]],TDays[],7,FALSE)</f>
        <v>یکشنبه</v>
      </c>
      <c r="D454" s="21" t="s">
        <v>859</v>
      </c>
      <c r="E454" s="1">
        <v>36000</v>
      </c>
      <c r="F454" s="1">
        <f>TArticle[[#This Row],[مبلغ]]+IFERROR(INT(F453),30181+3667+958)</f>
        <v>193673</v>
      </c>
      <c r="G454" s="49"/>
      <c r="H454" s="64"/>
      <c r="J454" s="65"/>
      <c r="K454" s="64">
        <v>2</v>
      </c>
      <c r="L454" s="171" t="str">
        <f>IF(TArticle[[#This Row],[کد وضعیت سند]]&gt;0,VLOOKUP(TArticle[[#This Row],[کد وضعیت سند]],TDocState[],2,FALSE),"")</f>
        <v>قطعی</v>
      </c>
      <c r="M454" s="67"/>
      <c r="N454" s="171" t="str">
        <f>IF(TArticle[[#This Row],[کد طرف حساب]]&gt;0,VLOOKUP(TArticle[[#This Row],[کد طرف حساب]],TContact[],2,FALSE),"")</f>
        <v/>
      </c>
      <c r="O454" s="68" t="str">
        <f>IF(TArticle[[#This Row],[کد طرف حساب]]&gt;0,VLOOKUP(TArticle[[#This Row],[کد طرف حساب]],TContact[],7,FALSE)-SUMIF($M$2:M454,M454,$E$2:$E454),"")</f>
        <v/>
      </c>
      <c r="P454" s="67" t="str">
        <f>RIGHT(TArticle[[#This Row],[تاریخ]],2)</f>
        <v>01</v>
      </c>
      <c r="Q454" s="67">
        <f>VLOOKUP(TArticle[[#This Row],[تاریخ]],TDays[],16,FALSE)</f>
        <v>45</v>
      </c>
      <c r="R454" s="67" t="str">
        <f>RIGHT(LEFT(TArticle[[#This Row],[تاریخ]],7),2)</f>
        <v>11</v>
      </c>
      <c r="S454" s="67" t="str">
        <f>LEFT(TArticle[[#This Row],[تاریخ]],4)</f>
        <v>1402</v>
      </c>
      <c r="T454" s="64"/>
      <c r="U454" s="64">
        <f>VLOOKUP(TArticle[[#This Row],[شناسه]],TAccount[],7,TRUE)</f>
        <v>416023</v>
      </c>
      <c r="V454" s="64"/>
      <c r="W454" s="64">
        <f>IF(AND(TArticle[[#This Row],[مبلغ]]&gt;0, TArticle[[#This Row],[کد وضعیت سند]]=1),TArticle[[#This Row],[مبلغ]],0)</f>
        <v>0</v>
      </c>
      <c r="X454" s="67">
        <f>IF(AND(TArticle[[#This Row],[مبلغ]]&lt;0,TArticle[[#This Row],[کد وضعیت سند]]=1),0-TArticle[[#This Row],[مبلغ]],0)</f>
        <v>0</v>
      </c>
      <c r="Y454" s="27">
        <v>2</v>
      </c>
      <c r="Z454" s="171" t="str">
        <f>IF(TArticle[[#This Row],[کد بانک]]&gt;0,VLOOKUP(TArticle[[#This Row],[کد بانک]],TBank[],2,FALSE),"")</f>
        <v>ملی جاری</v>
      </c>
      <c r="AA454">
        <f>IF(AND(TArticle[[#This Row],[مبلغ]]&lt;0,TArticle[[#This Row],[کد وضعیت سند]]=1),0-TArticle[[#This Row],[مبلغ]],0)</f>
        <v>0</v>
      </c>
      <c r="AB454">
        <f>IF(AND(TArticle[[#This Row],[مبلغ]]&gt;0, TArticle[[#This Row],[کد وضعیت سند]]=1),TArticle[[#This Row],[مبلغ]],0)</f>
        <v>0</v>
      </c>
      <c r="AC454" s="93">
        <f>IF(TArticle[[#This Row],[کد بانک]]&gt;0,VLOOKUP(TArticle[[#This Row],[کد بانک]],TBank[],9,FALSE)+SUMIF($Y$2:Y454,Y454,$E$2:$E454),"")</f>
        <v>226825</v>
      </c>
      <c r="AD454" s="1">
        <f>IFERROR(IF(INT(LEFT(TArticle[[#This Row],[شناسه]]))=3,IF(TArticle[[#This Row],[کد وضعیت سند]]=1,TArticle[مبلغ],0),0),0)</f>
        <v>0</v>
      </c>
      <c r="AE454" s="1">
        <f>IFERROR(IF(((TArticle[[#This Row],[شناسه]]))="4.1.1",IF(TArticle[[#This Row],[کد وضعیت سند]]=1,TArticle[مبلغ],0),0),0)</f>
        <v>0</v>
      </c>
      <c r="AF454" s="1">
        <f>IFERROR(IF(((TArticle[[#This Row],[شناسه]]))="4.1.2",IF(TArticle[[#This Row],[کد وضعیت سند]]=1,TArticle[مبلغ],0),0),0)</f>
        <v>0</v>
      </c>
      <c r="AG454" s="1">
        <f>IFERROR(IF(INT(LEFT(TArticle[[#This Row],[شناسه]]))=1,IF(TArticle[[#This Row],[کد وضعیت سند]]=1,TArticle[مبلغ],0),0),0)</f>
        <v>0</v>
      </c>
      <c r="AH454" s="1">
        <f>IFERROR(IF(INT(LEFT(TArticle[[#This Row],[شناسه]]))=2,IF(TArticle[[#This Row],[کد وضعیت سند]]=1,TArticle[مبلغ],0),0),0)</f>
        <v>0</v>
      </c>
      <c r="AI454" s="1">
        <f>IFERROR(IF((LEFT(TArticle[[#This Row],[شناسه]],3))="5.2",IF(TArticle[[#This Row],[کد وضعیت سند]]=1,TArticle[مبلغ],0),0),0)</f>
        <v>0</v>
      </c>
      <c r="AJ454" s="1">
        <f>IF(TArticle[[#This Row],[کد وضعیت سند]]=1,1,0)</f>
        <v>0</v>
      </c>
      <c r="AK454" s="1">
        <f>IF(AND(TArticle[[#This Row],[کد وضعیت سند]]&lt;&gt;1,TArticle[[#This Row],[مبلغ]]&lt;&gt;0),1,0)</f>
        <v>1</v>
      </c>
      <c r="AL454" s="78">
        <f>IF(TArticle[[#This Row],[کد بانک]]&gt;0,TArticle[[#This Row],[مانده بانک]]-VLOOKUP(TArticle[[#This Row],[کد بانک]],TBank[],7,FALSE),"")</f>
        <v>226825</v>
      </c>
      <c r="AM454" s="69" t="str">
        <f>LEFT(TArticle[[#This Row],[تاریخ]],7)</f>
        <v>1402-11</v>
      </c>
    </row>
    <row r="455" spans="1:39" x14ac:dyDescent="0.25">
      <c r="A455" s="24" t="s">
        <v>1608</v>
      </c>
      <c r="B455" s="49" t="str">
        <f>VLOOKUP(TArticle[[#This Row],[شناسه]],TAccount[],2,TRUE)</f>
        <v>بن کارت</v>
      </c>
      <c r="C455" s="49" t="str">
        <f>VLOOKUP(TArticle[[#This Row],[تاریخ]],TDays[],7,FALSE)</f>
        <v>یکشنبه</v>
      </c>
      <c r="D455" s="21" t="s">
        <v>859</v>
      </c>
      <c r="E455" s="1">
        <v>1700</v>
      </c>
      <c r="F455" s="1">
        <f>TArticle[[#This Row],[مبلغ]]+IFERROR(INT(F454),30181+3667+958)</f>
        <v>195373</v>
      </c>
      <c r="G455" s="168"/>
      <c r="K455" s="64">
        <v>2</v>
      </c>
      <c r="L455" s="171" t="str">
        <f>IF(TArticle[[#This Row],[کد وضعیت سند]]&gt;0,VLOOKUP(TArticle[[#This Row],[کد وضعیت سند]],TDocState[],2,FALSE),"")</f>
        <v>قطعی</v>
      </c>
      <c r="M455" s="67"/>
      <c r="N455" s="171" t="str">
        <f>IF(TArticle[[#This Row],[کد طرف حساب]]&gt;0,VLOOKUP(TArticle[[#This Row],[کد طرف حساب]],TContact[],2,FALSE),"")</f>
        <v/>
      </c>
      <c r="O455" s="61" t="str">
        <f>IF(TArticle[[#This Row],[کد طرف حساب]]&gt;0,VLOOKUP(TArticle[[#This Row],[کد طرف حساب]],TContact[],7,FALSE)-SUMIF($M$2:M455,M455,$E$2:$E455),"")</f>
        <v/>
      </c>
      <c r="P455" s="27" t="str">
        <f>RIGHT(TArticle[[#This Row],[تاریخ]],2)</f>
        <v>01</v>
      </c>
      <c r="Q455" s="27">
        <f>VLOOKUP(TArticle[[#This Row],[تاریخ]],TDays[],16,FALSE)</f>
        <v>45</v>
      </c>
      <c r="R455" s="27" t="str">
        <f>RIGHT(LEFT(TArticle[[#This Row],[تاریخ]],7),2)</f>
        <v>11</v>
      </c>
      <c r="S455" s="27" t="str">
        <f>LEFT(TArticle[[#This Row],[تاریخ]],4)</f>
        <v>1402</v>
      </c>
      <c r="U455" s="21">
        <f>VLOOKUP(TArticle[[#This Row],[شناسه]],TAccount[],7,TRUE)</f>
        <v>3000</v>
      </c>
      <c r="V455" s="28"/>
      <c r="W455" s="21">
        <f>IF(AND(TArticle[[#This Row],[مبلغ]]&gt;0, TArticle[[#This Row],[کد وضعیت سند]]=1),TArticle[[#This Row],[مبلغ]],0)</f>
        <v>0</v>
      </c>
      <c r="X455" s="27">
        <f>IF(AND(TArticle[[#This Row],[مبلغ]]&lt;0,TArticle[[#This Row],[کد وضعیت سند]]=1),0-TArticle[[#This Row],[مبلغ]],0)</f>
        <v>0</v>
      </c>
      <c r="Y455" s="27">
        <v>2</v>
      </c>
      <c r="Z455" s="171" t="str">
        <f>IF(TArticle[[#This Row],[کد بانک]]&gt;0,VLOOKUP(TArticle[[#This Row],[کد بانک]],TBank[],2,FALSE),"")</f>
        <v>ملی جاری</v>
      </c>
      <c r="AA455">
        <f>IF(AND(TArticle[[#This Row],[مبلغ]]&lt;0,TArticle[[#This Row],[کد وضعیت سند]]=1),0-TArticle[[#This Row],[مبلغ]],0)</f>
        <v>0</v>
      </c>
      <c r="AB455">
        <f>IF(AND(TArticle[[#This Row],[مبلغ]]&gt;0, TArticle[[#This Row],[کد وضعیت سند]]=1),TArticle[[#This Row],[مبلغ]],0)</f>
        <v>0</v>
      </c>
      <c r="AC455" s="84">
        <f>IF(TArticle[[#This Row],[کد بانک]]&gt;0,VLOOKUP(TArticle[[#This Row],[کد بانک]],TBank[],9,FALSE)+SUMIF($Y$2:Y455,Y455,$E$2:$E455),"")</f>
        <v>228525</v>
      </c>
      <c r="AD455" s="1">
        <f>IFERROR(IF(INT(LEFT(TArticle[[#This Row],[شناسه]]))=3,IF(TArticle[[#This Row],[کد وضعیت سند]]=1,TArticle[مبلغ],0),0),0)</f>
        <v>0</v>
      </c>
      <c r="AE455" s="1">
        <f>IFERROR(IF(((TArticle[[#This Row],[شناسه]]))="4.1.1",IF(TArticle[[#This Row],[کد وضعیت سند]]=1,TArticle[مبلغ],0),0),0)</f>
        <v>0</v>
      </c>
      <c r="AF455" s="1">
        <f>IFERROR(IF(((TArticle[[#This Row],[شناسه]]))="4.1.2",IF(TArticle[[#This Row],[کد وضعیت سند]]=1,TArticle[مبلغ],0),0),0)</f>
        <v>0</v>
      </c>
      <c r="AG455" s="1">
        <f>IFERROR(IF(INT(LEFT(TArticle[[#This Row],[شناسه]]))=1,IF(TArticle[[#This Row],[کد وضعیت سند]]=1,TArticle[مبلغ],0),0),0)</f>
        <v>0</v>
      </c>
      <c r="AH455" s="1">
        <f>IFERROR(IF(INT(LEFT(TArticle[[#This Row],[شناسه]]))=2,IF(TArticle[[#This Row],[کد وضعیت سند]]=1,TArticle[مبلغ],0),0),0)</f>
        <v>0</v>
      </c>
      <c r="AI455" s="1">
        <f>IFERROR(IF((LEFT(TArticle[[#This Row],[شناسه]],3))="5.2",IF(TArticle[[#This Row],[کد وضعیت سند]]=1,TArticle[مبلغ],0),0),0)</f>
        <v>0</v>
      </c>
      <c r="AJ455" s="1">
        <f>IF(TArticle[[#This Row],[کد وضعیت سند]]=1,1,0)</f>
        <v>0</v>
      </c>
      <c r="AK455" s="1">
        <f>IF(AND(TArticle[[#This Row],[کد وضعیت سند]]&lt;&gt;1,TArticle[[#This Row],[مبلغ]]&lt;&gt;0),1,0)</f>
        <v>1</v>
      </c>
      <c r="AL455" s="51">
        <f>IF(TArticle[[#This Row],[کد بانک]]&gt;0,TArticle[[#This Row],[مانده بانک]]-VLOOKUP(TArticle[[#This Row],[کد بانک]],TBank[],7,FALSE),"")</f>
        <v>228525</v>
      </c>
      <c r="AM455" s="58" t="str">
        <f>LEFT(TArticle[[#This Row],[تاریخ]],7)</f>
        <v>1402-11</v>
      </c>
    </row>
    <row r="456" spans="1:39" x14ac:dyDescent="0.25">
      <c r="A456" s="24" t="s">
        <v>1110</v>
      </c>
      <c r="B456" s="49" t="str">
        <f>VLOOKUP(TArticle[[#This Row],[شناسه]],TAccount[],2,TRUE)</f>
        <v>قسط وام بانکی</v>
      </c>
      <c r="C456" s="49" t="str">
        <f>VLOOKUP(TArticle[[#This Row],[تاریخ]],TDays[],7,FALSE)</f>
        <v>سه شنبه</v>
      </c>
      <c r="D456" s="21" t="s">
        <v>861</v>
      </c>
      <c r="E456" s="1">
        <v>-1224</v>
      </c>
      <c r="F456" s="1">
        <f>TArticle[[#This Row],[مبلغ]]+IFERROR(INT(F455),30181+3667+958)</f>
        <v>194149</v>
      </c>
      <c r="G456" s="49"/>
      <c r="H456" s="21">
        <v>5</v>
      </c>
      <c r="J456" s="65"/>
      <c r="K456" s="64">
        <v>2</v>
      </c>
      <c r="L456" s="171" t="str">
        <f>IF(TArticle[[#This Row],[کد وضعیت سند]]&gt;0,VLOOKUP(TArticle[[#This Row],[کد وضعیت سند]],TDocState[],2,FALSE),"")</f>
        <v>قطعی</v>
      </c>
      <c r="M456" s="27">
        <v>115</v>
      </c>
      <c r="N456" s="171" t="str">
        <f>IF(TArticle[[#This Row],[کد طرف حساب]]&gt;0,VLOOKUP(TArticle[[#This Row],[کد طرف حساب]],TContact[],2,FALSE),"")</f>
        <v>وام فرزند مهر</v>
      </c>
      <c r="O456" s="68">
        <f>IF(TArticle[[#This Row],[کد طرف حساب]]&gt;0,VLOOKUP(TArticle[[#This Row],[کد طرف حساب]],TContact[],7,FALSE)-SUMIF($M$2:M456,M456,$E$2:$E456),"")</f>
        <v>-55104</v>
      </c>
      <c r="P456" s="67" t="str">
        <f>RIGHT(TArticle[[#This Row],[تاریخ]],2)</f>
        <v>03</v>
      </c>
      <c r="Q456" s="67">
        <f>VLOOKUP(TArticle[[#This Row],[تاریخ]],TDays[],16,FALSE)</f>
        <v>45</v>
      </c>
      <c r="R456" s="67" t="str">
        <f>RIGHT(LEFT(TArticle[[#This Row],[تاریخ]],7),2)</f>
        <v>11</v>
      </c>
      <c r="S456" s="67" t="str">
        <f>LEFT(TArticle[[#This Row],[تاریخ]],4)</f>
        <v>1402</v>
      </c>
      <c r="T456" s="64"/>
      <c r="U456" s="64">
        <f>VLOOKUP(TArticle[[#This Row],[شناسه]],TAccount[],7,TRUE)</f>
        <v>81652</v>
      </c>
      <c r="V456" s="64"/>
      <c r="W456" s="64">
        <f>IF(AND(TArticle[[#This Row],[مبلغ]]&gt;0, TArticle[[#This Row],[کد وضعیت سند]]=1),TArticle[[#This Row],[مبلغ]],0)</f>
        <v>0</v>
      </c>
      <c r="X456" s="67">
        <f>IF(AND(TArticle[[#This Row],[مبلغ]]&lt;0,TArticle[[#This Row],[کد وضعیت سند]]=1),0-TArticle[[#This Row],[مبلغ]],0)</f>
        <v>0</v>
      </c>
      <c r="Y456" s="27">
        <v>2</v>
      </c>
      <c r="Z456" s="171" t="str">
        <f>IF(TArticle[[#This Row],[کد بانک]]&gt;0,VLOOKUP(TArticle[[#This Row],[کد بانک]],TBank[],2,FALSE),"")</f>
        <v>ملی جاری</v>
      </c>
      <c r="AA456">
        <f>IF(AND(TArticle[[#This Row],[مبلغ]]&lt;0,TArticle[[#This Row],[کد وضعیت سند]]=1),0-TArticle[[#This Row],[مبلغ]],0)</f>
        <v>0</v>
      </c>
      <c r="AB456">
        <f>IF(AND(TArticle[[#This Row],[مبلغ]]&gt;0, TArticle[[#This Row],[کد وضعیت سند]]=1),TArticle[[#This Row],[مبلغ]],0)</f>
        <v>0</v>
      </c>
      <c r="AC456" s="93">
        <f>IF(TArticle[[#This Row],[کد بانک]]&gt;0,VLOOKUP(TArticle[[#This Row],[کد بانک]],TBank[],9,FALSE)+SUMIF($Y$2:Y456,Y456,$E$2:$E456),"")</f>
        <v>227301</v>
      </c>
      <c r="AD456" s="1">
        <f>IFERROR(IF(INT(LEFT(TArticle[[#This Row],[شناسه]]))=3,IF(TArticle[[#This Row],[کد وضعیت سند]]=1,TArticle[مبلغ],0),0),0)</f>
        <v>0</v>
      </c>
      <c r="AE456" s="1">
        <f>IFERROR(IF(((TArticle[[#This Row],[شناسه]]))="4.1.1",IF(TArticle[[#This Row],[کد وضعیت سند]]=1,TArticle[مبلغ],0),0),0)</f>
        <v>0</v>
      </c>
      <c r="AF456" s="1">
        <f>IFERROR(IF(((TArticle[[#This Row],[شناسه]]))="4.1.2",IF(TArticle[[#This Row],[کد وضعیت سند]]=1,TArticle[مبلغ],0),0),0)</f>
        <v>0</v>
      </c>
      <c r="AG456" s="1">
        <f>IFERROR(IF(INT(LEFT(TArticle[[#This Row],[شناسه]]))=1,IF(TArticle[[#This Row],[کد وضعیت سند]]=1,TArticle[مبلغ],0),0),0)</f>
        <v>0</v>
      </c>
      <c r="AH456" s="1">
        <f>IFERROR(IF(INT(LEFT(TArticle[[#This Row],[شناسه]]))=2,IF(TArticle[[#This Row],[کد وضعیت سند]]=1,TArticle[مبلغ],0),0),0)</f>
        <v>0</v>
      </c>
      <c r="AI456" s="1">
        <f>IFERROR(IF((LEFT(TArticle[[#This Row],[شناسه]],3))="5.2",IF(TArticle[[#This Row],[کد وضعیت سند]]=1,TArticle[مبلغ],0),0),0)</f>
        <v>0</v>
      </c>
      <c r="AJ456" s="1">
        <f>IF(TArticle[[#This Row],[کد وضعیت سند]]=1,1,0)</f>
        <v>0</v>
      </c>
      <c r="AK456" s="1">
        <f>IF(AND(TArticle[[#This Row],[کد وضعیت سند]]&lt;&gt;1,TArticle[[#This Row],[مبلغ]]&lt;&gt;0),1,0)</f>
        <v>1</v>
      </c>
      <c r="AL456" s="78">
        <f>IF(TArticle[[#This Row],[کد بانک]]&gt;0,TArticle[[#This Row],[مانده بانک]]-VLOOKUP(TArticle[[#This Row],[کد بانک]],TBank[],7,FALSE),"")</f>
        <v>227301</v>
      </c>
      <c r="AM456" s="69" t="str">
        <f>LEFT(TArticle[[#This Row],[تاریخ]],7)</f>
        <v>1402-11</v>
      </c>
    </row>
    <row r="457" spans="1:39" x14ac:dyDescent="0.25">
      <c r="A457" s="24" t="s">
        <v>1110</v>
      </c>
      <c r="B457" s="49" t="str">
        <f>VLOOKUP(TArticle[[#This Row],[شناسه]],TAccount[],2,TRUE)</f>
        <v>قسط وام بانکی</v>
      </c>
      <c r="C457" s="49" t="str">
        <f>VLOOKUP(TArticle[[#This Row],[تاریخ]],TDays[],7,FALSE)</f>
        <v>سه شنبه</v>
      </c>
      <c r="D457" s="21" t="s">
        <v>861</v>
      </c>
      <c r="E457" s="1">
        <v>-1830</v>
      </c>
      <c r="F457" s="1">
        <f>TArticle[[#This Row],[مبلغ]]+IFERROR(INT(F456),30181+3667+958)</f>
        <v>192319</v>
      </c>
      <c r="G457" s="49" t="s">
        <v>1591</v>
      </c>
      <c r="H457" s="21">
        <v>32</v>
      </c>
      <c r="K457" s="21">
        <v>2</v>
      </c>
      <c r="L457" s="171" t="str">
        <f>IF(TArticle[[#This Row],[کد وضعیت سند]]&gt;0,VLOOKUP(TArticle[[#This Row],[کد وضعیت سند]],TDocState[],2,FALSE),"")</f>
        <v>قطعی</v>
      </c>
      <c r="M457" s="27">
        <v>110</v>
      </c>
      <c r="N457" s="171" t="str">
        <f>IF(TArticle[[#This Row],[کد طرف حساب]]&gt;0,VLOOKUP(TArticle[[#This Row],[کد طرف حساب]],TContact[],2,FALSE),"")</f>
        <v>وام ملت</v>
      </c>
      <c r="O457" s="61">
        <f>IF(TArticle[[#This Row],[کد طرف حساب]]&gt;0,VLOOKUP(TArticle[[#This Row],[کد طرف حساب]],TContact[],7,FALSE)-SUMIF($M$2:M457,M457,$E$2:$E457),"")</f>
        <v>-6080</v>
      </c>
      <c r="P457" s="27" t="str">
        <f>RIGHT(TArticle[[#This Row],[تاریخ]],2)</f>
        <v>03</v>
      </c>
      <c r="Q457" s="27">
        <f>VLOOKUP(TArticle[[#This Row],[تاریخ]],TDays[],16,FALSE)</f>
        <v>45</v>
      </c>
      <c r="R457" s="27" t="str">
        <f>RIGHT(LEFT(TArticle[[#This Row],[تاریخ]],7),2)</f>
        <v>11</v>
      </c>
      <c r="S457" s="27" t="str">
        <f>LEFT(TArticle[[#This Row],[تاریخ]],4)</f>
        <v>1402</v>
      </c>
      <c r="U457" s="21">
        <f>VLOOKUP(TArticle[[#This Row],[شناسه]],TAccount[],7,TRUE)</f>
        <v>81652</v>
      </c>
      <c r="V457" s="21" t="s">
        <v>861</v>
      </c>
      <c r="W457" s="21">
        <f>IF(AND(TArticle[[#This Row],[مبلغ]]&gt;0, TArticle[[#This Row],[کد وضعیت سند]]=1),TArticle[[#This Row],[مبلغ]],0)</f>
        <v>0</v>
      </c>
      <c r="X457" s="27">
        <f>IF(AND(TArticle[[#This Row],[مبلغ]]&lt;0,TArticle[[#This Row],[کد وضعیت سند]]=1),0-TArticle[[#This Row],[مبلغ]],0)</f>
        <v>0</v>
      </c>
      <c r="Y457" s="27">
        <v>2</v>
      </c>
      <c r="Z457" s="171" t="str">
        <f>IF(TArticle[[#This Row],[کد بانک]]&gt;0,VLOOKUP(TArticle[[#This Row],[کد بانک]],TBank[],2,FALSE),"")</f>
        <v>ملی جاری</v>
      </c>
      <c r="AA457">
        <f>IF(AND(TArticle[[#This Row],[مبلغ]]&lt;0,TArticle[[#This Row],[کد وضعیت سند]]=1),0-TArticle[[#This Row],[مبلغ]],0)</f>
        <v>0</v>
      </c>
      <c r="AB457">
        <f>IF(AND(TArticle[[#This Row],[مبلغ]]&gt;0, TArticle[[#This Row],[کد وضعیت سند]]=1),TArticle[[#This Row],[مبلغ]],0)</f>
        <v>0</v>
      </c>
      <c r="AC457" s="84">
        <f>IF(TArticle[[#This Row],[کد بانک]]&gt;0,VLOOKUP(TArticle[[#This Row],[کد بانک]],TBank[],9,FALSE)+SUMIF($Y$2:Y457,Y457,$E$2:$E457),"")</f>
        <v>225471</v>
      </c>
      <c r="AD457" s="1">
        <f>IFERROR(IF(INT(LEFT(TArticle[[#This Row],[شناسه]]))=3,IF(TArticle[[#This Row],[کد وضعیت سند]]=1,TArticle[مبلغ],0),0),0)</f>
        <v>0</v>
      </c>
      <c r="AE457" s="1">
        <f>IFERROR(IF(((TArticle[[#This Row],[شناسه]]))="4.1.1",IF(TArticle[[#This Row],[کد وضعیت سند]]=1,TArticle[مبلغ],0),0),0)</f>
        <v>0</v>
      </c>
      <c r="AF457" s="1">
        <f>IFERROR(IF(((TArticle[[#This Row],[شناسه]]))="4.1.2",IF(TArticle[[#This Row],[کد وضعیت سند]]=1,TArticle[مبلغ],0),0),0)</f>
        <v>0</v>
      </c>
      <c r="AG457" s="1">
        <f>IFERROR(IF(INT(LEFT(TArticle[[#This Row],[شناسه]]))=1,IF(TArticle[[#This Row],[کد وضعیت سند]]=1,TArticle[مبلغ],0),0),0)</f>
        <v>0</v>
      </c>
      <c r="AH457" s="1">
        <f>IFERROR(IF(INT(LEFT(TArticle[[#This Row],[شناسه]]))=2,IF(TArticle[[#This Row],[کد وضعیت سند]]=1,TArticle[مبلغ],0),0),0)</f>
        <v>0</v>
      </c>
      <c r="AI457" s="1">
        <f>IFERROR(IF((LEFT(TArticle[[#This Row],[شناسه]],3))="5.2",IF(TArticle[[#This Row],[کد وضعیت سند]]=1,TArticle[مبلغ],0),0),0)</f>
        <v>0</v>
      </c>
      <c r="AJ457" s="1">
        <f>IF(TArticle[[#This Row],[کد وضعیت سند]]=1,1,0)</f>
        <v>0</v>
      </c>
      <c r="AK457" s="1">
        <f>IF(AND(TArticle[[#This Row],[کد وضعیت سند]]&lt;&gt;1,TArticle[[#This Row],[مبلغ]]&lt;&gt;0),1,0)</f>
        <v>1</v>
      </c>
      <c r="AL457" s="51">
        <f>IF(TArticle[[#This Row],[کد بانک]]&gt;0,TArticle[[#This Row],[مانده بانک]]-VLOOKUP(TArticle[[#This Row],[کد بانک]],TBank[],7,FALSE),"")</f>
        <v>225471</v>
      </c>
      <c r="AM457" s="49" t="str">
        <f>LEFT(TArticle[[#This Row],[تاریخ]],7)</f>
        <v>1402-11</v>
      </c>
    </row>
    <row r="458" spans="1:39" x14ac:dyDescent="0.25">
      <c r="A458" s="24" t="s">
        <v>1110</v>
      </c>
      <c r="B458" s="49" t="str">
        <f>VLOOKUP(TArticle[[#This Row],[شناسه]],TAccount[],2,TRUE)</f>
        <v>قسط وام بانکی</v>
      </c>
      <c r="C458" s="49" t="str">
        <f>VLOOKUP(TArticle[[#This Row],[تاریخ]],TDays[],7,FALSE)</f>
        <v>سه شنبه</v>
      </c>
      <c r="D458" s="21" t="s">
        <v>861</v>
      </c>
      <c r="E458" s="1">
        <v>-1830</v>
      </c>
      <c r="F458" s="1">
        <f>TArticle[[#This Row],[مبلغ]]+IFERROR(INT(F457),30181+3667+958)</f>
        <v>190489</v>
      </c>
      <c r="G458" s="49" t="s">
        <v>1591</v>
      </c>
      <c r="H458" s="21">
        <v>32</v>
      </c>
      <c r="K458" s="21">
        <v>2</v>
      </c>
      <c r="L458" s="171" t="str">
        <f>IF(TArticle[[#This Row],[کد وضعیت سند]]&gt;0,VLOOKUP(TArticle[[#This Row],[کد وضعیت سند]],TDocState[],2,FALSE),"")</f>
        <v>قطعی</v>
      </c>
      <c r="M458" s="27">
        <v>111</v>
      </c>
      <c r="N458" s="171" t="str">
        <f>IF(TArticle[[#This Row],[کد طرف حساب]]&gt;0,VLOOKUP(TArticle[[#This Row],[کد طرف حساب]],TContact[],2,FALSE),"")</f>
        <v>وام ملت ف</v>
      </c>
      <c r="O458" s="61">
        <f>IF(TArticle[[#This Row],[کد طرف حساب]]&gt;0,VLOOKUP(TArticle[[#This Row],[کد طرف حساب]],TContact[],7,FALSE)-SUMIF($M$2:M458,M458,$E$2:$E458),"")</f>
        <v>-6080</v>
      </c>
      <c r="P458" s="27" t="str">
        <f>RIGHT(TArticle[[#This Row],[تاریخ]],2)</f>
        <v>03</v>
      </c>
      <c r="Q458" s="27">
        <f>VLOOKUP(TArticle[[#This Row],[تاریخ]],TDays[],16,FALSE)</f>
        <v>45</v>
      </c>
      <c r="R458" s="27" t="str">
        <f>RIGHT(LEFT(TArticle[[#This Row],[تاریخ]],7),2)</f>
        <v>11</v>
      </c>
      <c r="S458" s="27" t="str">
        <f>LEFT(TArticle[[#This Row],[تاریخ]],4)</f>
        <v>1402</v>
      </c>
      <c r="U458" s="21">
        <f>VLOOKUP(TArticle[[#This Row],[شناسه]],TAccount[],7,TRUE)</f>
        <v>81652</v>
      </c>
      <c r="V458" s="21" t="s">
        <v>861</v>
      </c>
      <c r="W458" s="21">
        <f>IF(AND(TArticle[[#This Row],[مبلغ]]&gt;0, TArticle[[#This Row],[کد وضعیت سند]]=1),TArticle[[#This Row],[مبلغ]],0)</f>
        <v>0</v>
      </c>
      <c r="X458" s="27">
        <f>IF(AND(TArticle[[#This Row],[مبلغ]]&lt;0,TArticle[[#This Row],[کد وضعیت سند]]=1),0-TArticle[[#This Row],[مبلغ]],0)</f>
        <v>0</v>
      </c>
      <c r="Y458" s="27">
        <v>2</v>
      </c>
      <c r="Z458" s="171" t="str">
        <f>IF(TArticle[[#This Row],[کد بانک]]&gt;0,VLOOKUP(TArticle[[#This Row],[کد بانک]],TBank[],2,FALSE),"")</f>
        <v>ملی جاری</v>
      </c>
      <c r="AA458">
        <f>IF(AND(TArticle[[#This Row],[مبلغ]]&lt;0,TArticle[[#This Row],[کد وضعیت سند]]=1),0-TArticle[[#This Row],[مبلغ]],0)</f>
        <v>0</v>
      </c>
      <c r="AB458">
        <f>IF(AND(TArticle[[#This Row],[مبلغ]]&gt;0, TArticle[[#This Row],[کد وضعیت سند]]=1),TArticle[[#This Row],[مبلغ]],0)</f>
        <v>0</v>
      </c>
      <c r="AC458" s="84">
        <f>IF(TArticle[[#This Row],[کد بانک]]&gt;0,VLOOKUP(TArticle[[#This Row],[کد بانک]],TBank[],9,FALSE)+SUMIF($Y$2:Y458,Y458,$E$2:$E458),"")</f>
        <v>223641</v>
      </c>
      <c r="AD458" s="1">
        <f>IFERROR(IF(INT(LEFT(TArticle[[#This Row],[شناسه]]))=3,IF(TArticle[[#This Row],[کد وضعیت سند]]=1,TArticle[مبلغ],0),0),0)</f>
        <v>0</v>
      </c>
      <c r="AE458" s="1">
        <f>IFERROR(IF(((TArticle[[#This Row],[شناسه]]))="4.1.1",IF(TArticle[[#This Row],[کد وضعیت سند]]=1,TArticle[مبلغ],0),0),0)</f>
        <v>0</v>
      </c>
      <c r="AF458" s="1">
        <f>IFERROR(IF(((TArticle[[#This Row],[شناسه]]))="4.1.2",IF(TArticle[[#This Row],[کد وضعیت سند]]=1,TArticle[مبلغ],0),0),0)</f>
        <v>0</v>
      </c>
      <c r="AG458" s="1">
        <f>IFERROR(IF(INT(LEFT(TArticle[[#This Row],[شناسه]]))=1,IF(TArticle[[#This Row],[کد وضعیت سند]]=1,TArticle[مبلغ],0),0),0)</f>
        <v>0</v>
      </c>
      <c r="AH458" s="1">
        <f>IFERROR(IF(INT(LEFT(TArticle[[#This Row],[شناسه]]))=2,IF(TArticle[[#This Row],[کد وضعیت سند]]=1,TArticle[مبلغ],0),0),0)</f>
        <v>0</v>
      </c>
      <c r="AI458" s="1">
        <f>IFERROR(IF((LEFT(TArticle[[#This Row],[شناسه]],3))="5.2",IF(TArticle[[#This Row],[کد وضعیت سند]]=1,TArticle[مبلغ],0),0),0)</f>
        <v>0</v>
      </c>
      <c r="AJ458" s="1">
        <f>IF(TArticle[[#This Row],[کد وضعیت سند]]=1,1,0)</f>
        <v>0</v>
      </c>
      <c r="AK458" s="1">
        <f>IF(AND(TArticle[[#This Row],[کد وضعیت سند]]&lt;&gt;1,TArticle[[#This Row],[مبلغ]]&lt;&gt;0),1,0)</f>
        <v>1</v>
      </c>
      <c r="AL458" s="51">
        <f>IF(TArticle[[#This Row],[کد بانک]]&gt;0,TArticle[[#This Row],[مانده بانک]]-VLOOKUP(TArticle[[#This Row],[کد بانک]],TBank[],7,FALSE),"")</f>
        <v>223641</v>
      </c>
      <c r="AM458" s="49" t="str">
        <f>LEFT(TArticle[[#This Row],[تاریخ]],7)</f>
        <v>1402-11</v>
      </c>
    </row>
    <row r="459" spans="1:39" x14ac:dyDescent="0.25">
      <c r="A459" s="24" t="s">
        <v>1110</v>
      </c>
      <c r="B459" s="49" t="str">
        <f>VLOOKUP(TArticle[[#This Row],[شناسه]],TAccount[],2,TRUE)</f>
        <v>قسط وام بانکی</v>
      </c>
      <c r="C459" s="49" t="str">
        <f>VLOOKUP(TArticle[[#This Row],[تاریخ]],TDays[],7,FALSE)</f>
        <v>چهارشنبه</v>
      </c>
      <c r="D459" s="21" t="s">
        <v>862</v>
      </c>
      <c r="E459" s="1">
        <v>-532</v>
      </c>
      <c r="F459" s="1">
        <f>TArticle[[#This Row],[مبلغ]]+IFERROR(INT(F458),30181+3667+958)</f>
        <v>189957</v>
      </c>
      <c r="G459" s="49"/>
      <c r="H459" s="21">
        <v>11</v>
      </c>
      <c r="J459" s="65"/>
      <c r="K459" s="64">
        <v>2</v>
      </c>
      <c r="L459" s="171" t="str">
        <f>IF(TArticle[[#This Row],[کد وضعیت سند]]&gt;0,VLOOKUP(TArticle[[#This Row],[کد وضعیت سند]],TDocState[],2,FALSE),"")</f>
        <v>قطعی</v>
      </c>
      <c r="M459" s="67">
        <v>116</v>
      </c>
      <c r="N459" s="171" t="str">
        <f>IF(TArticle[[#This Row],[کد طرف حساب]]&gt;0,VLOOKUP(TArticle[[#This Row],[کد طرف حساب]],TContact[],2,FALSE),"")</f>
        <v>وام امتیازی مهر</v>
      </c>
      <c r="O459" s="68">
        <f>IF(TArticle[[#This Row],[کد طرف حساب]]&gt;0,VLOOKUP(TArticle[[#This Row],[کد طرف حساب]],TContact[],7,FALSE)-SUMIF($M$2:M459,M459,$E$2:$E459),"")</f>
        <v>-6380</v>
      </c>
      <c r="P459" s="67" t="str">
        <f>RIGHT(TArticle[[#This Row],[تاریخ]],2)</f>
        <v>04</v>
      </c>
      <c r="Q459" s="67">
        <f>VLOOKUP(TArticle[[#This Row],[تاریخ]],TDays[],16,FALSE)</f>
        <v>46</v>
      </c>
      <c r="R459" s="67" t="str">
        <f>RIGHT(LEFT(TArticle[[#This Row],[تاریخ]],7),2)</f>
        <v>11</v>
      </c>
      <c r="S459" s="67" t="str">
        <f>LEFT(TArticle[[#This Row],[تاریخ]],4)</f>
        <v>1402</v>
      </c>
      <c r="T459" s="64"/>
      <c r="U459" s="64">
        <f>VLOOKUP(TArticle[[#This Row],[شناسه]],TAccount[],7,TRUE)</f>
        <v>81652</v>
      </c>
      <c r="V459" s="64"/>
      <c r="W459" s="64">
        <f>IF(AND(TArticle[[#This Row],[مبلغ]]&gt;0, TArticle[[#This Row],[کد وضعیت سند]]=1),TArticle[[#This Row],[مبلغ]],0)</f>
        <v>0</v>
      </c>
      <c r="X459" s="67">
        <f>IF(AND(TArticle[[#This Row],[مبلغ]]&lt;0,TArticle[[#This Row],[کد وضعیت سند]]=1),0-TArticle[[#This Row],[مبلغ]],0)</f>
        <v>0</v>
      </c>
      <c r="Y459" s="27">
        <v>2</v>
      </c>
      <c r="Z459" s="171" t="str">
        <f>IF(TArticle[[#This Row],[کد بانک]]&gt;0,VLOOKUP(TArticle[[#This Row],[کد بانک]],TBank[],2,FALSE),"")</f>
        <v>ملی جاری</v>
      </c>
      <c r="AA459">
        <f>IF(AND(TArticle[[#This Row],[مبلغ]]&lt;0,TArticle[[#This Row],[کد وضعیت سند]]=1),0-TArticle[[#This Row],[مبلغ]],0)</f>
        <v>0</v>
      </c>
      <c r="AB459">
        <f>IF(AND(TArticle[[#This Row],[مبلغ]]&gt;0, TArticle[[#This Row],[کد وضعیت سند]]=1),TArticle[[#This Row],[مبلغ]],0)</f>
        <v>0</v>
      </c>
      <c r="AC459" s="93">
        <f>IF(TArticle[[#This Row],[کد بانک]]&gt;0,VLOOKUP(TArticle[[#This Row],[کد بانک]],TBank[],9,FALSE)+SUMIF($Y$2:Y459,Y459,$E$2:$E459),"")</f>
        <v>223109</v>
      </c>
      <c r="AD459" s="1">
        <f>IFERROR(IF(INT(LEFT(TArticle[[#This Row],[شناسه]]))=3,IF(TArticle[[#This Row],[کد وضعیت سند]]=1,TArticle[مبلغ],0),0),0)</f>
        <v>0</v>
      </c>
      <c r="AE459" s="1">
        <f>IFERROR(IF(((TArticle[[#This Row],[شناسه]]))="4.1.1",IF(TArticle[[#This Row],[کد وضعیت سند]]=1,TArticle[مبلغ],0),0),0)</f>
        <v>0</v>
      </c>
      <c r="AF459" s="1">
        <f>IFERROR(IF(((TArticle[[#This Row],[شناسه]]))="4.1.2",IF(TArticle[[#This Row],[کد وضعیت سند]]=1,TArticle[مبلغ],0),0),0)</f>
        <v>0</v>
      </c>
      <c r="AG459" s="1">
        <f>IFERROR(IF(INT(LEFT(TArticle[[#This Row],[شناسه]]))=1,IF(TArticle[[#This Row],[کد وضعیت سند]]=1,TArticle[مبلغ],0),0),0)</f>
        <v>0</v>
      </c>
      <c r="AH459" s="1">
        <f>IFERROR(IF(INT(LEFT(TArticle[[#This Row],[شناسه]]))=2,IF(TArticle[[#This Row],[کد وضعیت سند]]=1,TArticle[مبلغ],0),0),0)</f>
        <v>0</v>
      </c>
      <c r="AI459" s="1">
        <f>IFERROR(IF((LEFT(TArticle[[#This Row],[شناسه]],3))="5.2",IF(TArticle[[#This Row],[کد وضعیت سند]]=1,TArticle[مبلغ],0),0),0)</f>
        <v>0</v>
      </c>
      <c r="AJ459" s="1">
        <f>IF(TArticle[[#This Row],[کد وضعیت سند]]=1,1,0)</f>
        <v>0</v>
      </c>
      <c r="AK459" s="1">
        <f>IF(AND(TArticle[[#This Row],[کد وضعیت سند]]&lt;&gt;1,TArticle[[#This Row],[مبلغ]]&lt;&gt;0),1,0)</f>
        <v>1</v>
      </c>
      <c r="AL459" s="78">
        <f>IF(TArticle[[#This Row],[کد بانک]]&gt;0,TArticle[[#This Row],[مانده بانک]]-VLOOKUP(TArticle[[#This Row],[کد بانک]],TBank[],7,FALSE),"")</f>
        <v>223109</v>
      </c>
      <c r="AM459" s="69" t="str">
        <f>LEFT(TArticle[[#This Row],[تاریخ]],7)</f>
        <v>1402-11</v>
      </c>
    </row>
    <row r="460" spans="1:39" x14ac:dyDescent="0.25">
      <c r="A460" s="24" t="s">
        <v>1110</v>
      </c>
      <c r="B460" s="49" t="str">
        <f>VLOOKUP(TArticle[[#This Row],[شناسه]],TAccount[],2,TRUE)</f>
        <v>قسط وام بانکی</v>
      </c>
      <c r="C460" s="49" t="str">
        <f>VLOOKUP(TArticle[[#This Row],[تاریخ]],TDays[],7,FALSE)</f>
        <v>دوشنبه</v>
      </c>
      <c r="D460" s="21" t="s">
        <v>867</v>
      </c>
      <c r="E460" s="1">
        <f>'طرف حساب'!$J$29</f>
        <v>-3616</v>
      </c>
      <c r="F460" s="1">
        <f>TArticle[[#This Row],[مبلغ]]+IFERROR(INT(F459),30181+3667+958)</f>
        <v>186341</v>
      </c>
      <c r="G460" s="49"/>
      <c r="H460" s="21">
        <v>12</v>
      </c>
      <c r="J460" s="65"/>
      <c r="K460" s="64">
        <v>2</v>
      </c>
      <c r="L460" s="171" t="str">
        <f>IF(TArticle[[#This Row],[کد وضعیت سند]]&gt;0,VLOOKUP(TArticle[[#This Row],[کد وضعیت سند]],TDocState[],2,FALSE),"")</f>
        <v>قطعی</v>
      </c>
      <c r="M460" s="67">
        <v>114</v>
      </c>
      <c r="N460" s="171" t="str">
        <f>IF(TArticle[[#This Row],[کد طرف حساب]]&gt;0,VLOOKUP(TArticle[[#This Row],[کد طرف حساب]],TContact[],2,FALSE),"")</f>
        <v>وام کارت ملی ف</v>
      </c>
      <c r="O460" s="68">
        <f>IF(TArticle[[#This Row],[کد طرف حساب]]&gt;0,VLOOKUP(TArticle[[#This Row],[کد طرف حساب]],TContact[],7,FALSE)-SUMIF($M$2:M460,M460,$E$2:$E460),"")</f>
        <v>-88066</v>
      </c>
      <c r="P460" s="67" t="str">
        <f>RIGHT(TArticle[[#This Row],[تاریخ]],2)</f>
        <v>09</v>
      </c>
      <c r="Q460" s="67">
        <f>VLOOKUP(TArticle[[#This Row],[تاریخ]],TDays[],16,FALSE)</f>
        <v>46</v>
      </c>
      <c r="R460" s="67" t="str">
        <f>RIGHT(LEFT(TArticle[[#This Row],[تاریخ]],7),2)</f>
        <v>11</v>
      </c>
      <c r="S460" s="67" t="str">
        <f>LEFT(TArticle[[#This Row],[تاریخ]],4)</f>
        <v>1402</v>
      </c>
      <c r="T460" s="64"/>
      <c r="U460" s="64">
        <f>VLOOKUP(TArticle[[#This Row],[شناسه]],TAccount[],7,TRUE)</f>
        <v>81652</v>
      </c>
      <c r="V460" s="64"/>
      <c r="W460" s="64">
        <f>IF(AND(TArticle[[#This Row],[مبلغ]]&gt;0, TArticle[[#This Row],[کد وضعیت سند]]=1),TArticle[[#This Row],[مبلغ]],0)</f>
        <v>0</v>
      </c>
      <c r="X460" s="67">
        <f>IF(AND(TArticle[[#This Row],[مبلغ]]&lt;0,TArticle[[#This Row],[کد وضعیت سند]]=1),0-TArticle[[#This Row],[مبلغ]],0)</f>
        <v>0</v>
      </c>
      <c r="Y460" s="27">
        <v>2</v>
      </c>
      <c r="Z460" s="171" t="str">
        <f>IF(TArticle[[#This Row],[کد بانک]]&gt;0,VLOOKUP(TArticle[[#This Row],[کد بانک]],TBank[],2,FALSE),"")</f>
        <v>ملی جاری</v>
      </c>
      <c r="AA460">
        <f>IF(AND(TArticle[[#This Row],[مبلغ]]&lt;0,TArticle[[#This Row],[کد وضعیت سند]]=1),0-TArticle[[#This Row],[مبلغ]],0)</f>
        <v>0</v>
      </c>
      <c r="AB460">
        <f>IF(AND(TArticle[[#This Row],[مبلغ]]&gt;0, TArticle[[#This Row],[کد وضعیت سند]]=1),TArticle[[#This Row],[مبلغ]],0)</f>
        <v>0</v>
      </c>
      <c r="AC460" s="93">
        <f>IF(TArticle[[#This Row],[کد بانک]]&gt;0,VLOOKUP(TArticle[[#This Row],[کد بانک]],TBank[],9,FALSE)+SUMIF($Y$2:Y460,Y460,$E$2:$E460),"")</f>
        <v>219493</v>
      </c>
      <c r="AD460" s="1">
        <f>IFERROR(IF(INT(LEFT(TArticle[[#This Row],[شناسه]]))=3,IF(TArticle[[#This Row],[کد وضعیت سند]]=1,TArticle[مبلغ],0),0),0)</f>
        <v>0</v>
      </c>
      <c r="AE460" s="1">
        <f>IFERROR(IF(((TArticle[[#This Row],[شناسه]]))="4.1.1",IF(TArticle[[#This Row],[کد وضعیت سند]]=1,TArticle[مبلغ],0),0),0)</f>
        <v>0</v>
      </c>
      <c r="AF460" s="1">
        <f>IFERROR(IF(((TArticle[[#This Row],[شناسه]]))="4.1.2",IF(TArticle[[#This Row],[کد وضعیت سند]]=1,TArticle[مبلغ],0),0),0)</f>
        <v>0</v>
      </c>
      <c r="AG460" s="1">
        <f>IFERROR(IF(INT(LEFT(TArticle[[#This Row],[شناسه]]))=1,IF(TArticle[[#This Row],[کد وضعیت سند]]=1,TArticle[مبلغ],0),0),0)</f>
        <v>0</v>
      </c>
      <c r="AH460" s="1">
        <f>IFERROR(IF(INT(LEFT(TArticle[[#This Row],[شناسه]]))=2,IF(TArticle[[#This Row],[کد وضعیت سند]]=1,TArticle[مبلغ],0),0),0)</f>
        <v>0</v>
      </c>
      <c r="AI460" s="1">
        <f>IFERROR(IF((LEFT(TArticle[[#This Row],[شناسه]],3))="5.2",IF(TArticle[[#This Row],[کد وضعیت سند]]=1,TArticle[مبلغ],0),0),0)</f>
        <v>0</v>
      </c>
      <c r="AJ460" s="1">
        <f>IF(TArticle[[#This Row],[کد وضعیت سند]]=1,1,0)</f>
        <v>0</v>
      </c>
      <c r="AK460" s="1">
        <f>IF(AND(TArticle[[#This Row],[کد وضعیت سند]]&lt;&gt;1,TArticle[[#This Row],[مبلغ]]&lt;&gt;0),1,0)</f>
        <v>1</v>
      </c>
      <c r="AL460" s="78">
        <f>IF(TArticle[[#This Row],[کد بانک]]&gt;0,TArticle[[#This Row],[مانده بانک]]-VLOOKUP(TArticle[[#This Row],[کد بانک]],TBank[],7,FALSE),"")</f>
        <v>219493</v>
      </c>
      <c r="AM460" s="69" t="str">
        <f>LEFT(TArticle[[#This Row],[تاریخ]],7)</f>
        <v>1402-11</v>
      </c>
    </row>
    <row r="461" spans="1:39" x14ac:dyDescent="0.25">
      <c r="A461" s="24" t="s">
        <v>76</v>
      </c>
      <c r="B461" s="49" t="str">
        <f>VLOOKUP(TArticle[[#This Row],[شناسه]],TAccount[],2,TRUE)</f>
        <v>قسط</v>
      </c>
      <c r="C461" s="49" t="str">
        <f>VLOOKUP(TArticle[[#This Row],[تاریخ]],TDays[],7,FALSE)</f>
        <v>چهارشنبه</v>
      </c>
      <c r="D461" s="21" t="s">
        <v>869</v>
      </c>
      <c r="E461" s="1">
        <v>-6000</v>
      </c>
      <c r="F461" s="1">
        <f>TArticle[[#This Row],[مبلغ]]+IFERROR(INT(F460),30181+3667+958)</f>
        <v>180341</v>
      </c>
      <c r="G461" s="49"/>
      <c r="H461" s="64"/>
      <c r="J461" s="65"/>
      <c r="K461" s="64">
        <v>2</v>
      </c>
      <c r="L461" s="171" t="str">
        <f>IF(TArticle[[#This Row],[کد وضعیت سند]]&gt;0,VLOOKUP(TArticle[[#This Row],[کد وضعیت سند]],TDocState[],2,FALSE),"")</f>
        <v>قطعی</v>
      </c>
      <c r="M461" s="67">
        <v>33</v>
      </c>
      <c r="N461" s="171" t="str">
        <f>IF(TArticle[[#This Row],[کد طرف حساب]]&gt;0,VLOOKUP(TArticle[[#This Row],[کد طرف حساب]],TContact[],2,FALSE),"")</f>
        <v>محمدرضا بهرهمند</v>
      </c>
      <c r="O461" s="68">
        <f>IF(TArticle[[#This Row],[کد طرف حساب]]&gt;0,VLOOKUP(TArticle[[#This Row],[کد طرف حساب]],TContact[],7,FALSE)-SUMIF($M$2:M461,M461,$E$2:$E461),"")</f>
        <v>-2000</v>
      </c>
      <c r="P461" s="67" t="str">
        <f>RIGHT(TArticle[[#This Row],[تاریخ]],2)</f>
        <v>11</v>
      </c>
      <c r="Q461" s="67">
        <f>VLOOKUP(TArticle[[#This Row],[تاریخ]],TDays[],16,FALSE)</f>
        <v>47</v>
      </c>
      <c r="R461" s="67" t="str">
        <f>RIGHT(LEFT(TArticle[[#This Row],[تاریخ]],7),2)</f>
        <v>11</v>
      </c>
      <c r="S461" s="67" t="str">
        <f>LEFT(TArticle[[#This Row],[تاریخ]],4)</f>
        <v>1402</v>
      </c>
      <c r="T461" s="64"/>
      <c r="U461" s="64">
        <f>VLOOKUP(TArticle[[#This Row],[شناسه]],TAccount[],7,TRUE)</f>
        <v>36266</v>
      </c>
      <c r="V461" s="64"/>
      <c r="W461" s="64">
        <f>IF(AND(TArticle[[#This Row],[مبلغ]]&gt;0, TArticle[[#This Row],[کد وضعیت سند]]=1),TArticle[[#This Row],[مبلغ]],0)</f>
        <v>0</v>
      </c>
      <c r="X461" s="67">
        <f>IF(AND(TArticle[[#This Row],[مبلغ]]&lt;0,TArticle[[#This Row],[کد وضعیت سند]]=1),0-TArticle[[#This Row],[مبلغ]],0)</f>
        <v>0</v>
      </c>
      <c r="Y461" s="67">
        <v>2</v>
      </c>
      <c r="Z461" s="171" t="str">
        <f>IF(TArticle[[#This Row],[کد بانک]]&gt;0,VLOOKUP(TArticle[[#This Row],[کد بانک]],TBank[],2,FALSE),"")</f>
        <v>ملی جاری</v>
      </c>
      <c r="AA461">
        <f>IF(AND(TArticle[[#This Row],[مبلغ]]&lt;0,TArticle[[#This Row],[کد وضعیت سند]]=1),0-TArticle[[#This Row],[مبلغ]],0)</f>
        <v>0</v>
      </c>
      <c r="AB461">
        <f>IF(AND(TArticle[[#This Row],[مبلغ]]&gt;0, TArticle[[#This Row],[کد وضعیت سند]]=1),TArticle[[#This Row],[مبلغ]],0)</f>
        <v>0</v>
      </c>
      <c r="AC461" s="93">
        <f>IF(TArticle[[#This Row],[کد بانک]]&gt;0,VLOOKUP(TArticle[[#This Row],[کد بانک]],TBank[],9,FALSE)+SUMIF($Y$2:Y461,Y461,$E$2:$E461),"")</f>
        <v>213493</v>
      </c>
      <c r="AD461" s="1">
        <f>IFERROR(IF(INT(LEFT(TArticle[[#This Row],[شناسه]]))=3,IF(TArticle[[#This Row],[کد وضعیت سند]]=1,TArticle[مبلغ],0),0),0)</f>
        <v>0</v>
      </c>
      <c r="AE461" s="1">
        <f>IFERROR(IF(((TArticle[[#This Row],[شناسه]]))="4.1.1",IF(TArticle[[#This Row],[کد وضعیت سند]]=1,TArticle[مبلغ],0),0),0)</f>
        <v>0</v>
      </c>
      <c r="AF461" s="1">
        <f>IFERROR(IF(((TArticle[[#This Row],[شناسه]]))="4.1.2",IF(TArticle[[#This Row],[کد وضعیت سند]]=1,TArticle[مبلغ],0),0),0)</f>
        <v>0</v>
      </c>
      <c r="AG461" s="1">
        <f>IFERROR(IF(INT(LEFT(TArticle[[#This Row],[شناسه]]))=1,IF(TArticle[[#This Row],[کد وضعیت سند]]=1,TArticle[مبلغ],0),0),0)</f>
        <v>0</v>
      </c>
      <c r="AH461" s="1">
        <f>IFERROR(IF(INT(LEFT(TArticle[[#This Row],[شناسه]]))=2,IF(TArticle[[#This Row],[کد وضعیت سند]]=1,TArticle[مبلغ],0),0),0)</f>
        <v>0</v>
      </c>
      <c r="AI461" s="1">
        <f>IFERROR(IF((LEFT(TArticle[[#This Row],[شناسه]],3))="5.2",IF(TArticle[[#This Row],[کد وضعیت سند]]=1,TArticle[مبلغ],0),0),0)</f>
        <v>0</v>
      </c>
      <c r="AJ461" s="1">
        <f>IF(TArticle[[#This Row],[کد وضعیت سند]]=1,1,0)</f>
        <v>0</v>
      </c>
      <c r="AK461" s="1">
        <f>IF(AND(TArticle[[#This Row],[کد وضعیت سند]]&lt;&gt;1,TArticle[[#This Row],[مبلغ]]&lt;&gt;0),1,0)</f>
        <v>1</v>
      </c>
      <c r="AL461" s="78">
        <f>IF(TArticle[[#This Row],[کد بانک]]&gt;0,TArticle[[#This Row],[مانده بانک]]-VLOOKUP(TArticle[[#This Row],[کد بانک]],TBank[],7,FALSE),"")</f>
        <v>213493</v>
      </c>
      <c r="AM461" s="58" t="str">
        <f>LEFT(TArticle[[#This Row],[تاریخ]],7)</f>
        <v>1402-11</v>
      </c>
    </row>
    <row r="462" spans="1:39" x14ac:dyDescent="0.25">
      <c r="A462" s="13" t="s">
        <v>78</v>
      </c>
      <c r="B462" s="49" t="str">
        <f>VLOOKUP(TArticle[[#This Row],[شناسه]],TAccount[],2,TRUE)</f>
        <v>چک</v>
      </c>
      <c r="C462" s="49" t="str">
        <f>VLOOKUP(TArticle[[#This Row],[تاریخ]],TDays[],7,FALSE)</f>
        <v>سه شنبه</v>
      </c>
      <c r="D462" s="21" t="s">
        <v>875</v>
      </c>
      <c r="E462" s="1">
        <v>-4250</v>
      </c>
      <c r="F462" s="1">
        <f>TArticle[[#This Row],[مبلغ]]+IFERROR(INT(F461),30181+3667+958)</f>
        <v>176091</v>
      </c>
      <c r="G462" s="167">
        <v>290888</v>
      </c>
      <c r="H462" s="64">
        <v>11</v>
      </c>
      <c r="J462" s="65"/>
      <c r="K462" s="64">
        <v>2</v>
      </c>
      <c r="L462" s="171" t="str">
        <f>IF(TArticle[[#This Row],[کد وضعیت سند]]&gt;0,VLOOKUP(TArticle[[#This Row],[کد وضعیت سند]],TDocState[],2,FALSE),"")</f>
        <v>قطعی</v>
      </c>
      <c r="M462" s="27">
        <v>117</v>
      </c>
      <c r="N462" s="171" t="str">
        <f>IF(TArticle[[#This Row],[کد طرف حساب]]&gt;0,VLOOKUP(TArticle[[#This Row],[کد طرف حساب]],TContact[],2,FALSE),"")</f>
        <v>وام سرویس خواب</v>
      </c>
      <c r="O462" s="68">
        <f>IF(TArticle[[#This Row],[کد طرف حساب]]&gt;0,VLOOKUP(TArticle[[#This Row],[کد طرف حساب]],TContact[],7,FALSE)-SUMIF($M$2:M462,M462,$E$2:$E462),"")</f>
        <v>-4250</v>
      </c>
      <c r="P462" s="67" t="str">
        <f>RIGHT(TArticle[[#This Row],[تاریخ]],2)</f>
        <v>17</v>
      </c>
      <c r="Q462" s="67">
        <f>VLOOKUP(TArticle[[#This Row],[تاریخ]],TDays[],16,FALSE)</f>
        <v>47</v>
      </c>
      <c r="R462" s="67" t="str">
        <f>RIGHT(LEFT(TArticle[[#This Row],[تاریخ]],7),2)</f>
        <v>11</v>
      </c>
      <c r="S462" s="67" t="str">
        <f>LEFT(TArticle[[#This Row],[تاریخ]],4)</f>
        <v>1402</v>
      </c>
      <c r="T462" s="64"/>
      <c r="U462" s="64">
        <f>VLOOKUP(TArticle[[#This Row],[شناسه]],TAccount[],7,TRUE)</f>
        <v>57000</v>
      </c>
      <c r="V462" s="64"/>
      <c r="W462" s="64">
        <f>IF(AND(TArticle[[#This Row],[مبلغ]]&gt;0, TArticle[[#This Row],[کد وضعیت سند]]=1),TArticle[[#This Row],[مبلغ]],0)</f>
        <v>0</v>
      </c>
      <c r="X462" s="67">
        <f>IF(AND(TArticle[[#This Row],[مبلغ]]&lt;0,TArticle[[#This Row],[کد وضعیت سند]]=1),0-TArticle[[#This Row],[مبلغ]],0)</f>
        <v>0</v>
      </c>
      <c r="Y462" s="27">
        <v>4</v>
      </c>
      <c r="Z462" s="171" t="str">
        <f>IF(TArticle[[#This Row],[کد بانک]]&gt;0,VLOOKUP(TArticle[[#This Row],[کد بانک]],TBank[],2,FALSE),"")</f>
        <v>سپه</v>
      </c>
      <c r="AA462">
        <f>IF(AND(TArticle[[#This Row],[مبلغ]]&lt;0,TArticle[[#This Row],[کد وضعیت سند]]=1),0-TArticle[[#This Row],[مبلغ]],0)</f>
        <v>0</v>
      </c>
      <c r="AB462">
        <f>IF(AND(TArticle[[#This Row],[مبلغ]]&gt;0, TArticle[[#This Row],[کد وضعیت سند]]=1),TArticle[[#This Row],[مبلغ]],0)</f>
        <v>0</v>
      </c>
      <c r="AC462" s="84">
        <f>IF(TArticle[[#This Row],[کد بانک]]&gt;0,VLOOKUP(TArticle[[#This Row],[کد بانک]],TBank[],9,FALSE)+SUMIF($Y$2:Y462,Y462,$E$2:$E462),"")</f>
        <v>-42498</v>
      </c>
      <c r="AD462" s="1">
        <f>IFERROR(IF(INT(LEFT(TArticle[[#This Row],[شناسه]]))=3,IF(TArticle[[#This Row],[کد وضعیت سند]]=1,TArticle[مبلغ],0),0),0)</f>
        <v>0</v>
      </c>
      <c r="AE462" s="1">
        <f>IFERROR(IF(((TArticle[[#This Row],[شناسه]]))="4.1.1",IF(TArticle[[#This Row],[کد وضعیت سند]]=1,TArticle[مبلغ],0),0),0)</f>
        <v>0</v>
      </c>
      <c r="AF462" s="1">
        <f>IFERROR(IF(((TArticle[[#This Row],[شناسه]]))="4.1.2",IF(TArticle[[#This Row],[کد وضعیت سند]]=1,TArticle[مبلغ],0),0),0)</f>
        <v>0</v>
      </c>
      <c r="AG462" s="1">
        <f>IFERROR(IF(INT(LEFT(TArticle[[#This Row],[شناسه]]))=1,IF(TArticle[[#This Row],[کد وضعیت سند]]=1,TArticle[مبلغ],0),0),0)</f>
        <v>0</v>
      </c>
      <c r="AH462" s="1">
        <f>IFERROR(IF(INT(LEFT(TArticle[[#This Row],[شناسه]]))=2,IF(TArticle[[#This Row],[کد وضعیت سند]]=1,TArticle[مبلغ],0),0),0)</f>
        <v>0</v>
      </c>
      <c r="AI462" s="1">
        <f>IFERROR(IF((LEFT(TArticle[[#This Row],[شناسه]],3))="5.2",IF(TArticle[[#This Row],[کد وضعیت سند]]=1,TArticle[مبلغ],0),0),0)</f>
        <v>0</v>
      </c>
      <c r="AJ462" s="1">
        <f>IF(TArticle[[#This Row],[کد وضعیت سند]]=1,1,0)</f>
        <v>0</v>
      </c>
      <c r="AK462" s="1">
        <f>IF(AND(TArticle[[#This Row],[کد وضعیت سند]]&lt;&gt;1,TArticle[[#This Row],[مبلغ]]&lt;&gt;0),1,0)</f>
        <v>1</v>
      </c>
      <c r="AL462" s="78">
        <f>IF(TArticle[[#This Row],[کد بانک]]&gt;0,TArticle[[#This Row],[مانده بانک]]-VLOOKUP(TArticle[[#This Row],[کد بانک]],TBank[],7,FALSE),"")</f>
        <v>-42500</v>
      </c>
      <c r="AM462" s="69" t="str">
        <f>LEFT(TArticle[[#This Row],[تاریخ]],7)</f>
        <v>1402-11</v>
      </c>
    </row>
    <row r="463" spans="1:39" x14ac:dyDescent="0.25">
      <c r="A463" s="24" t="s">
        <v>1013</v>
      </c>
      <c r="B463" s="49" t="str">
        <f>VLOOKUP(TArticle[[#This Row],[شناسه]],TAccount[],2,TRUE)</f>
        <v>یارانه</v>
      </c>
      <c r="C463" s="49" t="str">
        <f>VLOOKUP(TArticle[[#This Row],[تاریخ]],TDays[],7,FALSE)</f>
        <v>جمعه</v>
      </c>
      <c r="D463" s="21" t="s">
        <v>878</v>
      </c>
      <c r="E463" s="1">
        <v>1500</v>
      </c>
      <c r="F463" s="1">
        <f>TArticle[[#This Row],[مبلغ]]+IFERROR(INT(F462),30181+3667+958)</f>
        <v>177591</v>
      </c>
      <c r="G463" s="49"/>
      <c r="H463" s="64"/>
      <c r="J463" s="65"/>
      <c r="K463" s="64">
        <v>2</v>
      </c>
      <c r="L463" s="171" t="str">
        <f>IF(TArticle[[#This Row],[کد وضعیت سند]]&gt;0,VLOOKUP(TArticle[[#This Row],[کد وضعیت سند]],TDocState[],2,FALSE),"")</f>
        <v>قطعی</v>
      </c>
      <c r="M463" s="67"/>
      <c r="N463" s="171" t="str">
        <f>IF(TArticle[[#This Row],[کد طرف حساب]]&gt;0,VLOOKUP(TArticle[[#This Row],[کد طرف حساب]],TContact[],2,FALSE),"")</f>
        <v/>
      </c>
      <c r="O463" s="68" t="str">
        <f>IF(TArticle[[#This Row],[کد طرف حساب]]&gt;0,VLOOKUP(TArticle[[#This Row],[کد طرف حساب]],TContact[],7,FALSE)-SUMIF($M$2:M463,M463,$E$2:$E463),"")</f>
        <v/>
      </c>
      <c r="P463" s="67" t="str">
        <f>RIGHT(TArticle[[#This Row],[تاریخ]],2)</f>
        <v>20</v>
      </c>
      <c r="Q463" s="67">
        <f>VLOOKUP(TArticle[[#This Row],[تاریخ]],TDays[],16,FALSE)</f>
        <v>48</v>
      </c>
      <c r="R463" s="67" t="str">
        <f>RIGHT(LEFT(TArticle[[#This Row],[تاریخ]],7),2)</f>
        <v>11</v>
      </c>
      <c r="S463" s="67" t="str">
        <f>LEFT(TArticle[[#This Row],[تاریخ]],4)</f>
        <v>1402</v>
      </c>
      <c r="T463" s="64"/>
      <c r="U463" s="64">
        <f>VLOOKUP(TArticle[[#This Row],[شناسه]],TAccount[],7,TRUE)</f>
        <v>12565</v>
      </c>
      <c r="V463" s="64"/>
      <c r="W463" s="64">
        <f>IF(AND(TArticle[[#This Row],[مبلغ]]&gt;0, TArticle[[#This Row],[کد وضعیت سند]]=1),TArticle[[#This Row],[مبلغ]],0)</f>
        <v>0</v>
      </c>
      <c r="X463" s="67">
        <f>IF(AND(TArticle[[#This Row],[مبلغ]]&lt;0,TArticle[[#This Row],[کد وضعیت سند]]=1),0-TArticle[[#This Row],[مبلغ]],0)</f>
        <v>0</v>
      </c>
      <c r="Y463" s="27">
        <v>2</v>
      </c>
      <c r="Z463" s="171" t="str">
        <f>IF(TArticle[[#This Row],[کد بانک]]&gt;0,VLOOKUP(TArticle[[#This Row],[کد بانک]],TBank[],2,FALSE),"")</f>
        <v>ملی جاری</v>
      </c>
      <c r="AA463">
        <f>IF(AND(TArticle[[#This Row],[مبلغ]]&lt;0,TArticle[[#This Row],[کد وضعیت سند]]=1),0-TArticle[[#This Row],[مبلغ]],0)</f>
        <v>0</v>
      </c>
      <c r="AB463">
        <f>IF(AND(TArticle[[#This Row],[مبلغ]]&gt;0, TArticle[[#This Row],[کد وضعیت سند]]=1),TArticle[[#This Row],[مبلغ]],0)</f>
        <v>0</v>
      </c>
      <c r="AC463" s="93">
        <f>IF(TArticle[[#This Row],[کد بانک]]&gt;0,VLOOKUP(TArticle[[#This Row],[کد بانک]],TBank[],9,FALSE)+SUMIF($Y$2:Y463,Y463,$E$2:$E463),"")</f>
        <v>214993</v>
      </c>
      <c r="AD463" s="1">
        <f>IFERROR(IF(INT(LEFT(TArticle[[#This Row],[شناسه]]))=3,IF(TArticle[[#This Row],[کد وضعیت سند]]=1,TArticle[مبلغ],0),0),0)</f>
        <v>0</v>
      </c>
      <c r="AE463" s="1">
        <f>IFERROR(IF(((TArticle[[#This Row],[شناسه]]))="4.1.1",IF(TArticle[[#This Row],[کد وضعیت سند]]=1,TArticle[مبلغ],0),0),0)</f>
        <v>0</v>
      </c>
      <c r="AF463" s="1">
        <f>IFERROR(IF(((TArticle[[#This Row],[شناسه]]))="4.1.2",IF(TArticle[[#This Row],[کد وضعیت سند]]=1,TArticle[مبلغ],0),0),0)</f>
        <v>0</v>
      </c>
      <c r="AG463" s="1">
        <f>IFERROR(IF(INT(LEFT(TArticle[[#This Row],[شناسه]]))=1,IF(TArticle[[#This Row],[کد وضعیت سند]]=1,TArticle[مبلغ],0),0),0)</f>
        <v>0</v>
      </c>
      <c r="AH463" s="1">
        <f>IFERROR(IF(INT(LEFT(TArticle[[#This Row],[شناسه]]))=2,IF(TArticle[[#This Row],[کد وضعیت سند]]=1,TArticle[مبلغ],0),0),0)</f>
        <v>0</v>
      </c>
      <c r="AI463" s="1">
        <f>IFERROR(IF((LEFT(TArticle[[#This Row],[شناسه]],3))="5.2",IF(TArticle[[#This Row],[کد وضعیت سند]]=1,TArticle[مبلغ],0),0),0)</f>
        <v>0</v>
      </c>
      <c r="AJ463" s="1">
        <f>IF(TArticle[[#This Row],[کد وضعیت سند]]=1,1,0)</f>
        <v>0</v>
      </c>
      <c r="AK463" s="1">
        <f>IF(AND(TArticle[[#This Row],[کد وضعیت سند]]&lt;&gt;1,TArticle[[#This Row],[مبلغ]]&lt;&gt;0),1,0)</f>
        <v>1</v>
      </c>
      <c r="AL463" s="78">
        <f>IF(TArticle[[#This Row],[کد بانک]]&gt;0,TArticle[[#This Row],[مانده بانک]]-VLOOKUP(TArticle[[#This Row],[کد بانک]],TBank[],7,FALSE),"")</f>
        <v>214993</v>
      </c>
      <c r="AM463" s="69" t="str">
        <f>LEFT(TArticle[[#This Row],[تاریخ]],7)</f>
        <v>1402-11</v>
      </c>
    </row>
    <row r="464" spans="1:39" x14ac:dyDescent="0.25">
      <c r="A464" s="24" t="s">
        <v>1110</v>
      </c>
      <c r="B464" s="49" t="str">
        <f>VLOOKUP(TArticle[[#This Row],[شناسه]],TAccount[],2,TRUE)</f>
        <v>قسط وام بانکی</v>
      </c>
      <c r="C464" s="49" t="str">
        <f>VLOOKUP(TArticle[[#This Row],[تاریخ]],TDays[],7,FALSE)</f>
        <v>شنبه</v>
      </c>
      <c r="D464" s="21" t="s">
        <v>886</v>
      </c>
      <c r="E464" s="1">
        <v>-1808</v>
      </c>
      <c r="F464" s="1">
        <f>TArticle[[#This Row],[مبلغ]]+IFERROR(INT(F463),30181+3667+958)</f>
        <v>175783</v>
      </c>
      <c r="G464" s="49" t="s">
        <v>1597</v>
      </c>
      <c r="H464" s="21">
        <v>28</v>
      </c>
      <c r="K464" s="21">
        <v>2</v>
      </c>
      <c r="L464" s="171" t="str">
        <f>IF(TArticle[[#This Row],[کد وضعیت سند]]&gt;0,VLOOKUP(TArticle[[#This Row],[کد وضعیت سند]],TDocState[],2,FALSE),"")</f>
        <v>قطعی</v>
      </c>
      <c r="M464" s="67">
        <v>112</v>
      </c>
      <c r="N464" s="171" t="str">
        <f>IF(TArticle[[#This Row],[کد طرف حساب]]&gt;0,VLOOKUP(TArticle[[#This Row],[کد طرف حساب]],TContact[],2,FALSE),"")</f>
        <v>وام ملی</v>
      </c>
      <c r="O464" s="51">
        <f>IF(TArticle[[#This Row],[کد طرف حساب]]&gt;0,VLOOKUP(TArticle[[#This Row],[کد طرف حساب]],TContact[],7,FALSE)-SUMIF($M$2:M464,M464,$E$2:$E464),"")</f>
        <v>-12032</v>
      </c>
      <c r="P464" s="27" t="str">
        <f>RIGHT(TArticle[[#This Row],[تاریخ]],2)</f>
        <v>28</v>
      </c>
      <c r="Q464" s="27">
        <f>VLOOKUP(TArticle[[#This Row],[تاریخ]],TDays[],16,FALSE)</f>
        <v>49</v>
      </c>
      <c r="R464" s="27" t="str">
        <f>RIGHT(LEFT(TArticle[[#This Row],[تاریخ]],7),2)</f>
        <v>11</v>
      </c>
      <c r="S464" s="27" t="str">
        <f>LEFT(TArticle[[#This Row],[تاریخ]],4)</f>
        <v>1402</v>
      </c>
      <c r="U464" s="21">
        <f>VLOOKUP(TArticle[[#This Row],[شناسه]],TAccount[],7,TRUE)</f>
        <v>81652</v>
      </c>
      <c r="V464" s="21" t="s">
        <v>886</v>
      </c>
      <c r="W464" s="21">
        <f>IF(AND(TArticle[[#This Row],[مبلغ]]&gt;0, TArticle[[#This Row],[کد وضعیت سند]]=1),TArticle[[#This Row],[مبلغ]],0)</f>
        <v>0</v>
      </c>
      <c r="X464" s="27">
        <f>IF(AND(TArticle[[#This Row],[مبلغ]]&lt;0,TArticle[[#This Row],[کد وضعیت سند]]=1),0-TArticle[[#This Row],[مبلغ]],0)</f>
        <v>0</v>
      </c>
      <c r="Y464" s="67">
        <v>2</v>
      </c>
      <c r="Z464" s="171" t="str">
        <f>IF(TArticle[[#This Row],[کد بانک]]&gt;0,VLOOKUP(TArticle[[#This Row],[کد بانک]],TBank[],2,FALSE),"")</f>
        <v>ملی جاری</v>
      </c>
      <c r="AA464">
        <f>IF(AND(TArticle[[#This Row],[مبلغ]]&lt;0,TArticle[[#This Row],[کد وضعیت سند]]=1),0-TArticle[[#This Row],[مبلغ]],0)</f>
        <v>0</v>
      </c>
      <c r="AB464">
        <f>IF(AND(TArticle[[#This Row],[مبلغ]]&gt;0, TArticle[[#This Row],[کد وضعیت سند]]=1),TArticle[[#This Row],[مبلغ]],0)</f>
        <v>0</v>
      </c>
      <c r="AC464" s="84">
        <f>IF(TArticle[[#This Row],[کد بانک]]&gt;0,VLOOKUP(TArticle[[#This Row],[کد بانک]],TBank[],9,FALSE)+SUMIF($Y$2:Y464,Y464,$E$2:$E464),"")</f>
        <v>213185</v>
      </c>
      <c r="AD464" s="1">
        <f>IFERROR(IF(INT(LEFT(TArticle[[#This Row],[شناسه]]))=3,IF(TArticle[[#This Row],[کد وضعیت سند]]=1,TArticle[مبلغ],0),0),0)</f>
        <v>0</v>
      </c>
      <c r="AE464" s="1">
        <f>IFERROR(IF(((TArticle[[#This Row],[شناسه]]))="4.1.1",IF(TArticle[[#This Row],[کد وضعیت سند]]=1,TArticle[مبلغ],0),0),0)</f>
        <v>0</v>
      </c>
      <c r="AF464" s="1">
        <f>IFERROR(IF(((TArticle[[#This Row],[شناسه]]))="4.1.2",IF(TArticle[[#This Row],[کد وضعیت سند]]=1,TArticle[مبلغ],0),0),0)</f>
        <v>0</v>
      </c>
      <c r="AG464" s="1">
        <f>IFERROR(IF(INT(LEFT(TArticle[[#This Row],[شناسه]]))=1,IF(TArticle[[#This Row],[کد وضعیت سند]]=1,TArticle[مبلغ],0),0),0)</f>
        <v>0</v>
      </c>
      <c r="AH464" s="1">
        <f>IFERROR(IF(INT(LEFT(TArticle[[#This Row],[شناسه]]))=2,IF(TArticle[[#This Row],[کد وضعیت سند]]=1,TArticle[مبلغ],0),0),0)</f>
        <v>0</v>
      </c>
      <c r="AI464" s="1">
        <f>IFERROR(IF((LEFT(TArticle[[#This Row],[شناسه]],3))="5.2",IF(TArticle[[#This Row],[کد وضعیت سند]]=1,TArticle[مبلغ],0),0),0)</f>
        <v>0</v>
      </c>
      <c r="AJ464" s="1">
        <f>IF(TArticle[[#This Row],[کد وضعیت سند]]=1,1,0)</f>
        <v>0</v>
      </c>
      <c r="AK464" s="1">
        <f>IF(AND(TArticle[[#This Row],[کد وضعیت سند]]&lt;&gt;1,TArticle[[#This Row],[مبلغ]]&lt;&gt;0),1,0)</f>
        <v>1</v>
      </c>
      <c r="AL464" s="51">
        <f>IF(TArticle[[#This Row],[کد بانک]]&gt;0,TArticle[[#This Row],[مانده بانک]]-VLOOKUP(TArticle[[#This Row],[کد بانک]],TBank[],7,FALSE),"")</f>
        <v>213185</v>
      </c>
      <c r="AM464" s="49" t="str">
        <f>LEFT(TArticle[[#This Row],[تاریخ]],7)</f>
        <v>1402-11</v>
      </c>
    </row>
    <row r="465" spans="1:39" x14ac:dyDescent="0.25">
      <c r="A465" s="24" t="s">
        <v>43</v>
      </c>
      <c r="B465" s="49" t="str">
        <f>VLOOKUP(TArticle[[#This Row],[شناسه]],TAccount[],2,TRUE)</f>
        <v>حقوق</v>
      </c>
      <c r="C465" s="49" t="str">
        <f>VLOOKUP(TArticle[[#This Row],[تاریخ]],TDays[],7,FALSE)</f>
        <v>سه شنبه</v>
      </c>
      <c r="D465" s="21" t="s">
        <v>889</v>
      </c>
      <c r="E465" s="1">
        <v>36000</v>
      </c>
      <c r="F465" s="1">
        <f>TArticle[[#This Row],[مبلغ]]+IFERROR(INT(F464),30181+3667+958)</f>
        <v>211783</v>
      </c>
      <c r="G465" s="49"/>
      <c r="K465" s="64">
        <v>2</v>
      </c>
      <c r="L465" s="171" t="str">
        <f>IF(TArticle[[#This Row],[کد وضعیت سند]]&gt;0,VLOOKUP(TArticle[[#This Row],[کد وضعیت سند]],TDocState[],2,FALSE),"")</f>
        <v>قطعی</v>
      </c>
      <c r="N465" s="171" t="str">
        <f>IF(TArticle[[#This Row],[کد طرف حساب]]&gt;0,VLOOKUP(TArticle[[#This Row],[کد طرف حساب]],TContact[],2,FALSE),"")</f>
        <v/>
      </c>
      <c r="O465" s="51" t="str">
        <f>IF(TArticle[[#This Row],[کد طرف حساب]]&gt;0,VLOOKUP(TArticle[[#This Row],[کد طرف حساب]],TContact[],7,FALSE)-SUMIF($M$2:M465,M465,$E$2:$E465),"")</f>
        <v/>
      </c>
      <c r="P465" s="27" t="str">
        <f>RIGHT(TArticle[[#This Row],[تاریخ]],2)</f>
        <v>01</v>
      </c>
      <c r="Q465" s="27">
        <f>VLOOKUP(TArticle[[#This Row],[تاریخ]],TDays[],16,FALSE)</f>
        <v>50</v>
      </c>
      <c r="R465" s="27" t="str">
        <f>RIGHT(LEFT(TArticle[[#This Row],[تاریخ]],7),2)</f>
        <v>12</v>
      </c>
      <c r="S465" s="27" t="str">
        <f>LEFT(TArticle[[#This Row],[تاریخ]],4)</f>
        <v>1402</v>
      </c>
      <c r="U465" s="21">
        <f>VLOOKUP(TArticle[[#This Row],[شناسه]],TAccount[],7,TRUE)</f>
        <v>416023</v>
      </c>
      <c r="W465" s="21">
        <f>IF(AND(TArticle[[#This Row],[مبلغ]]&gt;0, TArticle[[#This Row],[کد وضعیت سند]]=1),TArticle[[#This Row],[مبلغ]],0)</f>
        <v>0</v>
      </c>
      <c r="X465" s="27">
        <f>IF(AND(TArticle[[#This Row],[مبلغ]]&lt;0,TArticle[[#This Row],[کد وضعیت سند]]=1),0-TArticle[[#This Row],[مبلغ]],0)</f>
        <v>0</v>
      </c>
      <c r="Y465" s="27">
        <v>2</v>
      </c>
      <c r="Z465" s="171" t="str">
        <f>IF(TArticle[[#This Row],[کد بانک]]&gt;0,VLOOKUP(TArticle[[#This Row],[کد بانک]],TBank[],2,FALSE),"")</f>
        <v>ملی جاری</v>
      </c>
      <c r="AA465">
        <f>IF(AND(TArticle[[#This Row],[مبلغ]]&lt;0,TArticle[[#This Row],[کد وضعیت سند]]=1),0-TArticle[[#This Row],[مبلغ]],0)</f>
        <v>0</v>
      </c>
      <c r="AB465">
        <f>IF(AND(TArticle[[#This Row],[مبلغ]]&gt;0, TArticle[[#This Row],[کد وضعیت سند]]=1),TArticle[[#This Row],[مبلغ]],0)</f>
        <v>0</v>
      </c>
      <c r="AC465" s="84">
        <f>IF(TArticle[[#This Row],[کد بانک]]&gt;0,VLOOKUP(TArticle[[#This Row],[کد بانک]],TBank[],9,FALSE)+SUMIF($Y$2:Y465,Y465,$E$2:$E465),"")</f>
        <v>249185</v>
      </c>
      <c r="AD465" s="1">
        <f>IFERROR(IF(INT(LEFT(TArticle[[#This Row],[شناسه]]))=3,IF(TArticle[[#This Row],[کد وضعیت سند]]=1,TArticle[مبلغ],0),0),0)</f>
        <v>0</v>
      </c>
      <c r="AE465" s="1">
        <f>IFERROR(IF(((TArticle[[#This Row],[شناسه]]))="4.1.1",IF(TArticle[[#This Row],[کد وضعیت سند]]=1,TArticle[مبلغ],0),0),0)</f>
        <v>0</v>
      </c>
      <c r="AF465" s="1">
        <f>IFERROR(IF(((TArticle[[#This Row],[شناسه]]))="4.1.2",IF(TArticle[[#This Row],[کد وضعیت سند]]=1,TArticle[مبلغ],0),0),0)</f>
        <v>0</v>
      </c>
      <c r="AG465" s="1">
        <f>IFERROR(IF(INT(LEFT(TArticle[[#This Row],[شناسه]]))=1,IF(TArticle[[#This Row],[کد وضعیت سند]]=1,TArticle[مبلغ],0),0),0)</f>
        <v>0</v>
      </c>
      <c r="AH465" s="1">
        <f>IFERROR(IF(INT(LEFT(TArticle[[#This Row],[شناسه]]))=2,IF(TArticle[[#This Row],[کد وضعیت سند]]=1,TArticle[مبلغ],0),0),0)</f>
        <v>0</v>
      </c>
      <c r="AI465" s="1">
        <f>IFERROR(IF((LEFT(TArticle[[#This Row],[شناسه]],3))="5.2",IF(TArticle[[#This Row],[کد وضعیت سند]]=1,TArticle[مبلغ],0),0),0)</f>
        <v>0</v>
      </c>
      <c r="AJ465" s="1">
        <f>IF(TArticle[[#This Row],[کد وضعیت سند]]=1,1,0)</f>
        <v>0</v>
      </c>
      <c r="AK465" s="1">
        <f>IF(AND(TArticle[[#This Row],[کد وضعیت سند]]&lt;&gt;1,TArticle[[#This Row],[مبلغ]]&lt;&gt;0),1,0)</f>
        <v>1</v>
      </c>
      <c r="AL465" s="51">
        <f>IF(TArticle[[#This Row],[کد بانک]]&gt;0,TArticle[[#This Row],[مانده بانک]]-VLOOKUP(TArticle[[#This Row],[کد بانک]],TBank[],7,FALSE),"")</f>
        <v>249185</v>
      </c>
      <c r="AM465" s="49" t="str">
        <f>LEFT(TArticle[[#This Row],[تاریخ]],7)</f>
        <v>1402-12</v>
      </c>
    </row>
    <row r="466" spans="1:39" x14ac:dyDescent="0.25">
      <c r="A466" s="24" t="s">
        <v>1608</v>
      </c>
      <c r="B466" s="49" t="str">
        <f>VLOOKUP(TArticle[[#This Row],[شناسه]],TAccount[],2,TRUE)</f>
        <v>بن کارت</v>
      </c>
      <c r="C466" s="49" t="str">
        <f>VLOOKUP(TArticle[[#This Row],[تاریخ]],TDays[],7,FALSE)</f>
        <v>سه شنبه</v>
      </c>
      <c r="D466" s="21" t="s">
        <v>889</v>
      </c>
      <c r="E466" s="1">
        <v>1700</v>
      </c>
      <c r="F466" s="1">
        <f>TArticle[[#This Row],[مبلغ]]+IFERROR(INT(F465),30181+3667+958)</f>
        <v>213483</v>
      </c>
      <c r="G466" s="49"/>
      <c r="J466" s="51"/>
      <c r="K466" s="64">
        <v>2</v>
      </c>
      <c r="L466" s="171" t="str">
        <f>IF(TArticle[[#This Row],[کد وضعیت سند]]&gt;0,VLOOKUP(TArticle[[#This Row],[کد وضعیت سند]],TDocState[],2,FALSE),"")</f>
        <v>قطعی</v>
      </c>
      <c r="N466" s="171" t="str">
        <f>IF(TArticle[[#This Row],[کد طرف حساب]]&gt;0,VLOOKUP(TArticle[[#This Row],[کد طرف حساب]],TContact[],2,FALSE),"")</f>
        <v/>
      </c>
      <c r="O466" s="60" t="str">
        <f>IF(TArticle[[#This Row],[کد طرف حساب]]&gt;0,VLOOKUP(TArticle[[#This Row],[کد طرف حساب]],TContact[],7,FALSE)-SUMIF($M$2:M466,M466,$E$2:$E466),"")</f>
        <v/>
      </c>
      <c r="P466" s="27" t="str">
        <f>RIGHT(TArticle[[#This Row],[تاریخ]],2)</f>
        <v>01</v>
      </c>
      <c r="Q466" s="27">
        <f>VLOOKUP(TArticle[[#This Row],[تاریخ]],TDays[],16,FALSE)</f>
        <v>50</v>
      </c>
      <c r="R466" s="27" t="str">
        <f>RIGHT(LEFT(TArticle[[#This Row],[تاریخ]],7),2)</f>
        <v>12</v>
      </c>
      <c r="S466" s="27" t="str">
        <f>LEFT(TArticle[[#This Row],[تاریخ]],4)</f>
        <v>1402</v>
      </c>
      <c r="U466" s="21">
        <f>VLOOKUP(TArticle[[#This Row],[شناسه]],TAccount[],7,TRUE)</f>
        <v>3000</v>
      </c>
      <c r="V466" s="28"/>
      <c r="W466" s="21">
        <f>IF(AND(TArticle[[#This Row],[مبلغ]]&gt;0, TArticle[[#This Row],[کد وضعیت سند]]=1),TArticle[[#This Row],[مبلغ]],0)</f>
        <v>0</v>
      </c>
      <c r="X466" s="27">
        <f>IF(AND(TArticle[[#This Row],[مبلغ]]&lt;0,TArticle[[#This Row],[کد وضعیت سند]]=1),0-TArticle[[#This Row],[مبلغ]],0)</f>
        <v>0</v>
      </c>
      <c r="Y466" s="27">
        <v>2</v>
      </c>
      <c r="Z466" s="171" t="str">
        <f>IF(TArticle[[#This Row],[کد بانک]]&gt;0,VLOOKUP(TArticle[[#This Row],[کد بانک]],TBank[],2,FALSE),"")</f>
        <v>ملی جاری</v>
      </c>
      <c r="AA466">
        <f>IF(AND(TArticle[[#This Row],[مبلغ]]&lt;0,TArticle[[#This Row],[کد وضعیت سند]]=1),0-TArticle[[#This Row],[مبلغ]],0)</f>
        <v>0</v>
      </c>
      <c r="AB466">
        <f>IF(AND(TArticle[[#This Row],[مبلغ]]&gt;0, TArticle[[#This Row],[کد وضعیت سند]]=1),TArticle[[#This Row],[مبلغ]],0)</f>
        <v>0</v>
      </c>
      <c r="AC466" s="92">
        <f>IF(TArticle[[#This Row],[کد بانک]]&gt;0,VLOOKUP(TArticle[[#This Row],[کد بانک]],TBank[],9,FALSE)+SUMIF($Y$2:Y466,Y466,$E$2:$E466),"")</f>
        <v>250885</v>
      </c>
      <c r="AD466" s="1">
        <f>IFERROR(IF(INT(LEFT(TArticle[[#This Row],[شناسه]]))=3,IF(TArticle[[#This Row],[کد وضعیت سند]]=1,TArticle[مبلغ],0),0),0)</f>
        <v>0</v>
      </c>
      <c r="AE466" s="1">
        <f>IFERROR(IF(((TArticle[[#This Row],[شناسه]]))="4.1.1",IF(TArticle[[#This Row],[کد وضعیت سند]]=1,TArticle[مبلغ],0),0),0)</f>
        <v>0</v>
      </c>
      <c r="AF466" s="1">
        <f>IFERROR(IF(((TArticle[[#This Row],[شناسه]]))="4.1.2",IF(TArticle[[#This Row],[کد وضعیت سند]]=1,TArticle[مبلغ],0),0),0)</f>
        <v>0</v>
      </c>
      <c r="AG466" s="1">
        <f>IFERROR(IF(INT(LEFT(TArticle[[#This Row],[شناسه]]))=1,IF(TArticle[[#This Row],[کد وضعیت سند]]=1,TArticle[مبلغ],0),0),0)</f>
        <v>0</v>
      </c>
      <c r="AH466" s="1">
        <f>IFERROR(IF(INT(LEFT(TArticle[[#This Row],[شناسه]]))=2,IF(TArticle[[#This Row],[کد وضعیت سند]]=1,TArticle[مبلغ],0),0),0)</f>
        <v>0</v>
      </c>
      <c r="AI466" s="1">
        <f>IFERROR(IF((LEFT(TArticle[[#This Row],[شناسه]],3))="5.2",IF(TArticle[[#This Row],[کد وضعیت سند]]=1,TArticle[مبلغ],0),0),0)</f>
        <v>0</v>
      </c>
      <c r="AJ466" s="1">
        <f>IF(TArticle[[#This Row],[کد وضعیت سند]]=1,1,0)</f>
        <v>0</v>
      </c>
      <c r="AK466" s="1">
        <f>IF(AND(TArticle[[#This Row],[کد وضعیت سند]]&lt;&gt;1,TArticle[[#This Row],[مبلغ]]&lt;&gt;0),1,0)</f>
        <v>1</v>
      </c>
      <c r="AL466" s="51">
        <f>IF(TArticle[[#This Row],[کد بانک]]&gt;0,TArticle[[#This Row],[مانده بانک]]-VLOOKUP(TArticle[[#This Row],[کد بانک]],TBank[],7,FALSE),"")</f>
        <v>250885</v>
      </c>
      <c r="AM466" s="58" t="str">
        <f>LEFT(TArticle[[#This Row],[تاریخ]],7)</f>
        <v>1402-12</v>
      </c>
    </row>
    <row r="467" spans="1:39" x14ac:dyDescent="0.25">
      <c r="A467" s="24" t="s">
        <v>1110</v>
      </c>
      <c r="B467" s="49" t="str">
        <f>VLOOKUP(TArticle[[#This Row],[شناسه]],TAccount[],2,TRUE)</f>
        <v>قسط وام بانکی</v>
      </c>
      <c r="C467" s="49" t="str">
        <f>VLOOKUP(TArticle[[#This Row],[تاریخ]],TDays[],7,FALSE)</f>
        <v>پنجشنبه</v>
      </c>
      <c r="D467" s="21" t="s">
        <v>891</v>
      </c>
      <c r="E467" s="1">
        <v>-1224</v>
      </c>
      <c r="F467" s="1">
        <f>TArticle[[#This Row],[مبلغ]]+IFERROR(INT(F466),30181+3667+958)</f>
        <v>212259</v>
      </c>
      <c r="G467" s="49"/>
      <c r="H467" s="21">
        <v>6</v>
      </c>
      <c r="K467" s="64">
        <v>2</v>
      </c>
      <c r="L467" s="171" t="str">
        <f>IF(TArticle[[#This Row],[کد وضعیت سند]]&gt;0,VLOOKUP(TArticle[[#This Row],[کد وضعیت سند]],TDocState[],2,FALSE),"")</f>
        <v>قطعی</v>
      </c>
      <c r="M467" s="27">
        <v>115</v>
      </c>
      <c r="N467" s="171" t="str">
        <f>IF(TArticle[[#This Row],[کد طرف حساب]]&gt;0,VLOOKUP(TArticle[[#This Row],[کد طرف حساب]],TContact[],2,FALSE),"")</f>
        <v>وام فرزند مهر</v>
      </c>
      <c r="O467" s="61">
        <f>IF(TArticle[[#This Row],[کد طرف حساب]]&gt;0,VLOOKUP(TArticle[[#This Row],[کد طرف حساب]],TContact[],7,FALSE)-SUMIF($M$2:M467,M467,$E$2:$E467),"")</f>
        <v>-53880</v>
      </c>
      <c r="P467" s="27" t="str">
        <f>RIGHT(TArticle[[#This Row],[تاریخ]],2)</f>
        <v>03</v>
      </c>
      <c r="Q467" s="27">
        <f>VLOOKUP(TArticle[[#This Row],[تاریخ]],TDays[],16,FALSE)</f>
        <v>50</v>
      </c>
      <c r="R467" s="27" t="str">
        <f>RIGHT(LEFT(TArticle[[#This Row],[تاریخ]],7),2)</f>
        <v>12</v>
      </c>
      <c r="S467" s="27" t="str">
        <f>LEFT(TArticle[[#This Row],[تاریخ]],4)</f>
        <v>1402</v>
      </c>
      <c r="U467" s="21">
        <f>VLOOKUP(TArticle[[#This Row],[شناسه]],TAccount[],7,TRUE)</f>
        <v>81652</v>
      </c>
      <c r="W467" s="21">
        <f>IF(AND(TArticle[[#This Row],[مبلغ]]&gt;0, TArticle[[#This Row],[کد وضعیت سند]]=1),TArticle[[#This Row],[مبلغ]],0)</f>
        <v>0</v>
      </c>
      <c r="X467" s="27">
        <f>IF(AND(TArticle[[#This Row],[مبلغ]]&lt;0,TArticle[[#This Row],[کد وضعیت سند]]=1),0-TArticle[[#This Row],[مبلغ]],0)</f>
        <v>0</v>
      </c>
      <c r="Y467" s="27">
        <v>2</v>
      </c>
      <c r="Z467" s="171" t="str">
        <f>IF(TArticle[[#This Row],[کد بانک]]&gt;0,VLOOKUP(TArticle[[#This Row],[کد بانک]],TBank[],2,FALSE),"")</f>
        <v>ملی جاری</v>
      </c>
      <c r="AA467">
        <f>IF(AND(TArticle[[#This Row],[مبلغ]]&lt;0,TArticle[[#This Row],[کد وضعیت سند]]=1),0-TArticle[[#This Row],[مبلغ]],0)</f>
        <v>0</v>
      </c>
      <c r="AB467">
        <f>IF(AND(TArticle[[#This Row],[مبلغ]]&gt;0, TArticle[[#This Row],[کد وضعیت سند]]=1),TArticle[[#This Row],[مبلغ]],0)</f>
        <v>0</v>
      </c>
      <c r="AC467" s="84">
        <f>IF(TArticle[[#This Row],[کد بانک]]&gt;0,VLOOKUP(TArticle[[#This Row],[کد بانک]],TBank[],9,FALSE)+SUMIF($Y$2:Y467,Y467,$E$2:$E467),"")</f>
        <v>249661</v>
      </c>
      <c r="AD467" s="1">
        <f>IFERROR(IF(INT(LEFT(TArticle[[#This Row],[شناسه]]))=3,IF(TArticle[[#This Row],[کد وضعیت سند]]=1,TArticle[مبلغ],0),0),0)</f>
        <v>0</v>
      </c>
      <c r="AE467" s="1">
        <f>IFERROR(IF(((TArticle[[#This Row],[شناسه]]))="4.1.1",IF(TArticle[[#This Row],[کد وضعیت سند]]=1,TArticle[مبلغ],0),0),0)</f>
        <v>0</v>
      </c>
      <c r="AF467" s="1">
        <f>IFERROR(IF(((TArticle[[#This Row],[شناسه]]))="4.1.2",IF(TArticle[[#This Row],[کد وضعیت سند]]=1,TArticle[مبلغ],0),0),0)</f>
        <v>0</v>
      </c>
      <c r="AG467" s="1">
        <f>IFERROR(IF(INT(LEFT(TArticle[[#This Row],[شناسه]]))=1,IF(TArticle[[#This Row],[کد وضعیت سند]]=1,TArticle[مبلغ],0),0),0)</f>
        <v>0</v>
      </c>
      <c r="AH467" s="1">
        <f>IFERROR(IF(INT(LEFT(TArticle[[#This Row],[شناسه]]))=2,IF(TArticle[[#This Row],[کد وضعیت سند]]=1,TArticle[مبلغ],0),0),0)</f>
        <v>0</v>
      </c>
      <c r="AI467" s="1">
        <f>IFERROR(IF((LEFT(TArticle[[#This Row],[شناسه]],3))="5.2",IF(TArticle[[#This Row],[کد وضعیت سند]]=1,TArticle[مبلغ],0),0),0)</f>
        <v>0</v>
      </c>
      <c r="AJ467" s="1">
        <f>IF(TArticle[[#This Row],[کد وضعیت سند]]=1,1,0)</f>
        <v>0</v>
      </c>
      <c r="AK467" s="1">
        <f>IF(AND(TArticle[[#This Row],[کد وضعیت سند]]&lt;&gt;1,TArticle[[#This Row],[مبلغ]]&lt;&gt;0),1,0)</f>
        <v>1</v>
      </c>
      <c r="AL467" s="51">
        <f>IF(TArticle[[#This Row],[کد بانک]]&gt;0,TArticle[[#This Row],[مانده بانک]]-VLOOKUP(TArticle[[#This Row],[کد بانک]],TBank[],7,FALSE),"")</f>
        <v>249661</v>
      </c>
      <c r="AM467" s="58" t="str">
        <f>LEFT(TArticle[[#This Row],[تاریخ]],7)</f>
        <v>1402-12</v>
      </c>
    </row>
    <row r="468" spans="1:39" x14ac:dyDescent="0.25">
      <c r="A468" s="24" t="s">
        <v>1110</v>
      </c>
      <c r="B468" s="49" t="str">
        <f>VLOOKUP(TArticle[[#This Row],[شناسه]],TAccount[],2,TRUE)</f>
        <v>قسط وام بانکی</v>
      </c>
      <c r="C468" s="49" t="str">
        <f>VLOOKUP(TArticle[[#This Row],[تاریخ]],TDays[],7,FALSE)</f>
        <v>پنجشنبه</v>
      </c>
      <c r="D468" s="21" t="s">
        <v>891</v>
      </c>
      <c r="E468" s="1">
        <v>-1830</v>
      </c>
      <c r="F468" s="1">
        <f>TArticle[[#This Row],[مبلغ]]+IFERROR(INT(F467),30181+3667+958)</f>
        <v>210429</v>
      </c>
      <c r="G468" s="49" t="s">
        <v>1591</v>
      </c>
      <c r="H468" s="21">
        <v>33</v>
      </c>
      <c r="K468" s="21">
        <v>2</v>
      </c>
      <c r="L468" s="171" t="str">
        <f>IF(TArticle[[#This Row],[کد وضعیت سند]]&gt;0,VLOOKUP(TArticle[[#This Row],[کد وضعیت سند]],TDocState[],2,FALSE),"")</f>
        <v>قطعی</v>
      </c>
      <c r="M468" s="27">
        <v>110</v>
      </c>
      <c r="N468" s="171" t="str">
        <f>IF(TArticle[[#This Row],[کد طرف حساب]]&gt;0,VLOOKUP(TArticle[[#This Row],[کد طرف حساب]],TContact[],2,FALSE),"")</f>
        <v>وام ملت</v>
      </c>
      <c r="O468" s="61">
        <f>IF(TArticle[[#This Row],[کد طرف حساب]]&gt;0,VLOOKUP(TArticle[[#This Row],[کد طرف حساب]],TContact[],7,FALSE)-SUMIF($M$2:M468,M468,$E$2:$E468),"")</f>
        <v>-4250</v>
      </c>
      <c r="P468" s="27" t="str">
        <f>RIGHT(TArticle[[#This Row],[تاریخ]],2)</f>
        <v>03</v>
      </c>
      <c r="Q468" s="27">
        <f>VLOOKUP(TArticle[[#This Row],[تاریخ]],TDays[],16,FALSE)</f>
        <v>50</v>
      </c>
      <c r="R468" s="27" t="str">
        <f>RIGHT(LEFT(TArticle[[#This Row],[تاریخ]],7),2)</f>
        <v>12</v>
      </c>
      <c r="S468" s="27" t="str">
        <f>LEFT(TArticle[[#This Row],[تاریخ]],4)</f>
        <v>1402</v>
      </c>
      <c r="U468" s="21">
        <f>VLOOKUP(TArticle[[#This Row],[شناسه]],TAccount[],7,TRUE)</f>
        <v>81652</v>
      </c>
      <c r="V468" s="21" t="s">
        <v>891</v>
      </c>
      <c r="W468" s="21">
        <f>IF(AND(TArticle[[#This Row],[مبلغ]]&gt;0, TArticle[[#This Row],[کد وضعیت سند]]=1),TArticle[[#This Row],[مبلغ]],0)</f>
        <v>0</v>
      </c>
      <c r="X468" s="27">
        <f>IF(AND(TArticle[[#This Row],[مبلغ]]&lt;0,TArticle[[#This Row],[کد وضعیت سند]]=1),0-TArticle[[#This Row],[مبلغ]],0)</f>
        <v>0</v>
      </c>
      <c r="Y468" s="27">
        <v>2</v>
      </c>
      <c r="Z468" s="171" t="str">
        <f>IF(TArticle[[#This Row],[کد بانک]]&gt;0,VLOOKUP(TArticle[[#This Row],[کد بانک]],TBank[],2,FALSE),"")</f>
        <v>ملی جاری</v>
      </c>
      <c r="AA468">
        <f>IF(AND(TArticle[[#This Row],[مبلغ]]&lt;0,TArticle[[#This Row],[کد وضعیت سند]]=1),0-TArticle[[#This Row],[مبلغ]],0)</f>
        <v>0</v>
      </c>
      <c r="AB468">
        <f>IF(AND(TArticle[[#This Row],[مبلغ]]&gt;0, TArticle[[#This Row],[کد وضعیت سند]]=1),TArticle[[#This Row],[مبلغ]],0)</f>
        <v>0</v>
      </c>
      <c r="AC468" s="84">
        <f>IF(TArticle[[#This Row],[کد بانک]]&gt;0,VLOOKUP(TArticle[[#This Row],[کد بانک]],TBank[],9,FALSE)+SUMIF($Y$2:Y468,Y468,$E$2:$E468),"")</f>
        <v>247831</v>
      </c>
      <c r="AD468" s="1">
        <f>IFERROR(IF(INT(LEFT(TArticle[[#This Row],[شناسه]]))=3,IF(TArticle[[#This Row],[کد وضعیت سند]]=1,TArticle[مبلغ],0),0),0)</f>
        <v>0</v>
      </c>
      <c r="AE468" s="1">
        <f>IFERROR(IF(((TArticle[[#This Row],[شناسه]]))="4.1.1",IF(TArticle[[#This Row],[کد وضعیت سند]]=1,TArticle[مبلغ],0),0),0)</f>
        <v>0</v>
      </c>
      <c r="AF468" s="1">
        <f>IFERROR(IF(((TArticle[[#This Row],[شناسه]]))="4.1.2",IF(TArticle[[#This Row],[کد وضعیت سند]]=1,TArticle[مبلغ],0),0),0)</f>
        <v>0</v>
      </c>
      <c r="AG468" s="1">
        <f>IFERROR(IF(INT(LEFT(TArticle[[#This Row],[شناسه]]))=1,IF(TArticle[[#This Row],[کد وضعیت سند]]=1,TArticle[مبلغ],0),0),0)</f>
        <v>0</v>
      </c>
      <c r="AH468" s="1">
        <f>IFERROR(IF(INT(LEFT(TArticle[[#This Row],[شناسه]]))=2,IF(TArticle[[#This Row],[کد وضعیت سند]]=1,TArticle[مبلغ],0),0),0)</f>
        <v>0</v>
      </c>
      <c r="AI468" s="1">
        <f>IFERROR(IF((LEFT(TArticle[[#This Row],[شناسه]],3))="5.2",IF(TArticle[[#This Row],[کد وضعیت سند]]=1,TArticle[مبلغ],0),0),0)</f>
        <v>0</v>
      </c>
      <c r="AJ468" s="1">
        <f>IF(TArticle[[#This Row],[کد وضعیت سند]]=1,1,0)</f>
        <v>0</v>
      </c>
      <c r="AK468" s="1">
        <f>IF(AND(TArticle[[#This Row],[کد وضعیت سند]]&lt;&gt;1,TArticle[[#This Row],[مبلغ]]&lt;&gt;0),1,0)</f>
        <v>1</v>
      </c>
      <c r="AL468" s="51">
        <f>IF(TArticle[[#This Row],[کد بانک]]&gt;0,TArticle[[#This Row],[مانده بانک]]-VLOOKUP(TArticle[[#This Row],[کد بانک]],TBank[],7,FALSE),"")</f>
        <v>247831</v>
      </c>
      <c r="AM468" s="49" t="str">
        <f>LEFT(TArticle[[#This Row],[تاریخ]],7)</f>
        <v>1402-12</v>
      </c>
    </row>
    <row r="469" spans="1:39" x14ac:dyDescent="0.25">
      <c r="A469" s="24" t="s">
        <v>1110</v>
      </c>
      <c r="B469" s="49" t="str">
        <f>VLOOKUP(TArticle[[#This Row],[شناسه]],TAccount[],2,TRUE)</f>
        <v>قسط وام بانکی</v>
      </c>
      <c r="C469" s="49" t="str">
        <f>VLOOKUP(TArticle[[#This Row],[تاریخ]],TDays[],7,FALSE)</f>
        <v>پنجشنبه</v>
      </c>
      <c r="D469" s="21" t="s">
        <v>891</v>
      </c>
      <c r="E469" s="1">
        <v>-1830</v>
      </c>
      <c r="F469" s="1">
        <f>TArticle[[#This Row],[مبلغ]]+IFERROR(INT(F468),30181+3667+958)</f>
        <v>208599</v>
      </c>
      <c r="G469" s="49" t="s">
        <v>1591</v>
      </c>
      <c r="H469" s="21">
        <v>33</v>
      </c>
      <c r="K469" s="21">
        <v>2</v>
      </c>
      <c r="L469" s="171" t="str">
        <f>IF(TArticle[[#This Row],[کد وضعیت سند]]&gt;0,VLOOKUP(TArticle[[#This Row],[کد وضعیت سند]],TDocState[],2,FALSE),"")</f>
        <v>قطعی</v>
      </c>
      <c r="M469" s="27">
        <v>111</v>
      </c>
      <c r="N469" s="171" t="str">
        <f>IF(TArticle[[#This Row],[کد طرف حساب]]&gt;0,VLOOKUP(TArticle[[#This Row],[کد طرف حساب]],TContact[],2,FALSE),"")</f>
        <v>وام ملت ف</v>
      </c>
      <c r="O469" s="61">
        <f>IF(TArticle[[#This Row],[کد طرف حساب]]&gt;0,VLOOKUP(TArticle[[#This Row],[کد طرف حساب]],TContact[],7,FALSE)-SUMIF($M$2:M469,M469,$E$2:$E469),"")</f>
        <v>-4250</v>
      </c>
      <c r="P469" s="27" t="str">
        <f>RIGHT(TArticle[[#This Row],[تاریخ]],2)</f>
        <v>03</v>
      </c>
      <c r="Q469" s="27">
        <f>VLOOKUP(TArticle[[#This Row],[تاریخ]],TDays[],16,FALSE)</f>
        <v>50</v>
      </c>
      <c r="R469" s="27" t="str">
        <f>RIGHT(LEFT(TArticle[[#This Row],[تاریخ]],7),2)</f>
        <v>12</v>
      </c>
      <c r="S469" s="27" t="str">
        <f>LEFT(TArticle[[#This Row],[تاریخ]],4)</f>
        <v>1402</v>
      </c>
      <c r="U469" s="21">
        <f>VLOOKUP(TArticle[[#This Row],[شناسه]],TAccount[],7,TRUE)</f>
        <v>81652</v>
      </c>
      <c r="V469" s="21" t="s">
        <v>891</v>
      </c>
      <c r="W469" s="21">
        <f>IF(AND(TArticle[[#This Row],[مبلغ]]&gt;0, TArticle[[#This Row],[کد وضعیت سند]]=1),TArticle[[#This Row],[مبلغ]],0)</f>
        <v>0</v>
      </c>
      <c r="X469" s="27">
        <f>IF(AND(TArticle[[#This Row],[مبلغ]]&lt;0,TArticle[[#This Row],[کد وضعیت سند]]=1),0-TArticle[[#This Row],[مبلغ]],0)</f>
        <v>0</v>
      </c>
      <c r="Y469" s="27">
        <v>2</v>
      </c>
      <c r="Z469" s="171" t="str">
        <f>IF(TArticle[[#This Row],[کد بانک]]&gt;0,VLOOKUP(TArticle[[#This Row],[کد بانک]],TBank[],2,FALSE),"")</f>
        <v>ملی جاری</v>
      </c>
      <c r="AA469">
        <f>IF(AND(TArticle[[#This Row],[مبلغ]]&lt;0,TArticle[[#This Row],[کد وضعیت سند]]=1),0-TArticle[[#This Row],[مبلغ]],0)</f>
        <v>0</v>
      </c>
      <c r="AB469">
        <f>IF(AND(TArticle[[#This Row],[مبلغ]]&gt;0, TArticle[[#This Row],[کد وضعیت سند]]=1),TArticle[[#This Row],[مبلغ]],0)</f>
        <v>0</v>
      </c>
      <c r="AC469" s="84">
        <f>IF(TArticle[[#This Row],[کد بانک]]&gt;0,VLOOKUP(TArticle[[#This Row],[کد بانک]],TBank[],9,FALSE)+SUMIF($Y$2:Y469,Y469,$E$2:$E469),"")</f>
        <v>246001</v>
      </c>
      <c r="AD469" s="1">
        <f>IFERROR(IF(INT(LEFT(TArticle[[#This Row],[شناسه]]))=3,IF(TArticle[[#This Row],[کد وضعیت سند]]=1,TArticle[مبلغ],0),0),0)</f>
        <v>0</v>
      </c>
      <c r="AE469" s="1">
        <f>IFERROR(IF(((TArticle[[#This Row],[شناسه]]))="4.1.1",IF(TArticle[[#This Row],[کد وضعیت سند]]=1,TArticle[مبلغ],0),0),0)</f>
        <v>0</v>
      </c>
      <c r="AF469" s="1">
        <f>IFERROR(IF(((TArticle[[#This Row],[شناسه]]))="4.1.2",IF(TArticle[[#This Row],[کد وضعیت سند]]=1,TArticle[مبلغ],0),0),0)</f>
        <v>0</v>
      </c>
      <c r="AG469" s="1">
        <f>IFERROR(IF(INT(LEFT(TArticle[[#This Row],[شناسه]]))=1,IF(TArticle[[#This Row],[کد وضعیت سند]]=1,TArticle[مبلغ],0),0),0)</f>
        <v>0</v>
      </c>
      <c r="AH469" s="1">
        <f>IFERROR(IF(INT(LEFT(TArticle[[#This Row],[شناسه]]))=2,IF(TArticle[[#This Row],[کد وضعیت سند]]=1,TArticle[مبلغ],0),0),0)</f>
        <v>0</v>
      </c>
      <c r="AI469" s="1">
        <f>IFERROR(IF((LEFT(TArticle[[#This Row],[شناسه]],3))="5.2",IF(TArticle[[#This Row],[کد وضعیت سند]]=1,TArticle[مبلغ],0),0),0)</f>
        <v>0</v>
      </c>
      <c r="AJ469" s="1">
        <f>IF(TArticle[[#This Row],[کد وضعیت سند]]=1,1,0)</f>
        <v>0</v>
      </c>
      <c r="AK469" s="1">
        <f>IF(AND(TArticle[[#This Row],[کد وضعیت سند]]&lt;&gt;1,TArticle[[#This Row],[مبلغ]]&lt;&gt;0),1,0)</f>
        <v>1</v>
      </c>
      <c r="AL469" s="51">
        <f>IF(TArticle[[#This Row],[کد بانک]]&gt;0,TArticle[[#This Row],[مانده بانک]]-VLOOKUP(TArticle[[#This Row],[کد بانک]],TBank[],7,FALSE),"")</f>
        <v>246001</v>
      </c>
      <c r="AM469" s="49" t="str">
        <f>LEFT(TArticle[[#This Row],[تاریخ]],7)</f>
        <v>1402-12</v>
      </c>
    </row>
    <row r="470" spans="1:39" x14ac:dyDescent="0.25">
      <c r="A470" s="24" t="s">
        <v>1110</v>
      </c>
      <c r="B470" s="49" t="str">
        <f>VLOOKUP(TArticle[[#This Row],[شناسه]],TAccount[],2,TRUE)</f>
        <v>قسط وام بانکی</v>
      </c>
      <c r="C470" s="49" t="str">
        <f>VLOOKUP(TArticle[[#This Row],[تاریخ]],TDays[],7,FALSE)</f>
        <v>جمعه</v>
      </c>
      <c r="D470" s="21" t="s">
        <v>892</v>
      </c>
      <c r="E470" s="1">
        <v>-532</v>
      </c>
      <c r="F470" s="1">
        <f>TArticle[[#This Row],[مبلغ]]+IFERROR(INT(F469),30181+3667+958)</f>
        <v>208067</v>
      </c>
      <c r="G470" s="49"/>
      <c r="H470" s="21">
        <v>12</v>
      </c>
      <c r="J470" s="65"/>
      <c r="K470" s="64">
        <v>2</v>
      </c>
      <c r="L470" s="171" t="str">
        <f>IF(TArticle[[#This Row],[کد وضعیت سند]]&gt;0,VLOOKUP(TArticle[[#This Row],[کد وضعیت سند]],TDocState[],2,FALSE),"")</f>
        <v>قطعی</v>
      </c>
      <c r="M470" s="67">
        <v>116</v>
      </c>
      <c r="N470" s="171" t="str">
        <f>IF(TArticle[[#This Row],[کد طرف حساب]]&gt;0,VLOOKUP(TArticle[[#This Row],[کد طرف حساب]],TContact[],2,FALSE),"")</f>
        <v>وام امتیازی مهر</v>
      </c>
      <c r="O470" s="68">
        <f>IF(TArticle[[#This Row],[کد طرف حساب]]&gt;0,VLOOKUP(TArticle[[#This Row],[کد طرف حساب]],TContact[],7,FALSE)-SUMIF($M$2:M470,M470,$E$2:$E470),"")</f>
        <v>-5848</v>
      </c>
      <c r="P470" s="67" t="str">
        <f>RIGHT(TArticle[[#This Row],[تاریخ]],2)</f>
        <v>04</v>
      </c>
      <c r="Q470" s="67">
        <f>VLOOKUP(TArticle[[#This Row],[تاریخ]],TDays[],16,FALSE)</f>
        <v>50</v>
      </c>
      <c r="R470" s="67" t="str">
        <f>RIGHT(LEFT(TArticle[[#This Row],[تاریخ]],7),2)</f>
        <v>12</v>
      </c>
      <c r="S470" s="67" t="str">
        <f>LEFT(TArticle[[#This Row],[تاریخ]],4)</f>
        <v>1402</v>
      </c>
      <c r="T470" s="64"/>
      <c r="U470" s="64">
        <f>VLOOKUP(TArticle[[#This Row],[شناسه]],TAccount[],7,TRUE)</f>
        <v>81652</v>
      </c>
      <c r="V470" s="64"/>
      <c r="W470" s="64">
        <f>IF(AND(TArticle[[#This Row],[مبلغ]]&gt;0, TArticle[[#This Row],[کد وضعیت سند]]=1),TArticle[[#This Row],[مبلغ]],0)</f>
        <v>0</v>
      </c>
      <c r="X470" s="67">
        <f>IF(AND(TArticle[[#This Row],[مبلغ]]&lt;0,TArticle[[#This Row],[کد وضعیت سند]]=1),0-TArticle[[#This Row],[مبلغ]],0)</f>
        <v>0</v>
      </c>
      <c r="Y470" s="27">
        <v>2</v>
      </c>
      <c r="Z470" s="171" t="str">
        <f>IF(TArticle[[#This Row],[کد بانک]]&gt;0,VLOOKUP(TArticle[[#This Row],[کد بانک]],TBank[],2,FALSE),"")</f>
        <v>ملی جاری</v>
      </c>
      <c r="AA470">
        <f>IF(AND(TArticle[[#This Row],[مبلغ]]&lt;0,TArticle[[#This Row],[کد وضعیت سند]]=1),0-TArticle[[#This Row],[مبلغ]],0)</f>
        <v>0</v>
      </c>
      <c r="AB470">
        <f>IF(AND(TArticle[[#This Row],[مبلغ]]&gt;0, TArticle[[#This Row],[کد وضعیت سند]]=1),TArticle[[#This Row],[مبلغ]],0)</f>
        <v>0</v>
      </c>
      <c r="AC470" s="93">
        <f>IF(TArticle[[#This Row],[کد بانک]]&gt;0,VLOOKUP(TArticle[[#This Row],[کد بانک]],TBank[],9,FALSE)+SUMIF($Y$2:Y470,Y470,$E$2:$E470),"")</f>
        <v>245469</v>
      </c>
      <c r="AD470" s="1">
        <f>IFERROR(IF(INT(LEFT(TArticle[[#This Row],[شناسه]]))=3,IF(TArticle[[#This Row],[کد وضعیت سند]]=1,TArticle[مبلغ],0),0),0)</f>
        <v>0</v>
      </c>
      <c r="AE470" s="1">
        <f>IFERROR(IF(((TArticle[[#This Row],[شناسه]]))="4.1.1",IF(TArticle[[#This Row],[کد وضعیت سند]]=1,TArticle[مبلغ],0),0),0)</f>
        <v>0</v>
      </c>
      <c r="AF470" s="1">
        <f>IFERROR(IF(((TArticle[[#This Row],[شناسه]]))="4.1.2",IF(TArticle[[#This Row],[کد وضعیت سند]]=1,TArticle[مبلغ],0),0),0)</f>
        <v>0</v>
      </c>
      <c r="AG470" s="1">
        <f>IFERROR(IF(INT(LEFT(TArticle[[#This Row],[شناسه]]))=1,IF(TArticle[[#This Row],[کد وضعیت سند]]=1,TArticle[مبلغ],0),0),0)</f>
        <v>0</v>
      </c>
      <c r="AH470" s="1">
        <f>IFERROR(IF(INT(LEFT(TArticle[[#This Row],[شناسه]]))=2,IF(TArticle[[#This Row],[کد وضعیت سند]]=1,TArticle[مبلغ],0),0),0)</f>
        <v>0</v>
      </c>
      <c r="AI470" s="1">
        <f>IFERROR(IF((LEFT(TArticle[[#This Row],[شناسه]],3))="5.2",IF(TArticle[[#This Row],[کد وضعیت سند]]=1,TArticle[مبلغ],0),0),0)</f>
        <v>0</v>
      </c>
      <c r="AJ470" s="1">
        <f>IF(TArticle[[#This Row],[کد وضعیت سند]]=1,1,0)</f>
        <v>0</v>
      </c>
      <c r="AK470" s="1">
        <f>IF(AND(TArticle[[#This Row],[کد وضعیت سند]]&lt;&gt;1,TArticle[[#This Row],[مبلغ]]&lt;&gt;0),1,0)</f>
        <v>1</v>
      </c>
      <c r="AL470" s="78">
        <f>IF(TArticle[[#This Row],[کد بانک]]&gt;0,TArticle[[#This Row],[مانده بانک]]-VLOOKUP(TArticle[[#This Row],[کد بانک]],TBank[],7,FALSE),"")</f>
        <v>245469</v>
      </c>
      <c r="AM470" s="69" t="str">
        <f>LEFT(TArticle[[#This Row],[تاریخ]],7)</f>
        <v>1402-12</v>
      </c>
    </row>
    <row r="471" spans="1:39" x14ac:dyDescent="0.25">
      <c r="A471" s="24"/>
      <c r="B471" s="49" t="str">
        <f>VLOOKUP(TArticle[[#This Row],[شناسه]],TAccount[],2,TRUE)</f>
        <v>---</v>
      </c>
      <c r="C471" s="49" t="str">
        <f>VLOOKUP(TArticle[[#This Row],[تاریخ]],TDays[],7,FALSE)</f>
        <v>شنبه</v>
      </c>
      <c r="D471" s="21" t="s">
        <v>893</v>
      </c>
      <c r="F471" s="1">
        <f>TArticle[[#This Row],[مبلغ]]+IFERROR(INT(F470),30181+3667+958)</f>
        <v>208067</v>
      </c>
      <c r="G471" s="49"/>
      <c r="H471" s="64"/>
      <c r="J471" s="65"/>
      <c r="K471" s="64">
        <v>2</v>
      </c>
      <c r="L471" s="171" t="str">
        <f>IF(TArticle[[#This Row],[کد وضعیت سند]]&gt;0,VLOOKUP(TArticle[[#This Row],[کد وضعیت سند]],TDocState[],2,FALSE),"")</f>
        <v>قطعی</v>
      </c>
      <c r="M471" s="67"/>
      <c r="N471" s="171" t="str">
        <f>IF(TArticle[[#This Row],[کد طرف حساب]]&gt;0,VLOOKUP(TArticle[[#This Row],[کد طرف حساب]],TContact[],2,FALSE),"")</f>
        <v/>
      </c>
      <c r="O471" s="68" t="str">
        <f>IF(TArticle[[#This Row],[کد طرف حساب]]&gt;0,VLOOKUP(TArticle[[#This Row],[کد طرف حساب]],TContact[],7,FALSE)-SUMIF($M$2:M471,M471,$E$2:$E471),"")</f>
        <v/>
      </c>
      <c r="P471" s="67" t="str">
        <f>RIGHT(TArticle[[#This Row],[تاریخ]],2)</f>
        <v>05</v>
      </c>
      <c r="Q471" s="67">
        <f>VLOOKUP(TArticle[[#This Row],[تاریخ]],TDays[],16,FALSE)</f>
        <v>50</v>
      </c>
      <c r="R471" s="67" t="str">
        <f>RIGHT(LEFT(TArticle[[#This Row],[تاریخ]],7),2)</f>
        <v>12</v>
      </c>
      <c r="S471" s="67" t="str">
        <f>LEFT(TArticle[[#This Row],[تاریخ]],4)</f>
        <v>1402</v>
      </c>
      <c r="T471" s="64"/>
      <c r="U471" s="64">
        <f>VLOOKUP(TArticle[[#This Row],[شناسه]],TAccount[],7,TRUE)</f>
        <v>0</v>
      </c>
      <c r="V471" s="64"/>
      <c r="W471" s="64">
        <f>IF(AND(TArticle[[#This Row],[مبلغ]]&gt;0, TArticle[[#This Row],[کد وضعیت سند]]=1),TArticle[[#This Row],[مبلغ]],0)</f>
        <v>0</v>
      </c>
      <c r="X471" s="67">
        <f>IF(AND(TArticle[[#This Row],[مبلغ]]&lt;0,TArticle[[#This Row],[کد وضعیت سند]]=1),0-TArticle[[#This Row],[مبلغ]],0)</f>
        <v>0</v>
      </c>
      <c r="Y471" s="27">
        <v>2</v>
      </c>
      <c r="Z471" s="171" t="str">
        <f>IF(TArticle[[#This Row],[کد بانک]]&gt;0,VLOOKUP(TArticle[[#This Row],[کد بانک]],TBank[],2,FALSE),"")</f>
        <v>ملی جاری</v>
      </c>
      <c r="AA471">
        <f>IF(AND(TArticle[[#This Row],[مبلغ]]&lt;0,TArticle[[#This Row],[کد وضعیت سند]]=1),0-TArticle[[#This Row],[مبلغ]],0)</f>
        <v>0</v>
      </c>
      <c r="AB471">
        <f>IF(AND(TArticle[[#This Row],[مبلغ]]&gt;0, TArticle[[#This Row],[کد وضعیت سند]]=1),TArticle[[#This Row],[مبلغ]],0)</f>
        <v>0</v>
      </c>
      <c r="AC471" s="93">
        <f>IF(TArticle[[#This Row],[کد بانک]]&gt;0,VLOOKUP(TArticle[[#This Row],[کد بانک]],TBank[],9,FALSE)+SUMIF($Y$2:Y471,Y471,$E$2:$E471),"")</f>
        <v>245469</v>
      </c>
      <c r="AD471" s="1">
        <f>IFERROR(IF(INT(LEFT(TArticle[[#This Row],[شناسه]]))=3,IF(TArticle[[#This Row],[کد وضعیت سند]]=1,TArticle[مبلغ],0),0),0)</f>
        <v>0</v>
      </c>
      <c r="AE471" s="1">
        <f>IFERROR(IF(((TArticle[[#This Row],[شناسه]]))="4.1.1",IF(TArticle[[#This Row],[کد وضعیت سند]]=1,TArticle[مبلغ],0),0),0)</f>
        <v>0</v>
      </c>
      <c r="AF471" s="1">
        <f>IFERROR(IF(((TArticle[[#This Row],[شناسه]]))="4.1.2",IF(TArticle[[#This Row],[کد وضعیت سند]]=1,TArticle[مبلغ],0),0),0)</f>
        <v>0</v>
      </c>
      <c r="AG471" s="1">
        <f>IFERROR(IF(INT(LEFT(TArticle[[#This Row],[شناسه]]))=1,IF(TArticle[[#This Row],[کد وضعیت سند]]=1,TArticle[مبلغ],0),0),0)</f>
        <v>0</v>
      </c>
      <c r="AH471" s="1">
        <f>IFERROR(IF(INT(LEFT(TArticle[[#This Row],[شناسه]]))=2,IF(TArticle[[#This Row],[کد وضعیت سند]]=1,TArticle[مبلغ],0),0),0)</f>
        <v>0</v>
      </c>
      <c r="AI471" s="1">
        <f>IFERROR(IF((LEFT(TArticle[[#This Row],[شناسه]],3))="5.2",IF(TArticle[[#This Row],[کد وضعیت سند]]=1,TArticle[مبلغ],0),0),0)</f>
        <v>0</v>
      </c>
      <c r="AJ471" s="1">
        <f>IF(TArticle[[#This Row],[کد وضعیت سند]]=1,1,0)</f>
        <v>0</v>
      </c>
      <c r="AK471" s="1">
        <f>IF(AND(TArticle[[#This Row],[کد وضعیت سند]]&lt;&gt;1,TArticle[[#This Row],[مبلغ]]&lt;&gt;0),1,0)</f>
        <v>0</v>
      </c>
      <c r="AL471" s="78">
        <f>IF(TArticle[[#This Row],[کد بانک]]&gt;0,TArticle[[#This Row],[مانده بانک]]-VLOOKUP(TArticle[[#This Row],[کد بانک]],TBank[],7,FALSE),"")</f>
        <v>245469</v>
      </c>
      <c r="AM471" s="69" t="str">
        <f>LEFT(TArticle[[#This Row],[تاریخ]],7)</f>
        <v>1402-12</v>
      </c>
    </row>
    <row r="472" spans="1:39" x14ac:dyDescent="0.25">
      <c r="A472" s="24" t="s">
        <v>1110</v>
      </c>
      <c r="B472" s="49" t="str">
        <f>VLOOKUP(TArticle[[#This Row],[شناسه]],TAccount[],2,TRUE)</f>
        <v>قسط وام بانکی</v>
      </c>
      <c r="C472" s="49" t="str">
        <f>VLOOKUP(TArticle[[#This Row],[تاریخ]],TDays[],7,FALSE)</f>
        <v>چهارشنبه</v>
      </c>
      <c r="D472" s="21" t="s">
        <v>897</v>
      </c>
      <c r="E472" s="1">
        <f>'طرف حساب'!$J$29</f>
        <v>-3616</v>
      </c>
      <c r="F472" s="1">
        <f>TArticle[[#This Row],[مبلغ]]+IFERROR(INT(F471),30181+3667+958)</f>
        <v>204451</v>
      </c>
      <c r="G472" s="49"/>
      <c r="H472" s="21">
        <v>13</v>
      </c>
      <c r="J472" s="51"/>
      <c r="K472" s="64">
        <v>2</v>
      </c>
      <c r="L472" s="171" t="str">
        <f>IF(TArticle[[#This Row],[کد وضعیت سند]]&gt;0,VLOOKUP(TArticle[[#This Row],[کد وضعیت سند]],TDocState[],2,FALSE),"")</f>
        <v>قطعی</v>
      </c>
      <c r="M472" s="67">
        <v>114</v>
      </c>
      <c r="N472" s="171" t="str">
        <f>IF(TArticle[[#This Row],[کد طرف حساب]]&gt;0,VLOOKUP(TArticle[[#This Row],[کد طرف حساب]],TContact[],2,FALSE),"")</f>
        <v>وام کارت ملی ف</v>
      </c>
      <c r="O472" s="60">
        <f>IF(TArticle[[#This Row],[کد طرف حساب]]&gt;0,VLOOKUP(TArticle[[#This Row],[کد طرف حساب]],TContact[],7,FALSE)-SUMIF($M$2:M472,M472,$E$2:$E472),"")</f>
        <v>-84450</v>
      </c>
      <c r="P472" s="27" t="str">
        <f>RIGHT(TArticle[[#This Row],[تاریخ]],2)</f>
        <v>09</v>
      </c>
      <c r="Q472" s="27">
        <f>VLOOKUP(TArticle[[#This Row],[تاریخ]],TDays[],16,FALSE)</f>
        <v>51</v>
      </c>
      <c r="R472" s="27" t="str">
        <f>RIGHT(LEFT(TArticle[[#This Row],[تاریخ]],7),2)</f>
        <v>12</v>
      </c>
      <c r="S472" s="27" t="str">
        <f>LEFT(TArticle[[#This Row],[تاریخ]],4)</f>
        <v>1402</v>
      </c>
      <c r="U472" s="21">
        <f>VLOOKUP(TArticle[[#This Row],[شناسه]],TAccount[],7,TRUE)</f>
        <v>81652</v>
      </c>
      <c r="W472" s="21">
        <f>IF(AND(TArticle[[#This Row],[مبلغ]]&gt;0, TArticle[[#This Row],[کد وضعیت سند]]=1),TArticle[[#This Row],[مبلغ]],0)</f>
        <v>0</v>
      </c>
      <c r="X472" s="27">
        <f>IF(AND(TArticle[[#This Row],[مبلغ]]&lt;0,TArticle[[#This Row],[کد وضعیت سند]]=1),0-TArticle[[#This Row],[مبلغ]],0)</f>
        <v>0</v>
      </c>
      <c r="Y472" s="27">
        <v>2</v>
      </c>
      <c r="Z472" s="171" t="str">
        <f>IF(TArticle[[#This Row],[کد بانک]]&gt;0,VLOOKUP(TArticle[[#This Row],[کد بانک]],TBank[],2,FALSE),"")</f>
        <v>ملی جاری</v>
      </c>
      <c r="AA472">
        <f>IF(AND(TArticle[[#This Row],[مبلغ]]&lt;0,TArticle[[#This Row],[کد وضعیت سند]]=1),0-TArticle[[#This Row],[مبلغ]],0)</f>
        <v>0</v>
      </c>
      <c r="AB472">
        <f>IF(AND(TArticle[[#This Row],[مبلغ]]&gt;0, TArticle[[#This Row],[کد وضعیت سند]]=1),TArticle[[#This Row],[مبلغ]],0)</f>
        <v>0</v>
      </c>
      <c r="AC472" s="92">
        <f>IF(TArticle[[#This Row],[کد بانک]]&gt;0,VLOOKUP(TArticle[[#This Row],[کد بانک]],TBank[],9,FALSE)+SUMIF($Y$2:Y472,Y472,$E$2:$E472),"")</f>
        <v>241853</v>
      </c>
      <c r="AD472" s="1">
        <f>IFERROR(IF(INT(LEFT(TArticle[[#This Row],[شناسه]]))=3,IF(TArticle[[#This Row],[کد وضعیت سند]]=1,TArticle[مبلغ],0),0),0)</f>
        <v>0</v>
      </c>
      <c r="AE472" s="1">
        <f>IFERROR(IF(((TArticle[[#This Row],[شناسه]]))="4.1.1",IF(TArticle[[#This Row],[کد وضعیت سند]]=1,TArticle[مبلغ],0),0),0)</f>
        <v>0</v>
      </c>
      <c r="AF472" s="1">
        <f>IFERROR(IF(((TArticle[[#This Row],[شناسه]]))="4.1.2",IF(TArticle[[#This Row],[کد وضعیت سند]]=1,TArticle[مبلغ],0),0),0)</f>
        <v>0</v>
      </c>
      <c r="AG472" s="1">
        <f>IFERROR(IF(INT(LEFT(TArticle[[#This Row],[شناسه]]))=1,IF(TArticle[[#This Row],[کد وضعیت سند]]=1,TArticle[مبلغ],0),0),0)</f>
        <v>0</v>
      </c>
      <c r="AH472" s="1">
        <f>IFERROR(IF(INT(LEFT(TArticle[[#This Row],[شناسه]]))=2,IF(TArticle[[#This Row],[کد وضعیت سند]]=1,TArticle[مبلغ],0),0),0)</f>
        <v>0</v>
      </c>
      <c r="AI472" s="1">
        <f>IFERROR(IF((LEFT(TArticle[[#This Row],[شناسه]],3))="5.2",IF(TArticle[[#This Row],[کد وضعیت سند]]=1,TArticle[مبلغ],0),0),0)</f>
        <v>0</v>
      </c>
      <c r="AJ472" s="1">
        <f>IF(TArticle[[#This Row],[کد وضعیت سند]]=1,1,0)</f>
        <v>0</v>
      </c>
      <c r="AK472" s="1">
        <f>IF(AND(TArticle[[#This Row],[کد وضعیت سند]]&lt;&gt;1,TArticle[[#This Row],[مبلغ]]&lt;&gt;0),1,0)</f>
        <v>1</v>
      </c>
      <c r="AL472" s="51">
        <f>IF(TArticle[[#This Row],[کد بانک]]&gt;0,TArticle[[#This Row],[مانده بانک]]-VLOOKUP(TArticle[[#This Row],[کد بانک]],TBank[],7,FALSE),"")</f>
        <v>241853</v>
      </c>
      <c r="AM472" s="58" t="str">
        <f>LEFT(TArticle[[#This Row],[تاریخ]],7)</f>
        <v>1402-12</v>
      </c>
    </row>
    <row r="473" spans="1:39" x14ac:dyDescent="0.25">
      <c r="A473" s="24" t="s">
        <v>76</v>
      </c>
      <c r="B473" s="49" t="str">
        <f>VLOOKUP(TArticle[[#This Row],[شناسه]],TAccount[],2,TRUE)</f>
        <v>قسط</v>
      </c>
      <c r="C473" s="49" t="str">
        <f>VLOOKUP(TArticle[[#This Row],[تاریخ]],TDays[],7,FALSE)</f>
        <v>جمعه</v>
      </c>
      <c r="D473" s="21" t="s">
        <v>899</v>
      </c>
      <c r="E473" s="1">
        <v>-6000</v>
      </c>
      <c r="F473" s="1">
        <f>TArticle[[#This Row],[مبلغ]]+IFERROR(INT(F472),30181+3667+958)</f>
        <v>198451</v>
      </c>
      <c r="G473" s="49"/>
      <c r="H473" s="64"/>
      <c r="J473" s="65"/>
      <c r="K473" s="64">
        <v>2</v>
      </c>
      <c r="L473" s="171" t="str">
        <f>IF(TArticle[[#This Row],[کد وضعیت سند]]&gt;0,VLOOKUP(TArticle[[#This Row],[کد وضعیت سند]],TDocState[],2,FALSE),"")</f>
        <v>قطعی</v>
      </c>
      <c r="M473" s="67">
        <v>33</v>
      </c>
      <c r="N473" s="171" t="str">
        <f>IF(TArticle[[#This Row],[کد طرف حساب]]&gt;0,VLOOKUP(TArticle[[#This Row],[کد طرف حساب]],TContact[],2,FALSE),"")</f>
        <v>محمدرضا بهرهمند</v>
      </c>
      <c r="O473" s="68">
        <f>IF(TArticle[[#This Row],[کد طرف حساب]]&gt;0,VLOOKUP(TArticle[[#This Row],[کد طرف حساب]],TContact[],7,FALSE)-SUMIF($M$2:M473,M473,$E$2:$E473),"")</f>
        <v>4000</v>
      </c>
      <c r="P473" s="67" t="str">
        <f>RIGHT(TArticle[[#This Row],[تاریخ]],2)</f>
        <v>11</v>
      </c>
      <c r="Q473" s="67">
        <f>VLOOKUP(TArticle[[#This Row],[تاریخ]],TDays[],16,FALSE)</f>
        <v>51</v>
      </c>
      <c r="R473" s="67" t="str">
        <f>RIGHT(LEFT(TArticle[[#This Row],[تاریخ]],7),2)</f>
        <v>12</v>
      </c>
      <c r="S473" s="67" t="str">
        <f>LEFT(TArticle[[#This Row],[تاریخ]],4)</f>
        <v>1402</v>
      </c>
      <c r="T473" s="64"/>
      <c r="U473" s="64">
        <f>VLOOKUP(TArticle[[#This Row],[شناسه]],TAccount[],7,TRUE)</f>
        <v>36266</v>
      </c>
      <c r="V473" s="64"/>
      <c r="W473" s="64">
        <f>IF(AND(TArticle[[#This Row],[مبلغ]]&gt;0, TArticle[[#This Row],[کد وضعیت سند]]=1),TArticle[[#This Row],[مبلغ]],0)</f>
        <v>0</v>
      </c>
      <c r="X473" s="67">
        <f>IF(AND(TArticle[[#This Row],[مبلغ]]&lt;0,TArticle[[#This Row],[کد وضعیت سند]]=1),0-TArticle[[#This Row],[مبلغ]],0)</f>
        <v>0</v>
      </c>
      <c r="Y473" s="67">
        <v>2</v>
      </c>
      <c r="Z473" s="171" t="str">
        <f>IF(TArticle[[#This Row],[کد بانک]]&gt;0,VLOOKUP(TArticle[[#This Row],[کد بانک]],TBank[],2,FALSE),"")</f>
        <v>ملی جاری</v>
      </c>
      <c r="AA473">
        <f>IF(AND(TArticle[[#This Row],[مبلغ]]&lt;0,TArticle[[#This Row],[کد وضعیت سند]]=1),0-TArticle[[#This Row],[مبلغ]],0)</f>
        <v>0</v>
      </c>
      <c r="AB473">
        <f>IF(AND(TArticle[[#This Row],[مبلغ]]&gt;0, TArticle[[#This Row],[کد وضعیت سند]]=1),TArticle[[#This Row],[مبلغ]],0)</f>
        <v>0</v>
      </c>
      <c r="AC473" s="84">
        <f>IF(TArticle[[#This Row],[کد بانک]]&gt;0,VLOOKUP(TArticle[[#This Row],[کد بانک]],TBank[],9,FALSE)+SUMIF($Y$2:Y473,Y473,$E$2:$E473),"")</f>
        <v>235853</v>
      </c>
      <c r="AD473" s="1">
        <f>IFERROR(IF(INT(LEFT(TArticle[[#This Row],[شناسه]]))=3,IF(TArticle[[#This Row],[کد وضعیت سند]]=1,TArticle[مبلغ],0),0),0)</f>
        <v>0</v>
      </c>
      <c r="AE473" s="1">
        <f>IFERROR(IF(((TArticle[[#This Row],[شناسه]]))="4.1.1",IF(TArticle[[#This Row],[کد وضعیت سند]]=1,TArticle[مبلغ],0),0),0)</f>
        <v>0</v>
      </c>
      <c r="AF473" s="1">
        <f>IFERROR(IF(((TArticle[[#This Row],[شناسه]]))="4.1.2",IF(TArticle[[#This Row],[کد وضعیت سند]]=1,TArticle[مبلغ],0),0),0)</f>
        <v>0</v>
      </c>
      <c r="AG473" s="1">
        <f>IFERROR(IF(INT(LEFT(TArticle[[#This Row],[شناسه]]))=1,IF(TArticle[[#This Row],[کد وضعیت سند]]=1,TArticle[مبلغ],0),0),0)</f>
        <v>0</v>
      </c>
      <c r="AH473" s="1">
        <f>IFERROR(IF(INT(LEFT(TArticle[[#This Row],[شناسه]]))=2,IF(TArticle[[#This Row],[کد وضعیت سند]]=1,TArticle[مبلغ],0),0),0)</f>
        <v>0</v>
      </c>
      <c r="AI473" s="1">
        <f>IFERROR(IF((LEFT(TArticle[[#This Row],[شناسه]],3))="5.2",IF(TArticle[[#This Row],[کد وضعیت سند]]=1,TArticle[مبلغ],0),0),0)</f>
        <v>0</v>
      </c>
      <c r="AJ473" s="1">
        <f>IF(TArticle[[#This Row],[کد وضعیت سند]]=1,1,0)</f>
        <v>0</v>
      </c>
      <c r="AK473" s="1">
        <f>IF(AND(TArticle[[#This Row],[کد وضعیت سند]]&lt;&gt;1,TArticle[[#This Row],[مبلغ]]&lt;&gt;0),1,0)</f>
        <v>1</v>
      </c>
      <c r="AL473" s="78">
        <f>IF(TArticle[[#This Row],[کد بانک]]&gt;0,TArticle[[#This Row],[مانده بانک]]-VLOOKUP(TArticle[[#This Row],[کد بانک]],TBank[],7,FALSE),"")</f>
        <v>235853</v>
      </c>
      <c r="AM473" s="58" t="str">
        <f>LEFT(TArticle[[#This Row],[تاریخ]],7)</f>
        <v>1402-12</v>
      </c>
    </row>
    <row r="474" spans="1:39" x14ac:dyDescent="0.25">
      <c r="A474" s="13" t="s">
        <v>78</v>
      </c>
      <c r="B474" s="49" t="str">
        <f>VLOOKUP(TArticle[[#This Row],[شناسه]],TAccount[],2,TRUE)</f>
        <v>چک</v>
      </c>
      <c r="C474" s="49" t="str">
        <f>VLOOKUP(TArticle[[#This Row],[تاریخ]],TDays[],7,FALSE)</f>
        <v>پنجشنبه</v>
      </c>
      <c r="D474" s="21" t="s">
        <v>905</v>
      </c>
      <c r="E474" s="1">
        <v>-4250</v>
      </c>
      <c r="F474" s="1">
        <f>TArticle[[#This Row],[مبلغ]]+IFERROR(INT(F473),30181+3667+958)</f>
        <v>194201</v>
      </c>
      <c r="G474" s="167">
        <v>290889</v>
      </c>
      <c r="H474" s="21">
        <v>12</v>
      </c>
      <c r="K474" s="64">
        <v>2</v>
      </c>
      <c r="L474" s="171" t="str">
        <f>IF(TArticle[[#This Row],[کد وضعیت سند]]&gt;0,VLOOKUP(TArticle[[#This Row],[کد وضعیت سند]],TDocState[],2,FALSE),"")</f>
        <v>قطعی</v>
      </c>
      <c r="M474" s="27">
        <v>117</v>
      </c>
      <c r="N474" s="171" t="str">
        <f>IF(TArticle[[#This Row],[کد طرف حساب]]&gt;0,VLOOKUP(TArticle[[#This Row],[کد طرف حساب]],TContact[],2,FALSE),"")</f>
        <v>وام سرویس خواب</v>
      </c>
      <c r="O474" s="61">
        <f>IF(TArticle[[#This Row],[کد طرف حساب]]&gt;0,VLOOKUP(TArticle[[#This Row],[کد طرف حساب]],TContact[],7,FALSE)-SUMIF($M$2:M474,M474,$E$2:$E474),"")</f>
        <v>0</v>
      </c>
      <c r="P474" s="27" t="str">
        <f>RIGHT(TArticle[[#This Row],[تاریخ]],2)</f>
        <v>17</v>
      </c>
      <c r="Q474" s="27">
        <f>VLOOKUP(TArticle[[#This Row],[تاریخ]],TDays[],16,FALSE)</f>
        <v>52</v>
      </c>
      <c r="R474" s="27" t="str">
        <f>RIGHT(LEFT(TArticle[[#This Row],[تاریخ]],7),2)</f>
        <v>12</v>
      </c>
      <c r="S474" s="27" t="str">
        <f>LEFT(TArticle[[#This Row],[تاریخ]],4)</f>
        <v>1402</v>
      </c>
      <c r="U474" s="21">
        <f>VLOOKUP(TArticle[[#This Row],[شناسه]],TAccount[],7,TRUE)</f>
        <v>57000</v>
      </c>
      <c r="W474" s="21">
        <f>IF(AND(TArticle[[#This Row],[مبلغ]]&gt;0, TArticle[[#This Row],[کد وضعیت سند]]=1),TArticle[[#This Row],[مبلغ]],0)</f>
        <v>0</v>
      </c>
      <c r="X474" s="27">
        <f>IF(AND(TArticle[[#This Row],[مبلغ]]&lt;0,TArticle[[#This Row],[کد وضعیت سند]]=1),0-TArticle[[#This Row],[مبلغ]],0)</f>
        <v>0</v>
      </c>
      <c r="Y474" s="27">
        <v>4</v>
      </c>
      <c r="Z474" s="171" t="str">
        <f>IF(TArticle[[#This Row],[کد بانک]]&gt;0,VLOOKUP(TArticle[[#This Row],[کد بانک]],TBank[],2,FALSE),"")</f>
        <v>سپه</v>
      </c>
      <c r="AA474">
        <f>IF(AND(TArticle[[#This Row],[مبلغ]]&lt;0,TArticle[[#This Row],[کد وضعیت سند]]=1),0-TArticle[[#This Row],[مبلغ]],0)</f>
        <v>0</v>
      </c>
      <c r="AB474">
        <f>IF(AND(TArticle[[#This Row],[مبلغ]]&gt;0, TArticle[[#This Row],[کد وضعیت سند]]=1),TArticle[[#This Row],[مبلغ]],0)</f>
        <v>0</v>
      </c>
      <c r="AC474" s="84">
        <f>IF(TArticle[[#This Row],[کد بانک]]&gt;0,VLOOKUP(TArticle[[#This Row],[کد بانک]],TBank[],9,FALSE)+SUMIF($Y$2:Y474,Y474,$E$2:$E474),"")</f>
        <v>-46748</v>
      </c>
      <c r="AD474" s="1">
        <f>IFERROR(IF(INT(LEFT(TArticle[[#This Row],[شناسه]]))=3,IF(TArticle[[#This Row],[کد وضعیت سند]]=1,TArticle[مبلغ],0),0),0)</f>
        <v>0</v>
      </c>
      <c r="AE474" s="1">
        <f>IFERROR(IF(((TArticle[[#This Row],[شناسه]]))="4.1.1",IF(TArticle[[#This Row],[کد وضعیت سند]]=1,TArticle[مبلغ],0),0),0)</f>
        <v>0</v>
      </c>
      <c r="AF474" s="1">
        <f>IFERROR(IF(((TArticle[[#This Row],[شناسه]]))="4.1.2",IF(TArticle[[#This Row],[کد وضعیت سند]]=1,TArticle[مبلغ],0),0),0)</f>
        <v>0</v>
      </c>
      <c r="AG474" s="1">
        <f>IFERROR(IF(INT(LEFT(TArticle[[#This Row],[شناسه]]))=1,IF(TArticle[[#This Row],[کد وضعیت سند]]=1,TArticle[مبلغ],0),0),0)</f>
        <v>0</v>
      </c>
      <c r="AH474" s="1">
        <f>IFERROR(IF(INT(LEFT(TArticle[[#This Row],[شناسه]]))=2,IF(TArticle[[#This Row],[کد وضعیت سند]]=1,TArticle[مبلغ],0),0),0)</f>
        <v>0</v>
      </c>
      <c r="AI474" s="1">
        <f>IFERROR(IF((LEFT(TArticle[[#This Row],[شناسه]],3))="5.2",IF(TArticle[[#This Row],[کد وضعیت سند]]=1,TArticle[مبلغ],0),0),0)</f>
        <v>0</v>
      </c>
      <c r="AJ474" s="1">
        <f>IF(TArticle[[#This Row],[کد وضعیت سند]]=1,1,0)</f>
        <v>0</v>
      </c>
      <c r="AK474" s="1">
        <f>IF(AND(TArticle[[#This Row],[کد وضعیت سند]]&lt;&gt;1,TArticle[[#This Row],[مبلغ]]&lt;&gt;0),1,0)</f>
        <v>1</v>
      </c>
      <c r="AL474" s="51">
        <f>IF(TArticle[[#This Row],[کد بانک]]&gt;0,TArticle[[#This Row],[مانده بانک]]-VLOOKUP(TArticle[[#This Row],[کد بانک]],TBank[],7,FALSE),"")</f>
        <v>-46750</v>
      </c>
      <c r="AM474" s="58" t="str">
        <f>LEFT(TArticle[[#This Row],[تاریخ]],7)</f>
        <v>1402-12</v>
      </c>
    </row>
    <row r="475" spans="1:39" x14ac:dyDescent="0.25">
      <c r="A475" s="24" t="s">
        <v>1013</v>
      </c>
      <c r="B475" s="49" t="str">
        <f>VLOOKUP(TArticle[[#This Row],[شناسه]],TAccount[],2,TRUE)</f>
        <v>یارانه</v>
      </c>
      <c r="C475" s="49" t="str">
        <f>VLOOKUP(TArticle[[#This Row],[تاریخ]],TDays[],7,FALSE)</f>
        <v>یکشنبه</v>
      </c>
      <c r="D475" s="21" t="s">
        <v>908</v>
      </c>
      <c r="E475" s="1">
        <v>1500</v>
      </c>
      <c r="F475" s="1">
        <f>TArticle[[#This Row],[مبلغ]]+IFERROR(INT(F474),30181+3667+958)</f>
        <v>195701</v>
      </c>
      <c r="G475" s="49"/>
      <c r="H475" s="64"/>
      <c r="J475" s="51"/>
      <c r="K475" s="64">
        <v>2</v>
      </c>
      <c r="L475" s="171" t="str">
        <f>IF(TArticle[[#This Row],[کد وضعیت سند]]&gt;0,VLOOKUP(TArticle[[#This Row],[کد وضعیت سند]],TDocState[],2,FALSE),"")</f>
        <v>قطعی</v>
      </c>
      <c r="M475" s="67"/>
      <c r="N475" s="171" t="str">
        <f>IF(TArticle[[#This Row],[کد طرف حساب]]&gt;0,VLOOKUP(TArticle[[#This Row],[کد طرف حساب]],TContact[],2,FALSE),"")</f>
        <v/>
      </c>
      <c r="O475" s="68" t="str">
        <f>IF(TArticle[[#This Row],[کد طرف حساب]]&gt;0,VLOOKUP(TArticle[[#This Row],[کد طرف حساب]],TContact[],7,FALSE)-SUMIF($M$2:M475,M475,$E$2:$E475),"")</f>
        <v/>
      </c>
      <c r="P475" s="67" t="str">
        <f>RIGHT(TArticle[[#This Row],[تاریخ]],2)</f>
        <v>20</v>
      </c>
      <c r="Q475" s="67">
        <f>VLOOKUP(TArticle[[#This Row],[تاریخ]],TDays[],16,FALSE)</f>
        <v>52</v>
      </c>
      <c r="R475" s="67" t="str">
        <f>RIGHT(LEFT(TArticle[[#This Row],[تاریخ]],7),2)</f>
        <v>12</v>
      </c>
      <c r="S475" s="67" t="str">
        <f>LEFT(TArticle[[#This Row],[تاریخ]],4)</f>
        <v>1402</v>
      </c>
      <c r="T475" s="64"/>
      <c r="U475" s="64">
        <f>VLOOKUP(TArticle[[#This Row],[شناسه]],TAccount[],7,TRUE)</f>
        <v>12565</v>
      </c>
      <c r="V475" s="64"/>
      <c r="W475" s="64">
        <f>IF(AND(TArticle[[#This Row],[مبلغ]]&gt;0, TArticle[[#This Row],[کد وضعیت سند]]=1),TArticle[[#This Row],[مبلغ]],0)</f>
        <v>0</v>
      </c>
      <c r="X475" s="67">
        <f>IF(AND(TArticle[[#This Row],[مبلغ]]&lt;0,TArticle[[#This Row],[کد وضعیت سند]]=1),0-TArticle[[#This Row],[مبلغ]],0)</f>
        <v>0</v>
      </c>
      <c r="Y475" s="27">
        <v>2</v>
      </c>
      <c r="Z475" s="171" t="str">
        <f>IF(TArticle[[#This Row],[کد بانک]]&gt;0,VLOOKUP(TArticle[[#This Row],[کد بانک]],TBank[],2,FALSE),"")</f>
        <v>ملی جاری</v>
      </c>
      <c r="AA475">
        <f>IF(AND(TArticle[[#This Row],[مبلغ]]&lt;0,TArticle[[#This Row],[کد وضعیت سند]]=1),0-TArticle[[#This Row],[مبلغ]],0)</f>
        <v>0</v>
      </c>
      <c r="AB475">
        <f>IF(AND(TArticle[[#This Row],[مبلغ]]&gt;0, TArticle[[#This Row],[کد وضعیت سند]]=1),TArticle[[#This Row],[مبلغ]],0)</f>
        <v>0</v>
      </c>
      <c r="AC475" s="93">
        <f>IF(TArticle[[#This Row],[کد بانک]]&gt;0,VLOOKUP(TArticle[[#This Row],[کد بانک]],TBank[],9,FALSE)+SUMIF($Y$2:Y475,Y475,$E$2:$E475),"")</f>
        <v>237353</v>
      </c>
      <c r="AD475" s="1">
        <f>IFERROR(IF(INT(LEFT(TArticle[[#This Row],[شناسه]]))=3,IF(TArticle[[#This Row],[کد وضعیت سند]]=1,TArticle[مبلغ],0),0),0)</f>
        <v>0</v>
      </c>
      <c r="AE475" s="1">
        <f>IFERROR(IF(((TArticle[[#This Row],[شناسه]]))="4.1.1",IF(TArticle[[#This Row],[کد وضعیت سند]]=1,TArticle[مبلغ],0),0),0)</f>
        <v>0</v>
      </c>
      <c r="AF475" s="1">
        <f>IFERROR(IF(((TArticle[[#This Row],[شناسه]]))="4.1.2",IF(TArticle[[#This Row],[کد وضعیت سند]]=1,TArticle[مبلغ],0),0),0)</f>
        <v>0</v>
      </c>
      <c r="AG475" s="1">
        <f>IFERROR(IF(INT(LEFT(TArticle[[#This Row],[شناسه]]))=1,IF(TArticle[[#This Row],[کد وضعیت سند]]=1,TArticle[مبلغ],0),0),0)</f>
        <v>0</v>
      </c>
      <c r="AH475" s="1">
        <f>IFERROR(IF(INT(LEFT(TArticle[[#This Row],[شناسه]]))=2,IF(TArticle[[#This Row],[کد وضعیت سند]]=1,TArticle[مبلغ],0),0),0)</f>
        <v>0</v>
      </c>
      <c r="AI475" s="1">
        <f>IFERROR(IF((LEFT(TArticle[[#This Row],[شناسه]],3))="5.2",IF(TArticle[[#This Row],[کد وضعیت سند]]=1,TArticle[مبلغ],0),0),0)</f>
        <v>0</v>
      </c>
      <c r="AJ475" s="1">
        <f>IF(TArticle[[#This Row],[کد وضعیت سند]]=1,1,0)</f>
        <v>0</v>
      </c>
      <c r="AK475" s="1">
        <f>IF(AND(TArticle[[#This Row],[کد وضعیت سند]]&lt;&gt;1,TArticle[[#This Row],[مبلغ]]&lt;&gt;0),1,0)</f>
        <v>1</v>
      </c>
      <c r="AL475" s="78">
        <f>IF(TArticle[[#This Row],[کد بانک]]&gt;0,TArticle[[#This Row],[مانده بانک]]-VLOOKUP(TArticle[[#This Row],[کد بانک]],TBank[],7,FALSE),"")</f>
        <v>237353</v>
      </c>
      <c r="AM475" s="69" t="str">
        <f>LEFT(TArticle[[#This Row],[تاریخ]],7)</f>
        <v>1402-12</v>
      </c>
    </row>
    <row r="476" spans="1:39" x14ac:dyDescent="0.25">
      <c r="A476" s="24" t="s">
        <v>1110</v>
      </c>
      <c r="B476" s="49" t="str">
        <f>VLOOKUP(TArticle[[#This Row],[شناسه]],TAccount[],2,TRUE)</f>
        <v>قسط وام بانکی</v>
      </c>
      <c r="C476" s="49" t="str">
        <f>VLOOKUP(TArticle[[#This Row],[تاریخ]],TDays[],7,FALSE)</f>
        <v>دوشنبه</v>
      </c>
      <c r="D476" s="21" t="s">
        <v>916</v>
      </c>
      <c r="E476" s="1">
        <v>-1808</v>
      </c>
      <c r="F476" s="1">
        <f>TArticle[[#This Row],[مبلغ]]+IFERROR(INT(F475),30181+3667+958)</f>
        <v>193893</v>
      </c>
      <c r="G476" s="49" t="s">
        <v>1597</v>
      </c>
      <c r="H476" s="64">
        <v>29</v>
      </c>
      <c r="J476" s="65"/>
      <c r="K476" s="21">
        <v>2</v>
      </c>
      <c r="L476" s="171" t="str">
        <f>IF(TArticle[[#This Row],[کد وضعیت سند]]&gt;0,VLOOKUP(TArticle[[#This Row],[کد وضعیت سند]],TDocState[],2,FALSE),"")</f>
        <v>قطعی</v>
      </c>
      <c r="M476" s="67">
        <v>112</v>
      </c>
      <c r="N476" s="171" t="str">
        <f>IF(TArticle[[#This Row],[کد طرف حساب]]&gt;0,VLOOKUP(TArticle[[#This Row],[کد طرف حساب]],TContact[],2,FALSE),"")</f>
        <v>وام ملی</v>
      </c>
      <c r="O476" s="68">
        <f>IF(TArticle[[#This Row],[کد طرف حساب]]&gt;0,VLOOKUP(TArticle[[#This Row],[کد طرف حساب]],TContact[],7,FALSE)-SUMIF($M$2:M476,M476,$E$2:$E476),"")</f>
        <v>-10224</v>
      </c>
      <c r="P476" s="67" t="str">
        <f>RIGHT(TArticle[[#This Row],[تاریخ]],2)</f>
        <v>28</v>
      </c>
      <c r="Q476" s="67">
        <f>VLOOKUP(TArticle[[#This Row],[تاریخ]],TDays[],16,FALSE)</f>
        <v>53</v>
      </c>
      <c r="R476" s="67" t="str">
        <f>RIGHT(LEFT(TArticle[[#This Row],[تاریخ]],7),2)</f>
        <v>12</v>
      </c>
      <c r="S476" s="67" t="str">
        <f>LEFT(TArticle[[#This Row],[تاریخ]],4)</f>
        <v>1402</v>
      </c>
      <c r="T476" s="64"/>
      <c r="U476" s="64">
        <f>VLOOKUP(TArticle[[#This Row],[شناسه]],TAccount[],7,TRUE)</f>
        <v>81652</v>
      </c>
      <c r="V476" s="21" t="s">
        <v>916</v>
      </c>
      <c r="W476" s="64">
        <f>IF(AND(TArticle[[#This Row],[مبلغ]]&gt;0, TArticle[[#This Row],[کد وضعیت سند]]=1),TArticle[[#This Row],[مبلغ]],0)</f>
        <v>0</v>
      </c>
      <c r="X476" s="67">
        <f>IF(AND(TArticle[[#This Row],[مبلغ]]&lt;0,TArticle[[#This Row],[کد وضعیت سند]]=1),0-TArticle[[#This Row],[مبلغ]],0)</f>
        <v>0</v>
      </c>
      <c r="Y476" s="67">
        <v>2</v>
      </c>
      <c r="Z476" s="171" t="str">
        <f>IF(TArticle[[#This Row],[کد بانک]]&gt;0,VLOOKUP(TArticle[[#This Row],[کد بانک]],TBank[],2,FALSE),"")</f>
        <v>ملی جاری</v>
      </c>
      <c r="AA476">
        <f>IF(AND(TArticle[[#This Row],[مبلغ]]&lt;0,TArticle[[#This Row],[کد وضعیت سند]]=1),0-TArticle[[#This Row],[مبلغ]],0)</f>
        <v>0</v>
      </c>
      <c r="AB476">
        <f>IF(AND(TArticle[[#This Row],[مبلغ]]&gt;0, TArticle[[#This Row],[کد وضعیت سند]]=1),TArticle[[#This Row],[مبلغ]],0)</f>
        <v>0</v>
      </c>
      <c r="AC476" s="93">
        <f>IF(TArticle[[#This Row],[کد بانک]]&gt;0,VLOOKUP(TArticle[[#This Row],[کد بانک]],TBank[],9,FALSE)+SUMIF($Y$2:Y476,Y476,$E$2:$E476),"")</f>
        <v>235545</v>
      </c>
      <c r="AD476" s="1">
        <f>IFERROR(IF(INT(LEFT(TArticle[[#This Row],[شناسه]]))=3,IF(TArticle[[#This Row],[کد وضعیت سند]]=1,TArticle[مبلغ],0),0),0)</f>
        <v>0</v>
      </c>
      <c r="AE476" s="1">
        <f>IFERROR(IF(((TArticle[[#This Row],[شناسه]]))="4.1.1",IF(TArticle[[#This Row],[کد وضعیت سند]]=1,TArticle[مبلغ],0),0),0)</f>
        <v>0</v>
      </c>
      <c r="AF476" s="1">
        <f>IFERROR(IF(((TArticle[[#This Row],[شناسه]]))="4.1.2",IF(TArticle[[#This Row],[کد وضعیت سند]]=1,TArticle[مبلغ],0),0),0)</f>
        <v>0</v>
      </c>
      <c r="AG476" s="1">
        <f>IFERROR(IF(INT(LEFT(TArticle[[#This Row],[شناسه]]))=1,IF(TArticle[[#This Row],[کد وضعیت سند]]=1,TArticle[مبلغ],0),0),0)</f>
        <v>0</v>
      </c>
      <c r="AH476" s="1">
        <f>IFERROR(IF(INT(LEFT(TArticle[[#This Row],[شناسه]]))=2,IF(TArticle[[#This Row],[کد وضعیت سند]]=1,TArticle[مبلغ],0),0),0)</f>
        <v>0</v>
      </c>
      <c r="AI476" s="1">
        <f>IFERROR(IF((LEFT(TArticle[[#This Row],[شناسه]],3))="5.2",IF(TArticle[[#This Row],[کد وضعیت سند]]=1,TArticle[مبلغ],0),0),0)</f>
        <v>0</v>
      </c>
      <c r="AJ476" s="1">
        <f>IF(TArticle[[#This Row],[کد وضعیت سند]]=1,1,0)</f>
        <v>0</v>
      </c>
      <c r="AK476" s="1">
        <f>IF(AND(TArticle[[#This Row],[کد وضعیت سند]]&lt;&gt;1,TArticle[[#This Row],[مبلغ]]&lt;&gt;0),1,0)</f>
        <v>1</v>
      </c>
      <c r="AL476" s="78">
        <f>IF(TArticle[[#This Row],[کد بانک]]&gt;0,TArticle[[#This Row],[مانده بانک]]-VLOOKUP(TArticle[[#This Row],[کد بانک]],TBank[],7,FALSE),"")</f>
        <v>235545</v>
      </c>
      <c r="AM476" s="58" t="str">
        <f>LEFT(TArticle[[#This Row],[تاریخ]],7)</f>
        <v>1402-12</v>
      </c>
    </row>
    <row r="477" spans="1:39" x14ac:dyDescent="0.25">
      <c r="A477" s="24" t="s">
        <v>43</v>
      </c>
      <c r="B477" s="49" t="str">
        <f>VLOOKUP(TArticle[[#This Row],[شناسه]],TAccount[],2,TRUE)</f>
        <v>حقوق</v>
      </c>
      <c r="C477" s="49" t="str">
        <f>VLOOKUP(TArticle[[#This Row],[تاریخ]],TDays[],7,FALSE)</f>
        <v>چهارشنبه</v>
      </c>
      <c r="D477" s="21" t="s">
        <v>1229</v>
      </c>
      <c r="E477" s="1">
        <v>42000</v>
      </c>
      <c r="F477" s="1">
        <f>TArticle[[#This Row],[مبلغ]]+IFERROR(INT(F476),30181+3667+958)</f>
        <v>235893</v>
      </c>
      <c r="G477" s="49"/>
      <c r="K477" s="64">
        <v>2</v>
      </c>
      <c r="L477" s="171" t="str">
        <f>IF(TArticle[[#This Row],[کد وضعیت سند]]&gt;0,VLOOKUP(TArticle[[#This Row],[کد وضعیت سند]],TDocState[],2,FALSE),"")</f>
        <v>قطعی</v>
      </c>
      <c r="N477" s="171" t="str">
        <f>IF(TArticle[[#This Row],[کد طرف حساب]]&gt;0,VLOOKUP(TArticle[[#This Row],[کد طرف حساب]],TContact[],2,FALSE),"")</f>
        <v/>
      </c>
      <c r="O477" s="51" t="str">
        <f>IF(TArticle[[#This Row],[کد طرف حساب]]&gt;0,VLOOKUP(TArticle[[#This Row],[کد طرف حساب]],TContact[],7,FALSE)-SUMIF($M$2:M477,M477,$E$2:$E477),"")</f>
        <v/>
      </c>
      <c r="P477" s="27" t="str">
        <f>RIGHT(TArticle[[#This Row],[تاریخ]],2)</f>
        <v>01</v>
      </c>
      <c r="Q477" s="27">
        <f>VLOOKUP(TArticle[[#This Row],[تاریخ]],TDays[],16,FALSE)</f>
        <v>1</v>
      </c>
      <c r="R477" s="27" t="str">
        <f>RIGHT(LEFT(TArticle[[#This Row],[تاریخ]],7),2)</f>
        <v>01</v>
      </c>
      <c r="S477" s="27" t="str">
        <f>LEFT(TArticle[[#This Row],[تاریخ]],4)</f>
        <v>1403</v>
      </c>
      <c r="U477" s="21">
        <f>VLOOKUP(TArticle[[#This Row],[شناسه]],TAccount[],7,TRUE)</f>
        <v>416023</v>
      </c>
      <c r="W477" s="21">
        <f>IF(AND(TArticle[[#This Row],[مبلغ]]&gt;0, TArticle[[#This Row],[کد وضعیت سند]]=1),TArticle[[#This Row],[مبلغ]],0)</f>
        <v>0</v>
      </c>
      <c r="X477" s="27">
        <f>IF(AND(TArticle[[#This Row],[مبلغ]]&lt;0,TArticle[[#This Row],[کد وضعیت سند]]=1),0-TArticle[[#This Row],[مبلغ]],0)</f>
        <v>0</v>
      </c>
      <c r="Y477" s="27">
        <v>2</v>
      </c>
      <c r="Z477" s="171" t="str">
        <f>IF(TArticle[[#This Row],[کد بانک]]&gt;0,VLOOKUP(TArticle[[#This Row],[کد بانک]],TBank[],2,FALSE),"")</f>
        <v>ملی جاری</v>
      </c>
      <c r="AA477">
        <f>IF(AND(TArticle[[#This Row],[مبلغ]]&lt;0,TArticle[[#This Row],[کد وضعیت سند]]=1),0-TArticle[[#This Row],[مبلغ]],0)</f>
        <v>0</v>
      </c>
      <c r="AB477">
        <f>IF(AND(TArticle[[#This Row],[مبلغ]]&gt;0, TArticle[[#This Row],[کد وضعیت سند]]=1),TArticle[[#This Row],[مبلغ]],0)</f>
        <v>0</v>
      </c>
      <c r="AC477" s="84">
        <f>IF(TArticle[[#This Row],[کد بانک]]&gt;0,VLOOKUP(TArticle[[#This Row],[کد بانک]],TBank[],9,FALSE)+SUMIF($Y$2:Y477,Y477,$E$2:$E477),"")</f>
        <v>277545</v>
      </c>
      <c r="AD477" s="1">
        <f>IFERROR(IF(INT(LEFT(TArticle[[#This Row],[شناسه]]))=3,IF(TArticle[[#This Row],[کد وضعیت سند]]=1,TArticle[مبلغ],0),0),0)</f>
        <v>0</v>
      </c>
      <c r="AE477" s="1">
        <f>IFERROR(IF(((TArticle[[#This Row],[شناسه]]))="4.1.1",IF(TArticle[[#This Row],[کد وضعیت سند]]=1,TArticle[مبلغ],0),0),0)</f>
        <v>0</v>
      </c>
      <c r="AF477" s="1">
        <f>IFERROR(IF(((TArticle[[#This Row],[شناسه]]))="4.1.2",IF(TArticle[[#This Row],[کد وضعیت سند]]=1,TArticle[مبلغ],0),0),0)</f>
        <v>0</v>
      </c>
      <c r="AG477" s="1">
        <f>IFERROR(IF(INT(LEFT(TArticle[[#This Row],[شناسه]]))=1,IF(TArticle[[#This Row],[کد وضعیت سند]]=1,TArticle[مبلغ],0),0),0)</f>
        <v>0</v>
      </c>
      <c r="AH477" s="1">
        <f>IFERROR(IF(INT(LEFT(TArticle[[#This Row],[شناسه]]))=2,IF(TArticle[[#This Row],[کد وضعیت سند]]=1,TArticle[مبلغ],0),0),0)</f>
        <v>0</v>
      </c>
      <c r="AI477" s="1">
        <f>IFERROR(IF((LEFT(TArticle[[#This Row],[شناسه]],3))="5.2",IF(TArticle[[#This Row],[کد وضعیت سند]]=1,TArticle[مبلغ],0),0),0)</f>
        <v>0</v>
      </c>
      <c r="AJ477" s="1">
        <f>IF(TArticle[[#This Row],[کد وضعیت سند]]=1,1,0)</f>
        <v>0</v>
      </c>
      <c r="AK477" s="1">
        <f>IF(AND(TArticle[[#This Row],[کد وضعیت سند]]&lt;&gt;1,TArticle[[#This Row],[مبلغ]]&lt;&gt;0),1,0)</f>
        <v>1</v>
      </c>
      <c r="AL477" s="51">
        <f>IF(TArticle[[#This Row],[کد بانک]]&gt;0,TArticle[[#This Row],[مانده بانک]]-VLOOKUP(TArticle[[#This Row],[کد بانک]],TBank[],7,FALSE),"")</f>
        <v>277545</v>
      </c>
      <c r="AM477" s="49" t="str">
        <f>LEFT(TArticle[[#This Row],[تاریخ]],7)</f>
        <v>1403-01</v>
      </c>
    </row>
    <row r="478" spans="1:39" x14ac:dyDescent="0.25">
      <c r="A478" s="24" t="s">
        <v>1608</v>
      </c>
      <c r="B478" s="49" t="str">
        <f>VLOOKUP(TArticle[[#This Row],[شناسه]],TAccount[],2,TRUE)</f>
        <v>بن کارت</v>
      </c>
      <c r="C478" s="49" t="str">
        <f>VLOOKUP(TArticle[[#This Row],[تاریخ]],TDays[],7,FALSE)</f>
        <v>چهارشنبه</v>
      </c>
      <c r="D478" s="21" t="s">
        <v>1229</v>
      </c>
      <c r="E478" s="1">
        <v>3000</v>
      </c>
      <c r="F478" s="1">
        <f>TArticle[[#This Row],[مبلغ]]+IFERROR(INT(F477),30181+3667+958)</f>
        <v>238893</v>
      </c>
      <c r="G478" s="49"/>
      <c r="J478" s="51"/>
      <c r="K478" s="64">
        <v>2</v>
      </c>
      <c r="L478" s="171" t="str">
        <f>IF(TArticle[[#This Row],[کد وضعیت سند]]&gt;0,VLOOKUP(TArticle[[#This Row],[کد وضعیت سند]],TDocState[],2,FALSE),"")</f>
        <v>قطعی</v>
      </c>
      <c r="M478" s="67"/>
      <c r="N478" s="171" t="str">
        <f>IF(TArticle[[#This Row],[کد طرف حساب]]&gt;0,VLOOKUP(TArticle[[#This Row],[کد طرف حساب]],TContact[],2,FALSE),"")</f>
        <v/>
      </c>
      <c r="O478" s="60" t="str">
        <f>IF(TArticle[[#This Row],[کد طرف حساب]]&gt;0,VLOOKUP(TArticle[[#This Row],[کد طرف حساب]],TContact[],7,FALSE)-SUMIF($M$2:M478,M478,$E$2:$E478),"")</f>
        <v/>
      </c>
      <c r="P478" s="27" t="str">
        <f>RIGHT(TArticle[[#This Row],[تاریخ]],2)</f>
        <v>01</v>
      </c>
      <c r="Q478" s="27">
        <f>VLOOKUP(TArticle[[#This Row],[تاریخ]],TDays[],16,FALSE)</f>
        <v>1</v>
      </c>
      <c r="R478" s="27" t="str">
        <f>RIGHT(LEFT(TArticle[[#This Row],[تاریخ]],7),2)</f>
        <v>01</v>
      </c>
      <c r="S478" s="27" t="str">
        <f>LEFT(TArticle[[#This Row],[تاریخ]],4)</f>
        <v>1403</v>
      </c>
      <c r="U478" s="21">
        <f>VLOOKUP(TArticle[[#This Row],[شناسه]],TAccount[],7,TRUE)</f>
        <v>3000</v>
      </c>
      <c r="V478" s="28"/>
      <c r="W478" s="21">
        <f>IF(AND(TArticle[[#This Row],[مبلغ]]&gt;0, TArticle[[#This Row],[کد وضعیت سند]]=1),TArticle[[#This Row],[مبلغ]],0)</f>
        <v>0</v>
      </c>
      <c r="X478" s="27">
        <f>IF(AND(TArticle[[#This Row],[مبلغ]]&lt;0,TArticle[[#This Row],[کد وضعیت سند]]=1),0-TArticle[[#This Row],[مبلغ]],0)</f>
        <v>0</v>
      </c>
      <c r="Y478" s="27">
        <v>2</v>
      </c>
      <c r="Z478" s="171" t="str">
        <f>IF(TArticle[[#This Row],[کد بانک]]&gt;0,VLOOKUP(TArticle[[#This Row],[کد بانک]],TBank[],2,FALSE),"")</f>
        <v>ملی جاری</v>
      </c>
      <c r="AA478">
        <f>IF(AND(TArticle[[#This Row],[مبلغ]]&lt;0,TArticle[[#This Row],[کد وضعیت سند]]=1),0-TArticle[[#This Row],[مبلغ]],0)</f>
        <v>0</v>
      </c>
      <c r="AB478">
        <f>IF(AND(TArticle[[#This Row],[مبلغ]]&gt;0, TArticle[[#This Row],[کد وضعیت سند]]=1),TArticle[[#This Row],[مبلغ]],0)</f>
        <v>0</v>
      </c>
      <c r="AC478" s="92">
        <f>IF(TArticle[[#This Row],[کد بانک]]&gt;0,VLOOKUP(TArticle[[#This Row],[کد بانک]],TBank[],9,FALSE)+SUMIF($Y$2:Y478,Y478,$E$2:$E478),"")</f>
        <v>280545</v>
      </c>
      <c r="AD478" s="1">
        <f>IFERROR(IF(INT(LEFT(TArticle[[#This Row],[شناسه]]))=3,IF(TArticle[[#This Row],[کد وضعیت سند]]=1,TArticle[مبلغ],0),0),0)</f>
        <v>0</v>
      </c>
      <c r="AE478" s="1">
        <f>IFERROR(IF(((TArticle[[#This Row],[شناسه]]))="4.1.1",IF(TArticle[[#This Row],[کد وضعیت سند]]=1,TArticle[مبلغ],0),0),0)</f>
        <v>0</v>
      </c>
      <c r="AF478" s="1">
        <f>IFERROR(IF(((TArticle[[#This Row],[شناسه]]))="4.1.2",IF(TArticle[[#This Row],[کد وضعیت سند]]=1,TArticle[مبلغ],0),0),0)</f>
        <v>0</v>
      </c>
      <c r="AG478" s="1">
        <f>IFERROR(IF(INT(LEFT(TArticle[[#This Row],[شناسه]]))=1,IF(TArticle[[#This Row],[کد وضعیت سند]]=1,TArticle[مبلغ],0),0),0)</f>
        <v>0</v>
      </c>
      <c r="AH478" s="1">
        <f>IFERROR(IF(INT(LEFT(TArticle[[#This Row],[شناسه]]))=2,IF(TArticle[[#This Row],[کد وضعیت سند]]=1,TArticle[مبلغ],0),0),0)</f>
        <v>0</v>
      </c>
      <c r="AI478" s="1">
        <f>IFERROR(IF((LEFT(TArticle[[#This Row],[شناسه]],3))="5.2",IF(TArticle[[#This Row],[کد وضعیت سند]]=1,TArticle[مبلغ],0),0),0)</f>
        <v>0</v>
      </c>
      <c r="AJ478" s="1">
        <f>IF(TArticle[[#This Row],[کد وضعیت سند]]=1,1,0)</f>
        <v>0</v>
      </c>
      <c r="AK478" s="1">
        <f>IF(AND(TArticle[[#This Row],[کد وضعیت سند]]&lt;&gt;1,TArticle[[#This Row],[مبلغ]]&lt;&gt;0),1,0)</f>
        <v>1</v>
      </c>
      <c r="AL478" s="51">
        <f>IF(TArticle[[#This Row],[کد بانک]]&gt;0,TArticle[[#This Row],[مانده بانک]]-VLOOKUP(TArticle[[#This Row],[کد بانک]],TBank[],7,FALSE),"")</f>
        <v>280545</v>
      </c>
      <c r="AM478" s="58" t="str">
        <f>LEFT(TArticle[[#This Row],[تاریخ]],7)</f>
        <v>1403-01</v>
      </c>
    </row>
    <row r="479" spans="1:39" x14ac:dyDescent="0.25">
      <c r="A479" s="24" t="s">
        <v>1110</v>
      </c>
      <c r="B479" s="49" t="str">
        <f>VLOOKUP(TArticle[[#This Row],[شناسه]],TAccount[],2,TRUE)</f>
        <v>قسط وام بانکی</v>
      </c>
      <c r="C479" s="49" t="str">
        <f>VLOOKUP(TArticle[[#This Row],[تاریخ]],TDays[],7,FALSE)</f>
        <v>جمعه</v>
      </c>
      <c r="D479" s="21" t="s">
        <v>1214</v>
      </c>
      <c r="E479" s="1">
        <v>-1224</v>
      </c>
      <c r="F479" s="1">
        <f>TArticle[[#This Row],[مبلغ]]+IFERROR(INT(F478),30181+3667+958)</f>
        <v>237669</v>
      </c>
      <c r="G479" s="49"/>
      <c r="H479" s="21">
        <v>7</v>
      </c>
      <c r="J479" s="51"/>
      <c r="K479" s="64">
        <v>2</v>
      </c>
      <c r="L479" s="171" t="str">
        <f>IF(TArticle[[#This Row],[کد وضعیت سند]]&gt;0,VLOOKUP(TArticle[[#This Row],[کد وضعیت سند]],TDocState[],2,FALSE),"")</f>
        <v>قطعی</v>
      </c>
      <c r="M479" s="27">
        <v>115</v>
      </c>
      <c r="N479" s="171" t="str">
        <f>IF(TArticle[[#This Row],[کد طرف حساب]]&gt;0,VLOOKUP(TArticle[[#This Row],[کد طرف حساب]],TContact[],2,FALSE),"")</f>
        <v>وام فرزند مهر</v>
      </c>
      <c r="O479" s="60">
        <f>IF(TArticle[[#This Row],[کد طرف حساب]]&gt;0,VLOOKUP(TArticle[[#This Row],[کد طرف حساب]],TContact[],7,FALSE)-SUMIF($M$2:M479,M479,$E$2:$E479),"")</f>
        <v>-52656</v>
      </c>
      <c r="P479" s="27" t="str">
        <f>RIGHT(TArticle[[#This Row],[تاریخ]],2)</f>
        <v>03</v>
      </c>
      <c r="Q479" s="27">
        <f>VLOOKUP(TArticle[[#This Row],[تاریخ]],TDays[],16,FALSE)</f>
        <v>1</v>
      </c>
      <c r="R479" s="27" t="str">
        <f>RIGHT(LEFT(TArticle[[#This Row],[تاریخ]],7),2)</f>
        <v>01</v>
      </c>
      <c r="S479" s="27" t="str">
        <f>LEFT(TArticle[[#This Row],[تاریخ]],4)</f>
        <v>1403</v>
      </c>
      <c r="U479" s="21">
        <f>VLOOKUP(TArticle[[#This Row],[شناسه]],TAccount[],7,TRUE)</f>
        <v>81652</v>
      </c>
      <c r="W479" s="21">
        <f>IF(AND(TArticle[[#This Row],[مبلغ]]&gt;0, TArticle[[#This Row],[کد وضعیت سند]]=1),TArticle[[#This Row],[مبلغ]],0)</f>
        <v>0</v>
      </c>
      <c r="X479" s="27">
        <f>IF(AND(TArticle[[#This Row],[مبلغ]]&lt;0,TArticle[[#This Row],[کد وضعیت سند]]=1),0-TArticle[[#This Row],[مبلغ]],0)</f>
        <v>0</v>
      </c>
      <c r="Y479" s="27">
        <v>2</v>
      </c>
      <c r="Z479" s="171" t="str">
        <f>IF(TArticle[[#This Row],[کد بانک]]&gt;0,VLOOKUP(TArticle[[#This Row],[کد بانک]],TBank[],2,FALSE),"")</f>
        <v>ملی جاری</v>
      </c>
      <c r="AA479">
        <f>IF(AND(TArticle[[#This Row],[مبلغ]]&lt;0,TArticle[[#This Row],[کد وضعیت سند]]=1),0-TArticle[[#This Row],[مبلغ]],0)</f>
        <v>0</v>
      </c>
      <c r="AB479">
        <f>IF(AND(TArticle[[#This Row],[مبلغ]]&gt;0, TArticle[[#This Row],[کد وضعیت سند]]=1),TArticle[[#This Row],[مبلغ]],0)</f>
        <v>0</v>
      </c>
      <c r="AC479" s="92">
        <f>IF(TArticle[[#This Row],[کد بانک]]&gt;0,VLOOKUP(TArticle[[#This Row],[کد بانک]],TBank[],9,FALSE)+SUMIF($Y$2:Y479,Y479,$E$2:$E479),"")</f>
        <v>279321</v>
      </c>
      <c r="AD479" s="1">
        <f>IFERROR(IF(INT(LEFT(TArticle[[#This Row],[شناسه]]))=3,IF(TArticle[[#This Row],[کد وضعیت سند]]=1,TArticle[مبلغ],0),0),0)</f>
        <v>0</v>
      </c>
      <c r="AE479" s="1">
        <f>IFERROR(IF(((TArticle[[#This Row],[شناسه]]))="4.1.1",IF(TArticle[[#This Row],[کد وضعیت سند]]=1,TArticle[مبلغ],0),0),0)</f>
        <v>0</v>
      </c>
      <c r="AF479" s="1">
        <f>IFERROR(IF(((TArticle[[#This Row],[شناسه]]))="4.1.2",IF(TArticle[[#This Row],[کد وضعیت سند]]=1,TArticle[مبلغ],0),0),0)</f>
        <v>0</v>
      </c>
      <c r="AG479" s="1">
        <f>IFERROR(IF(INT(LEFT(TArticle[[#This Row],[شناسه]]))=1,IF(TArticle[[#This Row],[کد وضعیت سند]]=1,TArticle[مبلغ],0),0),0)</f>
        <v>0</v>
      </c>
      <c r="AH479" s="1">
        <f>IFERROR(IF(INT(LEFT(TArticle[[#This Row],[شناسه]]))=2,IF(TArticle[[#This Row],[کد وضعیت سند]]=1,TArticle[مبلغ],0),0),0)</f>
        <v>0</v>
      </c>
      <c r="AI479" s="1">
        <f>IFERROR(IF((LEFT(TArticle[[#This Row],[شناسه]],3))="5.2",IF(TArticle[[#This Row],[کد وضعیت سند]]=1,TArticle[مبلغ],0),0),0)</f>
        <v>0</v>
      </c>
      <c r="AJ479" s="1">
        <f>IF(TArticle[[#This Row],[کد وضعیت سند]]=1,1,0)</f>
        <v>0</v>
      </c>
      <c r="AK479" s="1">
        <f>IF(AND(TArticle[[#This Row],[کد وضعیت سند]]&lt;&gt;1,TArticle[[#This Row],[مبلغ]]&lt;&gt;0),1,0)</f>
        <v>1</v>
      </c>
      <c r="AL479" s="51">
        <f>IF(TArticle[[#This Row],[کد بانک]]&gt;0,TArticle[[#This Row],[مانده بانک]]-VLOOKUP(TArticle[[#This Row],[کد بانک]],TBank[],7,FALSE),"")</f>
        <v>279321</v>
      </c>
      <c r="AM479" s="58" t="str">
        <f>LEFT(TArticle[[#This Row],[تاریخ]],7)</f>
        <v>1403-01</v>
      </c>
    </row>
    <row r="480" spans="1:39" x14ac:dyDescent="0.25">
      <c r="A480" s="24" t="s">
        <v>1110</v>
      </c>
      <c r="B480" s="49" t="str">
        <f>VLOOKUP(TArticle[[#This Row],[شناسه]],TAccount[],2,TRUE)</f>
        <v>قسط وام بانکی</v>
      </c>
      <c r="C480" s="49" t="str">
        <f>VLOOKUP(TArticle[[#This Row],[تاریخ]],TDays[],7,FALSE)</f>
        <v>جمعه</v>
      </c>
      <c r="D480" s="21" t="s">
        <v>1214</v>
      </c>
      <c r="E480" s="1">
        <v>-1830</v>
      </c>
      <c r="F480" s="1">
        <f>TArticle[[#This Row],[مبلغ]]+IFERROR(INT(F479),30181+3667+958)</f>
        <v>235839</v>
      </c>
      <c r="G480" s="49" t="s">
        <v>1591</v>
      </c>
      <c r="H480" s="21">
        <v>34</v>
      </c>
      <c r="K480" s="21">
        <v>2</v>
      </c>
      <c r="L480" s="171" t="str">
        <f>IF(TArticle[[#This Row],[کد وضعیت سند]]&gt;0,VLOOKUP(TArticle[[#This Row],[کد وضعیت سند]],TDocState[],2,FALSE),"")</f>
        <v>قطعی</v>
      </c>
      <c r="M480" s="27">
        <v>110</v>
      </c>
      <c r="N480" s="171" t="str">
        <f>IF(TArticle[[#This Row],[کد طرف حساب]]&gt;0,VLOOKUP(TArticle[[#This Row],[کد طرف حساب]],TContact[],2,FALSE),"")</f>
        <v>وام ملت</v>
      </c>
      <c r="O480" s="61">
        <f>IF(TArticle[[#This Row],[کد طرف حساب]]&gt;0,VLOOKUP(TArticle[[#This Row],[کد طرف حساب]],TContact[],7,FALSE)-SUMIF($M$2:M480,M480,$E$2:$E480),"")</f>
        <v>-2420</v>
      </c>
      <c r="P480" s="27" t="str">
        <f>RIGHT(TArticle[[#This Row],[تاریخ]],2)</f>
        <v>03</v>
      </c>
      <c r="Q480" s="27">
        <f>VLOOKUP(TArticle[[#This Row],[تاریخ]],TDays[],16,FALSE)</f>
        <v>1</v>
      </c>
      <c r="R480" s="27" t="str">
        <f>RIGHT(LEFT(TArticle[[#This Row],[تاریخ]],7),2)</f>
        <v>01</v>
      </c>
      <c r="S480" s="27" t="str">
        <f>LEFT(TArticle[[#This Row],[تاریخ]],4)</f>
        <v>1403</v>
      </c>
      <c r="U480" s="21">
        <f>VLOOKUP(TArticle[[#This Row],[شناسه]],TAccount[],7,TRUE)</f>
        <v>81652</v>
      </c>
      <c r="V480" s="21" t="s">
        <v>1214</v>
      </c>
      <c r="W480" s="21">
        <f>IF(AND(TArticle[[#This Row],[مبلغ]]&gt;0, TArticle[[#This Row],[کد وضعیت سند]]=1),TArticle[[#This Row],[مبلغ]],0)</f>
        <v>0</v>
      </c>
      <c r="X480" s="27">
        <f>IF(AND(TArticle[[#This Row],[مبلغ]]&lt;0,TArticle[[#This Row],[کد وضعیت سند]]=1),0-TArticle[[#This Row],[مبلغ]],0)</f>
        <v>0</v>
      </c>
      <c r="Y480" s="27">
        <v>2</v>
      </c>
      <c r="Z480" s="171" t="str">
        <f>IF(TArticle[[#This Row],[کد بانک]]&gt;0,VLOOKUP(TArticle[[#This Row],[کد بانک]],TBank[],2,FALSE),"")</f>
        <v>ملی جاری</v>
      </c>
      <c r="AA480">
        <f>IF(AND(TArticle[[#This Row],[مبلغ]]&lt;0,TArticle[[#This Row],[کد وضعیت سند]]=1),0-TArticle[[#This Row],[مبلغ]],0)</f>
        <v>0</v>
      </c>
      <c r="AB480">
        <f>IF(AND(TArticle[[#This Row],[مبلغ]]&gt;0, TArticle[[#This Row],[کد وضعیت سند]]=1),TArticle[[#This Row],[مبلغ]],0)</f>
        <v>0</v>
      </c>
      <c r="AC480" s="84">
        <f>IF(TArticle[[#This Row],[کد بانک]]&gt;0,VLOOKUP(TArticle[[#This Row],[کد بانک]],TBank[],9,FALSE)+SUMIF($Y$2:Y480,Y480,$E$2:$E480),"")</f>
        <v>277491</v>
      </c>
      <c r="AD480" s="1">
        <f>IFERROR(IF(INT(LEFT(TArticle[[#This Row],[شناسه]]))=3,IF(TArticle[[#This Row],[کد وضعیت سند]]=1,TArticle[مبلغ],0),0),0)</f>
        <v>0</v>
      </c>
      <c r="AE480" s="1">
        <f>IFERROR(IF(((TArticle[[#This Row],[شناسه]]))="4.1.1",IF(TArticle[[#This Row],[کد وضعیت سند]]=1,TArticle[مبلغ],0),0),0)</f>
        <v>0</v>
      </c>
      <c r="AF480" s="1">
        <f>IFERROR(IF(((TArticle[[#This Row],[شناسه]]))="4.1.2",IF(TArticle[[#This Row],[کد وضعیت سند]]=1,TArticle[مبلغ],0),0),0)</f>
        <v>0</v>
      </c>
      <c r="AG480" s="1">
        <f>IFERROR(IF(INT(LEFT(TArticle[[#This Row],[شناسه]]))=1,IF(TArticle[[#This Row],[کد وضعیت سند]]=1,TArticle[مبلغ],0),0),0)</f>
        <v>0</v>
      </c>
      <c r="AH480" s="1">
        <f>IFERROR(IF(INT(LEFT(TArticle[[#This Row],[شناسه]]))=2,IF(TArticle[[#This Row],[کد وضعیت سند]]=1,TArticle[مبلغ],0),0),0)</f>
        <v>0</v>
      </c>
      <c r="AI480" s="1">
        <f>IFERROR(IF((LEFT(TArticle[[#This Row],[شناسه]],3))="5.2",IF(TArticle[[#This Row],[کد وضعیت سند]]=1,TArticle[مبلغ],0),0),0)</f>
        <v>0</v>
      </c>
      <c r="AJ480" s="1">
        <f>IF(TArticle[[#This Row],[کد وضعیت سند]]=1,1,0)</f>
        <v>0</v>
      </c>
      <c r="AK480" s="1">
        <f>IF(AND(TArticle[[#This Row],[کد وضعیت سند]]&lt;&gt;1,TArticle[[#This Row],[مبلغ]]&lt;&gt;0),1,0)</f>
        <v>1</v>
      </c>
      <c r="AL480" s="51">
        <f>IF(TArticle[[#This Row],[کد بانک]]&gt;0,TArticle[[#This Row],[مانده بانک]]-VLOOKUP(TArticle[[#This Row],[کد بانک]],TBank[],7,FALSE),"")</f>
        <v>277491</v>
      </c>
      <c r="AM480" s="49" t="str">
        <f>LEFT(TArticle[[#This Row],[تاریخ]],7)</f>
        <v>1403-01</v>
      </c>
    </row>
    <row r="481" spans="1:39" x14ac:dyDescent="0.25">
      <c r="A481" s="24" t="s">
        <v>1110</v>
      </c>
      <c r="B481" s="49" t="str">
        <f>VLOOKUP(TArticle[[#This Row],[شناسه]],TAccount[],2,TRUE)</f>
        <v>قسط وام بانکی</v>
      </c>
      <c r="C481" s="49" t="str">
        <f>VLOOKUP(TArticle[[#This Row],[تاریخ]],TDays[],7,FALSE)</f>
        <v>جمعه</v>
      </c>
      <c r="D481" s="21" t="s">
        <v>1214</v>
      </c>
      <c r="E481" s="1">
        <v>-1830</v>
      </c>
      <c r="F481" s="1">
        <f>TArticle[[#This Row],[مبلغ]]+IFERROR(INT(F480),30181+3667+958)</f>
        <v>234009</v>
      </c>
      <c r="G481" s="49" t="s">
        <v>1591</v>
      </c>
      <c r="H481" s="21">
        <v>34</v>
      </c>
      <c r="K481" s="21">
        <v>2</v>
      </c>
      <c r="L481" s="171" t="str">
        <f>IF(TArticle[[#This Row],[کد وضعیت سند]]&gt;0,VLOOKUP(TArticle[[#This Row],[کد وضعیت سند]],TDocState[],2,FALSE),"")</f>
        <v>قطعی</v>
      </c>
      <c r="M481" s="27">
        <v>111</v>
      </c>
      <c r="N481" s="171" t="str">
        <f>IF(TArticle[[#This Row],[کد طرف حساب]]&gt;0,VLOOKUP(TArticle[[#This Row],[کد طرف حساب]],TContact[],2,FALSE),"")</f>
        <v>وام ملت ف</v>
      </c>
      <c r="O481" s="61">
        <f>IF(TArticle[[#This Row],[کد طرف حساب]]&gt;0,VLOOKUP(TArticle[[#This Row],[کد طرف حساب]],TContact[],7,FALSE)-SUMIF($M$2:M481,M481,$E$2:$E481),"")</f>
        <v>-2420</v>
      </c>
      <c r="P481" s="27" t="str">
        <f>RIGHT(TArticle[[#This Row],[تاریخ]],2)</f>
        <v>03</v>
      </c>
      <c r="Q481" s="27">
        <f>VLOOKUP(TArticle[[#This Row],[تاریخ]],TDays[],16,FALSE)</f>
        <v>1</v>
      </c>
      <c r="R481" s="27" t="str">
        <f>RIGHT(LEFT(TArticle[[#This Row],[تاریخ]],7),2)</f>
        <v>01</v>
      </c>
      <c r="S481" s="27" t="str">
        <f>LEFT(TArticle[[#This Row],[تاریخ]],4)</f>
        <v>1403</v>
      </c>
      <c r="U481" s="21">
        <f>VLOOKUP(TArticle[[#This Row],[شناسه]],TAccount[],7,TRUE)</f>
        <v>81652</v>
      </c>
      <c r="V481" s="21" t="s">
        <v>1214</v>
      </c>
      <c r="W481" s="21">
        <f>IF(AND(TArticle[[#This Row],[مبلغ]]&gt;0, TArticle[[#This Row],[کد وضعیت سند]]=1),TArticle[[#This Row],[مبلغ]],0)</f>
        <v>0</v>
      </c>
      <c r="X481" s="27">
        <f>IF(AND(TArticle[[#This Row],[مبلغ]]&lt;0,TArticle[[#This Row],[کد وضعیت سند]]=1),0-TArticle[[#This Row],[مبلغ]],0)</f>
        <v>0</v>
      </c>
      <c r="Y481" s="27">
        <v>2</v>
      </c>
      <c r="Z481" s="171" t="str">
        <f>IF(TArticle[[#This Row],[کد بانک]]&gt;0,VLOOKUP(TArticle[[#This Row],[کد بانک]],TBank[],2,FALSE),"")</f>
        <v>ملی جاری</v>
      </c>
      <c r="AA481">
        <f>IF(AND(TArticle[[#This Row],[مبلغ]]&lt;0,TArticle[[#This Row],[کد وضعیت سند]]=1),0-TArticle[[#This Row],[مبلغ]],0)</f>
        <v>0</v>
      </c>
      <c r="AB481">
        <f>IF(AND(TArticle[[#This Row],[مبلغ]]&gt;0, TArticle[[#This Row],[کد وضعیت سند]]=1),TArticle[[#This Row],[مبلغ]],0)</f>
        <v>0</v>
      </c>
      <c r="AC481" s="84">
        <f>IF(TArticle[[#This Row],[کد بانک]]&gt;0,VLOOKUP(TArticle[[#This Row],[کد بانک]],TBank[],9,FALSE)+SUMIF($Y$2:Y481,Y481,$E$2:$E481),"")</f>
        <v>275661</v>
      </c>
      <c r="AD481" s="1">
        <f>IFERROR(IF(INT(LEFT(TArticle[[#This Row],[شناسه]]))=3,IF(TArticle[[#This Row],[کد وضعیت سند]]=1,TArticle[مبلغ],0),0),0)</f>
        <v>0</v>
      </c>
      <c r="AE481" s="1">
        <f>IFERROR(IF(((TArticle[[#This Row],[شناسه]]))="4.1.1",IF(TArticle[[#This Row],[کد وضعیت سند]]=1,TArticle[مبلغ],0),0),0)</f>
        <v>0</v>
      </c>
      <c r="AF481" s="1">
        <f>IFERROR(IF(((TArticle[[#This Row],[شناسه]]))="4.1.2",IF(TArticle[[#This Row],[کد وضعیت سند]]=1,TArticle[مبلغ],0),0),0)</f>
        <v>0</v>
      </c>
      <c r="AG481" s="1">
        <f>IFERROR(IF(INT(LEFT(TArticle[[#This Row],[شناسه]]))=1,IF(TArticle[[#This Row],[کد وضعیت سند]]=1,TArticle[مبلغ],0),0),0)</f>
        <v>0</v>
      </c>
      <c r="AH481" s="1">
        <f>IFERROR(IF(INT(LEFT(TArticle[[#This Row],[شناسه]]))=2,IF(TArticle[[#This Row],[کد وضعیت سند]]=1,TArticle[مبلغ],0),0),0)</f>
        <v>0</v>
      </c>
      <c r="AI481" s="1">
        <f>IFERROR(IF((LEFT(TArticle[[#This Row],[شناسه]],3))="5.2",IF(TArticle[[#This Row],[کد وضعیت سند]]=1,TArticle[مبلغ],0),0),0)</f>
        <v>0</v>
      </c>
      <c r="AJ481" s="1">
        <f>IF(TArticle[[#This Row],[کد وضعیت سند]]=1,1,0)</f>
        <v>0</v>
      </c>
      <c r="AK481" s="1">
        <f>IF(AND(TArticle[[#This Row],[کد وضعیت سند]]&lt;&gt;1,TArticle[[#This Row],[مبلغ]]&lt;&gt;0),1,0)</f>
        <v>1</v>
      </c>
      <c r="AL481" s="51">
        <f>IF(TArticle[[#This Row],[کد بانک]]&gt;0,TArticle[[#This Row],[مانده بانک]]-VLOOKUP(TArticle[[#This Row],[کد بانک]],TBank[],7,FALSE),"")</f>
        <v>275661</v>
      </c>
      <c r="AM481" s="49" t="str">
        <f>LEFT(TArticle[[#This Row],[تاریخ]],7)</f>
        <v>1403-01</v>
      </c>
    </row>
    <row r="482" spans="1:39" x14ac:dyDescent="0.25">
      <c r="A482" s="24" t="s">
        <v>1110</v>
      </c>
      <c r="B482" s="49" t="str">
        <f>VLOOKUP(TArticle[[#This Row],[شناسه]],TAccount[],2,TRUE)</f>
        <v>قسط وام بانکی</v>
      </c>
      <c r="C482" s="49" t="str">
        <f>VLOOKUP(TArticle[[#This Row],[تاریخ]],TDays[],7,FALSE)</f>
        <v>شنبه</v>
      </c>
      <c r="D482" s="21" t="s">
        <v>1231</v>
      </c>
      <c r="E482" s="1">
        <v>-234</v>
      </c>
      <c r="F482" s="1">
        <f>TArticle[[#This Row],[مبلغ]]+IFERROR(INT(F481),30181+3667+958)</f>
        <v>233775</v>
      </c>
      <c r="G482" s="49"/>
      <c r="H482" s="21">
        <v>13</v>
      </c>
      <c r="K482" s="64">
        <v>2</v>
      </c>
      <c r="L482" s="171" t="str">
        <f>IF(TArticle[[#This Row],[کد وضعیت سند]]&gt;0,VLOOKUP(TArticle[[#This Row],[کد وضعیت سند]],TDocState[],2,FALSE),"")</f>
        <v>قطعی</v>
      </c>
      <c r="M482" s="67">
        <v>116.1</v>
      </c>
      <c r="N482" s="171" t="str">
        <f>IF(TArticle[[#This Row],[کد طرف حساب]]&gt;0,VLOOKUP(TArticle[[#This Row],[کد طرف حساب]],TContact[],2,FALSE),"")</f>
        <v>سود امتیازی مهر</v>
      </c>
      <c r="O482" s="61">
        <f>IF(TArticle[[#This Row],[کد طرف حساب]]&gt;0,VLOOKUP(TArticle[[#This Row],[کد طرف حساب]],TContact[],7,FALSE)-SUMIF($M$2:M482,M482,$E$2:$E482),"")</f>
        <v>0</v>
      </c>
      <c r="P482" s="27" t="str">
        <f>RIGHT(TArticle[[#This Row],[تاریخ]],2)</f>
        <v>04</v>
      </c>
      <c r="Q482" s="27">
        <f>VLOOKUP(TArticle[[#This Row],[تاریخ]],TDays[],16,FALSE)</f>
        <v>1</v>
      </c>
      <c r="R482" s="27" t="str">
        <f>RIGHT(LEFT(TArticle[[#This Row],[تاریخ]],7),2)</f>
        <v>01</v>
      </c>
      <c r="S482" s="27" t="str">
        <f>LEFT(TArticle[[#This Row],[تاریخ]],4)</f>
        <v>1403</v>
      </c>
      <c r="U482" s="21">
        <f>VLOOKUP(TArticle[[#This Row],[شناسه]],TAccount[],7,TRUE)</f>
        <v>81652</v>
      </c>
      <c r="V482" s="28"/>
      <c r="W482" s="21">
        <f>IF(AND(TArticle[[#This Row],[مبلغ]]&gt;0, TArticle[[#This Row],[کد وضعیت سند]]=1),TArticle[[#This Row],[مبلغ]],0)</f>
        <v>0</v>
      </c>
      <c r="X482" s="27">
        <f>IF(AND(TArticle[[#This Row],[مبلغ]]&lt;0,TArticle[[#This Row],[کد وضعیت سند]]=1),0-TArticle[[#This Row],[مبلغ]],0)</f>
        <v>0</v>
      </c>
      <c r="Y482" s="27">
        <v>2</v>
      </c>
      <c r="Z482" s="171" t="str">
        <f>IF(TArticle[[#This Row],[کد بانک]]&gt;0,VLOOKUP(TArticle[[#This Row],[کد بانک]],TBank[],2,FALSE),"")</f>
        <v>ملی جاری</v>
      </c>
      <c r="AA482">
        <f>IF(AND(TArticle[[#This Row],[مبلغ]]&lt;0,TArticle[[#This Row],[کد وضعیت سند]]=1),0-TArticle[[#This Row],[مبلغ]],0)</f>
        <v>0</v>
      </c>
      <c r="AB482">
        <f>IF(AND(TArticle[[#This Row],[مبلغ]]&gt;0, TArticle[[#This Row],[کد وضعیت سند]]=1),TArticle[[#This Row],[مبلغ]],0)</f>
        <v>0</v>
      </c>
      <c r="AC482" s="84">
        <f>IF(TArticle[[#This Row],[کد بانک]]&gt;0,VLOOKUP(TArticle[[#This Row],[کد بانک]],TBank[],9,FALSE)+SUMIF($Y$2:Y482,Y482,$E$2:$E482),"")</f>
        <v>275427</v>
      </c>
      <c r="AD482" s="1">
        <f>IFERROR(IF(INT(LEFT(TArticle[[#This Row],[شناسه]]))=3,IF(TArticle[[#This Row],[کد وضعیت سند]]=1,TArticle[مبلغ],0),0),0)</f>
        <v>0</v>
      </c>
      <c r="AE482" s="1">
        <f>IFERROR(IF(((TArticle[[#This Row],[شناسه]]))="4.1.1",IF(TArticle[[#This Row],[کد وضعیت سند]]=1,TArticle[مبلغ],0),0),0)</f>
        <v>0</v>
      </c>
      <c r="AF482" s="1">
        <f>IFERROR(IF(((TArticle[[#This Row],[شناسه]]))="4.1.2",IF(TArticle[[#This Row],[کد وضعیت سند]]=1,TArticle[مبلغ],0),0),0)</f>
        <v>0</v>
      </c>
      <c r="AG482" s="1">
        <f>IFERROR(IF(INT(LEFT(TArticle[[#This Row],[شناسه]]))=1,IF(TArticle[[#This Row],[کد وضعیت سند]]=1,TArticle[مبلغ],0),0),0)</f>
        <v>0</v>
      </c>
      <c r="AH482" s="1">
        <f>IFERROR(IF(INT(LEFT(TArticle[[#This Row],[شناسه]]))=2,IF(TArticle[[#This Row],[کد وضعیت سند]]=1,TArticle[مبلغ],0),0),0)</f>
        <v>0</v>
      </c>
      <c r="AI482" s="1">
        <f>IFERROR(IF((LEFT(TArticle[[#This Row],[شناسه]],3))="5.2",IF(TArticle[[#This Row],[کد وضعیت سند]]=1,TArticle[مبلغ],0),0),0)</f>
        <v>0</v>
      </c>
      <c r="AJ482" s="1">
        <f>IF(TArticle[[#This Row],[کد وضعیت سند]]=1,1,0)</f>
        <v>0</v>
      </c>
      <c r="AK482" s="1">
        <f>IF(AND(TArticle[[#This Row],[کد وضعیت سند]]&lt;&gt;1,TArticle[[#This Row],[مبلغ]]&lt;&gt;0),1,0)</f>
        <v>1</v>
      </c>
      <c r="AL482" s="51">
        <f>IF(TArticle[[#This Row],[کد بانک]]&gt;0,TArticle[[#This Row],[مانده بانک]]-VLOOKUP(TArticle[[#This Row],[کد بانک]],TBank[],7,FALSE),"")</f>
        <v>275427</v>
      </c>
      <c r="AM482" s="58" t="str">
        <f>LEFT(TArticle[[#This Row],[تاریخ]],7)</f>
        <v>1403-01</v>
      </c>
    </row>
    <row r="483" spans="1:39" x14ac:dyDescent="0.25">
      <c r="A483" s="24" t="s">
        <v>1110</v>
      </c>
      <c r="B483" s="49" t="str">
        <f>VLOOKUP(TArticle[[#This Row],[شناسه]],TAccount[],2,TRUE)</f>
        <v>قسط وام بانکی</v>
      </c>
      <c r="C483" s="49" t="str">
        <f>VLOOKUP(TArticle[[#This Row],[تاریخ]],TDays[],7,FALSE)</f>
        <v>پنجشنبه</v>
      </c>
      <c r="D483" s="21" t="s">
        <v>1236</v>
      </c>
      <c r="E483" s="1">
        <f>'طرف حساب'!$J$29</f>
        <v>-3616</v>
      </c>
      <c r="F483" s="1">
        <f>TArticle[[#This Row],[مبلغ]]+IFERROR(INT(F482),30181+3667+958)</f>
        <v>230159</v>
      </c>
      <c r="G483" s="49"/>
      <c r="H483" s="21">
        <v>14</v>
      </c>
      <c r="J483" s="65"/>
      <c r="K483" s="64">
        <v>2</v>
      </c>
      <c r="L483" s="171" t="str">
        <f>IF(TArticle[[#This Row],[کد وضعیت سند]]&gt;0,VLOOKUP(TArticle[[#This Row],[کد وضعیت سند]],TDocState[],2,FALSE),"")</f>
        <v>قطعی</v>
      </c>
      <c r="M483" s="67">
        <v>114</v>
      </c>
      <c r="N483" s="171" t="str">
        <f>IF(TArticle[[#This Row],[کد طرف حساب]]&gt;0,VLOOKUP(TArticle[[#This Row],[کد طرف حساب]],TContact[],2,FALSE),"")</f>
        <v>وام کارت ملی ف</v>
      </c>
      <c r="O483" s="68">
        <f>IF(TArticle[[#This Row],[کد طرف حساب]]&gt;0,VLOOKUP(TArticle[[#This Row],[کد طرف حساب]],TContact[],7,FALSE)-SUMIF($M$2:M483,M483,$E$2:$E483),"")</f>
        <v>-80834</v>
      </c>
      <c r="P483" s="67" t="str">
        <f>RIGHT(TArticle[[#This Row],[تاریخ]],2)</f>
        <v>09</v>
      </c>
      <c r="Q483" s="67">
        <f>VLOOKUP(TArticle[[#This Row],[تاریخ]],TDays[],16,FALSE)</f>
        <v>2</v>
      </c>
      <c r="R483" s="67" t="str">
        <f>RIGHT(LEFT(TArticle[[#This Row],[تاریخ]],7),2)</f>
        <v>01</v>
      </c>
      <c r="S483" s="67" t="str">
        <f>LEFT(TArticle[[#This Row],[تاریخ]],4)</f>
        <v>1403</v>
      </c>
      <c r="T483" s="64"/>
      <c r="U483" s="64">
        <f>VLOOKUP(TArticle[[#This Row],[شناسه]],TAccount[],7,TRUE)</f>
        <v>81652</v>
      </c>
      <c r="V483" s="64"/>
      <c r="W483" s="64">
        <f>IF(AND(TArticle[[#This Row],[مبلغ]]&gt;0, TArticle[[#This Row],[کد وضعیت سند]]=1),TArticle[[#This Row],[مبلغ]],0)</f>
        <v>0</v>
      </c>
      <c r="X483" s="67">
        <f>IF(AND(TArticle[[#This Row],[مبلغ]]&lt;0,TArticle[[#This Row],[کد وضعیت سند]]=1),0-TArticle[[#This Row],[مبلغ]],0)</f>
        <v>0</v>
      </c>
      <c r="Y483" s="27">
        <v>2</v>
      </c>
      <c r="Z483" s="171" t="str">
        <f>IF(TArticle[[#This Row],[کد بانک]]&gt;0,VLOOKUP(TArticle[[#This Row],[کد بانک]],TBank[],2,FALSE),"")</f>
        <v>ملی جاری</v>
      </c>
      <c r="AA483">
        <f>IF(AND(TArticle[[#This Row],[مبلغ]]&lt;0,TArticle[[#This Row],[کد وضعیت سند]]=1),0-TArticle[[#This Row],[مبلغ]],0)</f>
        <v>0</v>
      </c>
      <c r="AB483">
        <f>IF(AND(TArticle[[#This Row],[مبلغ]]&gt;0, TArticle[[#This Row],[کد وضعیت سند]]=1),TArticle[[#This Row],[مبلغ]],0)</f>
        <v>0</v>
      </c>
      <c r="AC483" s="93">
        <f>IF(TArticle[[#This Row],[کد بانک]]&gt;0,VLOOKUP(TArticle[[#This Row],[کد بانک]],TBank[],9,FALSE)+SUMIF($Y$2:Y483,Y483,$E$2:$E483),"")</f>
        <v>271811</v>
      </c>
      <c r="AD483" s="1">
        <f>IFERROR(IF(INT(LEFT(TArticle[[#This Row],[شناسه]]))=3,IF(TArticle[[#This Row],[کد وضعیت سند]]=1,TArticle[مبلغ],0),0),0)</f>
        <v>0</v>
      </c>
      <c r="AE483" s="1">
        <f>IFERROR(IF(((TArticle[[#This Row],[شناسه]]))="4.1.1",IF(TArticle[[#This Row],[کد وضعیت سند]]=1,TArticle[مبلغ],0),0),0)</f>
        <v>0</v>
      </c>
      <c r="AF483" s="1">
        <f>IFERROR(IF(((TArticle[[#This Row],[شناسه]]))="4.1.2",IF(TArticle[[#This Row],[کد وضعیت سند]]=1,TArticle[مبلغ],0),0),0)</f>
        <v>0</v>
      </c>
      <c r="AG483" s="1">
        <f>IFERROR(IF(INT(LEFT(TArticle[[#This Row],[شناسه]]))=1,IF(TArticle[[#This Row],[کد وضعیت سند]]=1,TArticle[مبلغ],0),0),0)</f>
        <v>0</v>
      </c>
      <c r="AH483" s="1">
        <f>IFERROR(IF(INT(LEFT(TArticle[[#This Row],[شناسه]]))=2,IF(TArticle[[#This Row],[کد وضعیت سند]]=1,TArticle[مبلغ],0),0),0)</f>
        <v>0</v>
      </c>
      <c r="AI483" s="1">
        <f>IFERROR(IF((LEFT(TArticle[[#This Row],[شناسه]],3))="5.2",IF(TArticle[[#This Row],[کد وضعیت سند]]=1,TArticle[مبلغ],0),0),0)</f>
        <v>0</v>
      </c>
      <c r="AJ483" s="1">
        <f>IF(TArticle[[#This Row],[کد وضعیت سند]]=1,1,0)</f>
        <v>0</v>
      </c>
      <c r="AK483" s="1">
        <f>IF(AND(TArticle[[#This Row],[کد وضعیت سند]]&lt;&gt;1,TArticle[[#This Row],[مبلغ]]&lt;&gt;0),1,0)</f>
        <v>1</v>
      </c>
      <c r="AL483" s="78">
        <f>IF(TArticle[[#This Row],[کد بانک]]&gt;0,TArticle[[#This Row],[مانده بانک]]-VLOOKUP(TArticle[[#This Row],[کد بانک]],TBank[],7,FALSE),"")</f>
        <v>271811</v>
      </c>
      <c r="AM483" s="69" t="str">
        <f>LEFT(TArticle[[#This Row],[تاریخ]],7)</f>
        <v>1403-01</v>
      </c>
    </row>
    <row r="484" spans="1:39" x14ac:dyDescent="0.25">
      <c r="A484" s="24" t="s">
        <v>1013</v>
      </c>
      <c r="B484" s="49" t="str">
        <f>VLOOKUP(TArticle[[#This Row],[شناسه]],TAccount[],2,TRUE)</f>
        <v>یارانه</v>
      </c>
      <c r="C484" s="49" t="str">
        <f>VLOOKUP(TArticle[[#This Row],[تاریخ]],TDays[],7,FALSE)</f>
        <v>دوشنبه</v>
      </c>
      <c r="D484" s="21" t="s">
        <v>1247</v>
      </c>
      <c r="E484" s="1">
        <v>1500</v>
      </c>
      <c r="F484" s="1">
        <f>TArticle[[#This Row],[مبلغ]]+IFERROR(INT(F483),30181+3667+958)</f>
        <v>231659</v>
      </c>
      <c r="G484" s="49"/>
      <c r="H484" s="64"/>
      <c r="J484" s="65"/>
      <c r="K484" s="64">
        <v>2</v>
      </c>
      <c r="L484" s="171" t="str">
        <f>IF(TArticle[[#This Row],[کد وضعیت سند]]&gt;0,VLOOKUP(TArticle[[#This Row],[کد وضعیت سند]],TDocState[],2,FALSE),"")</f>
        <v>قطعی</v>
      </c>
      <c r="M484" s="67"/>
      <c r="N484" s="171" t="str">
        <f>IF(TArticle[[#This Row],[کد طرف حساب]]&gt;0,VLOOKUP(TArticle[[#This Row],[کد طرف حساب]],TContact[],2,FALSE),"")</f>
        <v/>
      </c>
      <c r="O484" s="68" t="str">
        <f>IF(TArticle[[#This Row],[کد طرف حساب]]&gt;0,VLOOKUP(TArticle[[#This Row],[کد طرف حساب]],TContact[],7,FALSE)-SUMIF($M$2:M484,M484,$E$2:$E484),"")</f>
        <v/>
      </c>
      <c r="P484" s="67" t="str">
        <f>RIGHT(TArticle[[#This Row],[تاریخ]],2)</f>
        <v>20</v>
      </c>
      <c r="Q484" s="67">
        <f>VLOOKUP(TArticle[[#This Row],[تاریخ]],TDays[],16,FALSE)</f>
        <v>4</v>
      </c>
      <c r="R484" s="67" t="str">
        <f>RIGHT(LEFT(TArticle[[#This Row],[تاریخ]],7),2)</f>
        <v>01</v>
      </c>
      <c r="S484" s="67" t="str">
        <f>LEFT(TArticle[[#This Row],[تاریخ]],4)</f>
        <v>1403</v>
      </c>
      <c r="T484" s="64"/>
      <c r="U484" s="64">
        <f>VLOOKUP(TArticle[[#This Row],[شناسه]],TAccount[],7,TRUE)</f>
        <v>12565</v>
      </c>
      <c r="V484" s="64"/>
      <c r="W484" s="64">
        <f>IF(AND(TArticle[[#This Row],[مبلغ]]&gt;0, TArticle[[#This Row],[کد وضعیت سند]]=1),TArticle[[#This Row],[مبلغ]],0)</f>
        <v>0</v>
      </c>
      <c r="X484" s="67">
        <f>IF(AND(TArticle[[#This Row],[مبلغ]]&lt;0,TArticle[[#This Row],[کد وضعیت سند]]=1),0-TArticle[[#This Row],[مبلغ]],0)</f>
        <v>0</v>
      </c>
      <c r="Y484" s="27">
        <v>2</v>
      </c>
      <c r="Z484" s="171" t="str">
        <f>IF(TArticle[[#This Row],[کد بانک]]&gt;0,VLOOKUP(TArticle[[#This Row],[کد بانک]],TBank[],2,FALSE),"")</f>
        <v>ملی جاری</v>
      </c>
      <c r="AA484">
        <f>IF(AND(TArticle[[#This Row],[مبلغ]]&lt;0,TArticle[[#This Row],[کد وضعیت سند]]=1),0-TArticle[[#This Row],[مبلغ]],0)</f>
        <v>0</v>
      </c>
      <c r="AB484">
        <f>IF(AND(TArticle[[#This Row],[مبلغ]]&gt;0, TArticle[[#This Row],[کد وضعیت سند]]=1),TArticle[[#This Row],[مبلغ]],0)</f>
        <v>0</v>
      </c>
      <c r="AC484" s="93">
        <f>IF(TArticle[[#This Row],[کد بانک]]&gt;0,VLOOKUP(TArticle[[#This Row],[کد بانک]],TBank[],9,FALSE)+SUMIF($Y$2:Y484,Y484,$E$2:$E484),"")</f>
        <v>273311</v>
      </c>
      <c r="AD484" s="1">
        <f>IFERROR(IF(INT(LEFT(TArticle[[#This Row],[شناسه]]))=3,IF(TArticle[[#This Row],[کد وضعیت سند]]=1,TArticle[مبلغ],0),0),0)</f>
        <v>0</v>
      </c>
      <c r="AE484" s="1">
        <f>IFERROR(IF(((TArticle[[#This Row],[شناسه]]))="4.1.1",IF(TArticle[[#This Row],[کد وضعیت سند]]=1,TArticle[مبلغ],0),0),0)</f>
        <v>0</v>
      </c>
      <c r="AF484" s="1">
        <f>IFERROR(IF(((TArticle[[#This Row],[شناسه]]))="4.1.2",IF(TArticle[[#This Row],[کد وضعیت سند]]=1,TArticle[مبلغ],0),0),0)</f>
        <v>0</v>
      </c>
      <c r="AG484" s="1">
        <f>IFERROR(IF(INT(LEFT(TArticle[[#This Row],[شناسه]]))=1,IF(TArticle[[#This Row],[کد وضعیت سند]]=1,TArticle[مبلغ],0),0),0)</f>
        <v>0</v>
      </c>
      <c r="AH484" s="1">
        <f>IFERROR(IF(INT(LEFT(TArticle[[#This Row],[شناسه]]))=2,IF(TArticle[[#This Row],[کد وضعیت سند]]=1,TArticle[مبلغ],0),0),0)</f>
        <v>0</v>
      </c>
      <c r="AI484" s="1">
        <f>IFERROR(IF((LEFT(TArticle[[#This Row],[شناسه]],3))="5.2",IF(TArticle[[#This Row],[کد وضعیت سند]]=1,TArticle[مبلغ],0),0),0)</f>
        <v>0</v>
      </c>
      <c r="AJ484" s="1">
        <f>IF(TArticle[[#This Row],[کد وضعیت سند]]=1,1,0)</f>
        <v>0</v>
      </c>
      <c r="AK484" s="1">
        <f>IF(AND(TArticle[[#This Row],[کد وضعیت سند]]&lt;&gt;1,TArticle[[#This Row],[مبلغ]]&lt;&gt;0),1,0)</f>
        <v>1</v>
      </c>
      <c r="AL484" s="78">
        <f>IF(TArticle[[#This Row],[کد بانک]]&gt;0,TArticle[[#This Row],[مانده بانک]]-VLOOKUP(TArticle[[#This Row],[کد بانک]],TBank[],7,FALSE),"")</f>
        <v>273311</v>
      </c>
      <c r="AM484" s="69" t="str">
        <f>LEFT(TArticle[[#This Row],[تاریخ]],7)</f>
        <v>1403-01</v>
      </c>
    </row>
    <row r="485" spans="1:39" x14ac:dyDescent="0.25">
      <c r="A485" s="24" t="s">
        <v>1110</v>
      </c>
      <c r="B485" s="49" t="str">
        <f>VLOOKUP(TArticle[[#This Row],[شناسه]],TAccount[],2,TRUE)</f>
        <v>قسط وام بانکی</v>
      </c>
      <c r="C485" s="49" t="str">
        <f>VLOOKUP(TArticle[[#This Row],[تاریخ]],TDays[],7,FALSE)</f>
        <v>سه شنبه</v>
      </c>
      <c r="D485" s="21" t="s">
        <v>1255</v>
      </c>
      <c r="E485" s="1">
        <v>-1808</v>
      </c>
      <c r="F485" s="1">
        <f>TArticle[[#This Row],[مبلغ]]+IFERROR(INT(F484),30181+3667+958)</f>
        <v>229851</v>
      </c>
      <c r="G485" s="49" t="s">
        <v>1597</v>
      </c>
      <c r="H485" s="64">
        <v>30</v>
      </c>
      <c r="J485" s="65"/>
      <c r="K485" s="21">
        <v>2</v>
      </c>
      <c r="L485" s="171" t="str">
        <f>IF(TArticle[[#This Row],[کد وضعیت سند]]&gt;0,VLOOKUP(TArticle[[#This Row],[کد وضعیت سند]],TDocState[],2,FALSE),"")</f>
        <v>قطعی</v>
      </c>
      <c r="M485" s="67">
        <v>112</v>
      </c>
      <c r="N485" s="171" t="str">
        <f>IF(TArticle[[#This Row],[کد طرف حساب]]&gt;0,VLOOKUP(TArticle[[#This Row],[کد طرف حساب]],TContact[],2,FALSE),"")</f>
        <v>وام ملی</v>
      </c>
      <c r="O485" s="68">
        <f>IF(TArticle[[#This Row],[کد طرف حساب]]&gt;0,VLOOKUP(TArticle[[#This Row],[کد طرف حساب]],TContact[],7,FALSE)-SUMIF($M$2:M485,M485,$E$2:$E485),"")</f>
        <v>-8416</v>
      </c>
      <c r="P485" s="67" t="str">
        <f>RIGHT(TArticle[[#This Row],[تاریخ]],2)</f>
        <v>28</v>
      </c>
      <c r="Q485" s="67">
        <f>VLOOKUP(TArticle[[#This Row],[تاریخ]],TDays[],16,FALSE)</f>
        <v>5</v>
      </c>
      <c r="R485" s="67" t="str">
        <f>RIGHT(LEFT(TArticle[[#This Row],[تاریخ]],7),2)</f>
        <v>01</v>
      </c>
      <c r="S485" s="67" t="str">
        <f>LEFT(TArticle[[#This Row],[تاریخ]],4)</f>
        <v>1403</v>
      </c>
      <c r="T485" s="64"/>
      <c r="U485" s="64">
        <f>VLOOKUP(TArticle[[#This Row],[شناسه]],TAccount[],7,TRUE)</f>
        <v>81652</v>
      </c>
      <c r="V485" s="21" t="s">
        <v>1255</v>
      </c>
      <c r="W485" s="64">
        <f>IF(AND(TArticle[[#This Row],[مبلغ]]&gt;0, TArticle[[#This Row],[کد وضعیت سند]]=1),TArticle[[#This Row],[مبلغ]],0)</f>
        <v>0</v>
      </c>
      <c r="X485" s="67">
        <f>IF(AND(TArticle[[#This Row],[مبلغ]]&lt;0,TArticle[[#This Row],[کد وضعیت سند]]=1),0-TArticle[[#This Row],[مبلغ]],0)</f>
        <v>0</v>
      </c>
      <c r="Y485" s="67">
        <v>2</v>
      </c>
      <c r="Z485" s="171" t="str">
        <f>IF(TArticle[[#This Row],[کد بانک]]&gt;0,VLOOKUP(TArticle[[#This Row],[کد بانک]],TBank[],2,FALSE),"")</f>
        <v>ملی جاری</v>
      </c>
      <c r="AA485">
        <f>IF(AND(TArticle[[#This Row],[مبلغ]]&lt;0,TArticle[[#This Row],[کد وضعیت سند]]=1),0-TArticle[[#This Row],[مبلغ]],0)</f>
        <v>0</v>
      </c>
      <c r="AB485">
        <f>IF(AND(TArticle[[#This Row],[مبلغ]]&gt;0, TArticle[[#This Row],[کد وضعیت سند]]=1),TArticle[[#This Row],[مبلغ]],0)</f>
        <v>0</v>
      </c>
      <c r="AC485" s="93">
        <f>IF(TArticle[[#This Row],[کد بانک]]&gt;0,VLOOKUP(TArticle[[#This Row],[کد بانک]],TBank[],9,FALSE)+SUMIF($Y$2:Y485,Y485,$E$2:$E485),"")</f>
        <v>271503</v>
      </c>
      <c r="AD485" s="1">
        <f>IFERROR(IF(INT(LEFT(TArticle[[#This Row],[شناسه]]))=3,IF(TArticle[[#This Row],[کد وضعیت سند]]=1,TArticle[مبلغ],0),0),0)</f>
        <v>0</v>
      </c>
      <c r="AE485" s="1">
        <f>IFERROR(IF(((TArticle[[#This Row],[شناسه]]))="4.1.1",IF(TArticle[[#This Row],[کد وضعیت سند]]=1,TArticle[مبلغ],0),0),0)</f>
        <v>0</v>
      </c>
      <c r="AF485" s="1">
        <f>IFERROR(IF(((TArticle[[#This Row],[شناسه]]))="4.1.2",IF(TArticle[[#This Row],[کد وضعیت سند]]=1,TArticle[مبلغ],0),0),0)</f>
        <v>0</v>
      </c>
      <c r="AG485" s="1">
        <f>IFERROR(IF(INT(LEFT(TArticle[[#This Row],[شناسه]]))=1,IF(TArticle[[#This Row],[کد وضعیت سند]]=1,TArticle[مبلغ],0),0),0)</f>
        <v>0</v>
      </c>
      <c r="AH485" s="1">
        <f>IFERROR(IF(INT(LEFT(TArticle[[#This Row],[شناسه]]))=2,IF(TArticle[[#This Row],[کد وضعیت سند]]=1,TArticle[مبلغ],0),0),0)</f>
        <v>0</v>
      </c>
      <c r="AI485" s="1">
        <f>IFERROR(IF((LEFT(TArticle[[#This Row],[شناسه]],3))="5.2",IF(TArticle[[#This Row],[کد وضعیت سند]]=1,TArticle[مبلغ],0),0),0)</f>
        <v>0</v>
      </c>
      <c r="AJ485" s="1">
        <f>IF(TArticle[[#This Row],[کد وضعیت سند]]=1,1,0)</f>
        <v>0</v>
      </c>
      <c r="AK485" s="1">
        <f>IF(AND(TArticle[[#This Row],[کد وضعیت سند]]&lt;&gt;1,TArticle[[#This Row],[مبلغ]]&lt;&gt;0),1,0)</f>
        <v>1</v>
      </c>
      <c r="AL485" s="78">
        <f>IF(TArticle[[#This Row],[کد بانک]]&gt;0,TArticle[[#This Row],[مانده بانک]]-VLOOKUP(TArticle[[#This Row],[کد بانک]],TBank[],7,FALSE),"")</f>
        <v>271503</v>
      </c>
      <c r="AM485" s="58" t="str">
        <f>LEFT(TArticle[[#This Row],[تاریخ]],7)</f>
        <v>1403-01</v>
      </c>
    </row>
    <row r="486" spans="1:39" x14ac:dyDescent="0.25">
      <c r="A486" s="24" t="s">
        <v>43</v>
      </c>
      <c r="B486" s="49" t="str">
        <f>VLOOKUP(TArticle[[#This Row],[شناسه]],TAccount[],2,TRUE)</f>
        <v>حقوق</v>
      </c>
      <c r="C486" s="49" t="str">
        <f>VLOOKUP(TArticle[[#This Row],[تاریخ]],TDays[],7,FALSE)</f>
        <v>شنبه</v>
      </c>
      <c r="D486" s="21" t="s">
        <v>1259</v>
      </c>
      <c r="E486" s="1">
        <v>42000</v>
      </c>
      <c r="F486" s="1">
        <f>TArticle[[#This Row],[مبلغ]]+IFERROR(INT(F485),30181+3667+958)</f>
        <v>271851</v>
      </c>
      <c r="G486" s="49"/>
      <c r="H486" s="64"/>
      <c r="J486" s="65"/>
      <c r="K486" s="64">
        <v>2</v>
      </c>
      <c r="L486" s="171" t="str">
        <f>IF(TArticle[[#This Row],[کد وضعیت سند]]&gt;0,VLOOKUP(TArticle[[#This Row],[کد وضعیت سند]],TDocState[],2,FALSE),"")</f>
        <v>قطعی</v>
      </c>
      <c r="M486" s="67"/>
      <c r="N486" s="171" t="str">
        <f>IF(TArticle[[#This Row],[کد طرف حساب]]&gt;0,VLOOKUP(TArticle[[#This Row],[کد طرف حساب]],TContact[],2,FALSE),"")</f>
        <v/>
      </c>
      <c r="O486" s="68" t="str">
        <f>IF(TArticle[[#This Row],[کد طرف حساب]]&gt;0,VLOOKUP(TArticle[[#This Row],[کد طرف حساب]],TContact[],7,FALSE)-SUMIF($M$2:M486,M486,$E$2:$E486),"")</f>
        <v/>
      </c>
      <c r="P486" s="67" t="str">
        <f>RIGHT(TArticle[[#This Row],[تاریخ]],2)</f>
        <v>01</v>
      </c>
      <c r="Q486" s="67">
        <f>VLOOKUP(TArticle[[#This Row],[تاریخ]],TDays[],16,FALSE)</f>
        <v>5</v>
      </c>
      <c r="R486" s="67" t="str">
        <f>RIGHT(LEFT(TArticle[[#This Row],[تاریخ]],7),2)</f>
        <v>02</v>
      </c>
      <c r="S486" s="67" t="str">
        <f>LEFT(TArticle[[#This Row],[تاریخ]],4)</f>
        <v>1403</v>
      </c>
      <c r="T486" s="64"/>
      <c r="U486" s="64">
        <f>VLOOKUP(TArticle[[#This Row],[شناسه]],TAccount[],7,TRUE)</f>
        <v>416023</v>
      </c>
      <c r="V486" s="64"/>
      <c r="W486" s="64">
        <f>IF(AND(TArticle[[#This Row],[مبلغ]]&gt;0, TArticle[[#This Row],[کد وضعیت سند]]=1),TArticle[[#This Row],[مبلغ]],0)</f>
        <v>0</v>
      </c>
      <c r="X486" s="67">
        <f>IF(AND(TArticle[[#This Row],[مبلغ]]&lt;0,TArticle[[#This Row],[کد وضعیت سند]]=1),0-TArticle[[#This Row],[مبلغ]],0)</f>
        <v>0</v>
      </c>
      <c r="Y486" s="27">
        <v>2</v>
      </c>
      <c r="Z486" s="171" t="str">
        <f>IF(TArticle[[#This Row],[کد بانک]]&gt;0,VLOOKUP(TArticle[[#This Row],[کد بانک]],TBank[],2,FALSE),"")</f>
        <v>ملی جاری</v>
      </c>
      <c r="AA486">
        <f>IF(AND(TArticle[[#This Row],[مبلغ]]&lt;0,TArticle[[#This Row],[کد وضعیت سند]]=1),0-TArticle[[#This Row],[مبلغ]],0)</f>
        <v>0</v>
      </c>
      <c r="AB486">
        <f>IF(AND(TArticle[[#This Row],[مبلغ]]&gt;0, TArticle[[#This Row],[کد وضعیت سند]]=1),TArticle[[#This Row],[مبلغ]],0)</f>
        <v>0</v>
      </c>
      <c r="AC486" s="93">
        <f>IF(TArticle[[#This Row],[کد بانک]]&gt;0,VLOOKUP(TArticle[[#This Row],[کد بانک]],TBank[],9,FALSE)+SUMIF($Y$2:Y486,Y486,$E$2:$E486),"")</f>
        <v>313503</v>
      </c>
      <c r="AD486" s="1">
        <f>IFERROR(IF(INT(LEFT(TArticle[[#This Row],[شناسه]]))=3,IF(TArticle[[#This Row],[کد وضعیت سند]]=1,TArticle[مبلغ],0),0),0)</f>
        <v>0</v>
      </c>
      <c r="AE486" s="1">
        <f>IFERROR(IF(((TArticle[[#This Row],[شناسه]]))="4.1.1",IF(TArticle[[#This Row],[کد وضعیت سند]]=1,TArticle[مبلغ],0),0),0)</f>
        <v>0</v>
      </c>
      <c r="AF486" s="1">
        <f>IFERROR(IF(((TArticle[[#This Row],[شناسه]]))="4.1.2",IF(TArticle[[#This Row],[کد وضعیت سند]]=1,TArticle[مبلغ],0),0),0)</f>
        <v>0</v>
      </c>
      <c r="AG486" s="1">
        <f>IFERROR(IF(INT(LEFT(TArticle[[#This Row],[شناسه]]))=1,IF(TArticle[[#This Row],[کد وضعیت سند]]=1,TArticle[مبلغ],0),0),0)</f>
        <v>0</v>
      </c>
      <c r="AH486" s="1">
        <f>IFERROR(IF(INT(LEFT(TArticle[[#This Row],[شناسه]]))=2,IF(TArticle[[#This Row],[کد وضعیت سند]]=1,TArticle[مبلغ],0),0),0)</f>
        <v>0</v>
      </c>
      <c r="AI486" s="1">
        <f>IFERROR(IF((LEFT(TArticle[[#This Row],[شناسه]],3))="5.2",IF(TArticle[[#This Row],[کد وضعیت سند]]=1,TArticle[مبلغ],0),0),0)</f>
        <v>0</v>
      </c>
      <c r="AJ486" s="1">
        <f>IF(TArticle[[#This Row],[کد وضعیت سند]]=1,1,0)</f>
        <v>0</v>
      </c>
      <c r="AK486" s="1">
        <f>IF(AND(TArticle[[#This Row],[کد وضعیت سند]]&lt;&gt;1,TArticle[[#This Row],[مبلغ]]&lt;&gt;0),1,0)</f>
        <v>1</v>
      </c>
      <c r="AL486" s="78">
        <f>IF(TArticle[[#This Row],[کد بانک]]&gt;0,TArticle[[#This Row],[مانده بانک]]-VLOOKUP(TArticle[[#This Row],[کد بانک]],TBank[],7,FALSE),"")</f>
        <v>313503</v>
      </c>
      <c r="AM486" s="69" t="str">
        <f>LEFT(TArticle[[#This Row],[تاریخ]],7)</f>
        <v>1403-02</v>
      </c>
    </row>
    <row r="487" spans="1:39" x14ac:dyDescent="0.25">
      <c r="A487" s="24" t="s">
        <v>1608</v>
      </c>
      <c r="B487" s="49" t="str">
        <f>VLOOKUP(TArticle[[#This Row],[شناسه]],TAccount[],2,TRUE)</f>
        <v>بن کارت</v>
      </c>
      <c r="C487" s="49" t="str">
        <f>VLOOKUP(TArticle[[#This Row],[تاریخ]],TDays[],7,FALSE)</f>
        <v>شنبه</v>
      </c>
      <c r="D487" s="21" t="s">
        <v>1259</v>
      </c>
      <c r="E487" s="1">
        <v>3000</v>
      </c>
      <c r="F487" s="1">
        <f>TArticle[[#This Row],[مبلغ]]+IFERROR(INT(F486),30181+3667+958)</f>
        <v>274851</v>
      </c>
      <c r="G487" s="49"/>
      <c r="J487" s="51"/>
      <c r="K487" s="64">
        <v>2</v>
      </c>
      <c r="L487" s="171" t="str">
        <f>IF(TArticle[[#This Row],[کد وضعیت سند]]&gt;0,VLOOKUP(TArticle[[#This Row],[کد وضعیت سند]],TDocState[],2,FALSE),"")</f>
        <v>قطعی</v>
      </c>
      <c r="N487" s="171" t="str">
        <f>IF(TArticle[[#This Row],[کد طرف حساب]]&gt;0,VLOOKUP(TArticle[[#This Row],[کد طرف حساب]],TContact[],2,FALSE),"")</f>
        <v/>
      </c>
      <c r="O487" s="60" t="str">
        <f>IF(TArticle[[#This Row],[کد طرف حساب]]&gt;0,VLOOKUP(TArticle[[#This Row],[کد طرف حساب]],TContact[],7,FALSE)-SUMIF($M$2:M487,M487,$E$2:$E487),"")</f>
        <v/>
      </c>
      <c r="P487" s="27" t="str">
        <f>RIGHT(TArticle[[#This Row],[تاریخ]],2)</f>
        <v>01</v>
      </c>
      <c r="Q487" s="27">
        <f>VLOOKUP(TArticle[[#This Row],[تاریخ]],TDays[],16,FALSE)</f>
        <v>5</v>
      </c>
      <c r="R487" s="27" t="str">
        <f>RIGHT(LEFT(TArticle[[#This Row],[تاریخ]],7),2)</f>
        <v>02</v>
      </c>
      <c r="S487" s="27" t="str">
        <f>LEFT(TArticle[[#This Row],[تاریخ]],4)</f>
        <v>1403</v>
      </c>
      <c r="U487" s="21">
        <f>VLOOKUP(TArticle[[#This Row],[شناسه]],TAccount[],7,TRUE)</f>
        <v>3000</v>
      </c>
      <c r="V487" s="28"/>
      <c r="W487" s="21">
        <f>IF(AND(TArticle[[#This Row],[مبلغ]]&gt;0, TArticle[[#This Row],[کد وضعیت سند]]=1),TArticle[[#This Row],[مبلغ]],0)</f>
        <v>0</v>
      </c>
      <c r="X487" s="27">
        <f>IF(AND(TArticle[[#This Row],[مبلغ]]&lt;0,TArticle[[#This Row],[کد وضعیت سند]]=1),0-TArticle[[#This Row],[مبلغ]],0)</f>
        <v>0</v>
      </c>
      <c r="Y487" s="27">
        <v>2</v>
      </c>
      <c r="Z487" s="171" t="str">
        <f>IF(TArticle[[#This Row],[کد بانک]]&gt;0,VLOOKUP(TArticle[[#This Row],[کد بانک]],TBank[],2,FALSE),"")</f>
        <v>ملی جاری</v>
      </c>
      <c r="AA487">
        <f>IF(AND(TArticle[[#This Row],[مبلغ]]&lt;0,TArticle[[#This Row],[کد وضعیت سند]]=1),0-TArticle[[#This Row],[مبلغ]],0)</f>
        <v>0</v>
      </c>
      <c r="AB487">
        <f>IF(AND(TArticle[[#This Row],[مبلغ]]&gt;0, TArticle[[#This Row],[کد وضعیت سند]]=1),TArticle[[#This Row],[مبلغ]],0)</f>
        <v>0</v>
      </c>
      <c r="AC487" s="92">
        <f>IF(TArticle[[#This Row],[کد بانک]]&gt;0,VLOOKUP(TArticle[[#This Row],[کد بانک]],TBank[],9,FALSE)+SUMIF($Y$2:Y487,Y487,$E$2:$E487),"")</f>
        <v>316503</v>
      </c>
      <c r="AD487" s="1">
        <f>IFERROR(IF(INT(LEFT(TArticle[[#This Row],[شناسه]]))=3,IF(TArticle[[#This Row],[کد وضعیت سند]]=1,TArticle[مبلغ],0),0),0)</f>
        <v>0</v>
      </c>
      <c r="AE487" s="1">
        <f>IFERROR(IF(((TArticle[[#This Row],[شناسه]]))="4.1.1",IF(TArticle[[#This Row],[کد وضعیت سند]]=1,TArticle[مبلغ],0),0),0)</f>
        <v>0</v>
      </c>
      <c r="AF487" s="1">
        <f>IFERROR(IF(((TArticle[[#This Row],[شناسه]]))="4.1.2",IF(TArticle[[#This Row],[کد وضعیت سند]]=1,TArticle[مبلغ],0),0),0)</f>
        <v>0</v>
      </c>
      <c r="AG487" s="1">
        <f>IFERROR(IF(INT(LEFT(TArticle[[#This Row],[شناسه]]))=1,IF(TArticle[[#This Row],[کد وضعیت سند]]=1,TArticle[مبلغ],0),0),0)</f>
        <v>0</v>
      </c>
      <c r="AH487" s="1">
        <f>IFERROR(IF(INT(LEFT(TArticle[[#This Row],[شناسه]]))=2,IF(TArticle[[#This Row],[کد وضعیت سند]]=1,TArticle[مبلغ],0),0),0)</f>
        <v>0</v>
      </c>
      <c r="AI487" s="1">
        <f>IFERROR(IF((LEFT(TArticle[[#This Row],[شناسه]],3))="5.2",IF(TArticle[[#This Row],[کد وضعیت سند]]=1,TArticle[مبلغ],0),0),0)</f>
        <v>0</v>
      </c>
      <c r="AJ487" s="1">
        <f>IF(TArticle[[#This Row],[کد وضعیت سند]]=1,1,0)</f>
        <v>0</v>
      </c>
      <c r="AK487" s="1">
        <f>IF(AND(TArticle[[#This Row],[کد وضعیت سند]]&lt;&gt;1,TArticle[[#This Row],[مبلغ]]&lt;&gt;0),1,0)</f>
        <v>1</v>
      </c>
      <c r="AL487" s="51">
        <f>IF(TArticle[[#This Row],[کد بانک]]&gt;0,TArticle[[#This Row],[مانده بانک]]-VLOOKUP(TArticle[[#This Row],[کد بانک]],TBank[],7,FALSE),"")</f>
        <v>316503</v>
      </c>
      <c r="AM487" s="58" t="str">
        <f>LEFT(TArticle[[#This Row],[تاریخ]],7)</f>
        <v>1403-02</v>
      </c>
    </row>
    <row r="488" spans="1:39" x14ac:dyDescent="0.25">
      <c r="A488" s="24" t="s">
        <v>1110</v>
      </c>
      <c r="B488" s="49" t="str">
        <f>VLOOKUP(TArticle[[#This Row],[شناسه]],TAccount[],2,TRUE)</f>
        <v>قسط وام بانکی</v>
      </c>
      <c r="C488" s="49" t="str">
        <f>VLOOKUP(TArticle[[#This Row],[تاریخ]],TDays[],7,FALSE)</f>
        <v>دوشنبه</v>
      </c>
      <c r="D488" s="21" t="s">
        <v>1215</v>
      </c>
      <c r="E488" s="1">
        <v>-1224</v>
      </c>
      <c r="F488" s="1">
        <f>TArticle[[#This Row],[مبلغ]]+IFERROR(INT(F487),30181+3667+958)</f>
        <v>273627</v>
      </c>
      <c r="G488" s="49"/>
      <c r="H488" s="21">
        <v>8</v>
      </c>
      <c r="K488" s="64">
        <v>2</v>
      </c>
      <c r="L488" s="171" t="str">
        <f>IF(TArticle[[#This Row],[کد وضعیت سند]]&gt;0,VLOOKUP(TArticle[[#This Row],[کد وضعیت سند]],TDocState[],2,FALSE),"")</f>
        <v>قطعی</v>
      </c>
      <c r="M488" s="27">
        <v>115</v>
      </c>
      <c r="N488" s="171" t="str">
        <f>IF(TArticle[[#This Row],[کد طرف حساب]]&gt;0,VLOOKUP(TArticle[[#This Row],[کد طرف حساب]],TContact[],2,FALSE),"")</f>
        <v>وام فرزند مهر</v>
      </c>
      <c r="O488" s="61">
        <f>IF(TArticle[[#This Row],[کد طرف حساب]]&gt;0,VLOOKUP(TArticle[[#This Row],[کد طرف حساب]],TContact[],7,FALSE)-SUMIF($M$2:M488,M488,$E$2:$E488),"")</f>
        <v>-51432</v>
      </c>
      <c r="P488" s="27" t="str">
        <f>RIGHT(TArticle[[#This Row],[تاریخ]],2)</f>
        <v>03</v>
      </c>
      <c r="Q488" s="27">
        <f>VLOOKUP(TArticle[[#This Row],[تاریخ]],TDays[],16,FALSE)</f>
        <v>6</v>
      </c>
      <c r="R488" s="27" t="str">
        <f>RIGHT(LEFT(TArticle[[#This Row],[تاریخ]],7),2)</f>
        <v>02</v>
      </c>
      <c r="S488" s="27" t="str">
        <f>LEFT(TArticle[[#This Row],[تاریخ]],4)</f>
        <v>1403</v>
      </c>
      <c r="U488" s="21">
        <f>VLOOKUP(TArticle[[#This Row],[شناسه]],TAccount[],7,TRUE)</f>
        <v>81652</v>
      </c>
      <c r="W488" s="21">
        <f>IF(AND(TArticle[[#This Row],[مبلغ]]&gt;0, TArticle[[#This Row],[کد وضعیت سند]]=1),TArticle[[#This Row],[مبلغ]],0)</f>
        <v>0</v>
      </c>
      <c r="X488" s="27">
        <f>IF(AND(TArticle[[#This Row],[مبلغ]]&lt;0,TArticle[[#This Row],[کد وضعیت سند]]=1),0-TArticle[[#This Row],[مبلغ]],0)</f>
        <v>0</v>
      </c>
      <c r="Y488" s="27">
        <v>2</v>
      </c>
      <c r="Z488" s="171" t="str">
        <f>IF(TArticle[[#This Row],[کد بانک]]&gt;0,VLOOKUP(TArticle[[#This Row],[کد بانک]],TBank[],2,FALSE),"")</f>
        <v>ملی جاری</v>
      </c>
      <c r="AA488">
        <f>IF(AND(TArticle[[#This Row],[مبلغ]]&lt;0,TArticle[[#This Row],[کد وضعیت سند]]=1),0-TArticle[[#This Row],[مبلغ]],0)</f>
        <v>0</v>
      </c>
      <c r="AB488">
        <f>IF(AND(TArticle[[#This Row],[مبلغ]]&gt;0, TArticle[[#This Row],[کد وضعیت سند]]=1),TArticle[[#This Row],[مبلغ]],0)</f>
        <v>0</v>
      </c>
      <c r="AC488" s="84">
        <f>IF(TArticle[[#This Row],[کد بانک]]&gt;0,VLOOKUP(TArticle[[#This Row],[کد بانک]],TBank[],9,FALSE)+SUMIF($Y$2:Y488,Y488,$E$2:$E488),"")</f>
        <v>315279</v>
      </c>
      <c r="AD488" s="1">
        <f>IFERROR(IF(INT(LEFT(TArticle[[#This Row],[شناسه]]))=3,IF(TArticle[[#This Row],[کد وضعیت سند]]=1,TArticle[مبلغ],0),0),0)</f>
        <v>0</v>
      </c>
      <c r="AE488" s="1">
        <f>IFERROR(IF(((TArticle[[#This Row],[شناسه]]))="4.1.1",IF(TArticle[[#This Row],[کد وضعیت سند]]=1,TArticle[مبلغ],0),0),0)</f>
        <v>0</v>
      </c>
      <c r="AF488" s="1">
        <f>IFERROR(IF(((TArticle[[#This Row],[شناسه]]))="4.1.2",IF(TArticle[[#This Row],[کد وضعیت سند]]=1,TArticle[مبلغ],0),0),0)</f>
        <v>0</v>
      </c>
      <c r="AG488" s="1">
        <f>IFERROR(IF(INT(LEFT(TArticle[[#This Row],[شناسه]]))=1,IF(TArticle[[#This Row],[کد وضعیت سند]]=1,TArticle[مبلغ],0),0),0)</f>
        <v>0</v>
      </c>
      <c r="AH488" s="1">
        <f>IFERROR(IF(INT(LEFT(TArticle[[#This Row],[شناسه]]))=2,IF(TArticle[[#This Row],[کد وضعیت سند]]=1,TArticle[مبلغ],0),0),0)</f>
        <v>0</v>
      </c>
      <c r="AI488" s="1">
        <f>IFERROR(IF((LEFT(TArticle[[#This Row],[شناسه]],3))="5.2",IF(TArticle[[#This Row],[کد وضعیت سند]]=1,TArticle[مبلغ],0),0),0)</f>
        <v>0</v>
      </c>
      <c r="AJ488" s="1">
        <f>IF(TArticle[[#This Row],[کد وضعیت سند]]=1,1,0)</f>
        <v>0</v>
      </c>
      <c r="AK488" s="1">
        <f>IF(AND(TArticle[[#This Row],[کد وضعیت سند]]&lt;&gt;1,TArticle[[#This Row],[مبلغ]]&lt;&gt;0),1,0)</f>
        <v>1</v>
      </c>
      <c r="AL488" s="51">
        <f>IF(TArticle[[#This Row],[کد بانک]]&gt;0,TArticle[[#This Row],[مانده بانک]]-VLOOKUP(TArticle[[#This Row],[کد بانک]],TBank[],7,FALSE),"")</f>
        <v>315279</v>
      </c>
      <c r="AM488" s="58" t="str">
        <f>LEFT(TArticle[[#This Row],[تاریخ]],7)</f>
        <v>1403-02</v>
      </c>
    </row>
    <row r="489" spans="1:39" x14ac:dyDescent="0.25">
      <c r="A489" s="24" t="s">
        <v>1110</v>
      </c>
      <c r="B489" s="49" t="str">
        <f>VLOOKUP(TArticle[[#This Row],[شناسه]],TAccount[],2,TRUE)</f>
        <v>قسط وام بانکی</v>
      </c>
      <c r="C489" s="49" t="str">
        <f>VLOOKUP(TArticle[[#This Row],[تاریخ]],TDays[],7,FALSE)</f>
        <v>دوشنبه</v>
      </c>
      <c r="D489" s="21" t="s">
        <v>1215</v>
      </c>
      <c r="E489" s="1">
        <v>-1830</v>
      </c>
      <c r="F489" s="1">
        <f>TArticle[[#This Row],[مبلغ]]+IFERROR(INT(F488),30181+3667+958)</f>
        <v>271797</v>
      </c>
      <c r="G489" s="49" t="s">
        <v>1591</v>
      </c>
      <c r="H489" s="21">
        <v>35</v>
      </c>
      <c r="K489" s="21">
        <v>2</v>
      </c>
      <c r="L489" s="171" t="str">
        <f>IF(TArticle[[#This Row],[کد وضعیت سند]]&gt;0,VLOOKUP(TArticle[[#This Row],[کد وضعیت سند]],TDocState[],2,FALSE),"")</f>
        <v>قطعی</v>
      </c>
      <c r="M489" s="27">
        <v>110</v>
      </c>
      <c r="N489" s="171" t="str">
        <f>IF(TArticle[[#This Row],[کد طرف حساب]]&gt;0,VLOOKUP(TArticle[[#This Row],[کد طرف حساب]],TContact[],2,FALSE),"")</f>
        <v>وام ملت</v>
      </c>
      <c r="O489" s="61">
        <f>IF(TArticle[[#This Row],[کد طرف حساب]]&gt;0,VLOOKUP(TArticle[[#This Row],[کد طرف حساب]],TContact[],7,FALSE)-SUMIF($M$2:M489,M489,$E$2:$E489),"")</f>
        <v>-590</v>
      </c>
      <c r="P489" s="27" t="str">
        <f>RIGHT(TArticle[[#This Row],[تاریخ]],2)</f>
        <v>03</v>
      </c>
      <c r="Q489" s="27">
        <f>VLOOKUP(TArticle[[#This Row],[تاریخ]],TDays[],16,FALSE)</f>
        <v>6</v>
      </c>
      <c r="R489" s="27" t="str">
        <f>RIGHT(LEFT(TArticle[[#This Row],[تاریخ]],7),2)</f>
        <v>02</v>
      </c>
      <c r="S489" s="27" t="str">
        <f>LEFT(TArticle[[#This Row],[تاریخ]],4)</f>
        <v>1403</v>
      </c>
      <c r="U489" s="21">
        <f>VLOOKUP(TArticle[[#This Row],[شناسه]],TAccount[],7,TRUE)</f>
        <v>81652</v>
      </c>
      <c r="V489" s="21" t="s">
        <v>1215</v>
      </c>
      <c r="W489" s="21">
        <f>IF(AND(TArticle[[#This Row],[مبلغ]]&gt;0, TArticle[[#This Row],[کد وضعیت سند]]=1),TArticle[[#This Row],[مبلغ]],0)</f>
        <v>0</v>
      </c>
      <c r="X489" s="27">
        <f>IF(AND(TArticle[[#This Row],[مبلغ]]&lt;0,TArticle[[#This Row],[کد وضعیت سند]]=1),0-TArticle[[#This Row],[مبلغ]],0)</f>
        <v>0</v>
      </c>
      <c r="Y489" s="27">
        <v>2</v>
      </c>
      <c r="Z489" s="171" t="str">
        <f>IF(TArticle[[#This Row],[کد بانک]]&gt;0,VLOOKUP(TArticle[[#This Row],[کد بانک]],TBank[],2,FALSE),"")</f>
        <v>ملی جاری</v>
      </c>
      <c r="AA489">
        <f>IF(AND(TArticle[[#This Row],[مبلغ]]&lt;0,TArticle[[#This Row],[کد وضعیت سند]]=1),0-TArticle[[#This Row],[مبلغ]],0)</f>
        <v>0</v>
      </c>
      <c r="AB489">
        <f>IF(AND(TArticle[[#This Row],[مبلغ]]&gt;0, TArticle[[#This Row],[کد وضعیت سند]]=1),TArticle[[#This Row],[مبلغ]],0)</f>
        <v>0</v>
      </c>
      <c r="AC489" s="84">
        <f>IF(TArticle[[#This Row],[کد بانک]]&gt;0,VLOOKUP(TArticle[[#This Row],[کد بانک]],TBank[],9,FALSE)+SUMIF($Y$2:Y489,Y489,$E$2:$E489),"")</f>
        <v>313449</v>
      </c>
      <c r="AD489" s="1">
        <f>IFERROR(IF(INT(LEFT(TArticle[[#This Row],[شناسه]]))=3,IF(TArticle[[#This Row],[کد وضعیت سند]]=1,TArticle[مبلغ],0),0),0)</f>
        <v>0</v>
      </c>
      <c r="AE489" s="1">
        <f>IFERROR(IF(((TArticle[[#This Row],[شناسه]]))="4.1.1",IF(TArticle[[#This Row],[کد وضعیت سند]]=1,TArticle[مبلغ],0),0),0)</f>
        <v>0</v>
      </c>
      <c r="AF489" s="1">
        <f>IFERROR(IF(((TArticle[[#This Row],[شناسه]]))="4.1.2",IF(TArticle[[#This Row],[کد وضعیت سند]]=1,TArticle[مبلغ],0),0),0)</f>
        <v>0</v>
      </c>
      <c r="AG489" s="1">
        <f>IFERROR(IF(INT(LEFT(TArticle[[#This Row],[شناسه]]))=1,IF(TArticle[[#This Row],[کد وضعیت سند]]=1,TArticle[مبلغ],0),0),0)</f>
        <v>0</v>
      </c>
      <c r="AH489" s="1">
        <f>IFERROR(IF(INT(LEFT(TArticle[[#This Row],[شناسه]]))=2,IF(TArticle[[#This Row],[کد وضعیت سند]]=1,TArticle[مبلغ],0),0),0)</f>
        <v>0</v>
      </c>
      <c r="AI489" s="1">
        <f>IFERROR(IF((LEFT(TArticle[[#This Row],[شناسه]],3))="5.2",IF(TArticle[[#This Row],[کد وضعیت سند]]=1,TArticle[مبلغ],0),0),0)</f>
        <v>0</v>
      </c>
      <c r="AJ489" s="1">
        <f>IF(TArticle[[#This Row],[کد وضعیت سند]]=1,1,0)</f>
        <v>0</v>
      </c>
      <c r="AK489" s="1">
        <f>IF(AND(TArticle[[#This Row],[کد وضعیت سند]]&lt;&gt;1,TArticle[[#This Row],[مبلغ]]&lt;&gt;0),1,0)</f>
        <v>1</v>
      </c>
      <c r="AL489" s="51">
        <f>IF(TArticle[[#This Row],[کد بانک]]&gt;0,TArticle[[#This Row],[مانده بانک]]-VLOOKUP(TArticle[[#This Row],[کد بانک]],TBank[],7,FALSE),"")</f>
        <v>313449</v>
      </c>
      <c r="AM489" s="49" t="str">
        <f>LEFT(TArticle[[#This Row],[تاریخ]],7)</f>
        <v>1403-02</v>
      </c>
    </row>
    <row r="490" spans="1:39" x14ac:dyDescent="0.25">
      <c r="A490" s="24" t="s">
        <v>1110</v>
      </c>
      <c r="B490" s="49" t="str">
        <f>VLOOKUP(TArticle[[#This Row],[شناسه]],TAccount[],2,TRUE)</f>
        <v>قسط وام بانکی</v>
      </c>
      <c r="C490" s="49" t="str">
        <f>VLOOKUP(TArticle[[#This Row],[تاریخ]],TDays[],7,FALSE)</f>
        <v>دوشنبه</v>
      </c>
      <c r="D490" s="21" t="s">
        <v>1215</v>
      </c>
      <c r="E490" s="1">
        <v>-1830</v>
      </c>
      <c r="F490" s="1">
        <f>TArticle[[#This Row],[مبلغ]]+IFERROR(INT(F489),30181+3667+958)</f>
        <v>269967</v>
      </c>
      <c r="G490" s="49" t="s">
        <v>1591</v>
      </c>
      <c r="H490" s="21">
        <v>35</v>
      </c>
      <c r="K490" s="21">
        <v>2</v>
      </c>
      <c r="L490" s="171" t="str">
        <f>IF(TArticle[[#This Row],[کد وضعیت سند]]&gt;0,VLOOKUP(TArticle[[#This Row],[کد وضعیت سند]],TDocState[],2,FALSE),"")</f>
        <v>قطعی</v>
      </c>
      <c r="M490" s="27">
        <v>111</v>
      </c>
      <c r="N490" s="171" t="str">
        <f>IF(TArticle[[#This Row],[کد طرف حساب]]&gt;0,VLOOKUP(TArticle[[#This Row],[کد طرف حساب]],TContact[],2,FALSE),"")</f>
        <v>وام ملت ف</v>
      </c>
      <c r="O490" s="61">
        <f>IF(TArticle[[#This Row],[کد طرف حساب]]&gt;0,VLOOKUP(TArticle[[#This Row],[کد طرف حساب]],TContact[],7,FALSE)-SUMIF($M$2:M490,M490,$E$2:$E490),"")</f>
        <v>-590</v>
      </c>
      <c r="P490" s="27" t="str">
        <f>RIGHT(TArticle[[#This Row],[تاریخ]],2)</f>
        <v>03</v>
      </c>
      <c r="Q490" s="27">
        <f>VLOOKUP(TArticle[[#This Row],[تاریخ]],TDays[],16,FALSE)</f>
        <v>6</v>
      </c>
      <c r="R490" s="27" t="str">
        <f>RIGHT(LEFT(TArticle[[#This Row],[تاریخ]],7),2)</f>
        <v>02</v>
      </c>
      <c r="S490" s="27" t="str">
        <f>LEFT(TArticle[[#This Row],[تاریخ]],4)</f>
        <v>1403</v>
      </c>
      <c r="U490" s="21">
        <f>VLOOKUP(TArticle[[#This Row],[شناسه]],TAccount[],7,TRUE)</f>
        <v>81652</v>
      </c>
      <c r="V490" s="21" t="s">
        <v>1215</v>
      </c>
      <c r="W490" s="21">
        <f>IF(AND(TArticle[[#This Row],[مبلغ]]&gt;0, TArticle[[#This Row],[کد وضعیت سند]]=1),TArticle[[#This Row],[مبلغ]],0)</f>
        <v>0</v>
      </c>
      <c r="X490" s="27">
        <f>IF(AND(TArticle[[#This Row],[مبلغ]]&lt;0,TArticle[[#This Row],[کد وضعیت سند]]=1),0-TArticle[[#This Row],[مبلغ]],0)</f>
        <v>0</v>
      </c>
      <c r="Y490" s="27">
        <v>2</v>
      </c>
      <c r="Z490" s="171" t="str">
        <f>IF(TArticle[[#This Row],[کد بانک]]&gt;0,VLOOKUP(TArticle[[#This Row],[کد بانک]],TBank[],2,FALSE),"")</f>
        <v>ملی جاری</v>
      </c>
      <c r="AA490">
        <f>IF(AND(TArticle[[#This Row],[مبلغ]]&lt;0,TArticle[[#This Row],[کد وضعیت سند]]=1),0-TArticle[[#This Row],[مبلغ]],0)</f>
        <v>0</v>
      </c>
      <c r="AB490">
        <f>IF(AND(TArticle[[#This Row],[مبلغ]]&gt;0, TArticle[[#This Row],[کد وضعیت سند]]=1),TArticle[[#This Row],[مبلغ]],0)</f>
        <v>0</v>
      </c>
      <c r="AC490" s="84">
        <f>IF(TArticle[[#This Row],[کد بانک]]&gt;0,VLOOKUP(TArticle[[#This Row],[کد بانک]],TBank[],9,FALSE)+SUMIF($Y$2:Y490,Y490,$E$2:$E490),"")</f>
        <v>311619</v>
      </c>
      <c r="AD490" s="1">
        <f>IFERROR(IF(INT(LEFT(TArticle[[#This Row],[شناسه]]))=3,IF(TArticle[[#This Row],[کد وضعیت سند]]=1,TArticle[مبلغ],0),0),0)</f>
        <v>0</v>
      </c>
      <c r="AE490" s="1">
        <f>IFERROR(IF(((TArticle[[#This Row],[شناسه]]))="4.1.1",IF(TArticle[[#This Row],[کد وضعیت سند]]=1,TArticle[مبلغ],0),0),0)</f>
        <v>0</v>
      </c>
      <c r="AF490" s="1">
        <f>IFERROR(IF(((TArticle[[#This Row],[شناسه]]))="4.1.2",IF(TArticle[[#This Row],[کد وضعیت سند]]=1,TArticle[مبلغ],0),0),0)</f>
        <v>0</v>
      </c>
      <c r="AG490" s="1">
        <f>IFERROR(IF(INT(LEFT(TArticle[[#This Row],[شناسه]]))=1,IF(TArticle[[#This Row],[کد وضعیت سند]]=1,TArticle[مبلغ],0),0),0)</f>
        <v>0</v>
      </c>
      <c r="AH490" s="1">
        <f>IFERROR(IF(INT(LEFT(TArticle[[#This Row],[شناسه]]))=2,IF(TArticle[[#This Row],[کد وضعیت سند]]=1,TArticle[مبلغ],0),0),0)</f>
        <v>0</v>
      </c>
      <c r="AI490" s="1">
        <f>IFERROR(IF((LEFT(TArticle[[#This Row],[شناسه]],3))="5.2",IF(TArticle[[#This Row],[کد وضعیت سند]]=1,TArticle[مبلغ],0),0),0)</f>
        <v>0</v>
      </c>
      <c r="AJ490" s="1">
        <f>IF(TArticle[[#This Row],[کد وضعیت سند]]=1,1,0)</f>
        <v>0</v>
      </c>
      <c r="AK490" s="1">
        <f>IF(AND(TArticle[[#This Row],[کد وضعیت سند]]&lt;&gt;1,TArticle[[#This Row],[مبلغ]]&lt;&gt;0),1,0)</f>
        <v>1</v>
      </c>
      <c r="AL490" s="51">
        <f>IF(TArticle[[#This Row],[کد بانک]]&gt;0,TArticle[[#This Row],[مانده بانک]]-VLOOKUP(TArticle[[#This Row],[کد بانک]],TBank[],7,FALSE),"")</f>
        <v>311619</v>
      </c>
      <c r="AM490" s="49" t="str">
        <f>LEFT(TArticle[[#This Row],[تاریخ]],7)</f>
        <v>1403-02</v>
      </c>
    </row>
    <row r="491" spans="1:39" x14ac:dyDescent="0.25">
      <c r="A491" s="24" t="s">
        <v>1110</v>
      </c>
      <c r="B491" s="49" t="str">
        <f>VLOOKUP(TArticle[[#This Row],[شناسه]],TAccount[],2,TRUE)</f>
        <v>قسط وام بانکی</v>
      </c>
      <c r="C491" s="49" t="str">
        <f>VLOOKUP(TArticle[[#This Row],[تاریخ]],TDays[],7,FALSE)</f>
        <v>سه شنبه</v>
      </c>
      <c r="D491" s="21" t="s">
        <v>1261</v>
      </c>
      <c r="E491" s="1">
        <v>-532</v>
      </c>
      <c r="F491" s="1">
        <f>TArticle[[#This Row],[مبلغ]]+IFERROR(INT(F490),30181+3667+958)</f>
        <v>269435</v>
      </c>
      <c r="G491" s="49"/>
      <c r="H491" s="21">
        <v>14</v>
      </c>
      <c r="J491" s="65"/>
      <c r="K491" s="64">
        <v>2</v>
      </c>
      <c r="L491" s="171" t="str">
        <f>IF(TArticle[[#This Row],[کد وضعیت سند]]&gt;0,VLOOKUP(TArticle[[#This Row],[کد وضعیت سند]],TDocState[],2,FALSE),"")</f>
        <v>قطعی</v>
      </c>
      <c r="M491" s="67">
        <v>116</v>
      </c>
      <c r="N491" s="171" t="str">
        <f>IF(TArticle[[#This Row],[کد طرف حساب]]&gt;0,VLOOKUP(TArticle[[#This Row],[کد طرف حساب]],TContact[],2,FALSE),"")</f>
        <v>وام امتیازی مهر</v>
      </c>
      <c r="O491" s="68">
        <f>IF(TArticle[[#This Row],[کد طرف حساب]]&gt;0,VLOOKUP(TArticle[[#This Row],[کد طرف حساب]],TContact[],7,FALSE)-SUMIF($M$2:M491,M491,$E$2:$E491),"")</f>
        <v>-5316</v>
      </c>
      <c r="P491" s="67" t="str">
        <f>RIGHT(TArticle[[#This Row],[تاریخ]],2)</f>
        <v>04</v>
      </c>
      <c r="Q491" s="67">
        <f>VLOOKUP(TArticle[[#This Row],[تاریخ]],TDays[],16,FALSE)</f>
        <v>6</v>
      </c>
      <c r="R491" s="67" t="str">
        <f>RIGHT(LEFT(TArticle[[#This Row],[تاریخ]],7),2)</f>
        <v>02</v>
      </c>
      <c r="S491" s="67" t="str">
        <f>LEFT(TArticle[[#This Row],[تاریخ]],4)</f>
        <v>1403</v>
      </c>
      <c r="T491" s="64"/>
      <c r="U491" s="64">
        <f>VLOOKUP(TArticle[[#This Row],[شناسه]],TAccount[],7,TRUE)</f>
        <v>81652</v>
      </c>
      <c r="V491" s="28"/>
      <c r="W491" s="64">
        <f>IF(AND(TArticle[[#This Row],[مبلغ]]&gt;0, TArticle[[#This Row],[کد وضعیت سند]]=1),TArticle[[#This Row],[مبلغ]],0)</f>
        <v>0</v>
      </c>
      <c r="X491" s="67">
        <f>IF(AND(TArticle[[#This Row],[مبلغ]]&lt;0,TArticle[[#This Row],[کد وضعیت سند]]=1),0-TArticle[[#This Row],[مبلغ]],0)</f>
        <v>0</v>
      </c>
      <c r="Y491" s="27">
        <v>2</v>
      </c>
      <c r="Z491" s="171" t="str">
        <f>IF(TArticle[[#This Row],[کد بانک]]&gt;0,VLOOKUP(TArticle[[#This Row],[کد بانک]],TBank[],2,FALSE),"")</f>
        <v>ملی جاری</v>
      </c>
      <c r="AA491">
        <f>IF(AND(TArticle[[#This Row],[مبلغ]]&lt;0,TArticle[[#This Row],[کد وضعیت سند]]=1),0-TArticle[[#This Row],[مبلغ]],0)</f>
        <v>0</v>
      </c>
      <c r="AB491">
        <f>IF(AND(TArticle[[#This Row],[مبلغ]]&gt;0, TArticle[[#This Row],[کد وضعیت سند]]=1),TArticle[[#This Row],[مبلغ]],0)</f>
        <v>0</v>
      </c>
      <c r="AC491" s="93">
        <f>IF(TArticle[[#This Row],[کد بانک]]&gt;0,VLOOKUP(TArticle[[#This Row],[کد بانک]],TBank[],9,FALSE)+SUMIF($Y$2:Y491,Y491,$E$2:$E491),"")</f>
        <v>311087</v>
      </c>
      <c r="AD491" s="1">
        <f>IFERROR(IF(INT(LEFT(TArticle[[#This Row],[شناسه]]))=3,IF(TArticle[[#This Row],[کد وضعیت سند]]=1,TArticle[مبلغ],0),0),0)</f>
        <v>0</v>
      </c>
      <c r="AE491" s="1">
        <f>IFERROR(IF(((TArticle[[#This Row],[شناسه]]))="4.1.1",IF(TArticle[[#This Row],[کد وضعیت سند]]=1,TArticle[مبلغ],0),0),0)</f>
        <v>0</v>
      </c>
      <c r="AF491" s="1">
        <f>IFERROR(IF(((TArticle[[#This Row],[شناسه]]))="4.1.2",IF(TArticle[[#This Row],[کد وضعیت سند]]=1,TArticle[مبلغ],0),0),0)</f>
        <v>0</v>
      </c>
      <c r="AG491" s="1">
        <f>IFERROR(IF(INT(LEFT(TArticle[[#This Row],[شناسه]]))=1,IF(TArticle[[#This Row],[کد وضعیت سند]]=1,TArticle[مبلغ],0),0),0)</f>
        <v>0</v>
      </c>
      <c r="AH491" s="1">
        <f>IFERROR(IF(INT(LEFT(TArticle[[#This Row],[شناسه]]))=2,IF(TArticle[[#This Row],[کد وضعیت سند]]=1,TArticle[مبلغ],0),0),0)</f>
        <v>0</v>
      </c>
      <c r="AI491" s="1">
        <f>IFERROR(IF((LEFT(TArticle[[#This Row],[شناسه]],3))="5.2",IF(TArticle[[#This Row],[کد وضعیت سند]]=1,TArticle[مبلغ],0),0),0)</f>
        <v>0</v>
      </c>
      <c r="AJ491" s="1">
        <f>IF(TArticle[[#This Row],[کد وضعیت سند]]=1,1,0)</f>
        <v>0</v>
      </c>
      <c r="AK491" s="1">
        <f>IF(AND(TArticle[[#This Row],[کد وضعیت سند]]&lt;&gt;1,TArticle[[#This Row],[مبلغ]]&lt;&gt;0),1,0)</f>
        <v>1</v>
      </c>
      <c r="AL491" s="78">
        <f>IF(TArticle[[#This Row],[کد بانک]]&gt;0,TArticle[[#This Row],[مانده بانک]]-VLOOKUP(TArticle[[#This Row],[کد بانک]],TBank[],7,FALSE),"")</f>
        <v>311087</v>
      </c>
      <c r="AM491" s="69" t="str">
        <f>LEFT(TArticle[[#This Row],[تاریخ]],7)</f>
        <v>1403-02</v>
      </c>
    </row>
    <row r="492" spans="1:39" x14ac:dyDescent="0.25">
      <c r="A492" s="24" t="s">
        <v>1110</v>
      </c>
      <c r="B492" s="49" t="str">
        <f>VLOOKUP(TArticle[[#This Row],[شناسه]],TAccount[],2,TRUE)</f>
        <v>قسط وام بانکی</v>
      </c>
      <c r="C492" s="49" t="str">
        <f>VLOOKUP(TArticle[[#This Row],[تاریخ]],TDays[],7,FALSE)</f>
        <v>یکشنبه</v>
      </c>
      <c r="D492" s="21" t="s">
        <v>1266</v>
      </c>
      <c r="E492" s="1">
        <f>'طرف حساب'!$J$29</f>
        <v>-3616</v>
      </c>
      <c r="F492" s="1">
        <f>TArticle[[#This Row],[مبلغ]]+IFERROR(INT(F491),30181+3667+958)</f>
        <v>265819</v>
      </c>
      <c r="G492" s="49"/>
      <c r="H492" s="21">
        <v>15</v>
      </c>
      <c r="J492" s="65"/>
      <c r="K492" s="64">
        <v>2</v>
      </c>
      <c r="L492" s="171" t="str">
        <f>IF(TArticle[[#This Row],[کد وضعیت سند]]&gt;0,VLOOKUP(TArticle[[#This Row],[کد وضعیت سند]],TDocState[],2,FALSE),"")</f>
        <v>قطعی</v>
      </c>
      <c r="M492" s="67">
        <v>114</v>
      </c>
      <c r="N492" s="171" t="str">
        <f>IF(TArticle[[#This Row],[کد طرف حساب]]&gt;0,VLOOKUP(TArticle[[#This Row],[کد طرف حساب]],TContact[],2,FALSE),"")</f>
        <v>وام کارت ملی ف</v>
      </c>
      <c r="O492" s="68">
        <f>IF(TArticle[[#This Row],[کد طرف حساب]]&gt;0,VLOOKUP(TArticle[[#This Row],[کد طرف حساب]],TContact[],7,FALSE)-SUMIF($M$2:M492,M492,$E$2:$E492),"")</f>
        <v>-77218</v>
      </c>
      <c r="P492" s="67" t="str">
        <f>RIGHT(TArticle[[#This Row],[تاریخ]],2)</f>
        <v>09</v>
      </c>
      <c r="Q492" s="67">
        <f>VLOOKUP(TArticle[[#This Row],[تاریخ]],TDays[],16,FALSE)</f>
        <v>6</v>
      </c>
      <c r="R492" s="67" t="str">
        <f>RIGHT(LEFT(TArticle[[#This Row],[تاریخ]],7),2)</f>
        <v>02</v>
      </c>
      <c r="S492" s="67" t="str">
        <f>LEFT(TArticle[[#This Row],[تاریخ]],4)</f>
        <v>1403</v>
      </c>
      <c r="T492" s="64"/>
      <c r="U492" s="64">
        <f>VLOOKUP(TArticle[[#This Row],[شناسه]],TAccount[],7,TRUE)</f>
        <v>81652</v>
      </c>
      <c r="V492" s="64"/>
      <c r="W492" s="64">
        <f>IF(AND(TArticle[[#This Row],[مبلغ]]&gt;0, TArticle[[#This Row],[کد وضعیت سند]]=1),TArticle[[#This Row],[مبلغ]],0)</f>
        <v>0</v>
      </c>
      <c r="X492" s="67">
        <f>IF(AND(TArticle[[#This Row],[مبلغ]]&lt;0,TArticle[[#This Row],[کد وضعیت سند]]=1),0-TArticle[[#This Row],[مبلغ]],0)</f>
        <v>0</v>
      </c>
      <c r="Y492" s="27">
        <v>2</v>
      </c>
      <c r="Z492" s="171" t="str">
        <f>IF(TArticle[[#This Row],[کد بانک]]&gt;0,VLOOKUP(TArticle[[#This Row],[کد بانک]],TBank[],2,FALSE),"")</f>
        <v>ملی جاری</v>
      </c>
      <c r="AA492">
        <f>IF(AND(TArticle[[#This Row],[مبلغ]]&lt;0,TArticle[[#This Row],[کد وضعیت سند]]=1),0-TArticle[[#This Row],[مبلغ]],0)</f>
        <v>0</v>
      </c>
      <c r="AB492">
        <f>IF(AND(TArticle[[#This Row],[مبلغ]]&gt;0, TArticle[[#This Row],[کد وضعیت سند]]=1),TArticle[[#This Row],[مبلغ]],0)</f>
        <v>0</v>
      </c>
      <c r="AC492" s="93">
        <f>IF(TArticle[[#This Row],[کد بانک]]&gt;0,VLOOKUP(TArticle[[#This Row],[کد بانک]],TBank[],9,FALSE)+SUMIF($Y$2:Y492,Y492,$E$2:$E492),"")</f>
        <v>307471</v>
      </c>
      <c r="AD492" s="1">
        <f>IFERROR(IF(INT(LEFT(TArticle[[#This Row],[شناسه]]))=3,IF(TArticle[[#This Row],[کد وضعیت سند]]=1,TArticle[مبلغ],0),0),0)</f>
        <v>0</v>
      </c>
      <c r="AE492" s="1">
        <f>IFERROR(IF(((TArticle[[#This Row],[شناسه]]))="4.1.1",IF(TArticle[[#This Row],[کد وضعیت سند]]=1,TArticle[مبلغ],0),0),0)</f>
        <v>0</v>
      </c>
      <c r="AF492" s="1">
        <f>IFERROR(IF(((TArticle[[#This Row],[شناسه]]))="4.1.2",IF(TArticle[[#This Row],[کد وضعیت سند]]=1,TArticle[مبلغ],0),0),0)</f>
        <v>0</v>
      </c>
      <c r="AG492" s="1">
        <f>IFERROR(IF(INT(LEFT(TArticle[[#This Row],[شناسه]]))=1,IF(TArticle[[#This Row],[کد وضعیت سند]]=1,TArticle[مبلغ],0),0),0)</f>
        <v>0</v>
      </c>
      <c r="AH492" s="1">
        <f>IFERROR(IF(INT(LEFT(TArticle[[#This Row],[شناسه]]))=2,IF(TArticle[[#This Row],[کد وضعیت سند]]=1,TArticle[مبلغ],0),0),0)</f>
        <v>0</v>
      </c>
      <c r="AI492" s="1">
        <f>IFERROR(IF((LEFT(TArticle[[#This Row],[شناسه]],3))="5.2",IF(TArticle[[#This Row],[کد وضعیت سند]]=1,TArticle[مبلغ],0),0),0)</f>
        <v>0</v>
      </c>
      <c r="AJ492" s="1">
        <f>IF(TArticle[[#This Row],[کد وضعیت سند]]=1,1,0)</f>
        <v>0</v>
      </c>
      <c r="AK492" s="1">
        <f>IF(AND(TArticle[[#This Row],[کد وضعیت سند]]&lt;&gt;1,TArticle[[#This Row],[مبلغ]]&lt;&gt;0),1,0)</f>
        <v>1</v>
      </c>
      <c r="AL492" s="78">
        <f>IF(TArticle[[#This Row],[کد بانک]]&gt;0,TArticle[[#This Row],[مانده بانک]]-VLOOKUP(TArticle[[#This Row],[کد بانک]],TBank[],7,FALSE),"")</f>
        <v>307471</v>
      </c>
      <c r="AM492" s="69" t="str">
        <f>LEFT(TArticle[[#This Row],[تاریخ]],7)</f>
        <v>1403-02</v>
      </c>
    </row>
    <row r="493" spans="1:39" x14ac:dyDescent="0.25">
      <c r="A493" s="24" t="s">
        <v>1013</v>
      </c>
      <c r="B493" s="49" t="str">
        <f>VLOOKUP(TArticle[[#This Row],[شناسه]],TAccount[],2,TRUE)</f>
        <v>یارانه</v>
      </c>
      <c r="C493" s="49" t="str">
        <f>VLOOKUP(TArticle[[#This Row],[تاریخ]],TDays[],7,FALSE)</f>
        <v>پنجشنبه</v>
      </c>
      <c r="D493" s="21" t="s">
        <v>1277</v>
      </c>
      <c r="E493" s="1">
        <v>1500</v>
      </c>
      <c r="F493" s="1">
        <f>TArticle[[#This Row],[مبلغ]]+IFERROR(INT(F492),30181+3667+958)</f>
        <v>267319</v>
      </c>
      <c r="G493" s="49"/>
      <c r="H493" s="64"/>
      <c r="J493" s="65"/>
      <c r="K493" s="64">
        <v>2</v>
      </c>
      <c r="L493" s="171" t="str">
        <f>IF(TArticle[[#This Row],[کد وضعیت سند]]&gt;0,VLOOKUP(TArticle[[#This Row],[کد وضعیت سند]],TDocState[],2,FALSE),"")</f>
        <v>قطعی</v>
      </c>
      <c r="M493" s="67"/>
      <c r="N493" s="171" t="str">
        <f>IF(TArticle[[#This Row],[کد طرف حساب]]&gt;0,VLOOKUP(TArticle[[#This Row],[کد طرف حساب]],TContact[],2,FALSE),"")</f>
        <v/>
      </c>
      <c r="O493" s="68" t="str">
        <f>IF(TArticle[[#This Row],[کد طرف حساب]]&gt;0,VLOOKUP(TArticle[[#This Row],[کد طرف حساب]],TContact[],7,FALSE)-SUMIF($M$2:M493,M493,$E$2:$E493),"")</f>
        <v/>
      </c>
      <c r="P493" s="67" t="str">
        <f>RIGHT(TArticle[[#This Row],[تاریخ]],2)</f>
        <v>20</v>
      </c>
      <c r="Q493" s="67">
        <f>VLOOKUP(TArticle[[#This Row],[تاریخ]],TDays[],16,FALSE)</f>
        <v>8</v>
      </c>
      <c r="R493" s="67" t="str">
        <f>RIGHT(LEFT(TArticle[[#This Row],[تاریخ]],7),2)</f>
        <v>02</v>
      </c>
      <c r="S493" s="67" t="str">
        <f>LEFT(TArticle[[#This Row],[تاریخ]],4)</f>
        <v>1403</v>
      </c>
      <c r="T493" s="64"/>
      <c r="U493" s="64">
        <f>VLOOKUP(TArticle[[#This Row],[شناسه]],TAccount[],7,TRUE)</f>
        <v>12565</v>
      </c>
      <c r="V493" s="64"/>
      <c r="W493" s="64">
        <f>IF(AND(TArticle[[#This Row],[مبلغ]]&gt;0, TArticle[[#This Row],[کد وضعیت سند]]=1),TArticle[[#This Row],[مبلغ]],0)</f>
        <v>0</v>
      </c>
      <c r="X493" s="67">
        <f>IF(AND(TArticle[[#This Row],[مبلغ]]&lt;0,TArticle[[#This Row],[کد وضعیت سند]]=1),0-TArticle[[#This Row],[مبلغ]],0)</f>
        <v>0</v>
      </c>
      <c r="Y493" s="27">
        <v>2</v>
      </c>
      <c r="Z493" s="171" t="str">
        <f>IF(TArticle[[#This Row],[کد بانک]]&gt;0,VLOOKUP(TArticle[[#This Row],[کد بانک]],TBank[],2,FALSE),"")</f>
        <v>ملی جاری</v>
      </c>
      <c r="AA493">
        <f>IF(AND(TArticle[[#This Row],[مبلغ]]&lt;0,TArticle[[#This Row],[کد وضعیت سند]]=1),0-TArticle[[#This Row],[مبلغ]],0)</f>
        <v>0</v>
      </c>
      <c r="AB493">
        <f>IF(AND(TArticle[[#This Row],[مبلغ]]&gt;0, TArticle[[#This Row],[کد وضعیت سند]]=1),TArticle[[#This Row],[مبلغ]],0)</f>
        <v>0</v>
      </c>
      <c r="AC493" s="93">
        <f>IF(TArticle[[#This Row],[کد بانک]]&gt;0,VLOOKUP(TArticle[[#This Row],[کد بانک]],TBank[],9,FALSE)+SUMIF($Y$2:Y493,Y493,$E$2:$E493),"")</f>
        <v>308971</v>
      </c>
      <c r="AD493" s="1">
        <f>IFERROR(IF(INT(LEFT(TArticle[[#This Row],[شناسه]]))=3,IF(TArticle[[#This Row],[کد وضعیت سند]]=1,TArticle[مبلغ],0),0),0)</f>
        <v>0</v>
      </c>
      <c r="AE493" s="1">
        <f>IFERROR(IF(((TArticle[[#This Row],[شناسه]]))="4.1.1",IF(TArticle[[#This Row],[کد وضعیت سند]]=1,TArticle[مبلغ],0),0),0)</f>
        <v>0</v>
      </c>
      <c r="AF493" s="1">
        <f>IFERROR(IF(((TArticle[[#This Row],[شناسه]]))="4.1.2",IF(TArticle[[#This Row],[کد وضعیت سند]]=1,TArticle[مبلغ],0),0),0)</f>
        <v>0</v>
      </c>
      <c r="AG493" s="1">
        <f>IFERROR(IF(INT(LEFT(TArticle[[#This Row],[شناسه]]))=1,IF(TArticle[[#This Row],[کد وضعیت سند]]=1,TArticle[مبلغ],0),0),0)</f>
        <v>0</v>
      </c>
      <c r="AH493" s="1">
        <f>IFERROR(IF(INT(LEFT(TArticle[[#This Row],[شناسه]]))=2,IF(TArticle[[#This Row],[کد وضعیت سند]]=1,TArticle[مبلغ],0),0),0)</f>
        <v>0</v>
      </c>
      <c r="AI493" s="1">
        <f>IFERROR(IF((LEFT(TArticle[[#This Row],[شناسه]],3))="5.2",IF(TArticle[[#This Row],[کد وضعیت سند]]=1,TArticle[مبلغ],0),0),0)</f>
        <v>0</v>
      </c>
      <c r="AJ493" s="1">
        <f>IF(TArticle[[#This Row],[کد وضعیت سند]]=1,1,0)</f>
        <v>0</v>
      </c>
      <c r="AK493" s="1">
        <f>IF(AND(TArticle[[#This Row],[کد وضعیت سند]]&lt;&gt;1,TArticle[[#This Row],[مبلغ]]&lt;&gt;0),1,0)</f>
        <v>1</v>
      </c>
      <c r="AL493" s="78">
        <f>IF(TArticle[[#This Row],[کد بانک]]&gt;0,TArticle[[#This Row],[مانده بانک]]-VLOOKUP(TArticle[[#This Row],[کد بانک]],TBank[],7,FALSE),"")</f>
        <v>308971</v>
      </c>
      <c r="AM493" s="69" t="str">
        <f>LEFT(TArticle[[#This Row],[تاریخ]],7)</f>
        <v>1403-02</v>
      </c>
    </row>
    <row r="494" spans="1:39" x14ac:dyDescent="0.25">
      <c r="A494" s="24" t="s">
        <v>1110</v>
      </c>
      <c r="B494" s="49" t="str">
        <f>VLOOKUP(TArticle[[#This Row],[شناسه]],TAccount[],2,TRUE)</f>
        <v>قسط وام بانکی</v>
      </c>
      <c r="C494" s="49" t="str">
        <f>VLOOKUP(TArticle[[#This Row],[تاریخ]],TDays[],7,FALSE)</f>
        <v>جمعه</v>
      </c>
      <c r="D494" s="21" t="s">
        <v>1285</v>
      </c>
      <c r="E494" s="1">
        <v>-1808</v>
      </c>
      <c r="F494" s="1">
        <f>TArticle[[#This Row],[مبلغ]]+IFERROR(INT(F493),30181+3667+958)</f>
        <v>265511</v>
      </c>
      <c r="G494" s="49" t="s">
        <v>1597</v>
      </c>
      <c r="H494" s="21">
        <v>31</v>
      </c>
      <c r="K494" s="21">
        <v>2</v>
      </c>
      <c r="L494" s="171" t="str">
        <f>IF(TArticle[[#This Row],[کد وضعیت سند]]&gt;0,VLOOKUP(TArticle[[#This Row],[کد وضعیت سند]],TDocState[],2,FALSE),"")</f>
        <v>قطعی</v>
      </c>
      <c r="M494" s="67">
        <v>112</v>
      </c>
      <c r="N494" s="171" t="str">
        <f>IF(TArticle[[#This Row],[کد طرف حساب]]&gt;0,VLOOKUP(TArticle[[#This Row],[کد طرف حساب]],TContact[],2,FALSE),"")</f>
        <v>وام ملی</v>
      </c>
      <c r="O494" s="60">
        <f>IF(TArticle[[#This Row],[کد طرف حساب]]&gt;0,VLOOKUP(TArticle[[#This Row],[کد طرف حساب]],TContact[],7,FALSE)-SUMIF($M$2:M494,M494,$E$2:$E494),"")</f>
        <v>-6608</v>
      </c>
      <c r="P494" s="27" t="str">
        <f>RIGHT(TArticle[[#This Row],[تاریخ]],2)</f>
        <v>28</v>
      </c>
      <c r="Q494" s="27">
        <f>VLOOKUP(TArticle[[#This Row],[تاریخ]],TDays[],16,FALSE)</f>
        <v>9</v>
      </c>
      <c r="R494" s="27" t="str">
        <f>RIGHT(LEFT(TArticle[[#This Row],[تاریخ]],7),2)</f>
        <v>02</v>
      </c>
      <c r="S494" s="27" t="str">
        <f>LEFT(TArticle[[#This Row],[تاریخ]],4)</f>
        <v>1403</v>
      </c>
      <c r="U494" s="21">
        <f>VLOOKUP(TArticle[[#This Row],[شناسه]],TAccount[],7,TRUE)</f>
        <v>81652</v>
      </c>
      <c r="V494" s="21" t="s">
        <v>1285</v>
      </c>
      <c r="W494" s="21">
        <f>IF(AND(TArticle[[#This Row],[مبلغ]]&gt;0, TArticle[[#This Row],[کد وضعیت سند]]=1),TArticle[[#This Row],[مبلغ]],0)</f>
        <v>0</v>
      </c>
      <c r="X494" s="27">
        <f>IF(AND(TArticle[[#This Row],[مبلغ]]&lt;0,TArticle[[#This Row],[کد وضعیت سند]]=1),0-TArticle[[#This Row],[مبلغ]],0)</f>
        <v>0</v>
      </c>
      <c r="Y494" s="67">
        <v>2</v>
      </c>
      <c r="Z494" s="171" t="str">
        <f>IF(TArticle[[#This Row],[کد بانک]]&gt;0,VLOOKUP(TArticle[[#This Row],[کد بانک]],TBank[],2,FALSE),"")</f>
        <v>ملی جاری</v>
      </c>
      <c r="AA494">
        <f>IF(AND(TArticle[[#This Row],[مبلغ]]&lt;0,TArticle[[#This Row],[کد وضعیت سند]]=1),0-TArticle[[#This Row],[مبلغ]],0)</f>
        <v>0</v>
      </c>
      <c r="AB494">
        <f>IF(AND(TArticle[[#This Row],[مبلغ]]&gt;0, TArticle[[#This Row],[کد وضعیت سند]]=1),TArticle[[#This Row],[مبلغ]],0)</f>
        <v>0</v>
      </c>
      <c r="AC494" s="84">
        <f>IF(TArticle[[#This Row],[کد بانک]]&gt;0,VLOOKUP(TArticle[[#This Row],[کد بانک]],TBank[],9,FALSE)+SUMIF($Y$2:Y494,Y494,$E$2:$E494),"")</f>
        <v>307163</v>
      </c>
      <c r="AD494" s="1">
        <f>IFERROR(IF(INT(LEFT(TArticle[[#This Row],[شناسه]]))=3,IF(TArticle[[#This Row],[کد وضعیت سند]]=1,TArticle[مبلغ],0),0),0)</f>
        <v>0</v>
      </c>
      <c r="AE494" s="1">
        <f>IFERROR(IF(((TArticle[[#This Row],[شناسه]]))="4.1.1",IF(TArticle[[#This Row],[کد وضعیت سند]]=1,TArticle[مبلغ],0),0),0)</f>
        <v>0</v>
      </c>
      <c r="AF494" s="1">
        <f>IFERROR(IF(((TArticle[[#This Row],[شناسه]]))="4.1.2",IF(TArticle[[#This Row],[کد وضعیت سند]]=1,TArticle[مبلغ],0),0),0)</f>
        <v>0</v>
      </c>
      <c r="AG494" s="1">
        <f>IFERROR(IF(INT(LEFT(TArticle[[#This Row],[شناسه]]))=1,IF(TArticle[[#This Row],[کد وضعیت سند]]=1,TArticle[مبلغ],0),0),0)</f>
        <v>0</v>
      </c>
      <c r="AH494" s="1">
        <f>IFERROR(IF(INT(LEFT(TArticle[[#This Row],[شناسه]]))=2,IF(TArticle[[#This Row],[کد وضعیت سند]]=1,TArticle[مبلغ],0),0),0)</f>
        <v>0</v>
      </c>
      <c r="AI494" s="1">
        <f>IFERROR(IF((LEFT(TArticle[[#This Row],[شناسه]],3))="5.2",IF(TArticle[[#This Row],[کد وضعیت سند]]=1,TArticle[مبلغ],0),0),0)</f>
        <v>0</v>
      </c>
      <c r="AJ494" s="1">
        <f>IF(TArticle[[#This Row],[کد وضعیت سند]]=1,1,0)</f>
        <v>0</v>
      </c>
      <c r="AK494" s="1">
        <f>IF(AND(TArticle[[#This Row],[کد وضعیت سند]]&lt;&gt;1,TArticle[[#This Row],[مبلغ]]&lt;&gt;0),1,0)</f>
        <v>1</v>
      </c>
      <c r="AL494" s="51">
        <f>IF(TArticle[[#This Row],[کد بانک]]&gt;0,TArticle[[#This Row],[مانده بانک]]-VLOOKUP(TArticle[[#This Row],[کد بانک]],TBank[],7,FALSE),"")</f>
        <v>307163</v>
      </c>
      <c r="AM494" s="49" t="str">
        <f>LEFT(TArticle[[#This Row],[تاریخ]],7)</f>
        <v>1403-02</v>
      </c>
    </row>
    <row r="495" spans="1:39" x14ac:dyDescent="0.25">
      <c r="A495" s="24" t="s">
        <v>43</v>
      </c>
      <c r="B495" s="49" t="str">
        <f>VLOOKUP(TArticle[[#This Row],[شناسه]],TAccount[],2,TRUE)</f>
        <v>حقوق</v>
      </c>
      <c r="C495" s="49" t="str">
        <f>VLOOKUP(TArticle[[#This Row],[تاریخ]],TDays[],7,FALSE)</f>
        <v>سه شنبه</v>
      </c>
      <c r="D495" s="21" t="s">
        <v>1289</v>
      </c>
      <c r="E495" s="1">
        <v>42000</v>
      </c>
      <c r="F495" s="1">
        <f>TArticle[[#This Row],[مبلغ]]+IFERROR(INT(F494),30181+3667+958)</f>
        <v>307511</v>
      </c>
      <c r="G495" s="49"/>
      <c r="H495" s="64"/>
      <c r="J495" s="65"/>
      <c r="K495" s="64">
        <v>2</v>
      </c>
      <c r="L495" s="171" t="str">
        <f>IF(TArticle[[#This Row],[کد وضعیت سند]]&gt;0,VLOOKUP(TArticle[[#This Row],[کد وضعیت سند]],TDocState[],2,FALSE),"")</f>
        <v>قطعی</v>
      </c>
      <c r="M495" s="67"/>
      <c r="N495" s="171" t="str">
        <f>IF(TArticle[[#This Row],[کد طرف حساب]]&gt;0,VLOOKUP(TArticle[[#This Row],[کد طرف حساب]],TContact[],2,FALSE),"")</f>
        <v/>
      </c>
      <c r="O495" s="68" t="str">
        <f>IF(TArticle[[#This Row],[کد طرف حساب]]&gt;0,VLOOKUP(TArticle[[#This Row],[کد طرف حساب]],TContact[],7,FALSE)-SUMIF($M$2:M495,M495,$E$2:$E495),"")</f>
        <v/>
      </c>
      <c r="P495" s="67" t="str">
        <f>RIGHT(TArticle[[#This Row],[تاریخ]],2)</f>
        <v>01</v>
      </c>
      <c r="Q495" s="67">
        <f>VLOOKUP(TArticle[[#This Row],[تاریخ]],TDays[],16,FALSE)</f>
        <v>10</v>
      </c>
      <c r="R495" s="67" t="str">
        <f>RIGHT(LEFT(TArticle[[#This Row],[تاریخ]],7),2)</f>
        <v>03</v>
      </c>
      <c r="S495" s="67" t="str">
        <f>LEFT(TArticle[[#This Row],[تاریخ]],4)</f>
        <v>1403</v>
      </c>
      <c r="T495" s="64"/>
      <c r="U495" s="64">
        <f>VLOOKUP(TArticle[[#This Row],[شناسه]],TAccount[],7,TRUE)</f>
        <v>416023</v>
      </c>
      <c r="V495" s="64"/>
      <c r="W495" s="64">
        <f>IF(AND(TArticle[[#This Row],[مبلغ]]&gt;0, TArticle[[#This Row],[کد وضعیت سند]]=1),TArticle[[#This Row],[مبلغ]],0)</f>
        <v>0</v>
      </c>
      <c r="X495" s="67">
        <f>IF(AND(TArticle[[#This Row],[مبلغ]]&lt;0,TArticle[[#This Row],[کد وضعیت سند]]=1),0-TArticle[[#This Row],[مبلغ]],0)</f>
        <v>0</v>
      </c>
      <c r="Y495" s="27">
        <v>2</v>
      </c>
      <c r="Z495" s="171" t="str">
        <f>IF(TArticle[[#This Row],[کد بانک]]&gt;0,VLOOKUP(TArticle[[#This Row],[کد بانک]],TBank[],2,FALSE),"")</f>
        <v>ملی جاری</v>
      </c>
      <c r="AA495">
        <f>IF(AND(TArticle[[#This Row],[مبلغ]]&lt;0,TArticle[[#This Row],[کد وضعیت سند]]=1),0-TArticle[[#This Row],[مبلغ]],0)</f>
        <v>0</v>
      </c>
      <c r="AB495">
        <f>IF(AND(TArticle[[#This Row],[مبلغ]]&gt;0, TArticle[[#This Row],[کد وضعیت سند]]=1),TArticle[[#This Row],[مبلغ]],0)</f>
        <v>0</v>
      </c>
      <c r="AC495" s="93">
        <f>IF(TArticle[[#This Row],[کد بانک]]&gt;0,VLOOKUP(TArticle[[#This Row],[کد بانک]],TBank[],9,FALSE)+SUMIF($Y$2:Y495,Y495,$E$2:$E495),"")</f>
        <v>349163</v>
      </c>
      <c r="AD495" s="1">
        <f>IFERROR(IF(INT(LEFT(TArticle[[#This Row],[شناسه]]))=3,IF(TArticle[[#This Row],[کد وضعیت سند]]=1,TArticle[مبلغ],0),0),0)</f>
        <v>0</v>
      </c>
      <c r="AE495" s="1">
        <f>IFERROR(IF(((TArticle[[#This Row],[شناسه]]))="4.1.1",IF(TArticle[[#This Row],[کد وضعیت سند]]=1,TArticle[مبلغ],0),0),0)</f>
        <v>0</v>
      </c>
      <c r="AF495" s="1">
        <f>IFERROR(IF(((TArticle[[#This Row],[شناسه]]))="4.1.2",IF(TArticle[[#This Row],[کد وضعیت سند]]=1,TArticle[مبلغ],0),0),0)</f>
        <v>0</v>
      </c>
      <c r="AG495" s="1">
        <f>IFERROR(IF(INT(LEFT(TArticle[[#This Row],[شناسه]]))=1,IF(TArticle[[#This Row],[کد وضعیت سند]]=1,TArticle[مبلغ],0),0),0)</f>
        <v>0</v>
      </c>
      <c r="AH495" s="1">
        <f>IFERROR(IF(INT(LEFT(TArticle[[#This Row],[شناسه]]))=2,IF(TArticle[[#This Row],[کد وضعیت سند]]=1,TArticle[مبلغ],0),0),0)</f>
        <v>0</v>
      </c>
      <c r="AI495" s="1">
        <f>IFERROR(IF((LEFT(TArticle[[#This Row],[شناسه]],3))="5.2",IF(TArticle[[#This Row],[کد وضعیت سند]]=1,TArticle[مبلغ],0),0),0)</f>
        <v>0</v>
      </c>
      <c r="AJ495" s="1">
        <f>IF(TArticle[[#This Row],[کد وضعیت سند]]=1,1,0)</f>
        <v>0</v>
      </c>
      <c r="AK495" s="1">
        <f>IF(AND(TArticle[[#This Row],[کد وضعیت سند]]&lt;&gt;1,TArticle[[#This Row],[مبلغ]]&lt;&gt;0),1,0)</f>
        <v>1</v>
      </c>
      <c r="AL495" s="78">
        <f>IF(TArticle[[#This Row],[کد بانک]]&gt;0,TArticle[[#This Row],[مانده بانک]]-VLOOKUP(TArticle[[#This Row],[کد بانک]],TBank[],7,FALSE),"")</f>
        <v>349163</v>
      </c>
      <c r="AM495" s="69" t="str">
        <f>LEFT(TArticle[[#This Row],[تاریخ]],7)</f>
        <v>1403-03</v>
      </c>
    </row>
    <row r="496" spans="1:39" x14ac:dyDescent="0.25">
      <c r="A496" s="24" t="s">
        <v>1608</v>
      </c>
      <c r="B496" s="49" t="str">
        <f>VLOOKUP(TArticle[[#This Row],[شناسه]],TAccount[],2,TRUE)</f>
        <v>بن کارت</v>
      </c>
      <c r="C496" s="49" t="str">
        <f>VLOOKUP(TArticle[[#This Row],[تاریخ]],TDays[],7,FALSE)</f>
        <v>سه شنبه</v>
      </c>
      <c r="D496" s="21" t="s">
        <v>1289</v>
      </c>
      <c r="E496" s="1">
        <v>3000</v>
      </c>
      <c r="F496" s="1">
        <f>TArticle[[#This Row],[مبلغ]]+IFERROR(INT(F495),30181+3667+958)</f>
        <v>310511</v>
      </c>
      <c r="G496" s="49"/>
      <c r="J496" s="51"/>
      <c r="K496" s="64">
        <v>2</v>
      </c>
      <c r="L496" s="171" t="str">
        <f>IF(TArticle[[#This Row],[کد وضعیت سند]]&gt;0,VLOOKUP(TArticle[[#This Row],[کد وضعیت سند]],TDocState[],2,FALSE),"")</f>
        <v>قطعی</v>
      </c>
      <c r="M496" s="67"/>
      <c r="N496" s="171" t="str">
        <f>IF(TArticle[[#This Row],[کد طرف حساب]]&gt;0,VLOOKUP(TArticle[[#This Row],[کد طرف حساب]],TContact[],2,FALSE),"")</f>
        <v/>
      </c>
      <c r="O496" s="60" t="str">
        <f>IF(TArticle[[#This Row],[کد طرف حساب]]&gt;0,VLOOKUP(TArticle[[#This Row],[کد طرف حساب]],TContact[],7,FALSE)-SUMIF($M$2:M496,M496,$E$2:$E496),"")</f>
        <v/>
      </c>
      <c r="P496" s="27" t="str">
        <f>RIGHT(TArticle[[#This Row],[تاریخ]],2)</f>
        <v>01</v>
      </c>
      <c r="Q496" s="27">
        <f>VLOOKUP(TArticle[[#This Row],[تاریخ]],TDays[],16,FALSE)</f>
        <v>10</v>
      </c>
      <c r="R496" s="27" t="str">
        <f>RIGHT(LEFT(TArticle[[#This Row],[تاریخ]],7),2)</f>
        <v>03</v>
      </c>
      <c r="S496" s="27" t="str">
        <f>LEFT(TArticle[[#This Row],[تاریخ]],4)</f>
        <v>1403</v>
      </c>
      <c r="U496" s="21">
        <f>VLOOKUP(TArticle[[#This Row],[شناسه]],TAccount[],7,TRUE)</f>
        <v>3000</v>
      </c>
      <c r="V496" s="28"/>
      <c r="W496" s="21">
        <f>IF(AND(TArticle[[#This Row],[مبلغ]]&gt;0, TArticle[[#This Row],[کد وضعیت سند]]=1),TArticle[[#This Row],[مبلغ]],0)</f>
        <v>0</v>
      </c>
      <c r="X496" s="27">
        <f>IF(AND(TArticle[[#This Row],[مبلغ]]&lt;0,TArticle[[#This Row],[کد وضعیت سند]]=1),0-TArticle[[#This Row],[مبلغ]],0)</f>
        <v>0</v>
      </c>
      <c r="Y496" s="27">
        <v>2</v>
      </c>
      <c r="Z496" s="171" t="str">
        <f>IF(TArticle[[#This Row],[کد بانک]]&gt;0,VLOOKUP(TArticle[[#This Row],[کد بانک]],TBank[],2,FALSE),"")</f>
        <v>ملی جاری</v>
      </c>
      <c r="AA496">
        <f>IF(AND(TArticle[[#This Row],[مبلغ]]&lt;0,TArticle[[#This Row],[کد وضعیت سند]]=1),0-TArticle[[#This Row],[مبلغ]],0)</f>
        <v>0</v>
      </c>
      <c r="AB496">
        <f>IF(AND(TArticle[[#This Row],[مبلغ]]&gt;0, TArticle[[#This Row],[کد وضعیت سند]]=1),TArticle[[#This Row],[مبلغ]],0)</f>
        <v>0</v>
      </c>
      <c r="AC496" s="92">
        <f>IF(TArticle[[#This Row],[کد بانک]]&gt;0,VLOOKUP(TArticle[[#This Row],[کد بانک]],TBank[],9,FALSE)+SUMIF($Y$2:Y496,Y496,$E$2:$E496),"")</f>
        <v>352163</v>
      </c>
      <c r="AD496" s="1">
        <f>IFERROR(IF(INT(LEFT(TArticle[[#This Row],[شناسه]]))=3,IF(TArticle[[#This Row],[کد وضعیت سند]]=1,TArticle[مبلغ],0),0),0)</f>
        <v>0</v>
      </c>
      <c r="AE496" s="1">
        <f>IFERROR(IF(((TArticle[[#This Row],[شناسه]]))="4.1.1",IF(TArticle[[#This Row],[کد وضعیت سند]]=1,TArticle[مبلغ],0),0),0)</f>
        <v>0</v>
      </c>
      <c r="AF496" s="1">
        <f>IFERROR(IF(((TArticle[[#This Row],[شناسه]]))="4.1.2",IF(TArticle[[#This Row],[کد وضعیت سند]]=1,TArticle[مبلغ],0),0),0)</f>
        <v>0</v>
      </c>
      <c r="AG496" s="1">
        <f>IFERROR(IF(INT(LEFT(TArticle[[#This Row],[شناسه]]))=1,IF(TArticle[[#This Row],[کد وضعیت سند]]=1,TArticle[مبلغ],0),0),0)</f>
        <v>0</v>
      </c>
      <c r="AH496" s="1">
        <f>IFERROR(IF(INT(LEFT(TArticle[[#This Row],[شناسه]]))=2,IF(TArticle[[#This Row],[کد وضعیت سند]]=1,TArticle[مبلغ],0),0),0)</f>
        <v>0</v>
      </c>
      <c r="AI496" s="1">
        <f>IFERROR(IF((LEFT(TArticle[[#This Row],[شناسه]],3))="5.2",IF(TArticle[[#This Row],[کد وضعیت سند]]=1,TArticle[مبلغ],0),0),0)</f>
        <v>0</v>
      </c>
      <c r="AJ496" s="1">
        <f>IF(TArticle[[#This Row],[کد وضعیت سند]]=1,1,0)</f>
        <v>0</v>
      </c>
      <c r="AK496" s="1">
        <f>IF(AND(TArticle[[#This Row],[کد وضعیت سند]]&lt;&gt;1,TArticle[[#This Row],[مبلغ]]&lt;&gt;0),1,0)</f>
        <v>1</v>
      </c>
      <c r="AL496" s="51">
        <f>IF(TArticle[[#This Row],[کد بانک]]&gt;0,TArticle[[#This Row],[مانده بانک]]-VLOOKUP(TArticle[[#This Row],[کد بانک]],TBank[],7,FALSE),"")</f>
        <v>352163</v>
      </c>
      <c r="AM496" s="58" t="str">
        <f>LEFT(TArticle[[#This Row],[تاریخ]],7)</f>
        <v>1403-03</v>
      </c>
    </row>
    <row r="497" spans="1:39" x14ac:dyDescent="0.25">
      <c r="A497" s="24" t="s">
        <v>1110</v>
      </c>
      <c r="B497" s="49" t="str">
        <f>VLOOKUP(TArticle[[#This Row],[شناسه]],TAccount[],2,TRUE)</f>
        <v>قسط وام بانکی</v>
      </c>
      <c r="C497" s="49" t="str">
        <f>VLOOKUP(TArticle[[#This Row],[تاریخ]],TDays[],7,FALSE)</f>
        <v>پنجشنبه</v>
      </c>
      <c r="D497" s="21" t="s">
        <v>1216</v>
      </c>
      <c r="E497" s="1">
        <v>-1224</v>
      </c>
      <c r="F497" s="1">
        <f>TArticle[[#This Row],[مبلغ]]+IFERROR(INT(F496),30181+3667+958)</f>
        <v>309287</v>
      </c>
      <c r="G497" s="49"/>
      <c r="H497" s="21">
        <v>9</v>
      </c>
      <c r="J497" s="51"/>
      <c r="K497" s="64">
        <v>2</v>
      </c>
      <c r="L497" s="171" t="str">
        <f>IF(TArticle[[#This Row],[کد وضعیت سند]]&gt;0,VLOOKUP(TArticle[[#This Row],[کد وضعیت سند]],TDocState[],2,FALSE),"")</f>
        <v>قطعی</v>
      </c>
      <c r="M497" s="27">
        <v>115</v>
      </c>
      <c r="N497" s="171" t="str">
        <f>IF(TArticle[[#This Row],[کد طرف حساب]]&gt;0,VLOOKUP(TArticle[[#This Row],[کد طرف حساب]],TContact[],2,FALSE),"")</f>
        <v>وام فرزند مهر</v>
      </c>
      <c r="O497" s="61">
        <f>IF(TArticle[[#This Row],[کد طرف حساب]]&gt;0,VLOOKUP(TArticle[[#This Row],[کد طرف حساب]],TContact[],7,FALSE)-SUMIF($M$2:M497,M497,$E$2:$E497),"")</f>
        <v>-50208</v>
      </c>
      <c r="P497" s="27" t="str">
        <f>RIGHT(TArticle[[#This Row],[تاریخ]],2)</f>
        <v>03</v>
      </c>
      <c r="Q497" s="27">
        <f>VLOOKUP(TArticle[[#This Row],[تاریخ]],TDays[],16,FALSE)</f>
        <v>10</v>
      </c>
      <c r="R497" s="27" t="str">
        <f>RIGHT(LEFT(TArticle[[#This Row],[تاریخ]],7),2)</f>
        <v>03</v>
      </c>
      <c r="S497" s="27" t="str">
        <f>LEFT(TArticle[[#This Row],[تاریخ]],4)</f>
        <v>1403</v>
      </c>
      <c r="U497" s="21">
        <f>VLOOKUP(TArticle[[#This Row],[شناسه]],TAccount[],7,TRUE)</f>
        <v>81652</v>
      </c>
      <c r="W497" s="21">
        <f>IF(AND(TArticle[[#This Row],[مبلغ]]&gt;0, TArticle[[#This Row],[کد وضعیت سند]]=1),TArticle[[#This Row],[مبلغ]],0)</f>
        <v>0</v>
      </c>
      <c r="X497" s="27">
        <f>IF(AND(TArticle[[#This Row],[مبلغ]]&lt;0,TArticle[[#This Row],[کد وضعیت سند]]=1),0-TArticle[[#This Row],[مبلغ]],0)</f>
        <v>0</v>
      </c>
      <c r="Y497" s="27">
        <v>2</v>
      </c>
      <c r="Z497" s="171" t="str">
        <f>IF(TArticle[[#This Row],[کد بانک]]&gt;0,VLOOKUP(TArticle[[#This Row],[کد بانک]],TBank[],2,FALSE),"")</f>
        <v>ملی جاری</v>
      </c>
      <c r="AA497">
        <f>IF(AND(TArticle[[#This Row],[مبلغ]]&lt;0,TArticle[[#This Row],[کد وضعیت سند]]=1),0-TArticle[[#This Row],[مبلغ]],0)</f>
        <v>0</v>
      </c>
      <c r="AB497">
        <f>IF(AND(TArticle[[#This Row],[مبلغ]]&gt;0, TArticle[[#This Row],[کد وضعیت سند]]=1),TArticle[[#This Row],[مبلغ]],0)</f>
        <v>0</v>
      </c>
      <c r="AC497" s="92">
        <f>IF(TArticle[[#This Row],[کد بانک]]&gt;0,VLOOKUP(TArticle[[#This Row],[کد بانک]],TBank[],9,FALSE)+SUMIF($Y$2:Y497,Y497,$E$2:$E497),"")</f>
        <v>350939</v>
      </c>
      <c r="AD497" s="1">
        <f>IFERROR(IF(INT(LEFT(TArticle[[#This Row],[شناسه]]))=3,IF(TArticle[[#This Row],[کد وضعیت سند]]=1,TArticle[مبلغ],0),0),0)</f>
        <v>0</v>
      </c>
      <c r="AE497" s="1">
        <f>IFERROR(IF(((TArticle[[#This Row],[شناسه]]))="4.1.1",IF(TArticle[[#This Row],[کد وضعیت سند]]=1,TArticle[مبلغ],0),0),0)</f>
        <v>0</v>
      </c>
      <c r="AF497" s="1">
        <f>IFERROR(IF(((TArticle[[#This Row],[شناسه]]))="4.1.2",IF(TArticle[[#This Row],[کد وضعیت سند]]=1,TArticle[مبلغ],0),0),0)</f>
        <v>0</v>
      </c>
      <c r="AG497" s="1">
        <f>IFERROR(IF(INT(LEFT(TArticle[[#This Row],[شناسه]]))=1,IF(TArticle[[#This Row],[کد وضعیت سند]]=1,TArticle[مبلغ],0),0),0)</f>
        <v>0</v>
      </c>
      <c r="AH497" s="1">
        <f>IFERROR(IF(INT(LEFT(TArticle[[#This Row],[شناسه]]))=2,IF(TArticle[[#This Row],[کد وضعیت سند]]=1,TArticle[مبلغ],0),0),0)</f>
        <v>0</v>
      </c>
      <c r="AI497" s="1">
        <f>IFERROR(IF((LEFT(TArticle[[#This Row],[شناسه]],3))="5.2",IF(TArticle[[#This Row],[کد وضعیت سند]]=1,TArticle[مبلغ],0),0),0)</f>
        <v>0</v>
      </c>
      <c r="AJ497" s="1">
        <f>IF(TArticle[[#This Row],[کد وضعیت سند]]=1,1,0)</f>
        <v>0</v>
      </c>
      <c r="AK497" s="1">
        <f>IF(AND(TArticle[[#This Row],[کد وضعیت سند]]&lt;&gt;1,TArticle[[#This Row],[مبلغ]]&lt;&gt;0),1,0)</f>
        <v>1</v>
      </c>
      <c r="AL497" s="51">
        <f>IF(TArticle[[#This Row],[کد بانک]]&gt;0,TArticle[[#This Row],[مانده بانک]]-VLOOKUP(TArticle[[#This Row],[کد بانک]],TBank[],7,FALSE),"")</f>
        <v>350939</v>
      </c>
      <c r="AM497" s="58" t="str">
        <f>LEFT(TArticle[[#This Row],[تاریخ]],7)</f>
        <v>1403-03</v>
      </c>
    </row>
    <row r="498" spans="1:39" x14ac:dyDescent="0.25">
      <c r="A498" s="24" t="s">
        <v>1110</v>
      </c>
      <c r="B498" s="49" t="str">
        <f>VLOOKUP(TArticle[[#This Row],[شناسه]],TAccount[],2,TRUE)</f>
        <v>قسط وام بانکی</v>
      </c>
      <c r="C498" s="49" t="str">
        <f>VLOOKUP(TArticle[[#This Row],[تاریخ]],TDays[],7,FALSE)</f>
        <v>پنجشنبه</v>
      </c>
      <c r="D498" s="21" t="s">
        <v>1216</v>
      </c>
      <c r="E498" s="1">
        <v>-590</v>
      </c>
      <c r="F498" s="1">
        <f>TArticle[[#This Row],[مبلغ]]+IFERROR(INT(F497),30181+3667+958)</f>
        <v>308697</v>
      </c>
      <c r="G498" s="49" t="s">
        <v>1591</v>
      </c>
      <c r="H498" s="21">
        <v>36</v>
      </c>
      <c r="K498" s="21">
        <v>2</v>
      </c>
      <c r="L498" s="171" t="str">
        <f>IF(TArticle[[#This Row],[کد وضعیت سند]]&gt;0,VLOOKUP(TArticle[[#This Row],[کد وضعیت سند]],TDocState[],2,FALSE),"")</f>
        <v>قطعی</v>
      </c>
      <c r="M498" s="27">
        <v>110</v>
      </c>
      <c r="N498" s="171" t="str">
        <f>IF(TArticle[[#This Row],[کد طرف حساب]]&gt;0,VLOOKUP(TArticle[[#This Row],[کد طرف حساب]],TContact[],2,FALSE),"")</f>
        <v>وام ملت</v>
      </c>
      <c r="O498" s="61">
        <f>IF(TArticle[[#This Row],[کد طرف حساب]]&gt;0,VLOOKUP(TArticle[[#This Row],[کد طرف حساب]],TContact[],7,FALSE)-SUMIF($M$2:M498,M498,$E$2:$E498),"")</f>
        <v>0</v>
      </c>
      <c r="P498" s="27" t="str">
        <f>RIGHT(TArticle[[#This Row],[تاریخ]],2)</f>
        <v>03</v>
      </c>
      <c r="Q498" s="27">
        <f>VLOOKUP(TArticle[[#This Row],[تاریخ]],TDays[],16,FALSE)</f>
        <v>10</v>
      </c>
      <c r="R498" s="27" t="str">
        <f>RIGHT(LEFT(TArticle[[#This Row],[تاریخ]],7),2)</f>
        <v>03</v>
      </c>
      <c r="S498" s="27" t="str">
        <f>LEFT(TArticle[[#This Row],[تاریخ]],4)</f>
        <v>1403</v>
      </c>
      <c r="U498" s="21">
        <f>VLOOKUP(TArticle[[#This Row],[شناسه]],TAccount[],7,TRUE)</f>
        <v>81652</v>
      </c>
      <c r="V498" s="21" t="s">
        <v>1216</v>
      </c>
      <c r="W498" s="21">
        <f>IF(AND(TArticle[[#This Row],[مبلغ]]&gt;0, TArticle[[#This Row],[کد وضعیت سند]]=1),TArticle[[#This Row],[مبلغ]],0)</f>
        <v>0</v>
      </c>
      <c r="X498" s="27">
        <f>IF(AND(TArticle[[#This Row],[مبلغ]]&lt;0,TArticle[[#This Row],[کد وضعیت سند]]=1),0-TArticle[[#This Row],[مبلغ]],0)</f>
        <v>0</v>
      </c>
      <c r="Y498" s="27">
        <v>2</v>
      </c>
      <c r="Z498" s="171" t="str">
        <f>IF(TArticle[[#This Row],[کد بانک]]&gt;0,VLOOKUP(TArticle[[#This Row],[کد بانک]],TBank[],2,FALSE),"")</f>
        <v>ملی جاری</v>
      </c>
      <c r="AA498">
        <f>IF(AND(TArticle[[#This Row],[مبلغ]]&lt;0,TArticle[[#This Row],[کد وضعیت سند]]=1),0-TArticle[[#This Row],[مبلغ]],0)</f>
        <v>0</v>
      </c>
      <c r="AB498">
        <f>IF(AND(TArticle[[#This Row],[مبلغ]]&gt;0, TArticle[[#This Row],[کد وضعیت سند]]=1),TArticle[[#This Row],[مبلغ]],0)</f>
        <v>0</v>
      </c>
      <c r="AC498" s="84">
        <f>IF(TArticle[[#This Row],[کد بانک]]&gt;0,VLOOKUP(TArticle[[#This Row],[کد بانک]],TBank[],9,FALSE)+SUMIF($Y$2:Y498,Y498,$E$2:$E498),"")</f>
        <v>350349</v>
      </c>
      <c r="AD498" s="1">
        <f>IFERROR(IF(INT(LEFT(TArticle[[#This Row],[شناسه]]))=3,IF(TArticle[[#This Row],[کد وضعیت سند]]=1,TArticle[مبلغ],0),0),0)</f>
        <v>0</v>
      </c>
      <c r="AE498" s="1">
        <f>IFERROR(IF(((TArticle[[#This Row],[شناسه]]))="4.1.1",IF(TArticle[[#This Row],[کد وضعیت سند]]=1,TArticle[مبلغ],0),0),0)</f>
        <v>0</v>
      </c>
      <c r="AF498" s="1">
        <f>IFERROR(IF(((TArticle[[#This Row],[شناسه]]))="4.1.2",IF(TArticle[[#This Row],[کد وضعیت سند]]=1,TArticle[مبلغ],0),0),0)</f>
        <v>0</v>
      </c>
      <c r="AG498" s="1">
        <f>IFERROR(IF(INT(LEFT(TArticle[[#This Row],[شناسه]]))=1,IF(TArticle[[#This Row],[کد وضعیت سند]]=1,TArticle[مبلغ],0),0),0)</f>
        <v>0</v>
      </c>
      <c r="AH498" s="1">
        <f>IFERROR(IF(INT(LEFT(TArticle[[#This Row],[شناسه]]))=2,IF(TArticle[[#This Row],[کد وضعیت سند]]=1,TArticle[مبلغ],0),0),0)</f>
        <v>0</v>
      </c>
      <c r="AI498" s="1">
        <f>IFERROR(IF((LEFT(TArticle[[#This Row],[شناسه]],3))="5.2",IF(TArticle[[#This Row],[کد وضعیت سند]]=1,TArticle[مبلغ],0),0),0)</f>
        <v>0</v>
      </c>
      <c r="AJ498" s="1">
        <f>IF(TArticle[[#This Row],[کد وضعیت سند]]=1,1,0)</f>
        <v>0</v>
      </c>
      <c r="AK498" s="1">
        <f>IF(AND(TArticle[[#This Row],[کد وضعیت سند]]&lt;&gt;1,TArticle[[#This Row],[مبلغ]]&lt;&gt;0),1,0)</f>
        <v>1</v>
      </c>
      <c r="AL498" s="51">
        <f>IF(TArticle[[#This Row],[کد بانک]]&gt;0,TArticle[[#This Row],[مانده بانک]]-VLOOKUP(TArticle[[#This Row],[کد بانک]],TBank[],7,FALSE),"")</f>
        <v>350349</v>
      </c>
      <c r="AM498" s="49" t="str">
        <f>LEFT(TArticle[[#This Row],[تاریخ]],7)</f>
        <v>1403-03</v>
      </c>
    </row>
    <row r="499" spans="1:39" x14ac:dyDescent="0.25">
      <c r="A499" s="24" t="s">
        <v>1110</v>
      </c>
      <c r="B499" s="49" t="str">
        <f>VLOOKUP(TArticle[[#This Row],[شناسه]],TAccount[],2,TRUE)</f>
        <v>قسط وام بانکی</v>
      </c>
      <c r="C499" s="49" t="str">
        <f>VLOOKUP(TArticle[[#This Row],[تاریخ]],TDays[],7,FALSE)</f>
        <v>پنجشنبه</v>
      </c>
      <c r="D499" s="21" t="s">
        <v>1216</v>
      </c>
      <c r="E499" s="1">
        <v>-590</v>
      </c>
      <c r="F499" s="1">
        <f>TArticle[[#This Row],[مبلغ]]+IFERROR(INT(F498),30181+3667+958)</f>
        <v>308107</v>
      </c>
      <c r="G499" s="49" t="s">
        <v>1591</v>
      </c>
      <c r="H499" s="21">
        <v>36</v>
      </c>
      <c r="K499" s="21">
        <v>2</v>
      </c>
      <c r="L499" s="171" t="str">
        <f>IF(TArticle[[#This Row],[کد وضعیت سند]]&gt;0,VLOOKUP(TArticle[[#This Row],[کد وضعیت سند]],TDocState[],2,FALSE),"")</f>
        <v>قطعی</v>
      </c>
      <c r="M499" s="27">
        <v>111</v>
      </c>
      <c r="N499" s="171" t="str">
        <f>IF(TArticle[[#This Row],[کد طرف حساب]]&gt;0,VLOOKUP(TArticle[[#This Row],[کد طرف حساب]],TContact[],2,FALSE),"")</f>
        <v>وام ملت ف</v>
      </c>
      <c r="O499" s="61">
        <f>IF(TArticle[[#This Row],[کد طرف حساب]]&gt;0,VLOOKUP(TArticle[[#This Row],[کد طرف حساب]],TContact[],7,FALSE)-SUMIF($M$2:M499,M499,$E$2:$E499),"")</f>
        <v>0</v>
      </c>
      <c r="P499" s="27" t="str">
        <f>RIGHT(TArticle[[#This Row],[تاریخ]],2)</f>
        <v>03</v>
      </c>
      <c r="Q499" s="27">
        <f>VLOOKUP(TArticle[[#This Row],[تاریخ]],TDays[],16,FALSE)</f>
        <v>10</v>
      </c>
      <c r="R499" s="27" t="str">
        <f>RIGHT(LEFT(TArticle[[#This Row],[تاریخ]],7),2)</f>
        <v>03</v>
      </c>
      <c r="S499" s="27" t="str">
        <f>LEFT(TArticle[[#This Row],[تاریخ]],4)</f>
        <v>1403</v>
      </c>
      <c r="U499" s="21">
        <f>VLOOKUP(TArticle[[#This Row],[شناسه]],TAccount[],7,TRUE)</f>
        <v>81652</v>
      </c>
      <c r="V499" s="21" t="s">
        <v>1216</v>
      </c>
      <c r="W499" s="21">
        <f>IF(AND(TArticle[[#This Row],[مبلغ]]&gt;0, TArticle[[#This Row],[کد وضعیت سند]]=1),TArticle[[#This Row],[مبلغ]],0)</f>
        <v>0</v>
      </c>
      <c r="X499" s="27">
        <f>IF(AND(TArticle[[#This Row],[مبلغ]]&lt;0,TArticle[[#This Row],[کد وضعیت سند]]=1),0-TArticle[[#This Row],[مبلغ]],0)</f>
        <v>0</v>
      </c>
      <c r="Y499" s="27">
        <v>2</v>
      </c>
      <c r="Z499" s="171" t="str">
        <f>IF(TArticle[[#This Row],[کد بانک]]&gt;0,VLOOKUP(TArticle[[#This Row],[کد بانک]],TBank[],2,FALSE),"")</f>
        <v>ملی جاری</v>
      </c>
      <c r="AA499">
        <f>IF(AND(TArticle[[#This Row],[مبلغ]]&lt;0,TArticle[[#This Row],[کد وضعیت سند]]=1),0-TArticle[[#This Row],[مبلغ]],0)</f>
        <v>0</v>
      </c>
      <c r="AB499">
        <f>IF(AND(TArticle[[#This Row],[مبلغ]]&gt;0, TArticle[[#This Row],[کد وضعیت سند]]=1),TArticle[[#This Row],[مبلغ]],0)</f>
        <v>0</v>
      </c>
      <c r="AC499" s="84">
        <f>IF(TArticle[[#This Row],[کد بانک]]&gt;0,VLOOKUP(TArticle[[#This Row],[کد بانک]],TBank[],9,FALSE)+SUMIF($Y$2:Y499,Y499,$E$2:$E499),"")</f>
        <v>349759</v>
      </c>
      <c r="AD499" s="1">
        <f>IFERROR(IF(INT(LEFT(TArticle[[#This Row],[شناسه]]))=3,IF(TArticle[[#This Row],[کد وضعیت سند]]=1,TArticle[مبلغ],0),0),0)</f>
        <v>0</v>
      </c>
      <c r="AE499" s="1">
        <f>IFERROR(IF(((TArticle[[#This Row],[شناسه]]))="4.1.1",IF(TArticle[[#This Row],[کد وضعیت سند]]=1,TArticle[مبلغ],0),0),0)</f>
        <v>0</v>
      </c>
      <c r="AF499" s="1">
        <f>IFERROR(IF(((TArticle[[#This Row],[شناسه]]))="4.1.2",IF(TArticle[[#This Row],[کد وضعیت سند]]=1,TArticle[مبلغ],0),0),0)</f>
        <v>0</v>
      </c>
      <c r="AG499" s="1">
        <f>IFERROR(IF(INT(LEFT(TArticle[[#This Row],[شناسه]]))=1,IF(TArticle[[#This Row],[کد وضعیت سند]]=1,TArticle[مبلغ],0),0),0)</f>
        <v>0</v>
      </c>
      <c r="AH499" s="1">
        <f>IFERROR(IF(INT(LEFT(TArticle[[#This Row],[شناسه]]))=2,IF(TArticle[[#This Row],[کد وضعیت سند]]=1,TArticle[مبلغ],0),0),0)</f>
        <v>0</v>
      </c>
      <c r="AI499" s="1">
        <f>IFERROR(IF((LEFT(TArticle[[#This Row],[شناسه]],3))="5.2",IF(TArticle[[#This Row],[کد وضعیت سند]]=1,TArticle[مبلغ],0),0),0)</f>
        <v>0</v>
      </c>
      <c r="AJ499" s="1">
        <f>IF(TArticle[[#This Row],[کد وضعیت سند]]=1,1,0)</f>
        <v>0</v>
      </c>
      <c r="AK499" s="1">
        <f>IF(AND(TArticle[[#This Row],[کد وضعیت سند]]&lt;&gt;1,TArticle[[#This Row],[مبلغ]]&lt;&gt;0),1,0)</f>
        <v>1</v>
      </c>
      <c r="AL499" s="51">
        <f>IF(TArticle[[#This Row],[کد بانک]]&gt;0,TArticle[[#This Row],[مانده بانک]]-VLOOKUP(TArticle[[#This Row],[کد بانک]],TBank[],7,FALSE),"")</f>
        <v>349759</v>
      </c>
      <c r="AM499" s="49" t="str">
        <f>LEFT(TArticle[[#This Row],[تاریخ]],7)</f>
        <v>1403-03</v>
      </c>
    </row>
    <row r="500" spans="1:39" x14ac:dyDescent="0.25">
      <c r="A500" s="24" t="s">
        <v>1110</v>
      </c>
      <c r="B500" s="49" t="str">
        <f>VLOOKUP(TArticle[[#This Row],[شناسه]],TAccount[],2,TRUE)</f>
        <v>قسط وام بانکی</v>
      </c>
      <c r="C500" s="49" t="str">
        <f>VLOOKUP(TArticle[[#This Row],[تاریخ]],TDays[],7,FALSE)</f>
        <v>پنجشنبه</v>
      </c>
      <c r="D500" s="21" t="s">
        <v>1216</v>
      </c>
      <c r="E500" s="1">
        <v>-1240</v>
      </c>
      <c r="F500" s="1">
        <f>TArticle[[#This Row],[مبلغ]]+IFERROR(INT(F499),30181+3667+958)</f>
        <v>306867</v>
      </c>
      <c r="G500" s="49" t="s">
        <v>1591</v>
      </c>
      <c r="H500" s="21">
        <v>36</v>
      </c>
      <c r="K500" s="21">
        <v>2</v>
      </c>
      <c r="L500" s="171" t="str">
        <f>IF(TArticle[[#This Row],[کد وضعیت سند]]&gt;0,VLOOKUP(TArticle[[#This Row],[کد وضعیت سند]],TDocState[],2,FALSE),"")</f>
        <v>قطعی</v>
      </c>
      <c r="M500" s="27">
        <v>110.1</v>
      </c>
      <c r="N500" s="171" t="str">
        <f>IF(TArticle[[#This Row],[کد طرف حساب]]&gt;0,VLOOKUP(TArticle[[#This Row],[کد طرف حساب]],TContact[],2,FALSE),"")</f>
        <v>وام ملت - سود</v>
      </c>
      <c r="O500" s="61">
        <f>IF(TArticle[[#This Row],[کد طرف حساب]]&gt;0,VLOOKUP(TArticle[[#This Row],[کد طرف حساب]],TContact[],7,FALSE)-SUMIF($M$2:M500,M500,$E$2:$E500),"")</f>
        <v>0</v>
      </c>
      <c r="P500" s="27" t="str">
        <f>RIGHT(TArticle[[#This Row],[تاریخ]],2)</f>
        <v>03</v>
      </c>
      <c r="Q500" s="27">
        <f>VLOOKUP(TArticle[[#This Row],[تاریخ]],TDays[],16,FALSE)</f>
        <v>10</v>
      </c>
      <c r="R500" s="27" t="str">
        <f>RIGHT(LEFT(TArticle[[#This Row],[تاریخ]],7),2)</f>
        <v>03</v>
      </c>
      <c r="S500" s="27" t="str">
        <f>LEFT(TArticle[[#This Row],[تاریخ]],4)</f>
        <v>1403</v>
      </c>
      <c r="U500" s="21">
        <f>VLOOKUP(TArticle[[#This Row],[شناسه]],TAccount[],7,TRUE)</f>
        <v>81652</v>
      </c>
      <c r="V500" s="21" t="s">
        <v>1216</v>
      </c>
      <c r="W500" s="21">
        <f>IF(AND(TArticle[[#This Row],[مبلغ]]&gt;0, TArticle[[#This Row],[کد وضعیت سند]]=1),TArticle[[#This Row],[مبلغ]],0)</f>
        <v>0</v>
      </c>
      <c r="X500" s="27">
        <f>IF(AND(TArticle[[#This Row],[مبلغ]]&lt;0,TArticle[[#This Row],[کد وضعیت سند]]=1),0-TArticle[[#This Row],[مبلغ]],0)</f>
        <v>0</v>
      </c>
      <c r="Y500" s="27">
        <v>2</v>
      </c>
      <c r="Z500" s="171" t="str">
        <f>IF(TArticle[[#This Row],[کد بانک]]&gt;0,VLOOKUP(TArticle[[#This Row],[کد بانک]],TBank[],2,FALSE),"")</f>
        <v>ملی جاری</v>
      </c>
      <c r="AA500">
        <f>IF(AND(TArticle[[#This Row],[مبلغ]]&lt;0,TArticle[[#This Row],[کد وضعیت سند]]=1),0-TArticle[[#This Row],[مبلغ]],0)</f>
        <v>0</v>
      </c>
      <c r="AB500">
        <f>IF(AND(TArticle[[#This Row],[مبلغ]]&gt;0, TArticle[[#This Row],[کد وضعیت سند]]=1),TArticle[[#This Row],[مبلغ]],0)</f>
        <v>0</v>
      </c>
      <c r="AC500" s="84">
        <f>IF(TArticle[[#This Row],[کد بانک]]&gt;0,VLOOKUP(TArticle[[#This Row],[کد بانک]],TBank[],9,FALSE)+SUMIF($Y$2:Y500,Y500,$E$2:$E500),"")</f>
        <v>348519</v>
      </c>
      <c r="AD500" s="1">
        <f>IFERROR(IF(INT(LEFT(TArticle[[#This Row],[شناسه]]))=3,IF(TArticle[[#This Row],[کد وضعیت سند]]=1,TArticle[مبلغ],0),0),0)</f>
        <v>0</v>
      </c>
      <c r="AE500" s="1">
        <f>IFERROR(IF(((TArticle[[#This Row],[شناسه]]))="4.1.1",IF(TArticle[[#This Row],[کد وضعیت سند]]=1,TArticle[مبلغ],0),0),0)</f>
        <v>0</v>
      </c>
      <c r="AF500" s="1">
        <f>IFERROR(IF(((TArticle[[#This Row],[شناسه]]))="4.1.2",IF(TArticle[[#This Row],[کد وضعیت سند]]=1,TArticle[مبلغ],0),0),0)</f>
        <v>0</v>
      </c>
      <c r="AG500" s="1">
        <f>IFERROR(IF(INT(LEFT(TArticle[[#This Row],[شناسه]]))=1,IF(TArticle[[#This Row],[کد وضعیت سند]]=1,TArticle[مبلغ],0),0),0)</f>
        <v>0</v>
      </c>
      <c r="AH500" s="1">
        <f>IFERROR(IF(INT(LEFT(TArticle[[#This Row],[شناسه]]))=2,IF(TArticle[[#This Row],[کد وضعیت سند]]=1,TArticle[مبلغ],0),0),0)</f>
        <v>0</v>
      </c>
      <c r="AI500" s="1">
        <f>IFERROR(IF((LEFT(TArticle[[#This Row],[شناسه]],3))="5.2",IF(TArticle[[#This Row],[کد وضعیت سند]]=1,TArticle[مبلغ],0),0),0)</f>
        <v>0</v>
      </c>
      <c r="AJ500" s="1">
        <f>IF(TArticle[[#This Row],[کد وضعیت سند]]=1,1,0)</f>
        <v>0</v>
      </c>
      <c r="AK500" s="1">
        <f>IF(AND(TArticle[[#This Row],[کد وضعیت سند]]&lt;&gt;1,TArticle[[#This Row],[مبلغ]]&lt;&gt;0),1,0)</f>
        <v>1</v>
      </c>
      <c r="AL500" s="51">
        <f>IF(TArticle[[#This Row],[کد بانک]]&gt;0,TArticle[[#This Row],[مانده بانک]]-VLOOKUP(TArticle[[#This Row],[کد بانک]],TBank[],7,FALSE),"")</f>
        <v>348519</v>
      </c>
      <c r="AM500" s="49" t="str">
        <f>LEFT(TArticle[[#This Row],[تاریخ]],7)</f>
        <v>1403-03</v>
      </c>
    </row>
    <row r="501" spans="1:39" x14ac:dyDescent="0.25">
      <c r="A501" s="24" t="s">
        <v>1110</v>
      </c>
      <c r="B501" s="49" t="str">
        <f>VLOOKUP(TArticle[[#This Row],[شناسه]],TAccount[],2,TRUE)</f>
        <v>قسط وام بانکی</v>
      </c>
      <c r="C501" s="49" t="str">
        <f>VLOOKUP(TArticle[[#This Row],[تاریخ]],TDays[],7,FALSE)</f>
        <v>پنجشنبه</v>
      </c>
      <c r="D501" s="21" t="s">
        <v>1216</v>
      </c>
      <c r="E501" s="1">
        <v>-1240</v>
      </c>
      <c r="F501" s="1">
        <f>TArticle[[#This Row],[مبلغ]]+IFERROR(INT(F500),30181+3667+958)</f>
        <v>305627</v>
      </c>
      <c r="G501" s="49" t="s">
        <v>1591</v>
      </c>
      <c r="H501" s="21">
        <v>36</v>
      </c>
      <c r="K501" s="21">
        <v>2</v>
      </c>
      <c r="L501" s="171" t="str">
        <f>IF(TArticle[[#This Row],[کد وضعیت سند]]&gt;0,VLOOKUP(TArticle[[#This Row],[کد وضعیت سند]],TDocState[],2,FALSE),"")</f>
        <v>قطعی</v>
      </c>
      <c r="M501" s="27">
        <v>111.1</v>
      </c>
      <c r="N501" s="171" t="str">
        <f>IF(TArticle[[#This Row],[کد طرف حساب]]&gt;0,VLOOKUP(TArticle[[#This Row],[کد طرف حساب]],TContact[],2,FALSE),"")</f>
        <v>وام ملت ف - سود</v>
      </c>
      <c r="O501" s="61">
        <f>IF(TArticle[[#This Row],[کد طرف حساب]]&gt;0,VLOOKUP(TArticle[[#This Row],[کد طرف حساب]],TContact[],7,FALSE)-SUMIF($M$2:M501,M501,$E$2:$E501),"")</f>
        <v>0</v>
      </c>
      <c r="P501" s="27" t="str">
        <f>RIGHT(TArticle[[#This Row],[تاریخ]],2)</f>
        <v>03</v>
      </c>
      <c r="Q501" s="27">
        <f>VLOOKUP(TArticle[[#This Row],[تاریخ]],TDays[],16,FALSE)</f>
        <v>10</v>
      </c>
      <c r="R501" s="27" t="str">
        <f>RIGHT(LEFT(TArticle[[#This Row],[تاریخ]],7),2)</f>
        <v>03</v>
      </c>
      <c r="S501" s="27" t="str">
        <f>LEFT(TArticle[[#This Row],[تاریخ]],4)</f>
        <v>1403</v>
      </c>
      <c r="U501" s="21">
        <f>VLOOKUP(TArticle[[#This Row],[شناسه]],TAccount[],7,TRUE)</f>
        <v>81652</v>
      </c>
      <c r="V501" s="21" t="s">
        <v>1216</v>
      </c>
      <c r="W501" s="21">
        <f>IF(AND(TArticle[[#This Row],[مبلغ]]&gt;0, TArticle[[#This Row],[کد وضعیت سند]]=1),TArticle[[#This Row],[مبلغ]],0)</f>
        <v>0</v>
      </c>
      <c r="X501" s="27">
        <f>IF(AND(TArticle[[#This Row],[مبلغ]]&lt;0,TArticle[[#This Row],[کد وضعیت سند]]=1),0-TArticle[[#This Row],[مبلغ]],0)</f>
        <v>0</v>
      </c>
      <c r="Y501" s="27">
        <v>2</v>
      </c>
      <c r="Z501" s="171" t="str">
        <f>IF(TArticle[[#This Row],[کد بانک]]&gt;0,VLOOKUP(TArticle[[#This Row],[کد بانک]],TBank[],2,FALSE),"")</f>
        <v>ملی جاری</v>
      </c>
      <c r="AA501">
        <f>IF(AND(TArticle[[#This Row],[مبلغ]]&lt;0,TArticle[[#This Row],[کد وضعیت سند]]=1),0-TArticle[[#This Row],[مبلغ]],0)</f>
        <v>0</v>
      </c>
      <c r="AB501">
        <f>IF(AND(TArticle[[#This Row],[مبلغ]]&gt;0, TArticle[[#This Row],[کد وضعیت سند]]=1),TArticle[[#This Row],[مبلغ]],0)</f>
        <v>0</v>
      </c>
      <c r="AC501" s="84">
        <f>IF(TArticle[[#This Row],[کد بانک]]&gt;0,VLOOKUP(TArticle[[#This Row],[کد بانک]],TBank[],9,FALSE)+SUMIF($Y$2:Y501,Y501,$E$2:$E501),"")</f>
        <v>347279</v>
      </c>
      <c r="AD501" s="1">
        <f>IFERROR(IF(INT(LEFT(TArticle[[#This Row],[شناسه]]))=3,IF(TArticle[[#This Row],[کد وضعیت سند]]=1,TArticle[مبلغ],0),0),0)</f>
        <v>0</v>
      </c>
      <c r="AE501" s="1">
        <f>IFERROR(IF(((TArticle[[#This Row],[شناسه]]))="4.1.1",IF(TArticle[[#This Row],[کد وضعیت سند]]=1,TArticle[مبلغ],0),0),0)</f>
        <v>0</v>
      </c>
      <c r="AF501" s="1">
        <f>IFERROR(IF(((TArticle[[#This Row],[شناسه]]))="4.1.2",IF(TArticle[[#This Row],[کد وضعیت سند]]=1,TArticle[مبلغ],0),0),0)</f>
        <v>0</v>
      </c>
      <c r="AG501" s="1">
        <f>IFERROR(IF(INT(LEFT(TArticle[[#This Row],[شناسه]]))=1,IF(TArticle[[#This Row],[کد وضعیت سند]]=1,TArticle[مبلغ],0),0),0)</f>
        <v>0</v>
      </c>
      <c r="AH501" s="1">
        <f>IFERROR(IF(INT(LEFT(TArticle[[#This Row],[شناسه]]))=2,IF(TArticle[[#This Row],[کد وضعیت سند]]=1,TArticle[مبلغ],0),0),0)</f>
        <v>0</v>
      </c>
      <c r="AI501" s="1">
        <f>IFERROR(IF((LEFT(TArticle[[#This Row],[شناسه]],3))="5.2",IF(TArticle[[#This Row],[کد وضعیت سند]]=1,TArticle[مبلغ],0),0),0)</f>
        <v>0</v>
      </c>
      <c r="AJ501" s="1">
        <f>IF(TArticle[[#This Row],[کد وضعیت سند]]=1,1,0)</f>
        <v>0</v>
      </c>
      <c r="AK501" s="1">
        <f>IF(AND(TArticle[[#This Row],[کد وضعیت سند]]&lt;&gt;1,TArticle[[#This Row],[مبلغ]]&lt;&gt;0),1,0)</f>
        <v>1</v>
      </c>
      <c r="AL501" s="51">
        <f>IF(TArticle[[#This Row],[کد بانک]]&gt;0,TArticle[[#This Row],[مانده بانک]]-VLOOKUP(TArticle[[#This Row],[کد بانک]],TBank[],7,FALSE),"")</f>
        <v>347279</v>
      </c>
      <c r="AM501" s="49" t="str">
        <f>LEFT(TArticle[[#This Row],[تاریخ]],7)</f>
        <v>1403-03</v>
      </c>
    </row>
    <row r="502" spans="1:39" x14ac:dyDescent="0.25">
      <c r="A502" s="24" t="s">
        <v>1110</v>
      </c>
      <c r="B502" s="49" t="str">
        <f>VLOOKUP(TArticle[[#This Row],[شناسه]],TAccount[],2,TRUE)</f>
        <v>قسط وام بانکی</v>
      </c>
      <c r="C502" s="49" t="str">
        <f>VLOOKUP(TArticle[[#This Row],[تاریخ]],TDays[],7,FALSE)</f>
        <v>جمعه</v>
      </c>
      <c r="D502" s="21" t="s">
        <v>1291</v>
      </c>
      <c r="E502" s="1">
        <v>-532</v>
      </c>
      <c r="F502" s="1">
        <f>TArticle[[#This Row],[مبلغ]]+IFERROR(INT(F501),30181+3667+958)</f>
        <v>305095</v>
      </c>
      <c r="G502" s="49"/>
      <c r="H502" s="21">
        <v>15</v>
      </c>
      <c r="J502" s="65"/>
      <c r="K502" s="64">
        <v>2</v>
      </c>
      <c r="L502" s="171" t="str">
        <f>IF(TArticle[[#This Row],[کد وضعیت سند]]&gt;0,VLOOKUP(TArticle[[#This Row],[کد وضعیت سند]],TDocState[],2,FALSE),"")</f>
        <v>قطعی</v>
      </c>
      <c r="M502" s="67">
        <v>116</v>
      </c>
      <c r="N502" s="171" t="str">
        <f>IF(TArticle[[#This Row],[کد طرف حساب]]&gt;0,VLOOKUP(TArticle[[#This Row],[کد طرف حساب]],TContact[],2,FALSE),"")</f>
        <v>وام امتیازی مهر</v>
      </c>
      <c r="O502" s="68">
        <f>IF(TArticle[[#This Row],[کد طرف حساب]]&gt;0,VLOOKUP(TArticle[[#This Row],[کد طرف حساب]],TContact[],7,FALSE)-SUMIF($M$2:M502,M502,$E$2:$E502),"")</f>
        <v>-4784</v>
      </c>
      <c r="P502" s="67" t="str">
        <f>RIGHT(TArticle[[#This Row],[تاریخ]],2)</f>
        <v>04</v>
      </c>
      <c r="Q502" s="67">
        <f>VLOOKUP(TArticle[[#This Row],[تاریخ]],TDays[],16,FALSE)</f>
        <v>10</v>
      </c>
      <c r="R502" s="67" t="str">
        <f>RIGHT(LEFT(TArticle[[#This Row],[تاریخ]],7),2)</f>
        <v>03</v>
      </c>
      <c r="S502" s="67" t="str">
        <f>LEFT(TArticle[[#This Row],[تاریخ]],4)</f>
        <v>1403</v>
      </c>
      <c r="T502" s="64"/>
      <c r="U502" s="64">
        <f>VLOOKUP(TArticle[[#This Row],[شناسه]],TAccount[],7,TRUE)</f>
        <v>81652</v>
      </c>
      <c r="V502" s="64"/>
      <c r="W502" s="64">
        <f>IF(AND(TArticle[[#This Row],[مبلغ]]&gt;0, TArticle[[#This Row],[کد وضعیت سند]]=1),TArticle[[#This Row],[مبلغ]],0)</f>
        <v>0</v>
      </c>
      <c r="X502" s="67">
        <f>IF(AND(TArticle[[#This Row],[مبلغ]]&lt;0,TArticle[[#This Row],[کد وضعیت سند]]=1),0-TArticle[[#This Row],[مبلغ]],0)</f>
        <v>0</v>
      </c>
      <c r="Y502" s="27">
        <v>2</v>
      </c>
      <c r="Z502" s="171" t="str">
        <f>IF(TArticle[[#This Row],[کد بانک]]&gt;0,VLOOKUP(TArticle[[#This Row],[کد بانک]],TBank[],2,FALSE),"")</f>
        <v>ملی جاری</v>
      </c>
      <c r="AA502">
        <f>IF(AND(TArticle[[#This Row],[مبلغ]]&lt;0,TArticle[[#This Row],[کد وضعیت سند]]=1),0-TArticle[[#This Row],[مبلغ]],0)</f>
        <v>0</v>
      </c>
      <c r="AB502">
        <f>IF(AND(TArticle[[#This Row],[مبلغ]]&gt;0, TArticle[[#This Row],[کد وضعیت سند]]=1),TArticle[[#This Row],[مبلغ]],0)</f>
        <v>0</v>
      </c>
      <c r="AC502" s="93">
        <f>IF(TArticle[[#This Row],[کد بانک]]&gt;0,VLOOKUP(TArticle[[#This Row],[کد بانک]],TBank[],9,FALSE)+SUMIF($Y$2:Y502,Y502,$E$2:$E502),"")</f>
        <v>346747</v>
      </c>
      <c r="AD502" s="1">
        <f>IFERROR(IF(INT(LEFT(TArticle[[#This Row],[شناسه]]))=3,IF(TArticle[[#This Row],[کد وضعیت سند]]=1,TArticle[مبلغ],0),0),0)</f>
        <v>0</v>
      </c>
      <c r="AE502" s="1">
        <f>IFERROR(IF(((TArticle[[#This Row],[شناسه]]))="4.1.1",IF(TArticle[[#This Row],[کد وضعیت سند]]=1,TArticle[مبلغ],0),0),0)</f>
        <v>0</v>
      </c>
      <c r="AF502" s="1">
        <f>IFERROR(IF(((TArticle[[#This Row],[شناسه]]))="4.1.2",IF(TArticle[[#This Row],[کد وضعیت سند]]=1,TArticle[مبلغ],0),0),0)</f>
        <v>0</v>
      </c>
      <c r="AG502" s="1">
        <f>IFERROR(IF(INT(LEFT(TArticle[[#This Row],[شناسه]]))=1,IF(TArticle[[#This Row],[کد وضعیت سند]]=1,TArticle[مبلغ],0),0),0)</f>
        <v>0</v>
      </c>
      <c r="AH502" s="1">
        <f>IFERROR(IF(INT(LEFT(TArticle[[#This Row],[شناسه]]))=2,IF(TArticle[[#This Row],[کد وضعیت سند]]=1,TArticle[مبلغ],0),0),0)</f>
        <v>0</v>
      </c>
      <c r="AI502" s="1">
        <f>IFERROR(IF((LEFT(TArticle[[#This Row],[شناسه]],3))="5.2",IF(TArticle[[#This Row],[کد وضعیت سند]]=1,TArticle[مبلغ],0),0),0)</f>
        <v>0</v>
      </c>
      <c r="AJ502" s="1">
        <f>IF(TArticle[[#This Row],[کد وضعیت سند]]=1,1,0)</f>
        <v>0</v>
      </c>
      <c r="AK502" s="1">
        <f>IF(AND(TArticle[[#This Row],[کد وضعیت سند]]&lt;&gt;1,TArticle[[#This Row],[مبلغ]]&lt;&gt;0),1,0)</f>
        <v>1</v>
      </c>
      <c r="AL502" s="78">
        <f>IF(TArticle[[#This Row],[کد بانک]]&gt;0,TArticle[[#This Row],[مانده بانک]]-VLOOKUP(TArticle[[#This Row],[کد بانک]],TBank[],7,FALSE),"")</f>
        <v>346747</v>
      </c>
      <c r="AM502" s="69" t="str">
        <f>LEFT(TArticle[[#This Row],[تاریخ]],7)</f>
        <v>1403-03</v>
      </c>
    </row>
    <row r="503" spans="1:39" x14ac:dyDescent="0.25">
      <c r="A503" s="24" t="s">
        <v>1110</v>
      </c>
      <c r="B503" s="49" t="str">
        <f>VLOOKUP(TArticle[[#This Row],[شناسه]],TAccount[],2,TRUE)</f>
        <v>قسط وام بانکی</v>
      </c>
      <c r="C503" s="49" t="str">
        <f>VLOOKUP(TArticle[[#This Row],[تاریخ]],TDays[],7,FALSE)</f>
        <v>چهارشنبه</v>
      </c>
      <c r="D503" s="21" t="s">
        <v>1296</v>
      </c>
      <c r="E503" s="1">
        <f>'طرف حساب'!$J$29</f>
        <v>-3616</v>
      </c>
      <c r="F503" s="1">
        <f>TArticle[[#This Row],[مبلغ]]+IFERROR(INT(F502),30181+3667+958)</f>
        <v>301479</v>
      </c>
      <c r="G503" s="49"/>
      <c r="H503" s="21">
        <v>16</v>
      </c>
      <c r="J503" s="51"/>
      <c r="K503" s="64">
        <v>2</v>
      </c>
      <c r="L503" s="171" t="str">
        <f>IF(TArticle[[#This Row],[کد وضعیت سند]]&gt;0,VLOOKUP(TArticle[[#This Row],[کد وضعیت سند]],TDocState[],2,FALSE),"")</f>
        <v>قطعی</v>
      </c>
      <c r="M503" s="67">
        <v>114</v>
      </c>
      <c r="N503" s="171" t="str">
        <f>IF(TArticle[[#This Row],[کد طرف حساب]]&gt;0,VLOOKUP(TArticle[[#This Row],[کد طرف حساب]],TContact[],2,FALSE),"")</f>
        <v>وام کارت ملی ف</v>
      </c>
      <c r="O503" s="60">
        <f>IF(TArticle[[#This Row],[کد طرف حساب]]&gt;0,VLOOKUP(TArticle[[#This Row],[کد طرف حساب]],TContact[],7,FALSE)-SUMIF($M$2:M503,M503,$E$2:$E503),"")</f>
        <v>-73602</v>
      </c>
      <c r="P503" s="27" t="str">
        <f>RIGHT(TArticle[[#This Row],[تاریخ]],2)</f>
        <v>09</v>
      </c>
      <c r="Q503" s="27">
        <f>VLOOKUP(TArticle[[#This Row],[تاریخ]],TDays[],16,FALSE)</f>
        <v>11</v>
      </c>
      <c r="R503" s="27" t="str">
        <f>RIGHT(LEFT(TArticle[[#This Row],[تاریخ]],7),2)</f>
        <v>03</v>
      </c>
      <c r="S503" s="27" t="str">
        <f>LEFT(TArticle[[#This Row],[تاریخ]],4)</f>
        <v>1403</v>
      </c>
      <c r="U503" s="21">
        <f>VLOOKUP(TArticle[[#This Row],[شناسه]],TAccount[],7,TRUE)</f>
        <v>81652</v>
      </c>
      <c r="W503" s="21">
        <f>IF(AND(TArticle[[#This Row],[مبلغ]]&gt;0, TArticle[[#This Row],[کد وضعیت سند]]=1),TArticle[[#This Row],[مبلغ]],0)</f>
        <v>0</v>
      </c>
      <c r="X503" s="27">
        <f>IF(AND(TArticle[[#This Row],[مبلغ]]&lt;0,TArticle[[#This Row],[کد وضعیت سند]]=1),0-TArticle[[#This Row],[مبلغ]],0)</f>
        <v>0</v>
      </c>
      <c r="Y503" s="27">
        <v>2</v>
      </c>
      <c r="Z503" s="171" t="str">
        <f>IF(TArticle[[#This Row],[کد بانک]]&gt;0,VLOOKUP(TArticle[[#This Row],[کد بانک]],TBank[],2,FALSE),"")</f>
        <v>ملی جاری</v>
      </c>
      <c r="AA503">
        <f>IF(AND(TArticle[[#This Row],[مبلغ]]&lt;0,TArticle[[#This Row],[کد وضعیت سند]]=1),0-TArticle[[#This Row],[مبلغ]],0)</f>
        <v>0</v>
      </c>
      <c r="AB503">
        <f>IF(AND(TArticle[[#This Row],[مبلغ]]&gt;0, TArticle[[#This Row],[کد وضعیت سند]]=1),TArticle[[#This Row],[مبلغ]],0)</f>
        <v>0</v>
      </c>
      <c r="AC503" s="92">
        <f>IF(TArticle[[#This Row],[کد بانک]]&gt;0,VLOOKUP(TArticle[[#This Row],[کد بانک]],TBank[],9,FALSE)+SUMIF($Y$2:Y503,Y503,$E$2:$E503),"")</f>
        <v>343131</v>
      </c>
      <c r="AD503" s="1">
        <f>IFERROR(IF(INT(LEFT(TArticle[[#This Row],[شناسه]]))=3,IF(TArticle[[#This Row],[کد وضعیت سند]]=1,TArticle[مبلغ],0),0),0)</f>
        <v>0</v>
      </c>
      <c r="AE503" s="1">
        <f>IFERROR(IF(((TArticle[[#This Row],[شناسه]]))="4.1.1",IF(TArticle[[#This Row],[کد وضعیت سند]]=1,TArticle[مبلغ],0),0),0)</f>
        <v>0</v>
      </c>
      <c r="AF503" s="1">
        <f>IFERROR(IF(((TArticle[[#This Row],[شناسه]]))="4.1.2",IF(TArticle[[#This Row],[کد وضعیت سند]]=1,TArticle[مبلغ],0),0),0)</f>
        <v>0</v>
      </c>
      <c r="AG503" s="1">
        <f>IFERROR(IF(INT(LEFT(TArticle[[#This Row],[شناسه]]))=1,IF(TArticle[[#This Row],[کد وضعیت سند]]=1,TArticle[مبلغ],0),0),0)</f>
        <v>0</v>
      </c>
      <c r="AH503" s="1">
        <f>IFERROR(IF(INT(LEFT(TArticle[[#This Row],[شناسه]]))=2,IF(TArticle[[#This Row],[کد وضعیت سند]]=1,TArticle[مبلغ],0),0),0)</f>
        <v>0</v>
      </c>
      <c r="AI503" s="1">
        <f>IFERROR(IF((LEFT(TArticle[[#This Row],[شناسه]],3))="5.2",IF(TArticle[[#This Row],[کد وضعیت سند]]=1,TArticle[مبلغ],0),0),0)</f>
        <v>0</v>
      </c>
      <c r="AJ503" s="1">
        <f>IF(TArticle[[#This Row],[کد وضعیت سند]]=1,1,0)</f>
        <v>0</v>
      </c>
      <c r="AK503" s="1">
        <f>IF(AND(TArticle[[#This Row],[کد وضعیت سند]]&lt;&gt;1,TArticle[[#This Row],[مبلغ]]&lt;&gt;0),1,0)</f>
        <v>1</v>
      </c>
      <c r="AL503" s="51">
        <f>IF(TArticle[[#This Row],[کد بانک]]&gt;0,TArticle[[#This Row],[مانده بانک]]-VLOOKUP(TArticle[[#This Row],[کد بانک]],TBank[],7,FALSE),"")</f>
        <v>343131</v>
      </c>
      <c r="AM503" s="58" t="str">
        <f>LEFT(TArticle[[#This Row],[تاریخ]],7)</f>
        <v>1403-03</v>
      </c>
    </row>
    <row r="504" spans="1:39" x14ac:dyDescent="0.25">
      <c r="A504" s="24" t="s">
        <v>1013</v>
      </c>
      <c r="B504" s="49" t="str">
        <f>VLOOKUP(TArticle[[#This Row],[شناسه]],TAccount[],2,TRUE)</f>
        <v>یارانه</v>
      </c>
      <c r="C504" s="49" t="str">
        <f>VLOOKUP(TArticle[[#This Row],[تاریخ]],TDays[],7,FALSE)</f>
        <v>یکشنبه</v>
      </c>
      <c r="D504" s="21" t="s">
        <v>1307</v>
      </c>
      <c r="E504" s="1">
        <v>1500</v>
      </c>
      <c r="F504" s="1">
        <f>TArticle[[#This Row],[مبلغ]]+IFERROR(INT(F503),30181+3667+958)</f>
        <v>302979</v>
      </c>
      <c r="G504" s="49"/>
      <c r="H504" s="64"/>
      <c r="J504" s="65"/>
      <c r="K504" s="64">
        <v>2</v>
      </c>
      <c r="L504" s="171" t="str">
        <f>IF(TArticle[[#This Row],[کد وضعیت سند]]&gt;0,VLOOKUP(TArticle[[#This Row],[کد وضعیت سند]],TDocState[],2,FALSE),"")</f>
        <v>قطعی</v>
      </c>
      <c r="M504" s="67"/>
      <c r="N504" s="171" t="str">
        <f>IF(TArticle[[#This Row],[کد طرف حساب]]&gt;0,VLOOKUP(TArticle[[#This Row],[کد طرف حساب]],TContact[],2,FALSE),"")</f>
        <v/>
      </c>
      <c r="O504" s="68" t="str">
        <f>IF(TArticle[[#This Row],[کد طرف حساب]]&gt;0,VLOOKUP(TArticle[[#This Row],[کد طرف حساب]],TContact[],7,FALSE)-SUMIF($M$2:M504,M504,$E$2:$E504),"")</f>
        <v/>
      </c>
      <c r="P504" s="67" t="str">
        <f>RIGHT(TArticle[[#This Row],[تاریخ]],2)</f>
        <v>20</v>
      </c>
      <c r="Q504" s="67">
        <f>VLOOKUP(TArticle[[#This Row],[تاریخ]],TDays[],16,FALSE)</f>
        <v>12</v>
      </c>
      <c r="R504" s="67" t="str">
        <f>RIGHT(LEFT(TArticle[[#This Row],[تاریخ]],7),2)</f>
        <v>03</v>
      </c>
      <c r="S504" s="67" t="str">
        <f>LEFT(TArticle[[#This Row],[تاریخ]],4)</f>
        <v>1403</v>
      </c>
      <c r="T504" s="64"/>
      <c r="U504" s="64">
        <f>VLOOKUP(TArticle[[#This Row],[شناسه]],TAccount[],7,TRUE)</f>
        <v>12565</v>
      </c>
      <c r="V504" s="64"/>
      <c r="W504" s="64">
        <f>IF(AND(TArticle[[#This Row],[مبلغ]]&gt;0, TArticle[[#This Row],[کد وضعیت سند]]=1),TArticle[[#This Row],[مبلغ]],0)</f>
        <v>0</v>
      </c>
      <c r="X504" s="67">
        <f>IF(AND(TArticle[[#This Row],[مبلغ]]&lt;0,TArticle[[#This Row],[کد وضعیت سند]]=1),0-TArticle[[#This Row],[مبلغ]],0)</f>
        <v>0</v>
      </c>
      <c r="Y504" s="27">
        <v>2</v>
      </c>
      <c r="Z504" s="171" t="str">
        <f>IF(TArticle[[#This Row],[کد بانک]]&gt;0,VLOOKUP(TArticle[[#This Row],[کد بانک]],TBank[],2,FALSE),"")</f>
        <v>ملی جاری</v>
      </c>
      <c r="AA504">
        <f>IF(AND(TArticle[[#This Row],[مبلغ]]&lt;0,TArticle[[#This Row],[کد وضعیت سند]]=1),0-TArticle[[#This Row],[مبلغ]],0)</f>
        <v>0</v>
      </c>
      <c r="AB504">
        <f>IF(AND(TArticle[[#This Row],[مبلغ]]&gt;0, TArticle[[#This Row],[کد وضعیت سند]]=1),TArticle[[#This Row],[مبلغ]],0)</f>
        <v>0</v>
      </c>
      <c r="AC504" s="93">
        <f>IF(TArticle[[#This Row],[کد بانک]]&gt;0,VLOOKUP(TArticle[[#This Row],[کد بانک]],TBank[],9,FALSE)+SUMIF($Y$2:Y504,Y504,$E$2:$E504),"")</f>
        <v>344631</v>
      </c>
      <c r="AD504" s="1">
        <f>IFERROR(IF(INT(LEFT(TArticle[[#This Row],[شناسه]]))=3,IF(TArticle[[#This Row],[کد وضعیت سند]]=1,TArticle[مبلغ],0),0),0)</f>
        <v>0</v>
      </c>
      <c r="AE504" s="1">
        <f>IFERROR(IF(((TArticle[[#This Row],[شناسه]]))="4.1.1",IF(TArticle[[#This Row],[کد وضعیت سند]]=1,TArticle[مبلغ],0),0),0)</f>
        <v>0</v>
      </c>
      <c r="AF504" s="1">
        <f>IFERROR(IF(((TArticle[[#This Row],[شناسه]]))="4.1.2",IF(TArticle[[#This Row],[کد وضعیت سند]]=1,TArticle[مبلغ],0),0),0)</f>
        <v>0</v>
      </c>
      <c r="AG504" s="1">
        <f>IFERROR(IF(INT(LEFT(TArticle[[#This Row],[شناسه]]))=1,IF(TArticle[[#This Row],[کد وضعیت سند]]=1,TArticle[مبلغ],0),0),0)</f>
        <v>0</v>
      </c>
      <c r="AH504" s="1">
        <f>IFERROR(IF(INT(LEFT(TArticle[[#This Row],[شناسه]]))=2,IF(TArticle[[#This Row],[کد وضعیت سند]]=1,TArticle[مبلغ],0),0),0)</f>
        <v>0</v>
      </c>
      <c r="AI504" s="1">
        <f>IFERROR(IF((LEFT(TArticle[[#This Row],[شناسه]],3))="5.2",IF(TArticle[[#This Row],[کد وضعیت سند]]=1,TArticle[مبلغ],0),0),0)</f>
        <v>0</v>
      </c>
      <c r="AJ504" s="1">
        <f>IF(TArticle[[#This Row],[کد وضعیت سند]]=1,1,0)</f>
        <v>0</v>
      </c>
      <c r="AK504" s="1">
        <f>IF(AND(TArticle[[#This Row],[کد وضعیت سند]]&lt;&gt;1,TArticle[[#This Row],[مبلغ]]&lt;&gt;0),1,0)</f>
        <v>1</v>
      </c>
      <c r="AL504" s="78">
        <f>IF(TArticle[[#This Row],[کد بانک]]&gt;0,TArticle[[#This Row],[مانده بانک]]-VLOOKUP(TArticle[[#This Row],[کد بانک]],TBank[],7,FALSE),"")</f>
        <v>344631</v>
      </c>
      <c r="AM504" s="69" t="str">
        <f>LEFT(TArticle[[#This Row],[تاریخ]],7)</f>
        <v>1403-03</v>
      </c>
    </row>
    <row r="505" spans="1:39" x14ac:dyDescent="0.25">
      <c r="A505" s="24" t="s">
        <v>1110</v>
      </c>
      <c r="B505" s="49" t="str">
        <f>VLOOKUP(TArticle[[#This Row],[شناسه]],TAccount[],2,TRUE)</f>
        <v>قسط وام بانکی</v>
      </c>
      <c r="C505" s="49" t="str">
        <f>VLOOKUP(TArticle[[#This Row],[تاریخ]],TDays[],7,FALSE)</f>
        <v>دوشنبه</v>
      </c>
      <c r="D505" s="21" t="s">
        <v>1315</v>
      </c>
      <c r="E505" s="1">
        <v>-609</v>
      </c>
      <c r="F505" s="1">
        <f>TArticle[[#This Row],[مبلغ]]+IFERROR(INT(F504),30181+3667+958)</f>
        <v>302370</v>
      </c>
      <c r="G505" s="49" t="s">
        <v>1597</v>
      </c>
      <c r="H505" s="21">
        <v>32</v>
      </c>
      <c r="J505" s="65"/>
      <c r="K505" s="64">
        <v>2</v>
      </c>
      <c r="L505" s="171" t="str">
        <f>IF(TArticle[[#This Row],[کد وضعیت سند]]&gt;0,VLOOKUP(TArticle[[#This Row],[کد وضعیت سند]],TDocState[],2,FALSE),"")</f>
        <v>قطعی</v>
      </c>
      <c r="M505" s="67">
        <v>112.1</v>
      </c>
      <c r="N505" s="171" t="str">
        <f>IF(TArticle[[#This Row],[کد طرف حساب]]&gt;0,VLOOKUP(TArticle[[#This Row],[کد طرف حساب]],TContact[],2,FALSE),"")</f>
        <v>وام ملی - سود</v>
      </c>
      <c r="O505" s="68">
        <f>IF(TArticle[[#This Row],[کد طرف حساب]]&gt;0,VLOOKUP(TArticle[[#This Row],[کد طرف حساب]],TContact[],7,FALSE)-SUMIF($M$2:M505,M505,$E$2:$E505),"")</f>
        <v>0</v>
      </c>
      <c r="P505" s="67" t="str">
        <f>RIGHT(TArticle[[#This Row],[تاریخ]],2)</f>
        <v>28</v>
      </c>
      <c r="Q505" s="67">
        <f>VLOOKUP(TArticle[[#This Row],[تاریخ]],TDays[],16,FALSE)</f>
        <v>14</v>
      </c>
      <c r="R505" s="67" t="str">
        <f>RIGHT(LEFT(TArticle[[#This Row],[تاریخ]],7),2)</f>
        <v>03</v>
      </c>
      <c r="S505" s="67" t="str">
        <f>LEFT(TArticle[[#This Row],[تاریخ]],4)</f>
        <v>1403</v>
      </c>
      <c r="T505" s="64"/>
      <c r="U505" s="64">
        <f>VLOOKUP(TArticle[[#This Row],[شناسه]],TAccount[],7,TRUE)</f>
        <v>81652</v>
      </c>
      <c r="V505" s="64"/>
      <c r="W505" s="64">
        <f>IF(AND(TArticle[[#This Row],[مبلغ]]&gt;0, TArticle[[#This Row],[کد وضعیت سند]]=1),TArticle[[#This Row],[مبلغ]],0)</f>
        <v>0</v>
      </c>
      <c r="X505" s="67">
        <f>IF(AND(TArticle[[#This Row],[مبلغ]]&lt;0,TArticle[[#This Row],[کد وضعیت سند]]=1),0-TArticle[[#This Row],[مبلغ]],0)</f>
        <v>0</v>
      </c>
      <c r="Y505" s="67">
        <v>2</v>
      </c>
      <c r="Z505" s="171" t="str">
        <f>IF(TArticle[[#This Row],[کد بانک]]&gt;0,VLOOKUP(TArticle[[#This Row],[کد بانک]],TBank[],2,FALSE),"")</f>
        <v>ملی جاری</v>
      </c>
      <c r="AA505">
        <f>IF(AND(TArticle[[#This Row],[مبلغ]]&lt;0,TArticle[[#This Row],[کد وضعیت سند]]=1),0-TArticle[[#This Row],[مبلغ]],0)</f>
        <v>0</v>
      </c>
      <c r="AB505">
        <f>IF(AND(TArticle[[#This Row],[مبلغ]]&gt;0, TArticle[[#This Row],[کد وضعیت سند]]=1),TArticle[[#This Row],[مبلغ]],0)</f>
        <v>0</v>
      </c>
      <c r="AC505" s="93">
        <f>IF(TArticle[[#This Row],[کد بانک]]&gt;0,VLOOKUP(TArticle[[#This Row],[کد بانک]],TBank[],9,FALSE)+SUMIF($Y$2:Y505,Y505,$E$2:$E505),"")</f>
        <v>344022</v>
      </c>
      <c r="AD505" s="1">
        <f>IFERROR(IF(INT(LEFT(TArticle[[#This Row],[شناسه]]))=3,IF(TArticle[[#This Row],[کد وضعیت سند]]=1,TArticle[مبلغ],0),0),0)</f>
        <v>0</v>
      </c>
      <c r="AE505" s="1">
        <f>IFERROR(IF(((TArticle[[#This Row],[شناسه]]))="4.1.1",IF(TArticle[[#This Row],[کد وضعیت سند]]=1,TArticle[مبلغ],0),0),0)</f>
        <v>0</v>
      </c>
      <c r="AF505" s="1">
        <f>IFERROR(IF(((TArticle[[#This Row],[شناسه]]))="4.1.2",IF(TArticle[[#This Row],[کد وضعیت سند]]=1,TArticle[مبلغ],0),0),0)</f>
        <v>0</v>
      </c>
      <c r="AG505" s="1">
        <f>IFERROR(IF(INT(LEFT(TArticle[[#This Row],[شناسه]]))=1,IF(TArticle[[#This Row],[کد وضعیت سند]]=1,TArticle[مبلغ],0),0),0)</f>
        <v>0</v>
      </c>
      <c r="AH505" s="1">
        <f>IFERROR(IF(INT(LEFT(TArticle[[#This Row],[شناسه]]))=2,IF(TArticle[[#This Row],[کد وضعیت سند]]=1,TArticle[مبلغ],0),0),0)</f>
        <v>0</v>
      </c>
      <c r="AI505" s="1">
        <f>IFERROR(IF((LEFT(TArticle[[#This Row],[شناسه]],3))="5.2",IF(TArticle[[#This Row],[کد وضعیت سند]]=1,TArticle[مبلغ],0),0),0)</f>
        <v>0</v>
      </c>
      <c r="AJ505" s="1">
        <f>IF(TArticle[[#This Row],[کد وضعیت سند]]=1,1,0)</f>
        <v>0</v>
      </c>
      <c r="AK505" s="1">
        <f>IF(AND(TArticle[[#This Row],[کد وضعیت سند]]&lt;&gt;1,TArticle[[#This Row],[مبلغ]]&lt;&gt;0),1,0)</f>
        <v>1</v>
      </c>
      <c r="AL505" s="78">
        <f>IF(TArticle[[#This Row],[کد بانک]]&gt;0,TArticle[[#This Row],[مانده بانک]]-VLOOKUP(TArticle[[#This Row],[کد بانک]],TBank[],7,FALSE),"")</f>
        <v>344022</v>
      </c>
      <c r="AM505" s="58" t="str">
        <f>LEFT(TArticle[[#This Row],[تاریخ]],7)</f>
        <v>1403-03</v>
      </c>
    </row>
    <row r="506" spans="1:39" x14ac:dyDescent="0.25">
      <c r="A506" s="24" t="s">
        <v>1110</v>
      </c>
      <c r="B506" s="49" t="str">
        <f>VLOOKUP(TArticle[[#This Row],[شناسه]],TAccount[],2,TRUE)</f>
        <v>قسط وام بانکی</v>
      </c>
      <c r="C506" s="49" t="str">
        <f>VLOOKUP(TArticle[[#This Row],[تاریخ]],TDays[],7,FALSE)</f>
        <v>دوشنبه</v>
      </c>
      <c r="D506" s="21" t="s">
        <v>1315</v>
      </c>
      <c r="E506" s="1">
        <v>-6608</v>
      </c>
      <c r="F506" s="1">
        <f>TArticle[[#This Row],[مبلغ]]+IFERROR(INT(F505),30181+3667+958)</f>
        <v>295762</v>
      </c>
      <c r="G506" s="49" t="s">
        <v>1597</v>
      </c>
      <c r="H506" s="21">
        <v>32</v>
      </c>
      <c r="J506" s="65"/>
      <c r="K506" s="64">
        <v>2</v>
      </c>
      <c r="L506" s="171" t="str">
        <f>IF(TArticle[[#This Row],[کد وضعیت سند]]&gt;0,VLOOKUP(TArticle[[#This Row],[کد وضعیت سند]],TDocState[],2,FALSE),"")</f>
        <v>قطعی</v>
      </c>
      <c r="M506" s="67">
        <v>112</v>
      </c>
      <c r="N506" s="171" t="str">
        <f>IF(TArticle[[#This Row],[کد طرف حساب]]&gt;0,VLOOKUP(TArticle[[#This Row],[کد طرف حساب]],TContact[],2,FALSE),"")</f>
        <v>وام ملی</v>
      </c>
      <c r="O506" s="68">
        <f>IF(TArticle[[#This Row],[کد طرف حساب]]&gt;0,VLOOKUP(TArticle[[#This Row],[کد طرف حساب]],TContact[],7,FALSE)-SUMIF($M$2:M506,M506,$E$2:$E506),"")</f>
        <v>0</v>
      </c>
      <c r="P506" s="67" t="str">
        <f>RIGHT(TArticle[[#This Row],[تاریخ]],2)</f>
        <v>28</v>
      </c>
      <c r="Q506" s="67">
        <f>VLOOKUP(TArticle[[#This Row],[تاریخ]],TDays[],16,FALSE)</f>
        <v>14</v>
      </c>
      <c r="R506" s="67" t="str">
        <f>RIGHT(LEFT(TArticle[[#This Row],[تاریخ]],7),2)</f>
        <v>03</v>
      </c>
      <c r="S506" s="67" t="str">
        <f>LEFT(TArticle[[#This Row],[تاریخ]],4)</f>
        <v>1403</v>
      </c>
      <c r="T506" s="64"/>
      <c r="U506" s="64">
        <f>VLOOKUP(TArticle[[#This Row],[شناسه]],TAccount[],7,TRUE)</f>
        <v>81652</v>
      </c>
      <c r="V506" s="64"/>
      <c r="W506" s="64">
        <f>IF(AND(TArticle[[#This Row],[مبلغ]]&gt;0, TArticle[[#This Row],[کد وضعیت سند]]=1),TArticle[[#This Row],[مبلغ]],0)</f>
        <v>0</v>
      </c>
      <c r="X506" s="67">
        <f>IF(AND(TArticle[[#This Row],[مبلغ]]&lt;0,TArticle[[#This Row],[کد وضعیت سند]]=1),0-TArticle[[#This Row],[مبلغ]],0)</f>
        <v>0</v>
      </c>
      <c r="Y506" s="67">
        <v>2</v>
      </c>
      <c r="Z506" s="171" t="str">
        <f>IF(TArticle[[#This Row],[کد بانک]]&gt;0,VLOOKUP(TArticle[[#This Row],[کد بانک]],TBank[],2,FALSE),"")</f>
        <v>ملی جاری</v>
      </c>
      <c r="AA506">
        <f>IF(AND(TArticle[[#This Row],[مبلغ]]&lt;0,TArticle[[#This Row],[کد وضعیت سند]]=1),0-TArticle[[#This Row],[مبلغ]],0)</f>
        <v>0</v>
      </c>
      <c r="AB506">
        <f>IF(AND(TArticle[[#This Row],[مبلغ]]&gt;0, TArticle[[#This Row],[کد وضعیت سند]]=1),TArticle[[#This Row],[مبلغ]],0)</f>
        <v>0</v>
      </c>
      <c r="AC506" s="93">
        <f>IF(TArticle[[#This Row],[کد بانک]]&gt;0,VLOOKUP(TArticle[[#This Row],[کد بانک]],TBank[],9,FALSE)+SUMIF($Y$2:Y506,Y506,$E$2:$E506),"")</f>
        <v>337414</v>
      </c>
      <c r="AD506" s="1">
        <f>IFERROR(IF(INT(LEFT(TArticle[[#This Row],[شناسه]]))=3,IF(TArticle[[#This Row],[کد وضعیت سند]]=1,TArticle[مبلغ],0),0),0)</f>
        <v>0</v>
      </c>
      <c r="AE506" s="1">
        <f>IFERROR(IF(((TArticle[[#This Row],[شناسه]]))="4.1.1",IF(TArticle[[#This Row],[کد وضعیت سند]]=1,TArticle[مبلغ],0),0),0)</f>
        <v>0</v>
      </c>
      <c r="AF506" s="1">
        <f>IFERROR(IF(((TArticle[[#This Row],[شناسه]]))="4.1.2",IF(TArticle[[#This Row],[کد وضعیت سند]]=1,TArticle[مبلغ],0),0),0)</f>
        <v>0</v>
      </c>
      <c r="AG506" s="1">
        <f>IFERROR(IF(INT(LEFT(TArticle[[#This Row],[شناسه]]))=1,IF(TArticle[[#This Row],[کد وضعیت سند]]=1,TArticle[مبلغ],0),0),0)</f>
        <v>0</v>
      </c>
      <c r="AH506" s="1">
        <f>IFERROR(IF(INT(LEFT(TArticle[[#This Row],[شناسه]]))=2,IF(TArticle[[#This Row],[کد وضعیت سند]]=1,TArticle[مبلغ],0),0),0)</f>
        <v>0</v>
      </c>
      <c r="AI506" s="1">
        <f>IFERROR(IF((LEFT(TArticle[[#This Row],[شناسه]],3))="5.2",IF(TArticle[[#This Row],[کد وضعیت سند]]=1,TArticle[مبلغ],0),0),0)</f>
        <v>0</v>
      </c>
      <c r="AJ506" s="1">
        <f>IF(TArticle[[#This Row],[کد وضعیت سند]]=1,1,0)</f>
        <v>0</v>
      </c>
      <c r="AK506" s="1">
        <f>IF(AND(TArticle[[#This Row],[کد وضعیت سند]]&lt;&gt;1,TArticle[[#This Row],[مبلغ]]&lt;&gt;0),1,0)</f>
        <v>1</v>
      </c>
      <c r="AL506" s="78">
        <f>IF(TArticle[[#This Row],[کد بانک]]&gt;0,TArticle[[#This Row],[مانده بانک]]-VLOOKUP(TArticle[[#This Row],[کد بانک]],TBank[],7,FALSE),"")</f>
        <v>337414</v>
      </c>
      <c r="AM506" s="58" t="str">
        <f>LEFT(TArticle[[#This Row],[تاریخ]],7)</f>
        <v>1403-03</v>
      </c>
    </row>
    <row r="507" spans="1:39" x14ac:dyDescent="0.25">
      <c r="A507" s="24"/>
      <c r="B507" s="49" t="str">
        <f>VLOOKUP(TArticle[[#This Row],[شناسه]],TAccount[],2,TRUE)</f>
        <v>---</v>
      </c>
      <c r="C507" s="49" t="str">
        <f>VLOOKUP(TArticle[[#This Row],[تاریخ]],TDays[],7,FALSE)</f>
        <v>سه شنبه</v>
      </c>
      <c r="D507" s="21" t="s">
        <v>1316</v>
      </c>
      <c r="F507" s="1">
        <f>TArticle[[#This Row],[مبلغ]]+IFERROR(INT(F506),30181+3667+958)</f>
        <v>295762</v>
      </c>
      <c r="G507" s="49"/>
      <c r="J507" s="51"/>
      <c r="K507" s="49"/>
      <c r="L507" s="171" t="str">
        <f>IF(TArticle[[#This Row],[کد وضعیت سند]]&gt;0,VLOOKUP(TArticle[[#This Row],[کد وضعیت سند]],TDocState[],2,FALSE),"")</f>
        <v/>
      </c>
      <c r="N507" s="171" t="str">
        <f>IF(TArticle[[#This Row],[کد طرف حساب]]&gt;0,VLOOKUP(TArticle[[#This Row],[کد طرف حساب]],TContact[],2,FALSE),"")</f>
        <v/>
      </c>
      <c r="O507" s="60" t="str">
        <f>IF(TArticle[[#This Row],[کد طرف حساب]]&gt;0,VLOOKUP(TArticle[[#This Row],[کد طرف حساب]],TContact[],7,FALSE)-SUMIF($M$2:M507,M507,$E$2:$E507),"")</f>
        <v/>
      </c>
      <c r="P507" s="27" t="str">
        <f>RIGHT(TArticle[[#This Row],[تاریخ]],2)</f>
        <v>29</v>
      </c>
      <c r="Q507" s="27">
        <f>VLOOKUP(TArticle[[#This Row],[تاریخ]],TDays[],16,FALSE)</f>
        <v>14</v>
      </c>
      <c r="R507" s="27" t="str">
        <f>RIGHT(LEFT(TArticle[[#This Row],[تاریخ]],7),2)</f>
        <v>03</v>
      </c>
      <c r="S507" s="27" t="str">
        <f>LEFT(TArticle[[#This Row],[تاریخ]],4)</f>
        <v>1403</v>
      </c>
      <c r="U507" s="21">
        <f>VLOOKUP(TArticle[[#This Row],[شناسه]],TAccount[],7,TRUE)</f>
        <v>0</v>
      </c>
      <c r="W507" s="21">
        <f>IF(AND(TArticle[[#This Row],[مبلغ]]&gt;0, TArticle[[#This Row],[کد وضعیت سند]]=1),TArticle[[#This Row],[مبلغ]],0)</f>
        <v>0</v>
      </c>
      <c r="X507" s="27">
        <f>IF(AND(TArticle[[#This Row],[مبلغ]]&lt;0,TArticle[[#This Row],[کد وضعیت سند]]=1),0-TArticle[[#This Row],[مبلغ]],0)</f>
        <v>0</v>
      </c>
      <c r="Y507" s="27">
        <v>2</v>
      </c>
      <c r="Z507" s="171" t="str">
        <f>IF(TArticle[[#This Row],[کد بانک]]&gt;0,VLOOKUP(TArticle[[#This Row],[کد بانک]],TBank[],2,FALSE),"")</f>
        <v>ملی جاری</v>
      </c>
      <c r="AA507">
        <f>IF(AND(TArticle[[#This Row],[مبلغ]]&lt;0,TArticle[[#This Row],[کد وضعیت سند]]=1),0-TArticle[[#This Row],[مبلغ]],0)</f>
        <v>0</v>
      </c>
      <c r="AB507">
        <f>IF(AND(TArticle[[#This Row],[مبلغ]]&gt;0, TArticle[[#This Row],[کد وضعیت سند]]=1),TArticle[[#This Row],[مبلغ]],0)</f>
        <v>0</v>
      </c>
      <c r="AC507" s="92">
        <f>IF(TArticle[[#This Row],[کد بانک]]&gt;0,VLOOKUP(TArticle[[#This Row],[کد بانک]],TBank[],9,FALSE)+SUMIF($Y$2:Y507,Y507,$E$2:$E507),"")</f>
        <v>337414</v>
      </c>
      <c r="AD507" s="1">
        <f>IFERROR(IF(INT(LEFT(TArticle[[#This Row],[شناسه]]))=3,IF(TArticle[[#This Row],[کد وضعیت سند]]=1,TArticle[مبلغ],0),0),0)</f>
        <v>0</v>
      </c>
      <c r="AE507" s="1">
        <f>IFERROR(IF(((TArticle[[#This Row],[شناسه]]))="4.1.1",IF(TArticle[[#This Row],[کد وضعیت سند]]=1,TArticle[مبلغ],0),0),0)</f>
        <v>0</v>
      </c>
      <c r="AF507" s="1">
        <f>IFERROR(IF(((TArticle[[#This Row],[شناسه]]))="4.1.2",IF(TArticle[[#This Row],[کد وضعیت سند]]=1,TArticle[مبلغ],0),0),0)</f>
        <v>0</v>
      </c>
      <c r="AG507" s="1">
        <f>IFERROR(IF(INT(LEFT(TArticle[[#This Row],[شناسه]]))=1,IF(TArticle[[#This Row],[کد وضعیت سند]]=1,TArticle[مبلغ],0),0),0)</f>
        <v>0</v>
      </c>
      <c r="AH507" s="1">
        <f>IFERROR(IF(INT(LEFT(TArticle[[#This Row],[شناسه]]))=2,IF(TArticle[[#This Row],[کد وضعیت سند]]=1,TArticle[مبلغ],0),0),0)</f>
        <v>0</v>
      </c>
      <c r="AI507" s="1">
        <f>IFERROR(IF((LEFT(TArticle[[#This Row],[شناسه]],3))="5.2",IF(TArticle[[#This Row],[کد وضعیت سند]]=1,TArticle[مبلغ],0),0),0)</f>
        <v>0</v>
      </c>
      <c r="AJ507" s="1">
        <f>IF(TArticle[[#This Row],[کد وضعیت سند]]=1,1,0)</f>
        <v>0</v>
      </c>
      <c r="AK507" s="1">
        <f>IF(AND(TArticle[[#This Row],[کد وضعیت سند]]&lt;&gt;1,TArticle[[#This Row],[مبلغ]]&lt;&gt;0),1,0)</f>
        <v>0</v>
      </c>
      <c r="AL507" s="51">
        <f>IF(TArticle[[#This Row],[کد بانک]]&gt;0,TArticle[[#This Row],[مانده بانک]]-VLOOKUP(TArticle[[#This Row],[کد بانک]],TBank[],7,FALSE),"")</f>
        <v>337414</v>
      </c>
      <c r="AM507" s="58" t="str">
        <f>LEFT(TArticle[[#This Row],[تاریخ]],7)</f>
        <v>1403-03</v>
      </c>
    </row>
    <row r="508" spans="1:39" x14ac:dyDescent="0.25">
      <c r="A508" s="24"/>
      <c r="B508" s="49" t="str">
        <f>VLOOKUP(TArticle[[#This Row],[شناسه]],TAccount[],2,TRUE)</f>
        <v>---</v>
      </c>
      <c r="C508" s="49" t="str">
        <f>VLOOKUP(TArticle[[#This Row],[تاریخ]],TDays[],7,FALSE)</f>
        <v>سه شنبه</v>
      </c>
      <c r="D508" s="21" t="s">
        <v>1316</v>
      </c>
      <c r="F508" s="1">
        <f>TArticle[[#This Row],[مبلغ]]+IFERROR(INT(F507),30181+3667+958)</f>
        <v>295762</v>
      </c>
      <c r="G508" s="49"/>
      <c r="J508" s="51"/>
      <c r="K508" s="49"/>
      <c r="L508" s="171" t="str">
        <f>IF(TArticle[[#This Row],[کد وضعیت سند]]&gt;0,VLOOKUP(TArticle[[#This Row],[کد وضعیت سند]],TDocState[],2,FALSE),"")</f>
        <v/>
      </c>
      <c r="N508" s="171" t="str">
        <f>IF(TArticle[[#This Row],[کد طرف حساب]]&gt;0,VLOOKUP(TArticle[[#This Row],[کد طرف حساب]],TContact[],2,FALSE),"")</f>
        <v/>
      </c>
      <c r="O508" s="60" t="str">
        <f>IF(TArticle[[#This Row],[کد طرف حساب]]&gt;0,VLOOKUP(TArticle[[#This Row],[کد طرف حساب]],TContact[],7,FALSE)-SUMIF($M$2:M508,M508,$E$2:$E508),"")</f>
        <v/>
      </c>
      <c r="P508" s="27" t="str">
        <f>RIGHT(TArticle[[#This Row],[تاریخ]],2)</f>
        <v>29</v>
      </c>
      <c r="Q508" s="27">
        <f>VLOOKUP(TArticle[[#This Row],[تاریخ]],TDays[],16,FALSE)</f>
        <v>14</v>
      </c>
      <c r="R508" s="27" t="str">
        <f>RIGHT(LEFT(TArticle[[#This Row],[تاریخ]],7),2)</f>
        <v>03</v>
      </c>
      <c r="S508" s="27" t="str">
        <f>LEFT(TArticle[[#This Row],[تاریخ]],4)</f>
        <v>1403</v>
      </c>
      <c r="U508" s="21">
        <f>VLOOKUP(TArticle[[#This Row],[شناسه]],TAccount[],7,TRUE)</f>
        <v>0</v>
      </c>
      <c r="W508" s="21">
        <f>IF(AND(TArticle[[#This Row],[مبلغ]]&gt;0, TArticle[[#This Row],[کد وضعیت سند]]=1),TArticle[[#This Row],[مبلغ]],0)</f>
        <v>0</v>
      </c>
      <c r="X508" s="27">
        <f>IF(AND(TArticle[[#This Row],[مبلغ]]&lt;0,TArticle[[#This Row],[کد وضعیت سند]]=1),0-TArticle[[#This Row],[مبلغ]],0)</f>
        <v>0</v>
      </c>
      <c r="Y508" s="27">
        <v>2</v>
      </c>
      <c r="Z508" s="171" t="str">
        <f>IF(TArticle[[#This Row],[کد بانک]]&gt;0,VLOOKUP(TArticle[[#This Row],[کد بانک]],TBank[],2,FALSE),"")</f>
        <v>ملی جاری</v>
      </c>
      <c r="AA508">
        <f>IF(AND(TArticle[[#This Row],[مبلغ]]&lt;0,TArticle[[#This Row],[کد وضعیت سند]]=1),0-TArticle[[#This Row],[مبلغ]],0)</f>
        <v>0</v>
      </c>
      <c r="AB508">
        <f>IF(AND(TArticle[[#This Row],[مبلغ]]&gt;0, TArticle[[#This Row],[کد وضعیت سند]]=1),TArticle[[#This Row],[مبلغ]],0)</f>
        <v>0</v>
      </c>
      <c r="AC508" s="92">
        <f>IF(TArticle[[#This Row],[کد بانک]]&gt;0,VLOOKUP(TArticle[[#This Row],[کد بانک]],TBank[],9,FALSE)+SUMIF($Y$2:Y508,Y508,$E$2:$E508),"")</f>
        <v>337414</v>
      </c>
      <c r="AD508" s="1">
        <f>IFERROR(IF(INT(LEFT(TArticle[[#This Row],[شناسه]]))=3,IF(TArticle[[#This Row],[کد وضعیت سند]]=1,TArticle[مبلغ],0),0),0)</f>
        <v>0</v>
      </c>
      <c r="AE508" s="1">
        <f>IFERROR(IF(((TArticle[[#This Row],[شناسه]]))="4.1.1",IF(TArticle[[#This Row],[کد وضعیت سند]]=1,TArticle[مبلغ],0),0),0)</f>
        <v>0</v>
      </c>
      <c r="AF508" s="1">
        <f>IFERROR(IF(((TArticle[[#This Row],[شناسه]]))="4.1.2",IF(TArticle[[#This Row],[کد وضعیت سند]]=1,TArticle[مبلغ],0),0),0)</f>
        <v>0</v>
      </c>
      <c r="AG508" s="1">
        <f>IFERROR(IF(INT(LEFT(TArticle[[#This Row],[شناسه]]))=1,IF(TArticle[[#This Row],[کد وضعیت سند]]=1,TArticle[مبلغ],0),0),0)</f>
        <v>0</v>
      </c>
      <c r="AH508" s="1">
        <f>IFERROR(IF(INT(LEFT(TArticle[[#This Row],[شناسه]]))=2,IF(TArticle[[#This Row],[کد وضعیت سند]]=1,TArticle[مبلغ],0),0),0)</f>
        <v>0</v>
      </c>
      <c r="AI508" s="1">
        <f>IFERROR(IF((LEFT(TArticle[[#This Row],[شناسه]],3))="5.2",IF(TArticle[[#This Row],[کد وضعیت سند]]=1,TArticle[مبلغ],0),0),0)</f>
        <v>0</v>
      </c>
      <c r="AJ508" s="1">
        <f>IF(TArticle[[#This Row],[کد وضعیت سند]]=1,1,0)</f>
        <v>0</v>
      </c>
      <c r="AK508" s="1">
        <f>IF(AND(TArticle[[#This Row],[کد وضعیت سند]]&lt;&gt;1,TArticle[[#This Row],[مبلغ]]&lt;&gt;0),1,0)</f>
        <v>0</v>
      </c>
      <c r="AL508" s="51">
        <f>IF(TArticle[[#This Row],[کد بانک]]&gt;0,TArticle[[#This Row],[مانده بانک]]-VLOOKUP(TArticle[[#This Row],[کد بانک]],TBank[],7,FALSE),"")</f>
        <v>337414</v>
      </c>
      <c r="AM508" s="58" t="str">
        <f>LEFT(TArticle[[#This Row],[تاریخ]],7)</f>
        <v>1403-03</v>
      </c>
    </row>
    <row r="509" spans="1:39" x14ac:dyDescent="0.25">
      <c r="A509" s="24"/>
      <c r="B509" s="49" t="str">
        <f>VLOOKUP(TArticle[[#This Row],[شناسه]],TAccount[],2,TRUE)</f>
        <v>---</v>
      </c>
      <c r="C509" s="49" t="str">
        <f>VLOOKUP(TArticle[[#This Row],[تاریخ]],TDays[],7,FALSE)</f>
        <v>سه شنبه</v>
      </c>
      <c r="D509" s="21" t="s">
        <v>1316</v>
      </c>
      <c r="F509" s="1">
        <f>TArticle[[#This Row],[مبلغ]]+IFERROR(INT(F508),30181+3667+958)</f>
        <v>295762</v>
      </c>
      <c r="G509" s="49"/>
      <c r="J509" s="65"/>
      <c r="K509" s="64"/>
      <c r="L509" s="171" t="str">
        <f>IF(TArticle[[#This Row],[کد وضعیت سند]]&gt;0,VLOOKUP(TArticle[[#This Row],[کد وضعیت سند]],TDocState[],2,FALSE),"")</f>
        <v/>
      </c>
      <c r="M509" s="67"/>
      <c r="N509" s="171" t="str">
        <f>IF(TArticle[[#This Row],[کد طرف حساب]]&gt;0,VLOOKUP(TArticle[[#This Row],[کد طرف حساب]],TContact[],2,FALSE),"")</f>
        <v/>
      </c>
      <c r="O509" s="68" t="str">
        <f>IF(TArticle[[#This Row],[کد طرف حساب]]&gt;0,VLOOKUP(TArticle[[#This Row],[کد طرف حساب]],TContact[],7,FALSE)-SUMIF($M$2:M509,M509,$E$2:$E509),"")</f>
        <v/>
      </c>
      <c r="P509" s="67" t="str">
        <f>RIGHT(TArticle[[#This Row],[تاریخ]],2)</f>
        <v>29</v>
      </c>
      <c r="Q509" s="67">
        <f>VLOOKUP(TArticle[[#This Row],[تاریخ]],TDays[],16,FALSE)</f>
        <v>14</v>
      </c>
      <c r="R509" s="67" t="str">
        <f>RIGHT(LEFT(TArticle[[#This Row],[تاریخ]],7),2)</f>
        <v>03</v>
      </c>
      <c r="S509" s="67" t="str">
        <f>LEFT(TArticle[[#This Row],[تاریخ]],4)</f>
        <v>1403</v>
      </c>
      <c r="T509" s="64"/>
      <c r="U509" s="64">
        <f>VLOOKUP(TArticle[[#This Row],[شناسه]],TAccount[],7,TRUE)</f>
        <v>0</v>
      </c>
      <c r="V509" s="64"/>
      <c r="W509" s="64">
        <f>IF(AND(TArticle[[#This Row],[مبلغ]]&gt;0, TArticle[[#This Row],[کد وضعیت سند]]=1),TArticle[[#This Row],[مبلغ]],0)</f>
        <v>0</v>
      </c>
      <c r="X509" s="67">
        <f>IF(AND(TArticle[[#This Row],[مبلغ]]&lt;0,TArticle[[#This Row],[کد وضعیت سند]]=1),0-TArticle[[#This Row],[مبلغ]],0)</f>
        <v>0</v>
      </c>
      <c r="Y509" s="27">
        <v>2</v>
      </c>
      <c r="Z509" s="171" t="str">
        <f>IF(TArticle[[#This Row],[کد بانک]]&gt;0,VLOOKUP(TArticle[[#This Row],[کد بانک]],TBank[],2,FALSE),"")</f>
        <v>ملی جاری</v>
      </c>
      <c r="AA509">
        <f>IF(AND(TArticle[[#This Row],[مبلغ]]&lt;0,TArticle[[#This Row],[کد وضعیت سند]]=1),0-TArticle[[#This Row],[مبلغ]],0)</f>
        <v>0</v>
      </c>
      <c r="AB509">
        <f>IF(AND(TArticle[[#This Row],[مبلغ]]&gt;0, TArticle[[#This Row],[کد وضعیت سند]]=1),TArticle[[#This Row],[مبلغ]],0)</f>
        <v>0</v>
      </c>
      <c r="AC509" s="93">
        <f>IF(TArticle[[#This Row],[کد بانک]]&gt;0,VLOOKUP(TArticle[[#This Row],[کد بانک]],TBank[],9,FALSE)+SUMIF($Y$2:Y509,Y509,$E$2:$E509),"")</f>
        <v>337414</v>
      </c>
      <c r="AD509" s="1">
        <f>IFERROR(IF(INT(LEFT(TArticle[[#This Row],[شناسه]]))=3,IF(TArticle[[#This Row],[کد وضعیت سند]]=1,TArticle[مبلغ],0),0),0)</f>
        <v>0</v>
      </c>
      <c r="AE509" s="1">
        <f>IFERROR(IF(((TArticle[[#This Row],[شناسه]]))="4.1.1",IF(TArticle[[#This Row],[کد وضعیت سند]]=1,TArticle[مبلغ],0),0),0)</f>
        <v>0</v>
      </c>
      <c r="AF509" s="1">
        <f>IFERROR(IF(((TArticle[[#This Row],[شناسه]]))="4.1.2",IF(TArticle[[#This Row],[کد وضعیت سند]]=1,TArticle[مبلغ],0),0),0)</f>
        <v>0</v>
      </c>
      <c r="AG509" s="1">
        <f>IFERROR(IF(INT(LEFT(TArticle[[#This Row],[شناسه]]))=1,IF(TArticle[[#This Row],[کد وضعیت سند]]=1,TArticle[مبلغ],0),0),0)</f>
        <v>0</v>
      </c>
      <c r="AH509" s="1">
        <f>IFERROR(IF(INT(LEFT(TArticle[[#This Row],[شناسه]]))=2,IF(TArticle[[#This Row],[کد وضعیت سند]]=1,TArticle[مبلغ],0),0),0)</f>
        <v>0</v>
      </c>
      <c r="AI509" s="1">
        <f>IFERROR(IF((LEFT(TArticle[[#This Row],[شناسه]],3))="5.2",IF(TArticle[[#This Row],[کد وضعیت سند]]=1,TArticle[مبلغ],0),0),0)</f>
        <v>0</v>
      </c>
      <c r="AJ509" s="1">
        <f>IF(TArticle[[#This Row],[کد وضعیت سند]]=1,1,0)</f>
        <v>0</v>
      </c>
      <c r="AK509" s="1">
        <f>IF(AND(TArticle[[#This Row],[کد وضعیت سند]]&lt;&gt;1,TArticle[[#This Row],[مبلغ]]&lt;&gt;0),1,0)</f>
        <v>0</v>
      </c>
      <c r="AL509" s="78">
        <f>IF(TArticle[[#This Row],[کد بانک]]&gt;0,TArticle[[#This Row],[مانده بانک]]-VLOOKUP(TArticle[[#This Row],[کد بانک]],TBank[],7,FALSE),"")</f>
        <v>337414</v>
      </c>
      <c r="AM509" s="69" t="str">
        <f>LEFT(TArticle[[#This Row],[تاریخ]],7)</f>
        <v>1403-03</v>
      </c>
    </row>
    <row r="510" spans="1:39" x14ac:dyDescent="0.25">
      <c r="A510" s="24"/>
      <c r="B510" s="49" t="str">
        <f>VLOOKUP(TArticle[[#This Row],[شناسه]],TAccount[],2,TRUE)</f>
        <v>---</v>
      </c>
      <c r="C510" s="49" t="str">
        <f>VLOOKUP(TArticle[[#This Row],[تاریخ]],TDays[],7,FALSE)</f>
        <v>سه شنبه</v>
      </c>
      <c r="D510" s="21" t="s">
        <v>1316</v>
      </c>
      <c r="F510" s="1">
        <f>TArticle[[#This Row],[مبلغ]]+IFERROR(INT(F509),30181+3667+958)</f>
        <v>295762</v>
      </c>
      <c r="G510" s="49"/>
      <c r="H510" s="64"/>
      <c r="J510" s="65"/>
      <c r="K510" s="64"/>
      <c r="L510" s="171" t="str">
        <f>IF(TArticle[[#This Row],[کد وضعیت سند]]&gt;0,VLOOKUP(TArticle[[#This Row],[کد وضعیت سند]],TDocState[],2,FALSE),"")</f>
        <v/>
      </c>
      <c r="M510" s="67"/>
      <c r="N510" s="171" t="str">
        <f>IF(TArticle[[#This Row],[کد طرف حساب]]&gt;0,VLOOKUP(TArticle[[#This Row],[کد طرف حساب]],TContact[],2,FALSE),"")</f>
        <v/>
      </c>
      <c r="O510" s="68" t="str">
        <f>IF(TArticle[[#This Row],[کد طرف حساب]]&gt;0,VLOOKUP(TArticle[[#This Row],[کد طرف حساب]],TContact[],7,FALSE)-SUMIF($M$2:M510,M510,$E$2:$E510),"")</f>
        <v/>
      </c>
      <c r="P510" s="67" t="str">
        <f>RIGHT(TArticle[[#This Row],[تاریخ]],2)</f>
        <v>29</v>
      </c>
      <c r="Q510" s="67">
        <f>VLOOKUP(TArticle[[#This Row],[تاریخ]],TDays[],16,FALSE)</f>
        <v>14</v>
      </c>
      <c r="R510" s="67" t="str">
        <f>RIGHT(LEFT(TArticle[[#This Row],[تاریخ]],7),2)</f>
        <v>03</v>
      </c>
      <c r="S510" s="67" t="str">
        <f>LEFT(TArticle[[#This Row],[تاریخ]],4)</f>
        <v>1403</v>
      </c>
      <c r="T510" s="64"/>
      <c r="U510" s="64">
        <f>VLOOKUP(TArticle[[#This Row],[شناسه]],TAccount[],7,TRUE)</f>
        <v>0</v>
      </c>
      <c r="V510" s="64"/>
      <c r="W510" s="64">
        <f>IF(AND(TArticle[[#This Row],[مبلغ]]&gt;0, TArticle[[#This Row],[کد وضعیت سند]]=1),TArticle[[#This Row],[مبلغ]],0)</f>
        <v>0</v>
      </c>
      <c r="X510" s="67">
        <f>IF(AND(TArticle[[#This Row],[مبلغ]]&lt;0,TArticle[[#This Row],[کد وضعیت سند]]=1),0-TArticle[[#This Row],[مبلغ]],0)</f>
        <v>0</v>
      </c>
      <c r="Y510" s="27">
        <v>2</v>
      </c>
      <c r="Z510" s="171" t="str">
        <f>IF(TArticle[[#This Row],[کد بانک]]&gt;0,VLOOKUP(TArticle[[#This Row],[کد بانک]],TBank[],2,FALSE),"")</f>
        <v>ملی جاری</v>
      </c>
      <c r="AA510">
        <f>IF(AND(TArticle[[#This Row],[مبلغ]]&lt;0,TArticle[[#This Row],[کد وضعیت سند]]=1),0-TArticle[[#This Row],[مبلغ]],0)</f>
        <v>0</v>
      </c>
      <c r="AB510">
        <f>IF(AND(TArticle[[#This Row],[مبلغ]]&gt;0, TArticle[[#This Row],[کد وضعیت سند]]=1),TArticle[[#This Row],[مبلغ]],0)</f>
        <v>0</v>
      </c>
      <c r="AC510" s="93">
        <f>IF(TArticle[[#This Row],[کد بانک]]&gt;0,VLOOKUP(TArticle[[#This Row],[کد بانک]],TBank[],9,FALSE)+SUMIF($Y$2:Y510,Y510,$E$2:$E510),"")</f>
        <v>337414</v>
      </c>
      <c r="AD510" s="1">
        <f>IFERROR(IF(INT(LEFT(TArticle[[#This Row],[شناسه]]))=3,IF(TArticle[[#This Row],[کد وضعیت سند]]=1,TArticle[مبلغ],0),0),0)</f>
        <v>0</v>
      </c>
      <c r="AE510" s="1">
        <f>IFERROR(IF(((TArticle[[#This Row],[شناسه]]))="4.1.1",IF(TArticle[[#This Row],[کد وضعیت سند]]=1,TArticle[مبلغ],0),0),0)</f>
        <v>0</v>
      </c>
      <c r="AF510" s="1">
        <f>IFERROR(IF(((TArticle[[#This Row],[شناسه]]))="4.1.2",IF(TArticle[[#This Row],[کد وضعیت سند]]=1,TArticle[مبلغ],0),0),0)</f>
        <v>0</v>
      </c>
      <c r="AG510" s="1">
        <f>IFERROR(IF(INT(LEFT(TArticle[[#This Row],[شناسه]]))=1,IF(TArticle[[#This Row],[کد وضعیت سند]]=1,TArticle[مبلغ],0),0),0)</f>
        <v>0</v>
      </c>
      <c r="AH510" s="1">
        <f>IFERROR(IF(INT(LEFT(TArticle[[#This Row],[شناسه]]))=2,IF(TArticle[[#This Row],[کد وضعیت سند]]=1,TArticle[مبلغ],0),0),0)</f>
        <v>0</v>
      </c>
      <c r="AI510" s="1">
        <f>IFERROR(IF((LEFT(TArticle[[#This Row],[شناسه]],3))="5.2",IF(TArticle[[#This Row],[کد وضعیت سند]]=1,TArticle[مبلغ],0),0),0)</f>
        <v>0</v>
      </c>
      <c r="AJ510" s="1">
        <f>IF(TArticle[[#This Row],[کد وضعیت سند]]=1,1,0)</f>
        <v>0</v>
      </c>
      <c r="AK510" s="1">
        <f>IF(AND(TArticle[[#This Row],[کد وضعیت سند]]&lt;&gt;1,TArticle[[#This Row],[مبلغ]]&lt;&gt;0),1,0)</f>
        <v>0</v>
      </c>
      <c r="AL510" s="78">
        <f>IF(TArticle[[#This Row],[کد بانک]]&gt;0,TArticle[[#This Row],[مانده بانک]]-VLOOKUP(TArticle[[#This Row],[کد بانک]],TBank[],7,FALSE),"")</f>
        <v>337414</v>
      </c>
      <c r="AM510" s="69" t="str">
        <f>LEFT(TArticle[[#This Row],[تاریخ]],7)</f>
        <v>1403-03</v>
      </c>
    </row>
    <row r="511" spans="1:39" x14ac:dyDescent="0.25">
      <c r="A511" s="24"/>
      <c r="B511" s="49" t="str">
        <f>VLOOKUP(TArticle[[#This Row],[شناسه]],TAccount[],2,TRUE)</f>
        <v>---</v>
      </c>
      <c r="C511" s="49" t="str">
        <f>VLOOKUP(TArticle[[#This Row],[تاریخ]],TDays[],7,FALSE)</f>
        <v>سه شنبه</v>
      </c>
      <c r="D511" s="21" t="s">
        <v>1316</v>
      </c>
      <c r="F511" s="1">
        <f>TArticle[[#This Row],[مبلغ]]+IFERROR(INT(F510),30181+3667+958)</f>
        <v>295762</v>
      </c>
      <c r="G511" s="49"/>
      <c r="J511" s="65"/>
      <c r="K511" s="64"/>
      <c r="L511" s="171" t="str">
        <f>IF(TArticle[[#This Row],[کد وضعیت سند]]&gt;0,VLOOKUP(TArticle[[#This Row],[کد وضعیت سند]],TDocState[],2,FALSE),"")</f>
        <v/>
      </c>
      <c r="M511" s="67"/>
      <c r="N511" s="171" t="str">
        <f>IF(TArticle[[#This Row],[کد طرف حساب]]&gt;0,VLOOKUP(TArticle[[#This Row],[کد طرف حساب]],TContact[],2,FALSE),"")</f>
        <v/>
      </c>
      <c r="O511" s="68" t="str">
        <f>IF(TArticle[[#This Row],[کد طرف حساب]]&gt;0,VLOOKUP(TArticle[[#This Row],[کد طرف حساب]],TContact[],7,FALSE)-SUMIF($M$2:M511,M511,$E$2:$E511),"")</f>
        <v/>
      </c>
      <c r="P511" s="67" t="str">
        <f>RIGHT(TArticle[[#This Row],[تاریخ]],2)</f>
        <v>29</v>
      </c>
      <c r="Q511" s="67">
        <f>VLOOKUP(TArticle[[#This Row],[تاریخ]],TDays[],16,FALSE)</f>
        <v>14</v>
      </c>
      <c r="R511" s="67" t="str">
        <f>RIGHT(LEFT(TArticle[[#This Row],[تاریخ]],7),2)</f>
        <v>03</v>
      </c>
      <c r="S511" s="67" t="str">
        <f>LEFT(TArticle[[#This Row],[تاریخ]],4)</f>
        <v>1403</v>
      </c>
      <c r="T511" s="64"/>
      <c r="U511" s="64">
        <f>VLOOKUP(TArticle[[#This Row],[شناسه]],TAccount[],7,TRUE)</f>
        <v>0</v>
      </c>
      <c r="V511" s="64"/>
      <c r="W511" s="64">
        <f>IF(AND(TArticle[[#This Row],[مبلغ]]&gt;0, TArticle[[#This Row],[کد وضعیت سند]]=1),TArticle[[#This Row],[مبلغ]],0)</f>
        <v>0</v>
      </c>
      <c r="X511" s="67">
        <f>IF(AND(TArticle[[#This Row],[مبلغ]]&lt;0,TArticle[[#This Row],[کد وضعیت سند]]=1),0-TArticle[[#This Row],[مبلغ]],0)</f>
        <v>0</v>
      </c>
      <c r="Y511" s="27">
        <v>2</v>
      </c>
      <c r="Z511" s="171" t="str">
        <f>IF(TArticle[[#This Row],[کد بانک]]&gt;0,VLOOKUP(TArticle[[#This Row],[کد بانک]],TBank[],2,FALSE),"")</f>
        <v>ملی جاری</v>
      </c>
      <c r="AA511">
        <f>IF(AND(TArticle[[#This Row],[مبلغ]]&lt;0,TArticle[[#This Row],[کد وضعیت سند]]=1),0-TArticle[[#This Row],[مبلغ]],0)</f>
        <v>0</v>
      </c>
      <c r="AB511">
        <f>IF(AND(TArticle[[#This Row],[مبلغ]]&gt;0, TArticle[[#This Row],[کد وضعیت سند]]=1),TArticle[[#This Row],[مبلغ]],0)</f>
        <v>0</v>
      </c>
      <c r="AC511" s="93">
        <f>IF(TArticle[[#This Row],[کد بانک]]&gt;0,VLOOKUP(TArticle[[#This Row],[کد بانک]],TBank[],9,FALSE)+SUMIF($Y$2:Y511,Y511,$E$2:$E511),"")</f>
        <v>337414</v>
      </c>
      <c r="AD511" s="1">
        <f>IFERROR(IF(INT(LEFT(TArticle[[#This Row],[شناسه]]))=3,IF(TArticle[[#This Row],[کد وضعیت سند]]=1,TArticle[مبلغ],0),0),0)</f>
        <v>0</v>
      </c>
      <c r="AE511" s="1">
        <f>IFERROR(IF(((TArticle[[#This Row],[شناسه]]))="4.1.1",IF(TArticle[[#This Row],[کد وضعیت سند]]=1,TArticle[مبلغ],0),0),0)</f>
        <v>0</v>
      </c>
      <c r="AF511" s="1">
        <f>IFERROR(IF(((TArticle[[#This Row],[شناسه]]))="4.1.2",IF(TArticle[[#This Row],[کد وضعیت سند]]=1,TArticle[مبلغ],0),0),0)</f>
        <v>0</v>
      </c>
      <c r="AG511" s="1">
        <f>IFERROR(IF(INT(LEFT(TArticle[[#This Row],[شناسه]]))=1,IF(TArticle[[#This Row],[کد وضعیت سند]]=1,TArticle[مبلغ],0),0),0)</f>
        <v>0</v>
      </c>
      <c r="AH511" s="1">
        <f>IFERROR(IF(INT(LEFT(TArticle[[#This Row],[شناسه]]))=2,IF(TArticle[[#This Row],[کد وضعیت سند]]=1,TArticle[مبلغ],0),0),0)</f>
        <v>0</v>
      </c>
      <c r="AI511" s="1">
        <f>IFERROR(IF((LEFT(TArticle[[#This Row],[شناسه]],3))="5.2",IF(TArticle[[#This Row],[کد وضعیت سند]]=1,TArticle[مبلغ],0),0),0)</f>
        <v>0</v>
      </c>
      <c r="AJ511" s="1">
        <f>IF(TArticle[[#This Row],[کد وضعیت سند]]=1,1,0)</f>
        <v>0</v>
      </c>
      <c r="AK511" s="1">
        <f>IF(AND(TArticle[[#This Row],[کد وضعیت سند]]&lt;&gt;1,TArticle[[#This Row],[مبلغ]]&lt;&gt;0),1,0)</f>
        <v>0</v>
      </c>
      <c r="AL511" s="78">
        <f>IF(TArticle[[#This Row],[کد بانک]]&gt;0,TArticle[[#This Row],[مانده بانک]]-VLOOKUP(TArticle[[#This Row],[کد بانک]],TBank[],7,FALSE),"")</f>
        <v>337414</v>
      </c>
      <c r="AM511" s="69" t="str">
        <f>LEFT(TArticle[[#This Row],[تاریخ]],7)</f>
        <v>1403-03</v>
      </c>
    </row>
    <row r="512" spans="1:39" x14ac:dyDescent="0.25">
      <c r="A512" s="24"/>
      <c r="B512" s="49" t="str">
        <f>VLOOKUP(TArticle[[#This Row],[شناسه]],TAccount[],2,TRUE)</f>
        <v>---</v>
      </c>
      <c r="C512" s="49" t="str">
        <f>VLOOKUP(TArticle[[#This Row],[تاریخ]],TDays[],7,FALSE)</f>
        <v>سه شنبه</v>
      </c>
      <c r="D512" s="21" t="s">
        <v>1316</v>
      </c>
      <c r="F512" s="1">
        <f>TArticle[[#This Row],[مبلغ]]+IFERROR(INT(F511),30181+3667+958)</f>
        <v>295762</v>
      </c>
      <c r="G512" s="49"/>
      <c r="J512" s="65"/>
      <c r="K512" s="64"/>
      <c r="L512" s="171" t="str">
        <f>IF(TArticle[[#This Row],[کد وضعیت سند]]&gt;0,VLOOKUP(TArticle[[#This Row],[کد وضعیت سند]],TDocState[],2,FALSE),"")</f>
        <v/>
      </c>
      <c r="M512" s="67"/>
      <c r="N512" s="171" t="str">
        <f>IF(TArticle[[#This Row],[کد طرف حساب]]&gt;0,VLOOKUP(TArticle[[#This Row],[کد طرف حساب]],TContact[],2,FALSE),"")</f>
        <v/>
      </c>
      <c r="O512" s="68" t="str">
        <f>IF(TArticle[[#This Row],[کد طرف حساب]]&gt;0,VLOOKUP(TArticle[[#This Row],[کد طرف حساب]],TContact[],7,FALSE)-SUMIF($M$2:M512,M512,$E$2:$E512),"")</f>
        <v/>
      </c>
      <c r="P512" s="67" t="str">
        <f>RIGHT(TArticle[[#This Row],[تاریخ]],2)</f>
        <v>29</v>
      </c>
      <c r="Q512" s="67">
        <f>VLOOKUP(TArticle[[#This Row],[تاریخ]],TDays[],16,FALSE)</f>
        <v>14</v>
      </c>
      <c r="R512" s="67" t="str">
        <f>RIGHT(LEFT(TArticle[[#This Row],[تاریخ]],7),2)</f>
        <v>03</v>
      </c>
      <c r="S512" s="67" t="str">
        <f>LEFT(TArticle[[#This Row],[تاریخ]],4)</f>
        <v>1403</v>
      </c>
      <c r="T512" s="64"/>
      <c r="U512" s="64">
        <f>VLOOKUP(TArticle[[#This Row],[شناسه]],TAccount[],7,TRUE)</f>
        <v>0</v>
      </c>
      <c r="V512" s="64"/>
      <c r="W512" s="64">
        <f>IF(AND(TArticle[[#This Row],[مبلغ]]&gt;0, TArticle[[#This Row],[کد وضعیت سند]]=1),TArticle[[#This Row],[مبلغ]],0)</f>
        <v>0</v>
      </c>
      <c r="X512" s="67">
        <f>IF(AND(TArticle[[#This Row],[مبلغ]]&lt;0,TArticle[[#This Row],[کد وضعیت سند]]=1),0-TArticle[[#This Row],[مبلغ]],0)</f>
        <v>0</v>
      </c>
      <c r="Y512" s="27">
        <v>2</v>
      </c>
      <c r="Z512" s="171" t="str">
        <f>IF(TArticle[[#This Row],[کد بانک]]&gt;0,VLOOKUP(TArticle[[#This Row],[کد بانک]],TBank[],2,FALSE),"")</f>
        <v>ملی جاری</v>
      </c>
      <c r="AA512">
        <f>IF(AND(TArticle[[#This Row],[مبلغ]]&lt;0,TArticle[[#This Row],[کد وضعیت سند]]=1),0-TArticle[[#This Row],[مبلغ]],0)</f>
        <v>0</v>
      </c>
      <c r="AB512">
        <f>IF(AND(TArticle[[#This Row],[مبلغ]]&gt;0, TArticle[[#This Row],[کد وضعیت سند]]=1),TArticle[[#This Row],[مبلغ]],0)</f>
        <v>0</v>
      </c>
      <c r="AC512" s="93">
        <f>IF(TArticle[[#This Row],[کد بانک]]&gt;0,VLOOKUP(TArticle[[#This Row],[کد بانک]],TBank[],9,FALSE)+SUMIF($Y$2:Y512,Y512,$E$2:$E512),"")</f>
        <v>337414</v>
      </c>
      <c r="AD512" s="1">
        <f>IFERROR(IF(INT(LEFT(TArticle[[#This Row],[شناسه]]))=3,IF(TArticle[[#This Row],[کد وضعیت سند]]=1,TArticle[مبلغ],0),0),0)</f>
        <v>0</v>
      </c>
      <c r="AE512" s="1">
        <f>IFERROR(IF(((TArticle[[#This Row],[شناسه]]))="4.1.1",IF(TArticle[[#This Row],[کد وضعیت سند]]=1,TArticle[مبلغ],0),0),0)</f>
        <v>0</v>
      </c>
      <c r="AF512" s="1">
        <f>IFERROR(IF(((TArticle[[#This Row],[شناسه]]))="4.1.2",IF(TArticle[[#This Row],[کد وضعیت سند]]=1,TArticle[مبلغ],0),0),0)</f>
        <v>0</v>
      </c>
      <c r="AG512" s="1">
        <f>IFERROR(IF(INT(LEFT(TArticle[[#This Row],[شناسه]]))=1,IF(TArticle[[#This Row],[کد وضعیت سند]]=1,TArticle[مبلغ],0),0),0)</f>
        <v>0</v>
      </c>
      <c r="AH512" s="1">
        <f>IFERROR(IF(INT(LEFT(TArticle[[#This Row],[شناسه]]))=2,IF(TArticle[[#This Row],[کد وضعیت سند]]=1,TArticle[مبلغ],0),0),0)</f>
        <v>0</v>
      </c>
      <c r="AI512" s="1">
        <f>IFERROR(IF((LEFT(TArticle[[#This Row],[شناسه]],3))="5.2",IF(TArticle[[#This Row],[کد وضعیت سند]]=1,TArticle[مبلغ],0),0),0)</f>
        <v>0</v>
      </c>
      <c r="AJ512" s="1">
        <f>IF(TArticle[[#This Row],[کد وضعیت سند]]=1,1,0)</f>
        <v>0</v>
      </c>
      <c r="AK512" s="1">
        <f>IF(AND(TArticle[[#This Row],[کد وضعیت سند]]&lt;&gt;1,TArticle[[#This Row],[مبلغ]]&lt;&gt;0),1,0)</f>
        <v>0</v>
      </c>
      <c r="AL512" s="78">
        <f>IF(TArticle[[#This Row],[کد بانک]]&gt;0,TArticle[[#This Row],[مانده بانک]]-VLOOKUP(TArticle[[#This Row],[کد بانک]],TBank[],7,FALSE),"")</f>
        <v>337414</v>
      </c>
      <c r="AM512" s="69" t="str">
        <f>LEFT(TArticle[[#This Row],[تاریخ]],7)</f>
        <v>1403-03</v>
      </c>
    </row>
    <row r="513" spans="1:39" x14ac:dyDescent="0.25">
      <c r="A513" s="24"/>
      <c r="B513" s="49" t="str">
        <f>VLOOKUP(TArticle[[#This Row],[شناسه]],TAccount[],2,TRUE)</f>
        <v>---</v>
      </c>
      <c r="C513" s="49" t="str">
        <f>VLOOKUP(TArticle[[#This Row],[تاریخ]],TDays[],7,FALSE)</f>
        <v>سه شنبه</v>
      </c>
      <c r="D513" s="21" t="s">
        <v>1316</v>
      </c>
      <c r="F513" s="1">
        <f>TArticle[[#This Row],[مبلغ]]+IFERROR(INT(F512),30181+3667+958)</f>
        <v>295762</v>
      </c>
      <c r="G513" s="49"/>
      <c r="J513" s="65"/>
      <c r="K513" s="64"/>
      <c r="L513" s="171" t="str">
        <f>IF(TArticle[[#This Row],[کد وضعیت سند]]&gt;0,VLOOKUP(TArticle[[#This Row],[کد وضعیت سند]],TDocState[],2,FALSE),"")</f>
        <v/>
      </c>
      <c r="M513" s="67"/>
      <c r="N513" s="171" t="str">
        <f>IF(TArticle[[#This Row],[کد طرف حساب]]&gt;0,VLOOKUP(TArticle[[#This Row],[کد طرف حساب]],TContact[],2,FALSE),"")</f>
        <v/>
      </c>
      <c r="O513" s="68" t="str">
        <f>IF(TArticle[[#This Row],[کد طرف حساب]]&gt;0,VLOOKUP(TArticle[[#This Row],[کد طرف حساب]],TContact[],7,FALSE)-SUMIF($M$2:M513,M513,$E$2:$E513),"")</f>
        <v/>
      </c>
      <c r="P513" s="67" t="str">
        <f>RIGHT(TArticle[[#This Row],[تاریخ]],2)</f>
        <v>29</v>
      </c>
      <c r="Q513" s="67">
        <f>VLOOKUP(TArticle[[#This Row],[تاریخ]],TDays[],16,FALSE)</f>
        <v>14</v>
      </c>
      <c r="R513" s="67" t="str">
        <f>RIGHT(LEFT(TArticle[[#This Row],[تاریخ]],7),2)</f>
        <v>03</v>
      </c>
      <c r="S513" s="67" t="str">
        <f>LEFT(TArticle[[#This Row],[تاریخ]],4)</f>
        <v>1403</v>
      </c>
      <c r="T513" s="64"/>
      <c r="U513" s="64">
        <f>VLOOKUP(TArticle[[#This Row],[شناسه]],TAccount[],7,TRUE)</f>
        <v>0</v>
      </c>
      <c r="V513" s="64"/>
      <c r="W513" s="64">
        <f>IF(AND(TArticle[[#This Row],[مبلغ]]&gt;0, TArticle[[#This Row],[کد وضعیت سند]]=1),TArticle[[#This Row],[مبلغ]],0)</f>
        <v>0</v>
      </c>
      <c r="X513" s="67">
        <f>IF(AND(TArticle[[#This Row],[مبلغ]]&lt;0,TArticle[[#This Row],[کد وضعیت سند]]=1),0-TArticle[[#This Row],[مبلغ]],0)</f>
        <v>0</v>
      </c>
      <c r="Y513" s="27">
        <v>2</v>
      </c>
      <c r="Z513" s="171" t="str">
        <f>IF(TArticle[[#This Row],[کد بانک]]&gt;0,VLOOKUP(TArticle[[#This Row],[کد بانک]],TBank[],2,FALSE),"")</f>
        <v>ملی جاری</v>
      </c>
      <c r="AA513">
        <f>IF(AND(TArticle[[#This Row],[مبلغ]]&lt;0,TArticle[[#This Row],[کد وضعیت سند]]=1),0-TArticle[[#This Row],[مبلغ]],0)</f>
        <v>0</v>
      </c>
      <c r="AB513">
        <f>IF(AND(TArticle[[#This Row],[مبلغ]]&gt;0, TArticle[[#This Row],[کد وضعیت سند]]=1),TArticle[[#This Row],[مبلغ]],0)</f>
        <v>0</v>
      </c>
      <c r="AC513" s="93">
        <f>IF(TArticle[[#This Row],[کد بانک]]&gt;0,VLOOKUP(TArticle[[#This Row],[کد بانک]],TBank[],9,FALSE)+SUMIF($Y$2:Y513,Y513,$E$2:$E513),"")</f>
        <v>337414</v>
      </c>
      <c r="AD513" s="1">
        <f>IFERROR(IF(INT(LEFT(TArticle[[#This Row],[شناسه]]))=3,IF(TArticle[[#This Row],[کد وضعیت سند]]=1,TArticle[مبلغ],0),0),0)</f>
        <v>0</v>
      </c>
      <c r="AE513" s="1">
        <f>IFERROR(IF(((TArticle[[#This Row],[شناسه]]))="4.1.1",IF(TArticle[[#This Row],[کد وضعیت سند]]=1,TArticle[مبلغ],0),0),0)</f>
        <v>0</v>
      </c>
      <c r="AF513" s="1">
        <f>IFERROR(IF(((TArticle[[#This Row],[شناسه]]))="4.1.2",IF(TArticle[[#This Row],[کد وضعیت سند]]=1,TArticle[مبلغ],0),0),0)</f>
        <v>0</v>
      </c>
      <c r="AG513" s="1">
        <f>IFERROR(IF(INT(LEFT(TArticle[[#This Row],[شناسه]]))=1,IF(TArticle[[#This Row],[کد وضعیت سند]]=1,TArticle[مبلغ],0),0),0)</f>
        <v>0</v>
      </c>
      <c r="AH513" s="1">
        <f>IFERROR(IF(INT(LEFT(TArticle[[#This Row],[شناسه]]))=2,IF(TArticle[[#This Row],[کد وضعیت سند]]=1,TArticle[مبلغ],0),0),0)</f>
        <v>0</v>
      </c>
      <c r="AI513" s="1">
        <f>IFERROR(IF((LEFT(TArticle[[#This Row],[شناسه]],3))="5.2",IF(TArticle[[#This Row],[کد وضعیت سند]]=1,TArticle[مبلغ],0),0),0)</f>
        <v>0</v>
      </c>
      <c r="AJ513" s="1">
        <f>IF(TArticle[[#This Row],[کد وضعیت سند]]=1,1,0)</f>
        <v>0</v>
      </c>
      <c r="AK513" s="1">
        <f>IF(AND(TArticle[[#This Row],[کد وضعیت سند]]&lt;&gt;1,TArticle[[#This Row],[مبلغ]]&lt;&gt;0),1,0)</f>
        <v>0</v>
      </c>
      <c r="AL513" s="78">
        <f>IF(TArticle[[#This Row],[کد بانک]]&gt;0,TArticle[[#This Row],[مانده بانک]]-VLOOKUP(TArticle[[#This Row],[کد بانک]],TBank[],7,FALSE),"")</f>
        <v>337414</v>
      </c>
      <c r="AM513" s="69" t="str">
        <f>LEFT(TArticle[[#This Row],[تاریخ]],7)</f>
        <v>1403-03</v>
      </c>
    </row>
    <row r="514" spans="1:39" x14ac:dyDescent="0.25">
      <c r="A514" s="24"/>
      <c r="B514" s="49" t="str">
        <f>VLOOKUP(TArticle[[#This Row],[شناسه]],TAccount[],2,TRUE)</f>
        <v>---</v>
      </c>
      <c r="C514" s="49" t="str">
        <f>VLOOKUP(TArticle[[#This Row],[تاریخ]],TDays[],7,FALSE)</f>
        <v>سه شنبه</v>
      </c>
      <c r="D514" s="21" t="s">
        <v>1316</v>
      </c>
      <c r="F514" s="1">
        <f>TArticle[[#This Row],[مبلغ]]+IFERROR(INT(F513),30181+3667+958)</f>
        <v>295762</v>
      </c>
      <c r="G514" s="49"/>
      <c r="H514" s="64"/>
      <c r="J514" s="65"/>
      <c r="K514" s="64"/>
      <c r="L514" s="171" t="str">
        <f>IF(TArticle[[#This Row],[کد وضعیت سند]]&gt;0,VLOOKUP(TArticle[[#This Row],[کد وضعیت سند]],TDocState[],2,FALSE),"")</f>
        <v/>
      </c>
      <c r="M514" s="67"/>
      <c r="N514" s="171" t="str">
        <f>IF(TArticle[[#This Row],[کد طرف حساب]]&gt;0,VLOOKUP(TArticle[[#This Row],[کد طرف حساب]],TContact[],2,FALSE),"")</f>
        <v/>
      </c>
      <c r="O514" s="68" t="str">
        <f>IF(TArticle[[#This Row],[کد طرف حساب]]&gt;0,VLOOKUP(TArticle[[#This Row],[کد طرف حساب]],TContact[],7,FALSE)-SUMIF($M$2:M514,M514,$E$2:$E514),"")</f>
        <v/>
      </c>
      <c r="P514" s="67" t="str">
        <f>RIGHT(TArticle[[#This Row],[تاریخ]],2)</f>
        <v>29</v>
      </c>
      <c r="Q514" s="67">
        <f>VLOOKUP(TArticle[[#This Row],[تاریخ]],TDays[],16,FALSE)</f>
        <v>14</v>
      </c>
      <c r="R514" s="67" t="str">
        <f>RIGHT(LEFT(TArticle[[#This Row],[تاریخ]],7),2)</f>
        <v>03</v>
      </c>
      <c r="S514" s="67" t="str">
        <f>LEFT(TArticle[[#This Row],[تاریخ]],4)</f>
        <v>1403</v>
      </c>
      <c r="T514" s="64"/>
      <c r="U514" s="64">
        <f>VLOOKUP(TArticle[[#This Row],[شناسه]],TAccount[],7,TRUE)</f>
        <v>0</v>
      </c>
      <c r="V514" s="64"/>
      <c r="W514" s="64">
        <f>IF(AND(TArticle[[#This Row],[مبلغ]]&gt;0, TArticle[[#This Row],[کد وضعیت سند]]=1),TArticle[[#This Row],[مبلغ]],0)</f>
        <v>0</v>
      </c>
      <c r="X514" s="67">
        <f>IF(AND(TArticle[[#This Row],[مبلغ]]&lt;0,TArticle[[#This Row],[کد وضعیت سند]]=1),0-TArticle[[#This Row],[مبلغ]],0)</f>
        <v>0</v>
      </c>
      <c r="Y514" s="27">
        <v>2</v>
      </c>
      <c r="Z514" s="171" t="str">
        <f>IF(TArticle[[#This Row],[کد بانک]]&gt;0,VLOOKUP(TArticle[[#This Row],[کد بانک]],TBank[],2,FALSE),"")</f>
        <v>ملی جاری</v>
      </c>
      <c r="AA514">
        <f>IF(AND(TArticle[[#This Row],[مبلغ]]&lt;0,TArticle[[#This Row],[کد وضعیت سند]]=1),0-TArticle[[#This Row],[مبلغ]],0)</f>
        <v>0</v>
      </c>
      <c r="AB514">
        <f>IF(AND(TArticle[[#This Row],[مبلغ]]&gt;0, TArticle[[#This Row],[کد وضعیت سند]]=1),TArticle[[#This Row],[مبلغ]],0)</f>
        <v>0</v>
      </c>
      <c r="AC514" s="93">
        <f>IF(TArticle[[#This Row],[کد بانک]]&gt;0,VLOOKUP(TArticle[[#This Row],[کد بانک]],TBank[],9,FALSE)+SUMIF($Y$2:Y514,Y514,$E$2:$E514),"")</f>
        <v>337414</v>
      </c>
      <c r="AD514" s="1">
        <f>IFERROR(IF(INT(LEFT(TArticle[[#This Row],[شناسه]]))=3,IF(TArticle[[#This Row],[کد وضعیت سند]]=1,TArticle[مبلغ],0),0),0)</f>
        <v>0</v>
      </c>
      <c r="AE514" s="1">
        <f>IFERROR(IF(((TArticle[[#This Row],[شناسه]]))="4.1.1",IF(TArticle[[#This Row],[کد وضعیت سند]]=1,TArticle[مبلغ],0),0),0)</f>
        <v>0</v>
      </c>
      <c r="AF514" s="1">
        <f>IFERROR(IF(((TArticle[[#This Row],[شناسه]]))="4.1.2",IF(TArticle[[#This Row],[کد وضعیت سند]]=1,TArticle[مبلغ],0),0),0)</f>
        <v>0</v>
      </c>
      <c r="AG514" s="1">
        <f>IFERROR(IF(INT(LEFT(TArticle[[#This Row],[شناسه]]))=1,IF(TArticle[[#This Row],[کد وضعیت سند]]=1,TArticle[مبلغ],0),0),0)</f>
        <v>0</v>
      </c>
      <c r="AH514" s="1">
        <f>IFERROR(IF(INT(LEFT(TArticle[[#This Row],[شناسه]]))=2,IF(TArticle[[#This Row],[کد وضعیت سند]]=1,TArticle[مبلغ],0),0),0)</f>
        <v>0</v>
      </c>
      <c r="AI514" s="1">
        <f>IFERROR(IF((LEFT(TArticle[[#This Row],[شناسه]],3))="5.2",IF(TArticle[[#This Row],[کد وضعیت سند]]=1,TArticle[مبلغ],0),0),0)</f>
        <v>0</v>
      </c>
      <c r="AJ514" s="1">
        <f>IF(TArticle[[#This Row],[کد وضعیت سند]]=1,1,0)</f>
        <v>0</v>
      </c>
      <c r="AK514" s="1">
        <f>IF(AND(TArticle[[#This Row],[کد وضعیت سند]]&lt;&gt;1,TArticle[[#This Row],[مبلغ]]&lt;&gt;0),1,0)</f>
        <v>0</v>
      </c>
      <c r="AL514" s="78">
        <f>IF(TArticle[[#This Row],[کد بانک]]&gt;0,TArticle[[#This Row],[مانده بانک]]-VLOOKUP(TArticle[[#This Row],[کد بانک]],TBank[],7,FALSE),"")</f>
        <v>337414</v>
      </c>
      <c r="AM514" s="69" t="str">
        <f>LEFT(TArticle[[#This Row],[تاریخ]],7)</f>
        <v>1403-03</v>
      </c>
    </row>
    <row r="515" spans="1:39" x14ac:dyDescent="0.25">
      <c r="A515" s="24"/>
      <c r="B515" s="49" t="str">
        <f>VLOOKUP(TArticle[[#This Row],[شناسه]],TAccount[],2,TRUE)</f>
        <v>---</v>
      </c>
      <c r="C515" s="49" t="str">
        <f>VLOOKUP(TArticle[[#This Row],[تاریخ]],TDays[],7,FALSE)</f>
        <v>سه شنبه</v>
      </c>
      <c r="D515" s="21" t="s">
        <v>1316</v>
      </c>
      <c r="F515" s="1">
        <f>TArticle[[#This Row],[مبلغ]]+IFERROR(INT(F514),30181+3667+958)</f>
        <v>295762</v>
      </c>
      <c r="G515" s="49"/>
      <c r="H515" s="64"/>
      <c r="J515" s="65"/>
      <c r="K515" s="64"/>
      <c r="L515" s="171" t="str">
        <f>IF(TArticle[[#This Row],[کد وضعیت سند]]&gt;0,VLOOKUP(TArticle[[#This Row],[کد وضعیت سند]],TDocState[],2,FALSE),"")</f>
        <v/>
      </c>
      <c r="M515" s="67"/>
      <c r="N515" s="171" t="str">
        <f>IF(TArticle[[#This Row],[کد طرف حساب]]&gt;0,VLOOKUP(TArticle[[#This Row],[کد طرف حساب]],TContact[],2,FALSE),"")</f>
        <v/>
      </c>
      <c r="O515" s="68" t="str">
        <f>IF(TArticle[[#This Row],[کد طرف حساب]]&gt;0,VLOOKUP(TArticle[[#This Row],[کد طرف حساب]],TContact[],7,FALSE)-SUMIF($M$2:M515,M515,$E$2:$E515),"")</f>
        <v/>
      </c>
      <c r="P515" s="67" t="str">
        <f>RIGHT(TArticle[[#This Row],[تاریخ]],2)</f>
        <v>29</v>
      </c>
      <c r="Q515" s="67">
        <f>VLOOKUP(TArticle[[#This Row],[تاریخ]],TDays[],16,FALSE)</f>
        <v>14</v>
      </c>
      <c r="R515" s="67" t="str">
        <f>RIGHT(LEFT(TArticle[[#This Row],[تاریخ]],7),2)</f>
        <v>03</v>
      </c>
      <c r="S515" s="67" t="str">
        <f>LEFT(TArticle[[#This Row],[تاریخ]],4)</f>
        <v>1403</v>
      </c>
      <c r="T515" s="64"/>
      <c r="U515" s="64">
        <f>VLOOKUP(TArticle[[#This Row],[شناسه]],TAccount[],7,TRUE)</f>
        <v>0</v>
      </c>
      <c r="V515" s="64"/>
      <c r="W515" s="64">
        <f>IF(AND(TArticle[[#This Row],[مبلغ]]&gt;0, TArticle[[#This Row],[کد وضعیت سند]]=1),TArticle[[#This Row],[مبلغ]],0)</f>
        <v>0</v>
      </c>
      <c r="X515" s="67">
        <f>IF(AND(TArticle[[#This Row],[مبلغ]]&lt;0,TArticle[[#This Row],[کد وضعیت سند]]=1),0-TArticle[[#This Row],[مبلغ]],0)</f>
        <v>0</v>
      </c>
      <c r="Y515" s="27">
        <v>2</v>
      </c>
      <c r="Z515" s="171" t="str">
        <f>IF(TArticle[[#This Row],[کد بانک]]&gt;0,VLOOKUP(TArticle[[#This Row],[کد بانک]],TBank[],2,FALSE),"")</f>
        <v>ملی جاری</v>
      </c>
      <c r="AA515">
        <f>IF(AND(TArticle[[#This Row],[مبلغ]]&lt;0,TArticle[[#This Row],[کد وضعیت سند]]=1),0-TArticle[[#This Row],[مبلغ]],0)</f>
        <v>0</v>
      </c>
      <c r="AB515">
        <f>IF(AND(TArticle[[#This Row],[مبلغ]]&gt;0, TArticle[[#This Row],[کد وضعیت سند]]=1),TArticle[[#This Row],[مبلغ]],0)</f>
        <v>0</v>
      </c>
      <c r="AC515" s="93">
        <f>IF(TArticle[[#This Row],[کد بانک]]&gt;0,VLOOKUP(TArticle[[#This Row],[کد بانک]],TBank[],9,FALSE)+SUMIF($Y$2:Y515,Y515,$E$2:$E515),"")</f>
        <v>337414</v>
      </c>
      <c r="AD515" s="1">
        <f>IFERROR(IF(INT(LEFT(TArticle[[#This Row],[شناسه]]))=3,IF(TArticle[[#This Row],[کد وضعیت سند]]=1,TArticle[مبلغ],0),0),0)</f>
        <v>0</v>
      </c>
      <c r="AE515" s="1">
        <f>IFERROR(IF(((TArticle[[#This Row],[شناسه]]))="4.1.1",IF(TArticle[[#This Row],[کد وضعیت سند]]=1,TArticle[مبلغ],0),0),0)</f>
        <v>0</v>
      </c>
      <c r="AF515" s="1">
        <f>IFERROR(IF(((TArticle[[#This Row],[شناسه]]))="4.1.2",IF(TArticle[[#This Row],[کد وضعیت سند]]=1,TArticle[مبلغ],0),0),0)</f>
        <v>0</v>
      </c>
      <c r="AG515" s="1">
        <f>IFERROR(IF(INT(LEFT(TArticle[[#This Row],[شناسه]]))=1,IF(TArticle[[#This Row],[کد وضعیت سند]]=1,TArticle[مبلغ],0),0),0)</f>
        <v>0</v>
      </c>
      <c r="AH515" s="1">
        <f>IFERROR(IF(INT(LEFT(TArticle[[#This Row],[شناسه]]))=2,IF(TArticle[[#This Row],[کد وضعیت سند]]=1,TArticle[مبلغ],0),0),0)</f>
        <v>0</v>
      </c>
      <c r="AI515" s="1">
        <f>IFERROR(IF((LEFT(TArticle[[#This Row],[شناسه]],3))="5.2",IF(TArticle[[#This Row],[کد وضعیت سند]]=1,TArticle[مبلغ],0),0),0)</f>
        <v>0</v>
      </c>
      <c r="AJ515" s="1">
        <f>IF(TArticle[[#This Row],[کد وضعیت سند]]=1,1,0)</f>
        <v>0</v>
      </c>
      <c r="AK515" s="1">
        <f>IF(AND(TArticle[[#This Row],[کد وضعیت سند]]&lt;&gt;1,TArticle[[#This Row],[مبلغ]]&lt;&gt;0),1,0)</f>
        <v>0</v>
      </c>
      <c r="AL515" s="78">
        <f>IF(TArticle[[#This Row],[کد بانک]]&gt;0,TArticle[[#This Row],[مانده بانک]]-VLOOKUP(TArticle[[#This Row],[کد بانک]],TBank[],7,FALSE),"")</f>
        <v>337414</v>
      </c>
      <c r="AM515" s="69" t="str">
        <f>LEFT(TArticle[[#This Row],[تاریخ]],7)</f>
        <v>1403-03</v>
      </c>
    </row>
    <row r="516" spans="1:39" x14ac:dyDescent="0.25">
      <c r="A516" s="24"/>
      <c r="B516" s="49" t="str">
        <f>VLOOKUP(TArticle[[#This Row],[شناسه]],TAccount[],2,TRUE)</f>
        <v>---</v>
      </c>
      <c r="C516" s="49" t="str">
        <f>VLOOKUP(TArticle[[#This Row],[تاریخ]],TDays[],7,FALSE)</f>
        <v>سه شنبه</v>
      </c>
      <c r="D516" s="21" t="s">
        <v>1316</v>
      </c>
      <c r="F516" s="1">
        <f>TArticle[[#This Row],[مبلغ]]+IFERROR(INT(F515),30181+3667+958)</f>
        <v>295762</v>
      </c>
      <c r="G516" s="49"/>
      <c r="K516" s="64"/>
      <c r="L516" s="171" t="str">
        <f>IF(TArticle[[#This Row],[کد وضعیت سند]]&gt;0,VLOOKUP(TArticle[[#This Row],[کد وضعیت سند]],TDocState[],2,FALSE),"")</f>
        <v/>
      </c>
      <c r="N516" s="171" t="str">
        <f>IF(TArticle[[#This Row],[کد طرف حساب]]&gt;0,VLOOKUP(TArticle[[#This Row],[کد طرف حساب]],TContact[],2,FALSE),"")</f>
        <v/>
      </c>
      <c r="O516" s="61" t="str">
        <f>IF(TArticle[[#This Row],[کد طرف حساب]]&gt;0,VLOOKUP(TArticle[[#This Row],[کد طرف حساب]],TContact[],7,FALSE)-SUMIF($M$2:M516,M516,$E$2:$E516),"")</f>
        <v/>
      </c>
      <c r="P516" s="27" t="str">
        <f>RIGHT(TArticle[[#This Row],[تاریخ]],2)</f>
        <v>29</v>
      </c>
      <c r="Q516" s="27">
        <f>VLOOKUP(TArticle[[#This Row],[تاریخ]],TDays[],16,FALSE)</f>
        <v>14</v>
      </c>
      <c r="R516" s="27" t="str">
        <f>RIGHT(LEFT(TArticle[[#This Row],[تاریخ]],7),2)</f>
        <v>03</v>
      </c>
      <c r="S516" s="27" t="str">
        <f>LEFT(TArticle[[#This Row],[تاریخ]],4)</f>
        <v>1403</v>
      </c>
      <c r="U516" s="21">
        <f>VLOOKUP(TArticle[[#This Row],[شناسه]],TAccount[],7,TRUE)</f>
        <v>0</v>
      </c>
      <c r="W516" s="21">
        <f>IF(AND(TArticle[[#This Row],[مبلغ]]&gt;0, TArticle[[#This Row],[کد وضعیت سند]]=1),TArticle[[#This Row],[مبلغ]],0)</f>
        <v>0</v>
      </c>
      <c r="X516" s="27">
        <f>IF(AND(TArticle[[#This Row],[مبلغ]]&lt;0,TArticle[[#This Row],[کد وضعیت سند]]=1),0-TArticle[[#This Row],[مبلغ]],0)</f>
        <v>0</v>
      </c>
      <c r="Y516" s="27">
        <v>2</v>
      </c>
      <c r="Z516" s="171" t="str">
        <f>IF(TArticle[[#This Row],[کد بانک]]&gt;0,VLOOKUP(TArticle[[#This Row],[کد بانک]],TBank[],2,FALSE),"")</f>
        <v>ملی جاری</v>
      </c>
      <c r="AA516">
        <f>IF(AND(TArticle[[#This Row],[مبلغ]]&lt;0,TArticle[[#This Row],[کد وضعیت سند]]=1),0-TArticle[[#This Row],[مبلغ]],0)</f>
        <v>0</v>
      </c>
      <c r="AB516">
        <f>IF(AND(TArticle[[#This Row],[مبلغ]]&gt;0, TArticle[[#This Row],[کد وضعیت سند]]=1),TArticle[[#This Row],[مبلغ]],0)</f>
        <v>0</v>
      </c>
      <c r="AC516" s="84">
        <f>IF(TArticle[[#This Row],[کد بانک]]&gt;0,VLOOKUP(TArticle[[#This Row],[کد بانک]],TBank[],9,FALSE)+SUMIF($Y$2:Y516,Y516,$E$2:$E516),"")</f>
        <v>337414</v>
      </c>
      <c r="AD516" s="1">
        <f>IFERROR(IF(INT(LEFT(TArticle[[#This Row],[شناسه]]))=3,IF(TArticle[[#This Row],[کد وضعیت سند]]=1,TArticle[مبلغ],0),0),0)</f>
        <v>0</v>
      </c>
      <c r="AE516" s="1">
        <f>IFERROR(IF(((TArticle[[#This Row],[شناسه]]))="4.1.1",IF(TArticle[[#This Row],[کد وضعیت سند]]=1,TArticle[مبلغ],0),0),0)</f>
        <v>0</v>
      </c>
      <c r="AF516" s="1">
        <f>IFERROR(IF(((TArticle[[#This Row],[شناسه]]))="4.1.2",IF(TArticle[[#This Row],[کد وضعیت سند]]=1,TArticle[مبلغ],0),0),0)</f>
        <v>0</v>
      </c>
      <c r="AG516" s="1">
        <f>IFERROR(IF(INT(LEFT(TArticle[[#This Row],[شناسه]]))=1,IF(TArticle[[#This Row],[کد وضعیت سند]]=1,TArticle[مبلغ],0),0),0)</f>
        <v>0</v>
      </c>
      <c r="AH516" s="1">
        <f>IFERROR(IF(INT(LEFT(TArticle[[#This Row],[شناسه]]))=2,IF(TArticle[[#This Row],[کد وضعیت سند]]=1,TArticle[مبلغ],0),0),0)</f>
        <v>0</v>
      </c>
      <c r="AI516" s="1">
        <f>IFERROR(IF((LEFT(TArticle[[#This Row],[شناسه]],3))="5.2",IF(TArticle[[#This Row],[کد وضعیت سند]]=1,TArticle[مبلغ],0),0),0)</f>
        <v>0</v>
      </c>
      <c r="AJ516" s="1">
        <f>IF(TArticle[[#This Row],[کد وضعیت سند]]=1,1,0)</f>
        <v>0</v>
      </c>
      <c r="AK516" s="1">
        <f>IF(AND(TArticle[[#This Row],[کد وضعیت سند]]&lt;&gt;1,TArticle[[#This Row],[مبلغ]]&lt;&gt;0),1,0)</f>
        <v>0</v>
      </c>
      <c r="AL516" s="51">
        <f>IF(TArticle[[#This Row],[کد بانک]]&gt;0,TArticle[[#This Row],[مانده بانک]]-VLOOKUP(TArticle[[#This Row],[کد بانک]],TBank[],7,FALSE),"")</f>
        <v>337414</v>
      </c>
      <c r="AM516" t="str">
        <f>LEFT(TArticle[[#This Row],[تاریخ]],7)</f>
        <v>1403-03</v>
      </c>
    </row>
    <row r="517" spans="1:39" x14ac:dyDescent="0.25">
      <c r="A517" s="24"/>
      <c r="B517" s="49" t="str">
        <f>VLOOKUP(TArticle[[#This Row],[شناسه]],TAccount[],2,TRUE)</f>
        <v>---</v>
      </c>
      <c r="C517" s="49" t="str">
        <f>VLOOKUP(TArticle[[#This Row],[تاریخ]],TDays[],7,FALSE)</f>
        <v>سه شنبه</v>
      </c>
      <c r="D517" s="21" t="s">
        <v>1316</v>
      </c>
      <c r="F517" s="1">
        <f>TArticle[[#This Row],[مبلغ]]+IFERROR(INT(F516),30181+3667+958)</f>
        <v>295762</v>
      </c>
      <c r="G517" s="49"/>
      <c r="K517" s="64"/>
      <c r="L517" s="171" t="str">
        <f>IF(TArticle[[#This Row],[کد وضعیت سند]]&gt;0,VLOOKUP(TArticle[[#This Row],[کد وضعیت سند]],TDocState[],2,FALSE),"")</f>
        <v/>
      </c>
      <c r="N517" s="171" t="str">
        <f>IF(TArticle[[#This Row],[کد طرف حساب]]&gt;0,VLOOKUP(TArticle[[#This Row],[کد طرف حساب]],TContact[],2,FALSE),"")</f>
        <v/>
      </c>
      <c r="O517" s="61" t="str">
        <f>IF(TArticle[[#This Row],[کد طرف حساب]]&gt;0,VLOOKUP(TArticle[[#This Row],[کد طرف حساب]],TContact[],7,FALSE)-SUMIF($M$2:M517,M517,$E$2:$E517),"")</f>
        <v/>
      </c>
      <c r="P517" s="27" t="str">
        <f>RIGHT(TArticle[[#This Row],[تاریخ]],2)</f>
        <v>29</v>
      </c>
      <c r="Q517" s="27">
        <f>VLOOKUP(TArticle[[#This Row],[تاریخ]],TDays[],16,FALSE)</f>
        <v>14</v>
      </c>
      <c r="R517" s="27" t="str">
        <f>RIGHT(LEFT(TArticle[[#This Row],[تاریخ]],7),2)</f>
        <v>03</v>
      </c>
      <c r="S517" s="27" t="str">
        <f>LEFT(TArticle[[#This Row],[تاریخ]],4)</f>
        <v>1403</v>
      </c>
      <c r="U517" s="21">
        <f>VLOOKUP(TArticle[[#This Row],[شناسه]],TAccount[],7,TRUE)</f>
        <v>0</v>
      </c>
      <c r="W517" s="21">
        <f>IF(AND(TArticle[[#This Row],[مبلغ]]&gt;0, TArticle[[#This Row],[کد وضعیت سند]]=1),TArticle[[#This Row],[مبلغ]],0)</f>
        <v>0</v>
      </c>
      <c r="X517" s="27">
        <f>IF(AND(TArticle[[#This Row],[مبلغ]]&lt;0,TArticle[[#This Row],[کد وضعیت سند]]=1),0-TArticle[[#This Row],[مبلغ]],0)</f>
        <v>0</v>
      </c>
      <c r="Y517" s="27">
        <v>2</v>
      </c>
      <c r="Z517" s="171" t="str">
        <f>IF(TArticle[[#This Row],[کد بانک]]&gt;0,VLOOKUP(TArticle[[#This Row],[کد بانک]],TBank[],2,FALSE),"")</f>
        <v>ملی جاری</v>
      </c>
      <c r="AA517">
        <f>IF(AND(TArticle[[#This Row],[مبلغ]]&lt;0,TArticle[[#This Row],[کد وضعیت سند]]=1),0-TArticle[[#This Row],[مبلغ]],0)</f>
        <v>0</v>
      </c>
      <c r="AB517">
        <f>IF(AND(TArticle[[#This Row],[مبلغ]]&gt;0, TArticle[[#This Row],[کد وضعیت سند]]=1),TArticle[[#This Row],[مبلغ]],0)</f>
        <v>0</v>
      </c>
      <c r="AC517" s="84">
        <f>IF(TArticle[[#This Row],[کد بانک]]&gt;0,VLOOKUP(TArticle[[#This Row],[کد بانک]],TBank[],9,FALSE)+SUMIF($Y$2:Y517,Y517,$E$2:$E517),"")</f>
        <v>337414</v>
      </c>
      <c r="AD517" s="1">
        <f>IFERROR(IF(INT(LEFT(TArticle[[#This Row],[شناسه]]))=3,IF(TArticle[[#This Row],[کد وضعیت سند]]=1,TArticle[مبلغ],0),0),0)</f>
        <v>0</v>
      </c>
      <c r="AE517" s="1">
        <f>IFERROR(IF(((TArticle[[#This Row],[شناسه]]))="4.1.1",IF(TArticle[[#This Row],[کد وضعیت سند]]=1,TArticle[مبلغ],0),0),0)</f>
        <v>0</v>
      </c>
      <c r="AF517" s="1">
        <f>IFERROR(IF(((TArticle[[#This Row],[شناسه]]))="4.1.2",IF(TArticle[[#This Row],[کد وضعیت سند]]=1,TArticle[مبلغ],0),0),0)</f>
        <v>0</v>
      </c>
      <c r="AG517" s="1">
        <f>IFERROR(IF(INT(LEFT(TArticle[[#This Row],[شناسه]]))=1,IF(TArticle[[#This Row],[کد وضعیت سند]]=1,TArticle[مبلغ],0),0),0)</f>
        <v>0</v>
      </c>
      <c r="AH517" s="1">
        <f>IFERROR(IF(INT(LEFT(TArticle[[#This Row],[شناسه]]))=2,IF(TArticle[[#This Row],[کد وضعیت سند]]=1,TArticle[مبلغ],0),0),0)</f>
        <v>0</v>
      </c>
      <c r="AI517" s="1">
        <f>IFERROR(IF((LEFT(TArticle[[#This Row],[شناسه]],3))="5.2",IF(TArticle[[#This Row],[کد وضعیت سند]]=1,TArticle[مبلغ],0),0),0)</f>
        <v>0</v>
      </c>
      <c r="AJ517" s="1">
        <f>IF(TArticle[[#This Row],[کد وضعیت سند]]=1,1,0)</f>
        <v>0</v>
      </c>
      <c r="AK517" s="1">
        <f>IF(AND(TArticle[[#This Row],[کد وضعیت سند]]&lt;&gt;1,TArticle[[#This Row],[مبلغ]]&lt;&gt;0),1,0)</f>
        <v>0</v>
      </c>
      <c r="AL517" s="51">
        <f>IF(TArticle[[#This Row],[کد بانک]]&gt;0,TArticle[[#This Row],[مانده بانک]]-VLOOKUP(TArticle[[#This Row],[کد بانک]],TBank[],7,FALSE),"")</f>
        <v>337414</v>
      </c>
      <c r="AM517" t="str">
        <f>LEFT(TArticle[[#This Row],[تاریخ]],7)</f>
        <v>1403-03</v>
      </c>
    </row>
    <row r="518" spans="1:39" x14ac:dyDescent="0.25">
      <c r="A518" s="24"/>
      <c r="B518" s="49" t="str">
        <f>VLOOKUP(TArticle[[#This Row],[شناسه]],TAccount[],2,TRUE)</f>
        <v>---</v>
      </c>
      <c r="C518" s="49" t="str">
        <f>VLOOKUP(TArticle[[#This Row],[تاریخ]],TDays[],7,FALSE)</f>
        <v>سه شنبه</v>
      </c>
      <c r="D518" s="21" t="s">
        <v>1316</v>
      </c>
      <c r="F518" s="1">
        <f>TArticle[[#This Row],[مبلغ]]+IFERROR(INT(F517),30181+3667+958)</f>
        <v>295762</v>
      </c>
      <c r="G518" s="49"/>
      <c r="L518" s="171" t="str">
        <f>IF(TArticle[[#This Row],[کد وضعیت سند]]&gt;0,VLOOKUP(TArticle[[#This Row],[کد وضعیت سند]],TDocState[],2,FALSE),"")</f>
        <v/>
      </c>
      <c r="N518" s="171" t="str">
        <f>IF(TArticle[[#This Row],[کد طرف حساب]]&gt;0,VLOOKUP(TArticle[[#This Row],[کد طرف حساب]],TContact[],2,FALSE),"")</f>
        <v/>
      </c>
      <c r="O518" s="51" t="str">
        <f>IF(TArticle[[#This Row],[کد طرف حساب]]&gt;0,VLOOKUP(TArticle[[#This Row],[کد طرف حساب]],TContact[],7,FALSE)-SUMIF($M$2:M518,M518,$E$2:$E518),"")</f>
        <v/>
      </c>
      <c r="P518" s="27" t="str">
        <f>RIGHT(TArticle[[#This Row],[تاریخ]],2)</f>
        <v>29</v>
      </c>
      <c r="Q518" s="27">
        <f>VLOOKUP(TArticle[[#This Row],[تاریخ]],TDays[],16,FALSE)</f>
        <v>14</v>
      </c>
      <c r="R518" s="27" t="str">
        <f>RIGHT(LEFT(TArticle[[#This Row],[تاریخ]],7),2)</f>
        <v>03</v>
      </c>
      <c r="S518" s="27" t="str">
        <f>LEFT(TArticle[[#This Row],[تاریخ]],4)</f>
        <v>1403</v>
      </c>
      <c r="U518" s="21">
        <f>VLOOKUP(TArticle[[#This Row],[شناسه]],TAccount[],7,TRUE)</f>
        <v>0</v>
      </c>
      <c r="W518" s="21">
        <f>IF(AND(TArticle[[#This Row],[مبلغ]]&gt;0, TArticle[[#This Row],[کد وضعیت سند]]=1),TArticle[[#This Row],[مبلغ]],0)</f>
        <v>0</v>
      </c>
      <c r="X518" s="27">
        <f>IF(AND(TArticle[[#This Row],[مبلغ]]&lt;0,TArticle[[#This Row],[کد وضعیت سند]]=1),0-TArticle[[#This Row],[مبلغ]],0)</f>
        <v>0</v>
      </c>
      <c r="Y518" s="27">
        <v>2</v>
      </c>
      <c r="Z518" s="171" t="str">
        <f>IF(TArticle[[#This Row],[کد بانک]]&gt;0,VLOOKUP(TArticle[[#This Row],[کد بانک]],TBank[],2,FALSE),"")</f>
        <v>ملی جاری</v>
      </c>
      <c r="AA518">
        <f>IF(AND(TArticle[[#This Row],[مبلغ]]&lt;0,TArticle[[#This Row],[کد وضعیت سند]]=1),0-TArticle[[#This Row],[مبلغ]],0)</f>
        <v>0</v>
      </c>
      <c r="AB518">
        <f>IF(AND(TArticle[[#This Row],[مبلغ]]&gt;0, TArticle[[#This Row],[کد وضعیت سند]]=1),TArticle[[#This Row],[مبلغ]],0)</f>
        <v>0</v>
      </c>
      <c r="AC518" s="84">
        <f>IF(TArticle[[#This Row],[کد بانک]]&gt;0,VLOOKUP(TArticle[[#This Row],[کد بانک]],TBank[],9,FALSE)+SUMIF($Y$2:Y518,Y518,$E$2:$E518),"")</f>
        <v>337414</v>
      </c>
      <c r="AD518" s="1">
        <f>IFERROR(IF(INT(LEFT(TArticle[[#This Row],[شناسه]]))=3,IF(TArticle[[#This Row],[کد وضعیت سند]]=1,TArticle[مبلغ],0),0),0)</f>
        <v>0</v>
      </c>
      <c r="AE518" s="1">
        <f>IFERROR(IF(((TArticle[[#This Row],[شناسه]]))="4.1.1",IF(TArticle[[#This Row],[کد وضعیت سند]]=1,TArticle[مبلغ],0),0),0)</f>
        <v>0</v>
      </c>
      <c r="AF518" s="1">
        <f>IFERROR(IF(((TArticle[[#This Row],[شناسه]]))="4.1.2",IF(TArticle[[#This Row],[کد وضعیت سند]]=1,TArticle[مبلغ],0),0),0)</f>
        <v>0</v>
      </c>
      <c r="AG518" s="1">
        <f>IFERROR(IF(INT(LEFT(TArticle[[#This Row],[شناسه]]))=1,IF(TArticle[[#This Row],[کد وضعیت سند]]=1,TArticle[مبلغ],0),0),0)</f>
        <v>0</v>
      </c>
      <c r="AH518" s="1">
        <f>IFERROR(IF(INT(LEFT(TArticle[[#This Row],[شناسه]]))=2,IF(TArticle[[#This Row],[کد وضعیت سند]]=1,TArticle[مبلغ],0),0),0)</f>
        <v>0</v>
      </c>
      <c r="AI518" s="1">
        <f>IFERROR(IF((LEFT(TArticle[[#This Row],[شناسه]],3))="5.2",IF(TArticle[[#This Row],[کد وضعیت سند]]=1,TArticle[مبلغ],0),0),0)</f>
        <v>0</v>
      </c>
      <c r="AJ518" s="1">
        <f>IF(TArticle[[#This Row],[کد وضعیت سند]]=1,1,0)</f>
        <v>0</v>
      </c>
      <c r="AK518" s="1">
        <f>IF(AND(TArticle[[#This Row],[کد وضعیت سند]]&lt;&gt;1,TArticle[[#This Row],[مبلغ]]&lt;&gt;0),1,0)</f>
        <v>0</v>
      </c>
      <c r="AL518" s="51">
        <f>IF(TArticle[[#This Row],[کد بانک]]&gt;0,TArticle[[#This Row],[مانده بانک]]-VLOOKUP(TArticle[[#This Row],[کد بانک]],TBank[],7,FALSE),"")</f>
        <v>337414</v>
      </c>
      <c r="AM518" s="49" t="str">
        <f>LEFT(TArticle[[#This Row],[تاریخ]],7)</f>
        <v>1403-03</v>
      </c>
    </row>
    <row r="519" spans="1:39" x14ac:dyDescent="0.25">
      <c r="A519" s="24"/>
      <c r="B519" s="49" t="str">
        <f>VLOOKUP(TArticle[[#This Row],[شناسه]],TAccount[],2,TRUE)</f>
        <v>---</v>
      </c>
      <c r="C519" s="49" t="str">
        <f>VLOOKUP(TArticle[[#This Row],[تاریخ]],TDays[],7,FALSE)</f>
        <v>سه شنبه</v>
      </c>
      <c r="D519" s="21" t="s">
        <v>1316</v>
      </c>
      <c r="F519" s="1">
        <f>TArticle[[#This Row],[مبلغ]]+IFERROR(INT(F518),30181+3667+958)</f>
        <v>295762</v>
      </c>
      <c r="G519" s="49"/>
      <c r="H519" s="64"/>
      <c r="J519" s="65"/>
      <c r="K519" s="64"/>
      <c r="L519" s="171" t="str">
        <f>IF(TArticle[[#This Row],[کد وضعیت سند]]&gt;0,VLOOKUP(TArticle[[#This Row],[کد وضعیت سند]],TDocState[],2,FALSE),"")</f>
        <v/>
      </c>
      <c r="M519" s="67"/>
      <c r="N519" s="171" t="str">
        <f>IF(TArticle[[#This Row],[کد طرف حساب]]&gt;0,VLOOKUP(TArticle[[#This Row],[کد طرف حساب]],TContact[],2,FALSE),"")</f>
        <v/>
      </c>
      <c r="O519" s="68" t="str">
        <f>IF(TArticle[[#This Row],[کد طرف حساب]]&gt;0,VLOOKUP(TArticle[[#This Row],[کد طرف حساب]],TContact[],7,FALSE)-SUMIF($M$2:M519,M519,$E$2:$E519),"")</f>
        <v/>
      </c>
      <c r="P519" s="67" t="str">
        <f>RIGHT(TArticle[[#This Row],[تاریخ]],2)</f>
        <v>29</v>
      </c>
      <c r="Q519" s="67">
        <f>VLOOKUP(TArticle[[#This Row],[تاریخ]],TDays[],16,FALSE)</f>
        <v>14</v>
      </c>
      <c r="R519" s="67" t="str">
        <f>RIGHT(LEFT(TArticle[[#This Row],[تاریخ]],7),2)</f>
        <v>03</v>
      </c>
      <c r="S519" s="67" t="str">
        <f>LEFT(TArticle[[#This Row],[تاریخ]],4)</f>
        <v>1403</v>
      </c>
      <c r="T519" s="64"/>
      <c r="U519" s="64">
        <f>VLOOKUP(TArticle[[#This Row],[شناسه]],TAccount[],7,TRUE)</f>
        <v>0</v>
      </c>
      <c r="V519" s="64"/>
      <c r="W519" s="64">
        <f>IF(AND(TArticle[[#This Row],[مبلغ]]&gt;0, TArticle[[#This Row],[کد وضعیت سند]]=1),TArticle[[#This Row],[مبلغ]],0)</f>
        <v>0</v>
      </c>
      <c r="X519" s="67">
        <f>IF(AND(TArticle[[#This Row],[مبلغ]]&lt;0,TArticle[[#This Row],[کد وضعیت سند]]=1),0-TArticle[[#This Row],[مبلغ]],0)</f>
        <v>0</v>
      </c>
      <c r="Y519" s="27">
        <v>2</v>
      </c>
      <c r="Z519" s="171" t="str">
        <f>IF(TArticle[[#This Row],[کد بانک]]&gt;0,VLOOKUP(TArticle[[#This Row],[کد بانک]],TBank[],2,FALSE),"")</f>
        <v>ملی جاری</v>
      </c>
      <c r="AA519">
        <f>IF(AND(TArticle[[#This Row],[مبلغ]]&lt;0,TArticle[[#This Row],[کد وضعیت سند]]=1),0-TArticle[[#This Row],[مبلغ]],0)</f>
        <v>0</v>
      </c>
      <c r="AB519">
        <f>IF(AND(TArticle[[#This Row],[مبلغ]]&gt;0, TArticle[[#This Row],[کد وضعیت سند]]=1),TArticle[[#This Row],[مبلغ]],0)</f>
        <v>0</v>
      </c>
      <c r="AC519" s="93">
        <f>IF(TArticle[[#This Row],[کد بانک]]&gt;0,VLOOKUP(TArticle[[#This Row],[کد بانک]],TBank[],9,FALSE)+SUMIF($Y$2:Y519,Y519,$E$2:$E519),"")</f>
        <v>337414</v>
      </c>
      <c r="AD519" s="1">
        <f>IFERROR(IF(INT(LEFT(TArticle[[#This Row],[شناسه]]))=3,IF(TArticle[[#This Row],[کد وضعیت سند]]=1,TArticle[مبلغ],0),0),0)</f>
        <v>0</v>
      </c>
      <c r="AE519" s="1">
        <f>IFERROR(IF(((TArticle[[#This Row],[شناسه]]))="4.1.1",IF(TArticle[[#This Row],[کد وضعیت سند]]=1,TArticle[مبلغ],0),0),0)</f>
        <v>0</v>
      </c>
      <c r="AF519" s="1">
        <f>IFERROR(IF(((TArticle[[#This Row],[شناسه]]))="4.1.2",IF(TArticle[[#This Row],[کد وضعیت سند]]=1,TArticle[مبلغ],0),0),0)</f>
        <v>0</v>
      </c>
      <c r="AG519" s="1">
        <f>IFERROR(IF(INT(LEFT(TArticle[[#This Row],[شناسه]]))=1,IF(TArticle[[#This Row],[کد وضعیت سند]]=1,TArticle[مبلغ],0),0),0)</f>
        <v>0</v>
      </c>
      <c r="AH519" s="1">
        <f>IFERROR(IF(INT(LEFT(TArticle[[#This Row],[شناسه]]))=2,IF(TArticle[[#This Row],[کد وضعیت سند]]=1,TArticle[مبلغ],0),0),0)</f>
        <v>0</v>
      </c>
      <c r="AI519" s="1">
        <f>IFERROR(IF((LEFT(TArticle[[#This Row],[شناسه]],3))="5.2",IF(TArticle[[#This Row],[کد وضعیت سند]]=1,TArticle[مبلغ],0),0),0)</f>
        <v>0</v>
      </c>
      <c r="AJ519" s="1">
        <f>IF(TArticle[[#This Row],[کد وضعیت سند]]=1,1,0)</f>
        <v>0</v>
      </c>
      <c r="AK519" s="1">
        <f>IF(AND(TArticle[[#This Row],[کد وضعیت سند]]&lt;&gt;1,TArticle[[#This Row],[مبلغ]]&lt;&gt;0),1,0)</f>
        <v>0</v>
      </c>
      <c r="AL519" s="78">
        <f>IF(TArticle[[#This Row],[کد بانک]]&gt;0,TArticle[[#This Row],[مانده بانک]]-VLOOKUP(TArticle[[#This Row],[کد بانک]],TBank[],7,FALSE),"")</f>
        <v>337414</v>
      </c>
      <c r="AM519" s="69" t="str">
        <f>LEFT(TArticle[[#This Row],[تاریخ]],7)</f>
        <v>1403-03</v>
      </c>
    </row>
    <row r="520" spans="1:39" x14ac:dyDescent="0.25">
      <c r="A520" s="24"/>
      <c r="B520" s="49" t="str">
        <f>VLOOKUP(TArticle[[#This Row],[شناسه]],TAccount[],2,TRUE)</f>
        <v>---</v>
      </c>
      <c r="C520" s="49" t="str">
        <f>VLOOKUP(TArticle[[#This Row],[تاریخ]],TDays[],7,FALSE)</f>
        <v>سه شنبه</v>
      </c>
      <c r="D520" s="21" t="s">
        <v>1316</v>
      </c>
      <c r="F520" s="1">
        <f>TArticle[[#This Row],[مبلغ]]+IFERROR(INT(F519),30181+3667+958)</f>
        <v>295762</v>
      </c>
      <c r="G520" s="49"/>
      <c r="H520" s="64"/>
      <c r="J520" s="65"/>
      <c r="K520" s="64"/>
      <c r="L520" s="171" t="str">
        <f>IF(TArticle[[#This Row],[کد وضعیت سند]]&gt;0,VLOOKUP(TArticle[[#This Row],[کد وضعیت سند]],TDocState[],2,FALSE),"")</f>
        <v/>
      </c>
      <c r="M520" s="67"/>
      <c r="N520" s="171" t="str">
        <f>IF(TArticle[[#This Row],[کد طرف حساب]]&gt;0,VLOOKUP(TArticle[[#This Row],[کد طرف حساب]],TContact[],2,FALSE),"")</f>
        <v/>
      </c>
      <c r="O520" s="68" t="str">
        <f>IF(TArticle[[#This Row],[کد طرف حساب]]&gt;0,VLOOKUP(TArticle[[#This Row],[کد طرف حساب]],TContact[],7,FALSE)-SUMIF($M$2:M520,M520,$E$2:$E520),"")</f>
        <v/>
      </c>
      <c r="P520" s="67" t="str">
        <f>RIGHT(TArticle[[#This Row],[تاریخ]],2)</f>
        <v>29</v>
      </c>
      <c r="Q520" s="67">
        <f>VLOOKUP(TArticle[[#This Row],[تاریخ]],TDays[],16,FALSE)</f>
        <v>14</v>
      </c>
      <c r="R520" s="67" t="str">
        <f>RIGHT(LEFT(TArticle[[#This Row],[تاریخ]],7),2)</f>
        <v>03</v>
      </c>
      <c r="S520" s="67" t="str">
        <f>LEFT(TArticle[[#This Row],[تاریخ]],4)</f>
        <v>1403</v>
      </c>
      <c r="T520" s="64"/>
      <c r="U520" s="64">
        <f>VLOOKUP(TArticle[[#This Row],[شناسه]],TAccount[],7,TRUE)</f>
        <v>0</v>
      </c>
      <c r="V520" s="64"/>
      <c r="W520" s="64">
        <f>IF(AND(TArticle[[#This Row],[مبلغ]]&gt;0, TArticle[[#This Row],[کد وضعیت سند]]=1),TArticle[[#This Row],[مبلغ]],0)</f>
        <v>0</v>
      </c>
      <c r="X520" s="67">
        <f>IF(AND(TArticle[[#This Row],[مبلغ]]&lt;0,TArticle[[#This Row],[کد وضعیت سند]]=1),0-TArticle[[#This Row],[مبلغ]],0)</f>
        <v>0</v>
      </c>
      <c r="Y520" s="27">
        <v>2</v>
      </c>
      <c r="Z520" s="171" t="str">
        <f>IF(TArticle[[#This Row],[کد بانک]]&gt;0,VLOOKUP(TArticle[[#This Row],[کد بانک]],TBank[],2,FALSE),"")</f>
        <v>ملی جاری</v>
      </c>
      <c r="AA520">
        <f>IF(AND(TArticle[[#This Row],[مبلغ]]&lt;0,TArticle[[#This Row],[کد وضعیت سند]]=1),0-TArticle[[#This Row],[مبلغ]],0)</f>
        <v>0</v>
      </c>
      <c r="AB520">
        <f>IF(AND(TArticle[[#This Row],[مبلغ]]&gt;0, TArticle[[#This Row],[کد وضعیت سند]]=1),TArticle[[#This Row],[مبلغ]],0)</f>
        <v>0</v>
      </c>
      <c r="AC520" s="93">
        <f>IF(TArticle[[#This Row],[کد بانک]]&gt;0,VLOOKUP(TArticle[[#This Row],[کد بانک]],TBank[],9,FALSE)+SUMIF($Y$2:Y520,Y520,$E$2:$E520),"")</f>
        <v>337414</v>
      </c>
      <c r="AD520" s="1">
        <f>IFERROR(IF(INT(LEFT(TArticle[[#This Row],[شناسه]]))=3,IF(TArticle[[#This Row],[کد وضعیت سند]]=1,TArticle[مبلغ],0),0),0)</f>
        <v>0</v>
      </c>
      <c r="AE520" s="1">
        <f>IFERROR(IF(((TArticle[[#This Row],[شناسه]]))="4.1.1",IF(TArticle[[#This Row],[کد وضعیت سند]]=1,TArticle[مبلغ],0),0),0)</f>
        <v>0</v>
      </c>
      <c r="AF520" s="1">
        <f>IFERROR(IF(((TArticle[[#This Row],[شناسه]]))="4.1.2",IF(TArticle[[#This Row],[کد وضعیت سند]]=1,TArticle[مبلغ],0),0),0)</f>
        <v>0</v>
      </c>
      <c r="AG520" s="1">
        <f>IFERROR(IF(INT(LEFT(TArticle[[#This Row],[شناسه]]))=1,IF(TArticle[[#This Row],[کد وضعیت سند]]=1,TArticle[مبلغ],0),0),0)</f>
        <v>0</v>
      </c>
      <c r="AH520" s="1">
        <f>IFERROR(IF(INT(LEFT(TArticle[[#This Row],[شناسه]]))=2,IF(TArticle[[#This Row],[کد وضعیت سند]]=1,TArticle[مبلغ],0),0),0)</f>
        <v>0</v>
      </c>
      <c r="AI520" s="1">
        <f>IFERROR(IF((LEFT(TArticle[[#This Row],[شناسه]],3))="5.2",IF(TArticle[[#This Row],[کد وضعیت سند]]=1,TArticle[مبلغ],0),0),0)</f>
        <v>0</v>
      </c>
      <c r="AJ520" s="1">
        <f>IF(TArticle[[#This Row],[کد وضعیت سند]]=1,1,0)</f>
        <v>0</v>
      </c>
      <c r="AK520" s="1">
        <f>IF(AND(TArticle[[#This Row],[کد وضعیت سند]]&lt;&gt;1,TArticle[[#This Row],[مبلغ]]&lt;&gt;0),1,0)</f>
        <v>0</v>
      </c>
      <c r="AL520" s="78">
        <f>IF(TArticle[[#This Row],[کد بانک]]&gt;0,TArticle[[#This Row],[مانده بانک]]-VLOOKUP(TArticle[[#This Row],[کد بانک]],TBank[],7,FALSE),"")</f>
        <v>337414</v>
      </c>
      <c r="AM520" s="58" t="str">
        <f>LEFT(TArticle[[#This Row],[تاریخ]],7)</f>
        <v>1403-03</v>
      </c>
    </row>
    <row r="521" spans="1:39" x14ac:dyDescent="0.25">
      <c r="A521" s="24"/>
      <c r="B521" s="49" t="str">
        <f>VLOOKUP(TArticle[[#This Row],[شناسه]],TAccount[],2,TRUE)</f>
        <v>---</v>
      </c>
      <c r="C521" s="49" t="str">
        <f>VLOOKUP(TArticle[[#This Row],[تاریخ]],TDays[],7,FALSE)</f>
        <v>سه شنبه</v>
      </c>
      <c r="D521" s="21" t="s">
        <v>1316</v>
      </c>
      <c r="F521" s="1">
        <f>TArticle[[#This Row],[مبلغ]]+IFERROR(INT(F520),30181+3667+958)</f>
        <v>295762</v>
      </c>
      <c r="G521" s="49"/>
      <c r="L521" s="171" t="str">
        <f>IF(TArticle[[#This Row],[کد وضعیت سند]]&gt;0,VLOOKUP(TArticle[[#This Row],[کد وضعیت سند]],TDocState[],2,FALSE),"")</f>
        <v/>
      </c>
      <c r="N521" s="171" t="str">
        <f>IF(TArticle[[#This Row],[کد طرف حساب]]&gt;0,VLOOKUP(TArticle[[#This Row],[کد طرف حساب]],TContact[],2,FALSE),"")</f>
        <v/>
      </c>
      <c r="O521" s="51" t="str">
        <f>IF(TArticle[[#This Row],[کد طرف حساب]]&gt;0,VLOOKUP(TArticle[[#This Row],[کد طرف حساب]],TContact[],7,FALSE)-SUMIF($M$2:M521,M521,$E$2:$E521),"")</f>
        <v/>
      </c>
      <c r="P521" s="27" t="str">
        <f>RIGHT(TArticle[[#This Row],[تاریخ]],2)</f>
        <v>29</v>
      </c>
      <c r="Q521" s="27">
        <f>VLOOKUP(TArticle[[#This Row],[تاریخ]],TDays[],16,FALSE)</f>
        <v>14</v>
      </c>
      <c r="R521" s="27" t="str">
        <f>RIGHT(LEFT(TArticle[[#This Row],[تاریخ]],7),2)</f>
        <v>03</v>
      </c>
      <c r="S521" s="27" t="str">
        <f>LEFT(TArticle[[#This Row],[تاریخ]],4)</f>
        <v>1403</v>
      </c>
      <c r="U521" s="21">
        <f>VLOOKUP(TArticle[[#This Row],[شناسه]],TAccount[],7,TRUE)</f>
        <v>0</v>
      </c>
      <c r="W521" s="21">
        <f>IF(AND(TArticle[[#This Row],[مبلغ]]&gt;0, TArticle[[#This Row],[کد وضعیت سند]]=1),TArticle[[#This Row],[مبلغ]],0)</f>
        <v>0</v>
      </c>
      <c r="X521" s="21">
        <f>IF(AND(TArticle[[#This Row],[مبلغ]]&lt;0,TArticle[[#This Row],[کد وضعیت سند]]=1),0-TArticle[[#This Row],[مبلغ]],0)</f>
        <v>0</v>
      </c>
      <c r="Y521" s="27">
        <v>2</v>
      </c>
      <c r="Z521" s="171" t="str">
        <f>IF(TArticle[[#This Row],[کد بانک]]&gt;0,VLOOKUP(TArticle[[#This Row],[کد بانک]],TBank[],2,FALSE),"")</f>
        <v>ملی جاری</v>
      </c>
      <c r="AA521">
        <f>IF(AND(TArticle[[#This Row],[مبلغ]]&lt;0,TArticle[[#This Row],[کد وضعیت سند]]=1),0-TArticle[[#This Row],[مبلغ]],0)</f>
        <v>0</v>
      </c>
      <c r="AB521">
        <f>IF(AND(TArticle[[#This Row],[مبلغ]]&gt;0, TArticle[[#This Row],[کد وضعیت سند]]=1),TArticle[[#This Row],[مبلغ]],0)</f>
        <v>0</v>
      </c>
      <c r="AC521" s="84">
        <f>IF(TArticle[[#This Row],[کد بانک]]&gt;0,VLOOKUP(TArticle[[#This Row],[کد بانک]],TBank[],9,FALSE)+SUMIF($Y$2:Y521,Y521,$E$2:$E521),"")</f>
        <v>337414</v>
      </c>
      <c r="AD521" s="1">
        <f>IFERROR(IF(INT(LEFT(TArticle[[#This Row],[شناسه]]))=3,IF(TArticle[[#This Row],[کد وضعیت سند]]=1,TArticle[مبلغ],0),0),0)</f>
        <v>0</v>
      </c>
      <c r="AE521" s="1">
        <f>IFERROR(IF(((TArticle[[#This Row],[شناسه]]))="4.1.1",IF(TArticle[[#This Row],[کد وضعیت سند]]=1,TArticle[مبلغ],0),0),0)</f>
        <v>0</v>
      </c>
      <c r="AF521" s="1">
        <f>IFERROR(IF(((TArticle[[#This Row],[شناسه]]))="4.1.2",IF(TArticle[[#This Row],[کد وضعیت سند]]=1,TArticle[مبلغ],0),0),0)</f>
        <v>0</v>
      </c>
      <c r="AG521" s="1">
        <f>IFERROR(IF(INT(LEFT(TArticle[[#This Row],[شناسه]]))=1,IF(TArticle[[#This Row],[کد وضعیت سند]]=1,TArticle[مبلغ],0),0),0)</f>
        <v>0</v>
      </c>
      <c r="AH521" s="1">
        <f>IFERROR(IF(INT(LEFT(TArticle[[#This Row],[شناسه]]))=2,IF(TArticle[[#This Row],[کد وضعیت سند]]=1,TArticle[مبلغ],0),0),0)</f>
        <v>0</v>
      </c>
      <c r="AI521" s="1">
        <f>IFERROR(IF((LEFT(TArticle[[#This Row],[شناسه]],3))="5.2",IF(TArticle[[#This Row],[کد وضعیت سند]]=1,TArticle[مبلغ],0),0),0)</f>
        <v>0</v>
      </c>
      <c r="AJ521" s="1">
        <f>IF(TArticle[[#This Row],[کد وضعیت سند]]=1,1,0)</f>
        <v>0</v>
      </c>
      <c r="AK521" s="1">
        <f>IF(AND(TArticle[[#This Row],[کد وضعیت سند]]&lt;&gt;1,TArticle[[#This Row],[مبلغ]]&lt;&gt;0),1,0)</f>
        <v>0</v>
      </c>
      <c r="AL521" s="51">
        <f>IF(TArticle[[#This Row],[کد بانک]]&gt;0,TArticle[[#This Row],[مانده بانک]]-VLOOKUP(TArticle[[#This Row],[کد بانک]],TBank[],7,FALSE),"")</f>
        <v>337414</v>
      </c>
      <c r="AM521" s="58" t="str">
        <f>LEFT(TArticle[[#This Row],[تاریخ]],7)</f>
        <v>1403-03</v>
      </c>
    </row>
    <row r="522" spans="1:39" x14ac:dyDescent="0.25">
      <c r="A522" s="24"/>
      <c r="B522" s="49" t="str">
        <f>VLOOKUP(TArticle[[#This Row],[شناسه]],TAccount[],2,TRUE)</f>
        <v>---</v>
      </c>
      <c r="C522" s="49" t="str">
        <f>VLOOKUP(TArticle[[#This Row],[تاریخ]],TDays[],7,FALSE)</f>
        <v>سه شنبه</v>
      </c>
      <c r="D522" s="21" t="s">
        <v>1316</v>
      </c>
      <c r="F522" s="1">
        <f>TArticle[[#This Row],[مبلغ]]+IFERROR(INT(F521),30181+3667+958)</f>
        <v>295762</v>
      </c>
      <c r="G522" s="49"/>
      <c r="H522" s="64"/>
      <c r="J522" s="65"/>
      <c r="K522" s="64"/>
      <c r="L522" s="171" t="str">
        <f>IF(TArticle[[#This Row],[کد وضعیت سند]]&gt;0,VLOOKUP(TArticle[[#This Row],[کد وضعیت سند]],TDocState[],2,FALSE),"")</f>
        <v/>
      </c>
      <c r="M522" s="67"/>
      <c r="N522" s="171" t="str">
        <f>IF(TArticle[[#This Row],[کد طرف حساب]]&gt;0,VLOOKUP(TArticle[[#This Row],[کد طرف حساب]],TContact[],2,FALSE),"")</f>
        <v/>
      </c>
      <c r="O522" s="68" t="str">
        <f>IF(TArticle[[#This Row],[کد طرف حساب]]&gt;0,VLOOKUP(TArticle[[#This Row],[کد طرف حساب]],TContact[],7,FALSE)-SUMIF($M$2:M522,M522,$E$2:$E522),"")</f>
        <v/>
      </c>
      <c r="P522" s="67" t="str">
        <f>RIGHT(TArticle[[#This Row],[تاریخ]],2)</f>
        <v>29</v>
      </c>
      <c r="Q522" s="67">
        <f>VLOOKUP(TArticle[[#This Row],[تاریخ]],TDays[],16,FALSE)</f>
        <v>14</v>
      </c>
      <c r="R522" s="67" t="str">
        <f>RIGHT(LEFT(TArticle[[#This Row],[تاریخ]],7),2)</f>
        <v>03</v>
      </c>
      <c r="S522" s="67" t="str">
        <f>LEFT(TArticle[[#This Row],[تاریخ]],4)</f>
        <v>1403</v>
      </c>
      <c r="T522" s="64"/>
      <c r="U522" s="64">
        <f>VLOOKUP(TArticle[[#This Row],[شناسه]],TAccount[],7,TRUE)</f>
        <v>0</v>
      </c>
      <c r="V522" s="64"/>
      <c r="W522" s="64">
        <f>IF(AND(TArticle[[#This Row],[مبلغ]]&gt;0, TArticle[[#This Row],[کد وضعیت سند]]=1),TArticle[[#This Row],[مبلغ]],0)</f>
        <v>0</v>
      </c>
      <c r="X522" s="67">
        <f>IF(AND(TArticle[[#This Row],[مبلغ]]&lt;0,TArticle[[#This Row],[کد وضعیت سند]]=1),0-TArticle[[#This Row],[مبلغ]],0)</f>
        <v>0</v>
      </c>
      <c r="Y522" s="27">
        <v>2</v>
      </c>
      <c r="Z522" s="171" t="str">
        <f>IF(TArticle[[#This Row],[کد بانک]]&gt;0,VLOOKUP(TArticle[[#This Row],[کد بانک]],TBank[],2,FALSE),"")</f>
        <v>ملی جاری</v>
      </c>
      <c r="AA522">
        <f>IF(AND(TArticle[[#This Row],[مبلغ]]&lt;0,TArticle[[#This Row],[کد وضعیت سند]]=1),0-TArticle[[#This Row],[مبلغ]],0)</f>
        <v>0</v>
      </c>
      <c r="AB522">
        <f>IF(AND(TArticle[[#This Row],[مبلغ]]&gt;0, TArticle[[#This Row],[کد وضعیت سند]]=1),TArticle[[#This Row],[مبلغ]],0)</f>
        <v>0</v>
      </c>
      <c r="AC522" s="93">
        <f>IF(TArticle[[#This Row],[کد بانک]]&gt;0,VLOOKUP(TArticle[[#This Row],[کد بانک]],TBank[],9,FALSE)+SUMIF($Y$2:Y522,Y522,$E$2:$E522),"")</f>
        <v>337414</v>
      </c>
      <c r="AD522" s="1">
        <f>IFERROR(IF(INT(LEFT(TArticle[[#This Row],[شناسه]]))=3,IF(TArticle[[#This Row],[کد وضعیت سند]]=1,TArticle[مبلغ],0),0),0)</f>
        <v>0</v>
      </c>
      <c r="AE522" s="1">
        <f>IFERROR(IF(((TArticle[[#This Row],[شناسه]]))="4.1.1",IF(TArticle[[#This Row],[کد وضعیت سند]]=1,TArticle[مبلغ],0),0),0)</f>
        <v>0</v>
      </c>
      <c r="AF522" s="1">
        <f>IFERROR(IF(((TArticle[[#This Row],[شناسه]]))="4.1.2",IF(TArticle[[#This Row],[کد وضعیت سند]]=1,TArticle[مبلغ],0),0),0)</f>
        <v>0</v>
      </c>
      <c r="AG522" s="1">
        <f>IFERROR(IF(INT(LEFT(TArticle[[#This Row],[شناسه]]))=1,IF(TArticle[[#This Row],[کد وضعیت سند]]=1,TArticle[مبلغ],0),0),0)</f>
        <v>0</v>
      </c>
      <c r="AH522" s="1">
        <f>IFERROR(IF(INT(LEFT(TArticle[[#This Row],[شناسه]]))=2,IF(TArticle[[#This Row],[کد وضعیت سند]]=1,TArticle[مبلغ],0),0),0)</f>
        <v>0</v>
      </c>
      <c r="AI522" s="1">
        <f>IFERROR(IF((LEFT(TArticle[[#This Row],[شناسه]],3))="5.2",IF(TArticle[[#This Row],[کد وضعیت سند]]=1,TArticle[مبلغ],0),0),0)</f>
        <v>0</v>
      </c>
      <c r="AJ522" s="1">
        <f>IF(TArticle[[#This Row],[کد وضعیت سند]]=1,1,0)</f>
        <v>0</v>
      </c>
      <c r="AK522" s="1">
        <f>IF(AND(TArticle[[#This Row],[کد وضعیت سند]]&lt;&gt;1,TArticle[[#This Row],[مبلغ]]&lt;&gt;0),1,0)</f>
        <v>0</v>
      </c>
      <c r="AL522" s="78">
        <f>IF(TArticle[[#This Row],[کد بانک]]&gt;0,TArticle[[#This Row],[مانده بانک]]-VLOOKUP(TArticle[[#This Row],[کد بانک]],TBank[],7,FALSE),"")</f>
        <v>337414</v>
      </c>
      <c r="AM522" s="69" t="str">
        <f>LEFT(TArticle[[#This Row],[تاریخ]],7)</f>
        <v>1403-03</v>
      </c>
    </row>
    <row r="523" spans="1:39" x14ac:dyDescent="0.25">
      <c r="A523" s="24"/>
      <c r="B523" s="49" t="str">
        <f>VLOOKUP(TArticle[[#This Row],[شناسه]],TAccount[],2,TRUE)</f>
        <v>---</v>
      </c>
      <c r="C523" s="49" t="str">
        <f>VLOOKUP(TArticle[[#This Row],[تاریخ]],TDays[],7,FALSE)</f>
        <v>سه شنبه</v>
      </c>
      <c r="D523" s="21" t="s">
        <v>1316</v>
      </c>
      <c r="F523" s="1">
        <f>TArticle[[#This Row],[مبلغ]]+IFERROR(INT(F522),30181+3667+958)</f>
        <v>295762</v>
      </c>
      <c r="G523" s="49"/>
      <c r="H523" s="64"/>
      <c r="J523" s="65"/>
      <c r="K523" s="64"/>
      <c r="L523" s="171" t="str">
        <f>IF(TArticle[[#This Row],[کد وضعیت سند]]&gt;0,VLOOKUP(TArticle[[#This Row],[کد وضعیت سند]],TDocState[],2,FALSE),"")</f>
        <v/>
      </c>
      <c r="M523" s="67"/>
      <c r="N523" s="171" t="str">
        <f>IF(TArticle[[#This Row],[کد طرف حساب]]&gt;0,VLOOKUP(TArticle[[#This Row],[کد طرف حساب]],TContact[],2,FALSE),"")</f>
        <v/>
      </c>
      <c r="O523" s="68" t="str">
        <f>IF(TArticle[[#This Row],[کد طرف حساب]]&gt;0,VLOOKUP(TArticle[[#This Row],[کد طرف حساب]],TContact[],7,FALSE)-SUMIF($M$2:M523,M523,$E$2:$E523),"")</f>
        <v/>
      </c>
      <c r="P523" s="67" t="str">
        <f>RIGHT(TArticle[[#This Row],[تاریخ]],2)</f>
        <v>29</v>
      </c>
      <c r="Q523" s="67">
        <f>VLOOKUP(TArticle[[#This Row],[تاریخ]],TDays[],16,FALSE)</f>
        <v>14</v>
      </c>
      <c r="R523" s="67" t="str">
        <f>RIGHT(LEFT(TArticle[[#This Row],[تاریخ]],7),2)</f>
        <v>03</v>
      </c>
      <c r="S523" s="67" t="str">
        <f>LEFT(TArticle[[#This Row],[تاریخ]],4)</f>
        <v>1403</v>
      </c>
      <c r="T523" s="64"/>
      <c r="U523" s="64">
        <f>VLOOKUP(TArticle[[#This Row],[شناسه]],TAccount[],7,TRUE)</f>
        <v>0</v>
      </c>
      <c r="V523" s="64"/>
      <c r="W523" s="64">
        <f>IF(AND(TArticle[[#This Row],[مبلغ]]&gt;0, TArticle[[#This Row],[کد وضعیت سند]]=1),TArticle[[#This Row],[مبلغ]],0)</f>
        <v>0</v>
      </c>
      <c r="X523" s="67">
        <f>IF(AND(TArticle[[#This Row],[مبلغ]]&lt;0,TArticle[[#This Row],[کد وضعیت سند]]=1),0-TArticle[[#This Row],[مبلغ]],0)</f>
        <v>0</v>
      </c>
      <c r="Y523" s="27">
        <v>2</v>
      </c>
      <c r="Z523" s="171" t="str">
        <f>IF(TArticle[[#This Row],[کد بانک]]&gt;0,VLOOKUP(TArticle[[#This Row],[کد بانک]],TBank[],2,FALSE),"")</f>
        <v>ملی جاری</v>
      </c>
      <c r="AA523">
        <f>IF(AND(TArticle[[#This Row],[مبلغ]]&lt;0,TArticle[[#This Row],[کد وضعیت سند]]=1),0-TArticle[[#This Row],[مبلغ]],0)</f>
        <v>0</v>
      </c>
      <c r="AB523">
        <f>IF(AND(TArticle[[#This Row],[مبلغ]]&gt;0, TArticle[[#This Row],[کد وضعیت سند]]=1),TArticle[[#This Row],[مبلغ]],0)</f>
        <v>0</v>
      </c>
      <c r="AC523" s="93">
        <f>IF(TArticle[[#This Row],[کد بانک]]&gt;0,VLOOKUP(TArticle[[#This Row],[کد بانک]],TBank[],9,FALSE)+SUMIF($Y$2:Y523,Y523,$E$2:$E523),"")</f>
        <v>337414</v>
      </c>
      <c r="AD523" s="1">
        <f>IFERROR(IF(INT(LEFT(TArticle[[#This Row],[شناسه]]))=3,IF(TArticle[[#This Row],[کد وضعیت سند]]=1,TArticle[مبلغ],0),0),0)</f>
        <v>0</v>
      </c>
      <c r="AE523" s="1">
        <f>IFERROR(IF(((TArticle[[#This Row],[شناسه]]))="4.1.1",IF(TArticle[[#This Row],[کد وضعیت سند]]=1,TArticle[مبلغ],0),0),0)</f>
        <v>0</v>
      </c>
      <c r="AF523" s="1">
        <f>IFERROR(IF(((TArticle[[#This Row],[شناسه]]))="4.1.2",IF(TArticle[[#This Row],[کد وضعیت سند]]=1,TArticle[مبلغ],0),0),0)</f>
        <v>0</v>
      </c>
      <c r="AG523" s="1">
        <f>IFERROR(IF(INT(LEFT(TArticle[[#This Row],[شناسه]]))=1,IF(TArticle[[#This Row],[کد وضعیت سند]]=1,TArticle[مبلغ],0),0),0)</f>
        <v>0</v>
      </c>
      <c r="AH523" s="1">
        <f>IFERROR(IF(INT(LEFT(TArticle[[#This Row],[شناسه]]))=2,IF(TArticle[[#This Row],[کد وضعیت سند]]=1,TArticle[مبلغ],0),0),0)</f>
        <v>0</v>
      </c>
      <c r="AI523" s="1">
        <f>IFERROR(IF((LEFT(TArticle[[#This Row],[شناسه]],3))="5.2",IF(TArticle[[#This Row],[کد وضعیت سند]]=1,TArticle[مبلغ],0),0),0)</f>
        <v>0</v>
      </c>
      <c r="AJ523" s="1">
        <f>IF(TArticle[[#This Row],[کد وضعیت سند]]=1,1,0)</f>
        <v>0</v>
      </c>
      <c r="AK523" s="1">
        <f>IF(AND(TArticle[[#This Row],[کد وضعیت سند]]&lt;&gt;1,TArticle[[#This Row],[مبلغ]]&lt;&gt;0),1,0)</f>
        <v>0</v>
      </c>
      <c r="AL523" s="78">
        <f>IF(TArticle[[#This Row],[کد بانک]]&gt;0,TArticle[[#This Row],[مانده بانک]]-VLOOKUP(TArticle[[#This Row],[کد بانک]],TBank[],7,FALSE),"")</f>
        <v>337414</v>
      </c>
      <c r="AM523" s="58" t="str">
        <f>LEFT(TArticle[[#This Row],[تاریخ]],7)</f>
        <v>1403-03</v>
      </c>
    </row>
    <row r="524" spans="1:39" x14ac:dyDescent="0.25">
      <c r="A524" s="24"/>
      <c r="B524" s="49" t="str">
        <f>VLOOKUP(TArticle[[#This Row],[شناسه]],TAccount[],2,TRUE)</f>
        <v>---</v>
      </c>
      <c r="C524" s="49" t="str">
        <f>VLOOKUP(TArticle[[#This Row],[تاریخ]],TDays[],7,FALSE)</f>
        <v>سه شنبه</v>
      </c>
      <c r="D524" s="21" t="s">
        <v>1316</v>
      </c>
      <c r="F524" s="1">
        <f>TArticle[[#This Row],[مبلغ]]+IFERROR(INT(F523),30181+3667+958)</f>
        <v>295762</v>
      </c>
      <c r="G524" s="49"/>
      <c r="J524" s="51"/>
      <c r="K524" s="49"/>
      <c r="L524" s="171" t="str">
        <f>IF(TArticle[[#This Row],[کد وضعیت سند]]&gt;0,VLOOKUP(TArticle[[#This Row],[کد وضعیت سند]],TDocState[],2,FALSE),"")</f>
        <v/>
      </c>
      <c r="N524" s="171" t="str">
        <f>IF(TArticle[[#This Row],[کد طرف حساب]]&gt;0,VLOOKUP(TArticle[[#This Row],[کد طرف حساب]],TContact[],2,FALSE),"")</f>
        <v/>
      </c>
      <c r="O524" s="60" t="str">
        <f>IF(TArticle[[#This Row],[کد طرف حساب]]&gt;0,VLOOKUP(TArticle[[#This Row],[کد طرف حساب]],TContact[],7,FALSE)-SUMIF($M$2:M524,M524,$E$2:$E524),"")</f>
        <v/>
      </c>
      <c r="P524" s="27" t="str">
        <f>RIGHT(TArticle[[#This Row],[تاریخ]],2)</f>
        <v>29</v>
      </c>
      <c r="Q524" s="27">
        <f>VLOOKUP(TArticle[[#This Row],[تاریخ]],TDays[],16,FALSE)</f>
        <v>14</v>
      </c>
      <c r="R524" s="27" t="str">
        <f>RIGHT(LEFT(TArticle[[#This Row],[تاریخ]],7),2)</f>
        <v>03</v>
      </c>
      <c r="S524" s="27" t="str">
        <f>LEFT(TArticle[[#This Row],[تاریخ]],4)</f>
        <v>1403</v>
      </c>
      <c r="U524" s="21">
        <f>VLOOKUP(TArticle[[#This Row],[شناسه]],TAccount[],7,TRUE)</f>
        <v>0</v>
      </c>
      <c r="W524" s="21">
        <f>IF(AND(TArticle[[#This Row],[مبلغ]]&gt;0, TArticle[[#This Row],[کد وضعیت سند]]=1),TArticle[[#This Row],[مبلغ]],0)</f>
        <v>0</v>
      </c>
      <c r="X524" s="27">
        <f>IF(AND(TArticle[[#This Row],[مبلغ]]&lt;0,TArticle[[#This Row],[کد وضعیت سند]]=1),0-TArticle[[#This Row],[مبلغ]],0)</f>
        <v>0</v>
      </c>
      <c r="Y524" s="27">
        <v>2</v>
      </c>
      <c r="Z524" s="171" t="str">
        <f>IF(TArticle[[#This Row],[کد بانک]]&gt;0,VLOOKUP(TArticle[[#This Row],[کد بانک]],TBank[],2,FALSE),"")</f>
        <v>ملی جاری</v>
      </c>
      <c r="AA524">
        <f>IF(AND(TArticle[[#This Row],[مبلغ]]&lt;0,TArticle[[#This Row],[کد وضعیت سند]]=1),0-TArticle[[#This Row],[مبلغ]],0)</f>
        <v>0</v>
      </c>
      <c r="AB524">
        <f>IF(AND(TArticle[[#This Row],[مبلغ]]&gt;0, TArticle[[#This Row],[کد وضعیت سند]]=1),TArticle[[#This Row],[مبلغ]],0)</f>
        <v>0</v>
      </c>
      <c r="AC524" s="92">
        <f>IF(TArticle[[#This Row],[کد بانک]]&gt;0,VLOOKUP(TArticle[[#This Row],[کد بانک]],TBank[],9,FALSE)+SUMIF($Y$2:Y524,Y524,$E$2:$E524),"")</f>
        <v>337414</v>
      </c>
      <c r="AD524" s="1">
        <f>IFERROR(IF(INT(LEFT(TArticle[[#This Row],[شناسه]]))=3,IF(TArticle[[#This Row],[کد وضعیت سند]]=1,TArticle[مبلغ],0),0),0)</f>
        <v>0</v>
      </c>
      <c r="AE524" s="1">
        <f>IFERROR(IF(((TArticle[[#This Row],[شناسه]]))="4.1.1",IF(TArticle[[#This Row],[کد وضعیت سند]]=1,TArticle[مبلغ],0),0),0)</f>
        <v>0</v>
      </c>
      <c r="AF524" s="1">
        <f>IFERROR(IF(((TArticle[[#This Row],[شناسه]]))="4.1.2",IF(TArticle[[#This Row],[کد وضعیت سند]]=1,TArticle[مبلغ],0),0),0)</f>
        <v>0</v>
      </c>
      <c r="AG524" s="1">
        <f>IFERROR(IF(INT(LEFT(TArticle[[#This Row],[شناسه]]))=1,IF(TArticle[[#This Row],[کد وضعیت سند]]=1,TArticle[مبلغ],0),0),0)</f>
        <v>0</v>
      </c>
      <c r="AH524" s="1">
        <f>IFERROR(IF(INT(LEFT(TArticle[[#This Row],[شناسه]]))=2,IF(TArticle[[#This Row],[کد وضعیت سند]]=1,TArticle[مبلغ],0),0),0)</f>
        <v>0</v>
      </c>
      <c r="AI524" s="1">
        <f>IFERROR(IF((LEFT(TArticle[[#This Row],[شناسه]],3))="5.2",IF(TArticle[[#This Row],[کد وضعیت سند]]=1,TArticle[مبلغ],0),0),0)</f>
        <v>0</v>
      </c>
      <c r="AJ524" s="1">
        <f>IF(TArticle[[#This Row],[کد وضعیت سند]]=1,1,0)</f>
        <v>0</v>
      </c>
      <c r="AK524" s="1">
        <f>IF(AND(TArticle[[#This Row],[کد وضعیت سند]]&lt;&gt;1,TArticle[[#This Row],[مبلغ]]&lt;&gt;0),1,0)</f>
        <v>0</v>
      </c>
      <c r="AL524" s="51">
        <f>IF(TArticle[[#This Row],[کد بانک]]&gt;0,TArticle[[#This Row],[مانده بانک]]-VLOOKUP(TArticle[[#This Row],[کد بانک]],TBank[],7,FALSE),"")</f>
        <v>337414</v>
      </c>
      <c r="AM524" s="58" t="str">
        <f>LEFT(TArticle[[#This Row],[تاریخ]],7)</f>
        <v>1403-03</v>
      </c>
    </row>
    <row r="525" spans="1:39" x14ac:dyDescent="0.25">
      <c r="A525" s="24"/>
      <c r="B525" s="49" t="str">
        <f>VLOOKUP(TArticle[[#This Row],[شناسه]],TAccount[],2,TRUE)</f>
        <v>---</v>
      </c>
      <c r="C525" s="49" t="str">
        <f>VLOOKUP(TArticle[[#This Row],[تاریخ]],TDays[],7,FALSE)</f>
        <v>سه شنبه</v>
      </c>
      <c r="D525" s="21" t="s">
        <v>1316</v>
      </c>
      <c r="F525" s="1">
        <f>TArticle[[#This Row],[مبلغ]]+IFERROR(INT(F524),30181+3667+958)</f>
        <v>295762</v>
      </c>
      <c r="G525" s="49"/>
      <c r="L525" s="171" t="str">
        <f>IF(TArticle[[#This Row],[کد وضعیت سند]]&gt;0,VLOOKUP(TArticle[[#This Row],[کد وضعیت سند]],TDocState[],2,FALSE),"")</f>
        <v/>
      </c>
      <c r="N525" s="171" t="str">
        <f>IF(TArticle[[#This Row],[کد طرف حساب]]&gt;0,VLOOKUP(TArticle[[#This Row],[کد طرف حساب]],TContact[],2,FALSE),"")</f>
        <v/>
      </c>
      <c r="O525" s="51" t="str">
        <f>IF(TArticle[[#This Row],[کد طرف حساب]]&gt;0,VLOOKUP(TArticle[[#This Row],[کد طرف حساب]],TContact[],7,FALSE)-SUMIF($M$2:M525,M525,$E$2:$E525),"")</f>
        <v/>
      </c>
      <c r="P525" s="27" t="str">
        <f>RIGHT(TArticle[[#This Row],[تاریخ]],2)</f>
        <v>29</v>
      </c>
      <c r="Q525" s="27">
        <f>VLOOKUP(TArticle[[#This Row],[تاریخ]],TDays[],16,FALSE)</f>
        <v>14</v>
      </c>
      <c r="R525" s="27" t="str">
        <f>RIGHT(LEFT(TArticle[[#This Row],[تاریخ]],7),2)</f>
        <v>03</v>
      </c>
      <c r="S525" s="27" t="str">
        <f>LEFT(TArticle[[#This Row],[تاریخ]],4)</f>
        <v>1403</v>
      </c>
      <c r="U525" s="21">
        <f>VLOOKUP(TArticle[[#This Row],[شناسه]],TAccount[],7,TRUE)</f>
        <v>0</v>
      </c>
      <c r="W525" s="21">
        <f>IF(AND(TArticle[[#This Row],[مبلغ]]&gt;0, TArticle[[#This Row],[کد وضعیت سند]]=1),TArticle[[#This Row],[مبلغ]],0)</f>
        <v>0</v>
      </c>
      <c r="X525" s="27">
        <f>IF(AND(TArticle[[#This Row],[مبلغ]]&lt;0,TArticle[[#This Row],[کد وضعیت سند]]=1),0-TArticle[[#This Row],[مبلغ]],0)</f>
        <v>0</v>
      </c>
      <c r="Y525" s="27">
        <v>2</v>
      </c>
      <c r="Z525" s="171" t="str">
        <f>IF(TArticle[[#This Row],[کد بانک]]&gt;0,VLOOKUP(TArticle[[#This Row],[کد بانک]],TBank[],2,FALSE),"")</f>
        <v>ملی جاری</v>
      </c>
      <c r="AA525">
        <f>IF(AND(TArticle[[#This Row],[مبلغ]]&lt;0,TArticle[[#This Row],[کد وضعیت سند]]=1),0-TArticle[[#This Row],[مبلغ]],0)</f>
        <v>0</v>
      </c>
      <c r="AB525">
        <f>IF(AND(TArticle[[#This Row],[مبلغ]]&gt;0, TArticle[[#This Row],[کد وضعیت سند]]=1),TArticle[[#This Row],[مبلغ]],0)</f>
        <v>0</v>
      </c>
      <c r="AC525" s="84">
        <f>IF(TArticle[[#This Row],[کد بانک]]&gt;0,VLOOKUP(TArticle[[#This Row],[کد بانک]],TBank[],9,FALSE)+SUMIF($Y$2:Y525,Y525,$E$2:$E525),"")</f>
        <v>337414</v>
      </c>
      <c r="AD525" s="1">
        <f>IFERROR(IF(INT(LEFT(TArticle[[#This Row],[شناسه]]))=3,IF(TArticle[[#This Row],[کد وضعیت سند]]=1,TArticle[مبلغ],0),0),0)</f>
        <v>0</v>
      </c>
      <c r="AE525" s="1">
        <f>IFERROR(IF(((TArticle[[#This Row],[شناسه]]))="4.1.1",IF(TArticle[[#This Row],[کد وضعیت سند]]=1,TArticle[مبلغ],0),0),0)</f>
        <v>0</v>
      </c>
      <c r="AF525" s="1">
        <f>IFERROR(IF(((TArticle[[#This Row],[شناسه]]))="4.1.2",IF(TArticle[[#This Row],[کد وضعیت سند]]=1,TArticle[مبلغ],0),0),0)</f>
        <v>0</v>
      </c>
      <c r="AG525" s="1">
        <f>IFERROR(IF(INT(LEFT(TArticle[[#This Row],[شناسه]]))=1,IF(TArticle[[#This Row],[کد وضعیت سند]]=1,TArticle[مبلغ],0),0),0)</f>
        <v>0</v>
      </c>
      <c r="AH525" s="1">
        <f>IFERROR(IF(INT(LEFT(TArticle[[#This Row],[شناسه]]))=2,IF(TArticle[[#This Row],[کد وضعیت سند]]=1,TArticle[مبلغ],0),0),0)</f>
        <v>0</v>
      </c>
      <c r="AI525" s="1">
        <f>IFERROR(IF((LEFT(TArticle[[#This Row],[شناسه]],3))="5.2",IF(TArticle[[#This Row],[کد وضعیت سند]]=1,TArticle[مبلغ],0),0),0)</f>
        <v>0</v>
      </c>
      <c r="AJ525" s="1">
        <f>IF(TArticle[[#This Row],[کد وضعیت سند]]=1,1,0)</f>
        <v>0</v>
      </c>
      <c r="AK525" s="1">
        <f>IF(AND(TArticle[[#This Row],[کد وضعیت سند]]&lt;&gt;1,TArticle[[#This Row],[مبلغ]]&lt;&gt;0),1,0)</f>
        <v>0</v>
      </c>
      <c r="AL525" s="51">
        <f>IF(TArticle[[#This Row],[کد بانک]]&gt;0,TArticle[[#This Row],[مانده بانک]]-VLOOKUP(TArticle[[#This Row],[کد بانک]],TBank[],7,FALSE),"")</f>
        <v>337414</v>
      </c>
      <c r="AM525" s="49" t="str">
        <f>LEFT(TArticle[[#This Row],[تاریخ]],7)</f>
        <v>1403-03</v>
      </c>
    </row>
    <row r="526" spans="1:39" x14ac:dyDescent="0.25">
      <c r="A526" s="24"/>
      <c r="B526" s="49" t="str">
        <f>VLOOKUP(TArticle[[#This Row],[شناسه]],TAccount[],2,TRUE)</f>
        <v>---</v>
      </c>
      <c r="C526" s="49" t="str">
        <f>VLOOKUP(TArticle[[#This Row],[تاریخ]],TDays[],7,FALSE)</f>
        <v>سه شنبه</v>
      </c>
      <c r="D526" s="21" t="s">
        <v>1316</v>
      </c>
      <c r="F526" s="1">
        <f>TArticle[[#This Row],[مبلغ]]+IFERROR(INT(F525),30181+3667+958)</f>
        <v>295762</v>
      </c>
      <c r="G526" s="49"/>
      <c r="L526" s="171" t="str">
        <f>IF(TArticle[[#This Row],[کد وضعیت سند]]&gt;0,VLOOKUP(TArticle[[#This Row],[کد وضعیت سند]],TDocState[],2,FALSE),"")</f>
        <v/>
      </c>
      <c r="N526" s="171" t="str">
        <f>IF(TArticle[[#This Row],[کد طرف حساب]]&gt;0,VLOOKUP(TArticle[[#This Row],[کد طرف حساب]],TContact[],2,FALSE),"")</f>
        <v/>
      </c>
      <c r="O526" s="51" t="str">
        <f>IF(TArticle[[#This Row],[کد طرف حساب]]&gt;0,VLOOKUP(TArticle[[#This Row],[کد طرف حساب]],TContact[],7,FALSE)-SUMIF($M$2:M526,M526,$E$2:$E526),"")</f>
        <v/>
      </c>
      <c r="P526" s="27" t="str">
        <f>RIGHT(TArticle[[#This Row],[تاریخ]],2)</f>
        <v>29</v>
      </c>
      <c r="Q526" s="27">
        <f>VLOOKUP(TArticle[[#This Row],[تاریخ]],TDays[],16,FALSE)</f>
        <v>14</v>
      </c>
      <c r="R526" s="27" t="str">
        <f>RIGHT(LEFT(TArticle[[#This Row],[تاریخ]],7),2)</f>
        <v>03</v>
      </c>
      <c r="S526" s="27" t="str">
        <f>LEFT(TArticle[[#This Row],[تاریخ]],4)</f>
        <v>1403</v>
      </c>
      <c r="U526" s="21">
        <f>VLOOKUP(TArticle[[#This Row],[شناسه]],TAccount[],7,TRUE)</f>
        <v>0</v>
      </c>
      <c r="W526" s="21">
        <f>IF(AND(TArticle[[#This Row],[مبلغ]]&gt;0, TArticle[[#This Row],[کد وضعیت سند]]=1),TArticle[[#This Row],[مبلغ]],0)</f>
        <v>0</v>
      </c>
      <c r="X526" s="27">
        <f>IF(AND(TArticle[[#This Row],[مبلغ]]&lt;0,TArticle[[#This Row],[کد وضعیت سند]]=1),0-TArticle[[#This Row],[مبلغ]],0)</f>
        <v>0</v>
      </c>
      <c r="Y526" s="27">
        <v>2</v>
      </c>
      <c r="Z526" s="171" t="str">
        <f>IF(TArticle[[#This Row],[کد بانک]]&gt;0,VLOOKUP(TArticle[[#This Row],[کد بانک]],TBank[],2,FALSE),"")</f>
        <v>ملی جاری</v>
      </c>
      <c r="AA526">
        <f>IF(AND(TArticle[[#This Row],[مبلغ]]&lt;0,TArticle[[#This Row],[کد وضعیت سند]]=1),0-TArticle[[#This Row],[مبلغ]],0)</f>
        <v>0</v>
      </c>
      <c r="AB526">
        <f>IF(AND(TArticle[[#This Row],[مبلغ]]&gt;0, TArticle[[#This Row],[کد وضعیت سند]]=1),TArticle[[#This Row],[مبلغ]],0)</f>
        <v>0</v>
      </c>
      <c r="AC526" s="84">
        <f>IF(TArticle[[#This Row],[کد بانک]]&gt;0,VLOOKUP(TArticle[[#This Row],[کد بانک]],TBank[],9,FALSE)+SUMIF($Y$2:Y526,Y526,$E$2:$E526),"")</f>
        <v>337414</v>
      </c>
      <c r="AD526" s="1">
        <f>IFERROR(IF(INT(LEFT(TArticle[[#This Row],[شناسه]]))=3,IF(TArticle[[#This Row],[کد وضعیت سند]]=1,TArticle[مبلغ],0),0),0)</f>
        <v>0</v>
      </c>
      <c r="AE526" s="1">
        <f>IFERROR(IF(((TArticle[[#This Row],[شناسه]]))="4.1.1",IF(TArticle[[#This Row],[کد وضعیت سند]]=1,TArticle[مبلغ],0),0),0)</f>
        <v>0</v>
      </c>
      <c r="AF526" s="1">
        <f>IFERROR(IF(((TArticle[[#This Row],[شناسه]]))="4.1.2",IF(TArticle[[#This Row],[کد وضعیت سند]]=1,TArticle[مبلغ],0),0),0)</f>
        <v>0</v>
      </c>
      <c r="AG526" s="1">
        <f>IFERROR(IF(INT(LEFT(TArticle[[#This Row],[شناسه]]))=1,IF(TArticle[[#This Row],[کد وضعیت سند]]=1,TArticle[مبلغ],0),0),0)</f>
        <v>0</v>
      </c>
      <c r="AH526" s="1">
        <f>IFERROR(IF(INT(LEFT(TArticle[[#This Row],[شناسه]]))=2,IF(TArticle[[#This Row],[کد وضعیت سند]]=1,TArticle[مبلغ],0),0),0)</f>
        <v>0</v>
      </c>
      <c r="AI526" s="1">
        <f>IFERROR(IF((LEFT(TArticle[[#This Row],[شناسه]],3))="5.2",IF(TArticle[[#This Row],[کد وضعیت سند]]=1,TArticle[مبلغ],0),0),0)</f>
        <v>0</v>
      </c>
      <c r="AJ526" s="1">
        <f>IF(TArticle[[#This Row],[کد وضعیت سند]]=1,1,0)</f>
        <v>0</v>
      </c>
      <c r="AK526" s="1">
        <f>IF(AND(TArticle[[#This Row],[کد وضعیت سند]]&lt;&gt;1,TArticle[[#This Row],[مبلغ]]&lt;&gt;0),1,0)</f>
        <v>0</v>
      </c>
      <c r="AL526" s="51">
        <f>IF(TArticle[[#This Row],[کد بانک]]&gt;0,TArticle[[#This Row],[مانده بانک]]-VLOOKUP(TArticle[[#This Row],[کد بانک]],TBank[],7,FALSE),"")</f>
        <v>337414</v>
      </c>
      <c r="AM526" s="49" t="str">
        <f>LEFT(TArticle[[#This Row],[تاریخ]],7)</f>
        <v>1403-03</v>
      </c>
    </row>
    <row r="527" spans="1:39" x14ac:dyDescent="0.25">
      <c r="A527" s="24"/>
      <c r="B527" s="49" t="str">
        <f>VLOOKUP(TArticle[[#This Row],[شناسه]],TAccount[],2,TRUE)</f>
        <v>---</v>
      </c>
      <c r="C527" s="49" t="str">
        <f>VLOOKUP(TArticle[[#This Row],[تاریخ]],TDays[],7,FALSE)</f>
        <v>سه شنبه</v>
      </c>
      <c r="D527" s="21" t="s">
        <v>1316</v>
      </c>
      <c r="F527" s="1">
        <f>TArticle[[#This Row],[مبلغ]]+IFERROR(INT(F526),30181+3667+958)</f>
        <v>295762</v>
      </c>
      <c r="G527" s="49"/>
      <c r="L527" s="171" t="str">
        <f>IF(TArticle[[#This Row],[کد وضعیت سند]]&gt;0,VLOOKUP(TArticle[[#This Row],[کد وضعیت سند]],TDocState[],2,FALSE),"")</f>
        <v/>
      </c>
      <c r="N527" s="171" t="str">
        <f>IF(TArticle[[#This Row],[کد طرف حساب]]&gt;0,VLOOKUP(TArticle[[#This Row],[کد طرف حساب]],TContact[],2,FALSE),"")</f>
        <v/>
      </c>
      <c r="O527" s="51" t="str">
        <f>IF(TArticle[[#This Row],[کد طرف حساب]]&gt;0,VLOOKUP(TArticle[[#This Row],[کد طرف حساب]],TContact[],7,FALSE)-SUMIF($M$2:M527,M527,$E$2:$E527),"")</f>
        <v/>
      </c>
      <c r="P527" s="27" t="str">
        <f>RIGHT(TArticle[[#This Row],[تاریخ]],2)</f>
        <v>29</v>
      </c>
      <c r="Q527" s="27">
        <f>VLOOKUP(TArticle[[#This Row],[تاریخ]],TDays[],16,FALSE)</f>
        <v>14</v>
      </c>
      <c r="R527" s="27" t="str">
        <f>RIGHT(LEFT(TArticle[[#This Row],[تاریخ]],7),2)</f>
        <v>03</v>
      </c>
      <c r="S527" s="27" t="str">
        <f>LEFT(TArticle[[#This Row],[تاریخ]],4)</f>
        <v>1403</v>
      </c>
      <c r="U527" s="21">
        <f>VLOOKUP(TArticle[[#This Row],[شناسه]],TAccount[],7,TRUE)</f>
        <v>0</v>
      </c>
      <c r="W527" s="21">
        <f>IF(AND(TArticle[[#This Row],[مبلغ]]&gt;0, TArticle[[#This Row],[کد وضعیت سند]]=1),TArticle[[#This Row],[مبلغ]],0)</f>
        <v>0</v>
      </c>
      <c r="X527" s="27">
        <f>IF(AND(TArticle[[#This Row],[مبلغ]]&lt;0,TArticle[[#This Row],[کد وضعیت سند]]=1),0-TArticle[[#This Row],[مبلغ]],0)</f>
        <v>0</v>
      </c>
      <c r="Y527" s="27">
        <v>2</v>
      </c>
      <c r="Z527" s="171" t="str">
        <f>IF(TArticle[[#This Row],[کد بانک]]&gt;0,VLOOKUP(TArticle[[#This Row],[کد بانک]],TBank[],2,FALSE),"")</f>
        <v>ملی جاری</v>
      </c>
      <c r="AA527">
        <f>IF(AND(TArticle[[#This Row],[مبلغ]]&lt;0,TArticle[[#This Row],[کد وضعیت سند]]=1),0-TArticle[[#This Row],[مبلغ]],0)</f>
        <v>0</v>
      </c>
      <c r="AB527">
        <f>IF(AND(TArticle[[#This Row],[مبلغ]]&gt;0, TArticle[[#This Row],[کد وضعیت سند]]=1),TArticle[[#This Row],[مبلغ]],0)</f>
        <v>0</v>
      </c>
      <c r="AC527" s="84">
        <f>IF(TArticle[[#This Row],[کد بانک]]&gt;0,VLOOKUP(TArticle[[#This Row],[کد بانک]],TBank[],9,FALSE)+SUMIF($Y$2:Y527,Y527,$E$2:$E527),"")</f>
        <v>337414</v>
      </c>
      <c r="AD527" s="1">
        <f>IFERROR(IF(INT(LEFT(TArticle[[#This Row],[شناسه]]))=3,IF(TArticle[[#This Row],[کد وضعیت سند]]=1,TArticle[مبلغ],0),0),0)</f>
        <v>0</v>
      </c>
      <c r="AE527" s="1">
        <f>IFERROR(IF(((TArticle[[#This Row],[شناسه]]))="4.1.1",IF(TArticle[[#This Row],[کد وضعیت سند]]=1,TArticle[مبلغ],0),0),0)</f>
        <v>0</v>
      </c>
      <c r="AF527" s="1">
        <f>IFERROR(IF(((TArticle[[#This Row],[شناسه]]))="4.1.2",IF(TArticle[[#This Row],[کد وضعیت سند]]=1,TArticle[مبلغ],0),0),0)</f>
        <v>0</v>
      </c>
      <c r="AG527" s="1">
        <f>IFERROR(IF(INT(LEFT(TArticle[[#This Row],[شناسه]]))=1,IF(TArticle[[#This Row],[کد وضعیت سند]]=1,TArticle[مبلغ],0),0),0)</f>
        <v>0</v>
      </c>
      <c r="AH527" s="1">
        <f>IFERROR(IF(INT(LEFT(TArticle[[#This Row],[شناسه]]))=2,IF(TArticle[[#This Row],[کد وضعیت سند]]=1,TArticle[مبلغ],0),0),0)</f>
        <v>0</v>
      </c>
      <c r="AI527" s="1">
        <f>IFERROR(IF((LEFT(TArticle[[#This Row],[شناسه]],3))="5.2",IF(TArticle[[#This Row],[کد وضعیت سند]]=1,TArticle[مبلغ],0),0),0)</f>
        <v>0</v>
      </c>
      <c r="AJ527" s="1">
        <f>IF(TArticle[[#This Row],[کد وضعیت سند]]=1,1,0)</f>
        <v>0</v>
      </c>
      <c r="AK527" s="1">
        <f>IF(AND(TArticle[[#This Row],[کد وضعیت سند]]&lt;&gt;1,TArticle[[#This Row],[مبلغ]]&lt;&gt;0),1,0)</f>
        <v>0</v>
      </c>
      <c r="AL527" s="51">
        <f>IF(TArticle[[#This Row],[کد بانک]]&gt;0,TArticle[[#This Row],[مانده بانک]]-VLOOKUP(TArticle[[#This Row],[کد بانک]],TBank[],7,FALSE),"")</f>
        <v>337414</v>
      </c>
      <c r="AM527" s="49" t="str">
        <f>LEFT(TArticle[[#This Row],[تاریخ]],7)</f>
        <v>1403-03</v>
      </c>
    </row>
    <row r="528" spans="1:39" x14ac:dyDescent="0.25">
      <c r="A528" s="24"/>
      <c r="B528" s="49" t="str">
        <f>VLOOKUP(TArticle[[#This Row],[شناسه]],TAccount[],2,TRUE)</f>
        <v>---</v>
      </c>
      <c r="C528" s="49" t="str">
        <f>VLOOKUP(TArticle[[#This Row],[تاریخ]],TDays[],7,FALSE)</f>
        <v>سه شنبه</v>
      </c>
      <c r="D528" s="21" t="s">
        <v>1316</v>
      </c>
      <c r="F528" s="1">
        <f>TArticle[[#This Row],[مبلغ]]+IFERROR(INT(F527),30181+3667+958)</f>
        <v>295762</v>
      </c>
      <c r="G528" s="49"/>
      <c r="L528" s="171" t="str">
        <f>IF(TArticle[[#This Row],[کد وضعیت سند]]&gt;0,VLOOKUP(TArticle[[#This Row],[کد وضعیت سند]],TDocState[],2,FALSE),"")</f>
        <v/>
      </c>
      <c r="N528" s="171" t="str">
        <f>IF(TArticle[[#This Row],[کد طرف حساب]]&gt;0,VLOOKUP(TArticle[[#This Row],[کد طرف حساب]],TContact[],2,FALSE),"")</f>
        <v/>
      </c>
      <c r="O528" s="51" t="str">
        <f>IF(TArticle[[#This Row],[کد طرف حساب]]&gt;0,VLOOKUP(TArticle[[#This Row],[کد طرف حساب]],TContact[],7,FALSE)-SUMIF($M$2:M528,M528,$E$2:$E528),"")</f>
        <v/>
      </c>
      <c r="P528" s="27" t="str">
        <f>RIGHT(TArticle[[#This Row],[تاریخ]],2)</f>
        <v>29</v>
      </c>
      <c r="Q528" s="27">
        <f>VLOOKUP(TArticle[[#This Row],[تاریخ]],TDays[],16,FALSE)</f>
        <v>14</v>
      </c>
      <c r="R528" s="27" t="str">
        <f>RIGHT(LEFT(TArticle[[#This Row],[تاریخ]],7),2)</f>
        <v>03</v>
      </c>
      <c r="S528" s="27" t="str">
        <f>LEFT(TArticle[[#This Row],[تاریخ]],4)</f>
        <v>1403</v>
      </c>
      <c r="U528" s="21">
        <f>VLOOKUP(TArticle[[#This Row],[شناسه]],TAccount[],7,TRUE)</f>
        <v>0</v>
      </c>
      <c r="W528" s="21">
        <f>IF(AND(TArticle[[#This Row],[مبلغ]]&gt;0, TArticle[[#This Row],[کد وضعیت سند]]=1),TArticle[[#This Row],[مبلغ]],0)</f>
        <v>0</v>
      </c>
      <c r="X528" s="27">
        <f>IF(AND(TArticle[[#This Row],[مبلغ]]&lt;0,TArticle[[#This Row],[کد وضعیت سند]]=1),0-TArticle[[#This Row],[مبلغ]],0)</f>
        <v>0</v>
      </c>
      <c r="Y528" s="27">
        <v>2</v>
      </c>
      <c r="Z528" s="171" t="str">
        <f>IF(TArticle[[#This Row],[کد بانک]]&gt;0,VLOOKUP(TArticle[[#This Row],[کد بانک]],TBank[],2,FALSE),"")</f>
        <v>ملی جاری</v>
      </c>
      <c r="AA528">
        <f>IF(AND(TArticle[[#This Row],[مبلغ]]&lt;0,TArticle[[#This Row],[کد وضعیت سند]]=1),0-TArticle[[#This Row],[مبلغ]],0)</f>
        <v>0</v>
      </c>
      <c r="AB528">
        <f>IF(AND(TArticle[[#This Row],[مبلغ]]&gt;0, TArticle[[#This Row],[کد وضعیت سند]]=1),TArticle[[#This Row],[مبلغ]],0)</f>
        <v>0</v>
      </c>
      <c r="AC528" s="84">
        <f>IF(TArticle[[#This Row],[کد بانک]]&gt;0,VLOOKUP(TArticle[[#This Row],[کد بانک]],TBank[],9,FALSE)+SUMIF($Y$2:Y528,Y528,$E$2:$E528),"")</f>
        <v>337414</v>
      </c>
      <c r="AD528" s="1">
        <f>IFERROR(IF(INT(LEFT(TArticle[[#This Row],[شناسه]]))=3,IF(TArticle[[#This Row],[کد وضعیت سند]]=1,TArticle[مبلغ],0),0),0)</f>
        <v>0</v>
      </c>
      <c r="AE528" s="1">
        <f>IFERROR(IF(((TArticle[[#This Row],[شناسه]]))="4.1.1",IF(TArticle[[#This Row],[کد وضعیت سند]]=1,TArticle[مبلغ],0),0),0)</f>
        <v>0</v>
      </c>
      <c r="AF528" s="1">
        <f>IFERROR(IF(((TArticle[[#This Row],[شناسه]]))="4.1.2",IF(TArticle[[#This Row],[کد وضعیت سند]]=1,TArticle[مبلغ],0),0),0)</f>
        <v>0</v>
      </c>
      <c r="AG528" s="1">
        <f>IFERROR(IF(INT(LEFT(TArticle[[#This Row],[شناسه]]))=1,IF(TArticle[[#This Row],[کد وضعیت سند]]=1,TArticle[مبلغ],0),0),0)</f>
        <v>0</v>
      </c>
      <c r="AH528" s="1">
        <f>IFERROR(IF(INT(LEFT(TArticle[[#This Row],[شناسه]]))=2,IF(TArticle[[#This Row],[کد وضعیت سند]]=1,TArticle[مبلغ],0),0),0)</f>
        <v>0</v>
      </c>
      <c r="AI528" s="1">
        <f>IFERROR(IF((LEFT(TArticle[[#This Row],[شناسه]],3))="5.2",IF(TArticle[[#This Row],[کد وضعیت سند]]=1,TArticle[مبلغ],0),0),0)</f>
        <v>0</v>
      </c>
      <c r="AJ528" s="1">
        <f>IF(TArticle[[#This Row],[کد وضعیت سند]]=1,1,0)</f>
        <v>0</v>
      </c>
      <c r="AK528" s="1">
        <f>IF(AND(TArticle[[#This Row],[کد وضعیت سند]]&lt;&gt;1,TArticle[[#This Row],[مبلغ]]&lt;&gt;0),1,0)</f>
        <v>0</v>
      </c>
      <c r="AL528" s="51">
        <f>IF(TArticle[[#This Row],[کد بانک]]&gt;0,TArticle[[#This Row],[مانده بانک]]-VLOOKUP(TArticle[[#This Row],[کد بانک]],TBank[],7,FALSE),"")</f>
        <v>337414</v>
      </c>
      <c r="AM528" s="49" t="str">
        <f>LEFT(TArticle[[#This Row],[تاریخ]],7)</f>
        <v>1403-03</v>
      </c>
    </row>
    <row r="529" spans="1:39" x14ac:dyDescent="0.25">
      <c r="A529" s="24"/>
      <c r="B529" s="49" t="str">
        <f>VLOOKUP(TArticle[[#This Row],[شناسه]],TAccount[],2,TRUE)</f>
        <v>---</v>
      </c>
      <c r="C529" s="49" t="str">
        <f>VLOOKUP(TArticle[[#This Row],[تاریخ]],TDays[],7,FALSE)</f>
        <v>سه شنبه</v>
      </c>
      <c r="D529" s="21" t="s">
        <v>1316</v>
      </c>
      <c r="F529" s="1">
        <f>TArticle[[#This Row],[مبلغ]]+IFERROR(INT(F528),30181+3667+958)</f>
        <v>295762</v>
      </c>
      <c r="G529" s="49"/>
      <c r="L529" s="171" t="str">
        <f>IF(TArticle[[#This Row],[کد وضعیت سند]]&gt;0,VLOOKUP(TArticle[[#This Row],[کد وضعیت سند]],TDocState[],2,FALSE),"")</f>
        <v/>
      </c>
      <c r="N529" s="171" t="str">
        <f>IF(TArticle[[#This Row],[کد طرف حساب]]&gt;0,VLOOKUP(TArticle[[#This Row],[کد طرف حساب]],TContact[],2,FALSE),"")</f>
        <v/>
      </c>
      <c r="O529" s="51" t="str">
        <f>IF(TArticle[[#This Row],[کد طرف حساب]]&gt;0,VLOOKUP(TArticle[[#This Row],[کد طرف حساب]],TContact[],7,FALSE)-SUMIF($M$2:M529,M529,$E$2:$E529),"")</f>
        <v/>
      </c>
      <c r="P529" s="27" t="str">
        <f>RIGHT(TArticle[[#This Row],[تاریخ]],2)</f>
        <v>29</v>
      </c>
      <c r="Q529" s="27">
        <f>VLOOKUP(TArticle[[#This Row],[تاریخ]],TDays[],16,FALSE)</f>
        <v>14</v>
      </c>
      <c r="R529" s="27" t="str">
        <f>RIGHT(LEFT(TArticle[[#This Row],[تاریخ]],7),2)</f>
        <v>03</v>
      </c>
      <c r="S529" s="27" t="str">
        <f>LEFT(TArticle[[#This Row],[تاریخ]],4)</f>
        <v>1403</v>
      </c>
      <c r="U529" s="21">
        <f>VLOOKUP(TArticle[[#This Row],[شناسه]],TAccount[],7,TRUE)</f>
        <v>0</v>
      </c>
      <c r="W529" s="21">
        <f>IF(AND(TArticle[[#This Row],[مبلغ]]&gt;0, TArticle[[#This Row],[کد وضعیت سند]]=1),TArticle[[#This Row],[مبلغ]],0)</f>
        <v>0</v>
      </c>
      <c r="X529" s="27">
        <f>IF(AND(TArticle[[#This Row],[مبلغ]]&lt;0,TArticle[[#This Row],[کد وضعیت سند]]=1),0-TArticle[[#This Row],[مبلغ]],0)</f>
        <v>0</v>
      </c>
      <c r="Y529" s="27">
        <v>2</v>
      </c>
      <c r="Z529" s="171" t="str">
        <f>IF(TArticle[[#This Row],[کد بانک]]&gt;0,VLOOKUP(TArticle[[#This Row],[کد بانک]],TBank[],2,FALSE),"")</f>
        <v>ملی جاری</v>
      </c>
      <c r="AA529">
        <f>IF(AND(TArticle[[#This Row],[مبلغ]]&lt;0,TArticle[[#This Row],[کد وضعیت سند]]=1),0-TArticle[[#This Row],[مبلغ]],0)</f>
        <v>0</v>
      </c>
      <c r="AB529">
        <f>IF(AND(TArticle[[#This Row],[مبلغ]]&gt;0, TArticle[[#This Row],[کد وضعیت سند]]=1),TArticle[[#This Row],[مبلغ]],0)</f>
        <v>0</v>
      </c>
      <c r="AC529" s="84">
        <f>IF(TArticle[[#This Row],[کد بانک]]&gt;0,VLOOKUP(TArticle[[#This Row],[کد بانک]],TBank[],9,FALSE)+SUMIF($Y$2:Y529,Y529,$E$2:$E529),"")</f>
        <v>337414</v>
      </c>
      <c r="AD529" s="1">
        <f>IFERROR(IF(INT(LEFT(TArticle[[#This Row],[شناسه]]))=3,IF(TArticle[[#This Row],[کد وضعیت سند]]=1,TArticle[مبلغ],0),0),0)</f>
        <v>0</v>
      </c>
      <c r="AE529" s="1">
        <f>IFERROR(IF(((TArticle[[#This Row],[شناسه]]))="4.1.1",IF(TArticle[[#This Row],[کد وضعیت سند]]=1,TArticle[مبلغ],0),0),0)</f>
        <v>0</v>
      </c>
      <c r="AF529" s="1">
        <f>IFERROR(IF(((TArticle[[#This Row],[شناسه]]))="4.1.2",IF(TArticle[[#This Row],[کد وضعیت سند]]=1,TArticle[مبلغ],0),0),0)</f>
        <v>0</v>
      </c>
      <c r="AG529" s="1">
        <f>IFERROR(IF(INT(LEFT(TArticle[[#This Row],[شناسه]]))=1,IF(TArticle[[#This Row],[کد وضعیت سند]]=1,TArticle[مبلغ],0),0),0)</f>
        <v>0</v>
      </c>
      <c r="AH529" s="1">
        <f>IFERROR(IF(INT(LEFT(TArticle[[#This Row],[شناسه]]))=2,IF(TArticle[[#This Row],[کد وضعیت سند]]=1,TArticle[مبلغ],0),0),0)</f>
        <v>0</v>
      </c>
      <c r="AI529" s="1">
        <f>IFERROR(IF((LEFT(TArticle[[#This Row],[شناسه]],3))="5.2",IF(TArticle[[#This Row],[کد وضعیت سند]]=1,TArticle[مبلغ],0),0),0)</f>
        <v>0</v>
      </c>
      <c r="AJ529" s="1">
        <f>IF(TArticle[[#This Row],[کد وضعیت سند]]=1,1,0)</f>
        <v>0</v>
      </c>
      <c r="AK529" s="1">
        <f>IF(AND(TArticle[[#This Row],[کد وضعیت سند]]&lt;&gt;1,TArticle[[#This Row],[مبلغ]]&lt;&gt;0),1,0)</f>
        <v>0</v>
      </c>
      <c r="AL529" s="51">
        <f>IF(TArticle[[#This Row],[کد بانک]]&gt;0,TArticle[[#This Row],[مانده بانک]]-VLOOKUP(TArticle[[#This Row],[کد بانک]],TBank[],7,FALSE),"")</f>
        <v>337414</v>
      </c>
      <c r="AM529" s="49" t="str">
        <f>LEFT(TArticle[[#This Row],[تاریخ]],7)</f>
        <v>1403-03</v>
      </c>
    </row>
    <row r="530" spans="1:39" x14ac:dyDescent="0.25">
      <c r="A530" s="24"/>
      <c r="B530" s="49" t="str">
        <f>VLOOKUP(TArticle[[#This Row],[شناسه]],TAccount[],2,TRUE)</f>
        <v>---</v>
      </c>
      <c r="C530" s="49" t="str">
        <f>VLOOKUP(TArticle[[#This Row],[تاریخ]],TDays[],7,FALSE)</f>
        <v>سه شنبه</v>
      </c>
      <c r="D530" s="21" t="s">
        <v>1316</v>
      </c>
      <c r="F530" s="1">
        <f>TArticle[[#This Row],[مبلغ]]+IFERROR(INT(F529),30181+3667+958)</f>
        <v>295762</v>
      </c>
      <c r="G530" s="49"/>
      <c r="L530" s="171" t="str">
        <f>IF(TArticle[[#This Row],[کد وضعیت سند]]&gt;0,VLOOKUP(TArticle[[#This Row],[کد وضعیت سند]],TDocState[],2,FALSE),"")</f>
        <v/>
      </c>
      <c r="N530" s="171" t="str">
        <f>IF(TArticle[[#This Row],[کد طرف حساب]]&gt;0,VLOOKUP(TArticle[[#This Row],[کد طرف حساب]],TContact[],2,FALSE),"")</f>
        <v/>
      </c>
      <c r="O530" s="51" t="str">
        <f>IF(TArticle[[#This Row],[کد طرف حساب]]&gt;0,VLOOKUP(TArticle[[#This Row],[کد طرف حساب]],TContact[],7,FALSE)-SUMIF($M$2:M530,M530,$E$2:$E530),"")</f>
        <v/>
      </c>
      <c r="P530" s="27" t="str">
        <f>RIGHT(TArticle[[#This Row],[تاریخ]],2)</f>
        <v>29</v>
      </c>
      <c r="Q530" s="27">
        <f>VLOOKUP(TArticle[[#This Row],[تاریخ]],TDays[],16,FALSE)</f>
        <v>14</v>
      </c>
      <c r="R530" s="27" t="str">
        <f>RIGHT(LEFT(TArticle[[#This Row],[تاریخ]],7),2)</f>
        <v>03</v>
      </c>
      <c r="S530" s="27" t="str">
        <f>LEFT(TArticle[[#This Row],[تاریخ]],4)</f>
        <v>1403</v>
      </c>
      <c r="U530" s="21">
        <f>VLOOKUP(TArticle[[#This Row],[شناسه]],TAccount[],7,TRUE)</f>
        <v>0</v>
      </c>
      <c r="W530" s="21">
        <f>IF(AND(TArticle[[#This Row],[مبلغ]]&gt;0, TArticle[[#This Row],[کد وضعیت سند]]=1),TArticle[[#This Row],[مبلغ]],0)</f>
        <v>0</v>
      </c>
      <c r="X530" s="27">
        <f>IF(AND(TArticle[[#This Row],[مبلغ]]&lt;0,TArticle[[#This Row],[کد وضعیت سند]]=1),0-TArticle[[#This Row],[مبلغ]],0)</f>
        <v>0</v>
      </c>
      <c r="Y530" s="27">
        <v>2</v>
      </c>
      <c r="Z530" s="171" t="str">
        <f>IF(TArticle[[#This Row],[کد بانک]]&gt;0,VLOOKUP(TArticle[[#This Row],[کد بانک]],TBank[],2,FALSE),"")</f>
        <v>ملی جاری</v>
      </c>
      <c r="AA530">
        <f>IF(AND(TArticle[[#This Row],[مبلغ]]&lt;0,TArticle[[#This Row],[کد وضعیت سند]]=1),0-TArticle[[#This Row],[مبلغ]],0)</f>
        <v>0</v>
      </c>
      <c r="AB530">
        <f>IF(AND(TArticle[[#This Row],[مبلغ]]&gt;0, TArticle[[#This Row],[کد وضعیت سند]]=1),TArticle[[#This Row],[مبلغ]],0)</f>
        <v>0</v>
      </c>
      <c r="AC530" s="84">
        <f>IF(TArticle[[#This Row],[کد بانک]]&gt;0,VLOOKUP(TArticle[[#This Row],[کد بانک]],TBank[],9,FALSE)+SUMIF($Y$2:Y530,Y530,$E$2:$E530),"")</f>
        <v>337414</v>
      </c>
      <c r="AD530" s="1">
        <f>IFERROR(IF(INT(LEFT(TArticle[[#This Row],[شناسه]]))=3,IF(TArticle[[#This Row],[کد وضعیت سند]]=1,TArticle[مبلغ],0),0),0)</f>
        <v>0</v>
      </c>
      <c r="AE530" s="1">
        <f>IFERROR(IF(((TArticle[[#This Row],[شناسه]]))="4.1.1",IF(TArticle[[#This Row],[کد وضعیت سند]]=1,TArticle[مبلغ],0),0),0)</f>
        <v>0</v>
      </c>
      <c r="AF530" s="1">
        <f>IFERROR(IF(((TArticle[[#This Row],[شناسه]]))="4.1.2",IF(TArticle[[#This Row],[کد وضعیت سند]]=1,TArticle[مبلغ],0),0),0)</f>
        <v>0</v>
      </c>
      <c r="AG530" s="1">
        <f>IFERROR(IF(INT(LEFT(TArticle[[#This Row],[شناسه]]))=1,IF(TArticle[[#This Row],[کد وضعیت سند]]=1,TArticle[مبلغ],0),0),0)</f>
        <v>0</v>
      </c>
      <c r="AH530" s="1">
        <f>IFERROR(IF(INT(LEFT(TArticle[[#This Row],[شناسه]]))=2,IF(TArticle[[#This Row],[کد وضعیت سند]]=1,TArticle[مبلغ],0),0),0)</f>
        <v>0</v>
      </c>
      <c r="AI530" s="1">
        <f>IFERROR(IF((LEFT(TArticle[[#This Row],[شناسه]],3))="5.2",IF(TArticle[[#This Row],[کد وضعیت سند]]=1,TArticle[مبلغ],0),0),0)</f>
        <v>0</v>
      </c>
      <c r="AJ530" s="1">
        <f>IF(TArticle[[#This Row],[کد وضعیت سند]]=1,1,0)</f>
        <v>0</v>
      </c>
      <c r="AK530" s="1">
        <f>IF(AND(TArticle[[#This Row],[کد وضعیت سند]]&lt;&gt;1,TArticle[[#This Row],[مبلغ]]&lt;&gt;0),1,0)</f>
        <v>0</v>
      </c>
      <c r="AL530" s="51">
        <f>IF(TArticle[[#This Row],[کد بانک]]&gt;0,TArticle[[#This Row],[مانده بانک]]-VLOOKUP(TArticle[[#This Row],[کد بانک]],TBank[],7,FALSE),"")</f>
        <v>337414</v>
      </c>
      <c r="AM530" s="49" t="str">
        <f>LEFT(TArticle[[#This Row],[تاریخ]],7)</f>
        <v>1403-03</v>
      </c>
    </row>
    <row r="531" spans="1:39" x14ac:dyDescent="0.25">
      <c r="A531" s="24"/>
      <c r="B531" s="49" t="str">
        <f>VLOOKUP(TArticle[[#This Row],[شناسه]],TAccount[],2,TRUE)</f>
        <v>---</v>
      </c>
      <c r="C531" s="49" t="str">
        <f>VLOOKUP(TArticle[[#This Row],[تاریخ]],TDays[],7,FALSE)</f>
        <v>سه شنبه</v>
      </c>
      <c r="D531" s="21" t="s">
        <v>1316</v>
      </c>
      <c r="F531" s="1">
        <f>TArticle[[#This Row],[مبلغ]]+IFERROR(INT(F530),30181+3667+958)</f>
        <v>295762</v>
      </c>
      <c r="G531" s="49"/>
      <c r="L531" s="171" t="str">
        <f>IF(TArticle[[#This Row],[کد وضعیت سند]]&gt;0,VLOOKUP(TArticle[[#This Row],[کد وضعیت سند]],TDocState[],2,FALSE),"")</f>
        <v/>
      </c>
      <c r="N531" s="171" t="str">
        <f>IF(TArticle[[#This Row],[کد طرف حساب]]&gt;0,VLOOKUP(TArticle[[#This Row],[کد طرف حساب]],TContact[],2,FALSE),"")</f>
        <v/>
      </c>
      <c r="O531" s="51" t="str">
        <f>IF(TArticle[[#This Row],[کد طرف حساب]]&gt;0,VLOOKUP(TArticle[[#This Row],[کد طرف حساب]],TContact[],7,FALSE)-SUMIF($M$2:M531,M531,$E$2:$E531),"")</f>
        <v/>
      </c>
      <c r="P531" s="27" t="str">
        <f>RIGHT(TArticle[[#This Row],[تاریخ]],2)</f>
        <v>29</v>
      </c>
      <c r="Q531" s="27">
        <f>VLOOKUP(TArticle[[#This Row],[تاریخ]],TDays[],16,FALSE)</f>
        <v>14</v>
      </c>
      <c r="R531" s="27" t="str">
        <f>RIGHT(LEFT(TArticle[[#This Row],[تاریخ]],7),2)</f>
        <v>03</v>
      </c>
      <c r="S531" s="27" t="str">
        <f>LEFT(TArticle[[#This Row],[تاریخ]],4)</f>
        <v>1403</v>
      </c>
      <c r="U531" s="21">
        <f>VLOOKUP(TArticle[[#This Row],[شناسه]],TAccount[],7,TRUE)</f>
        <v>0</v>
      </c>
      <c r="W531" s="21">
        <f>IF(AND(TArticle[[#This Row],[مبلغ]]&gt;0, TArticle[[#This Row],[کد وضعیت سند]]=1),TArticle[[#This Row],[مبلغ]],0)</f>
        <v>0</v>
      </c>
      <c r="X531" s="27">
        <f>IF(AND(TArticle[[#This Row],[مبلغ]]&lt;0,TArticle[[#This Row],[کد وضعیت سند]]=1),0-TArticle[[#This Row],[مبلغ]],0)</f>
        <v>0</v>
      </c>
      <c r="Y531" s="27">
        <v>2</v>
      </c>
      <c r="Z531" s="171" t="str">
        <f>IF(TArticle[[#This Row],[کد بانک]]&gt;0,VLOOKUP(TArticle[[#This Row],[کد بانک]],TBank[],2,FALSE),"")</f>
        <v>ملی جاری</v>
      </c>
      <c r="AA531">
        <f>IF(AND(TArticle[[#This Row],[مبلغ]]&lt;0,TArticle[[#This Row],[کد وضعیت سند]]=1),0-TArticle[[#This Row],[مبلغ]],0)</f>
        <v>0</v>
      </c>
      <c r="AB531">
        <f>IF(AND(TArticle[[#This Row],[مبلغ]]&gt;0, TArticle[[#This Row],[کد وضعیت سند]]=1),TArticle[[#This Row],[مبلغ]],0)</f>
        <v>0</v>
      </c>
      <c r="AC531" s="84">
        <f>IF(TArticle[[#This Row],[کد بانک]]&gt;0,VLOOKUP(TArticle[[#This Row],[کد بانک]],TBank[],9,FALSE)+SUMIF($Y$2:Y531,Y531,$E$2:$E531),"")</f>
        <v>337414</v>
      </c>
      <c r="AD531" s="1">
        <f>IFERROR(IF(INT(LEFT(TArticle[[#This Row],[شناسه]]))=3,IF(TArticle[[#This Row],[کد وضعیت سند]]=1,TArticle[مبلغ],0),0),0)</f>
        <v>0</v>
      </c>
      <c r="AE531" s="1">
        <f>IFERROR(IF(((TArticle[[#This Row],[شناسه]]))="4.1.1",IF(TArticle[[#This Row],[کد وضعیت سند]]=1,TArticle[مبلغ],0),0),0)</f>
        <v>0</v>
      </c>
      <c r="AF531" s="1">
        <f>IFERROR(IF(((TArticle[[#This Row],[شناسه]]))="4.1.2",IF(TArticle[[#This Row],[کد وضعیت سند]]=1,TArticle[مبلغ],0),0),0)</f>
        <v>0</v>
      </c>
      <c r="AG531" s="1">
        <f>IFERROR(IF(INT(LEFT(TArticle[[#This Row],[شناسه]]))=1,IF(TArticle[[#This Row],[کد وضعیت سند]]=1,TArticle[مبلغ],0),0),0)</f>
        <v>0</v>
      </c>
      <c r="AH531" s="1">
        <f>IFERROR(IF(INT(LEFT(TArticle[[#This Row],[شناسه]]))=2,IF(TArticle[[#This Row],[کد وضعیت سند]]=1,TArticle[مبلغ],0),0),0)</f>
        <v>0</v>
      </c>
      <c r="AI531" s="1">
        <f>IFERROR(IF((LEFT(TArticle[[#This Row],[شناسه]],3))="5.2",IF(TArticle[[#This Row],[کد وضعیت سند]]=1,TArticle[مبلغ],0),0),0)</f>
        <v>0</v>
      </c>
      <c r="AJ531" s="1">
        <f>IF(TArticle[[#This Row],[کد وضعیت سند]]=1,1,0)</f>
        <v>0</v>
      </c>
      <c r="AK531" s="1">
        <f>IF(AND(TArticle[[#This Row],[کد وضعیت سند]]&lt;&gt;1,TArticle[[#This Row],[مبلغ]]&lt;&gt;0),1,0)</f>
        <v>0</v>
      </c>
      <c r="AL531" s="51">
        <f>IF(TArticle[[#This Row],[کد بانک]]&gt;0,TArticle[[#This Row],[مانده بانک]]-VLOOKUP(TArticle[[#This Row],[کد بانک]],TBank[],7,FALSE),"")</f>
        <v>337414</v>
      </c>
      <c r="AM531" s="49" t="str">
        <f>LEFT(TArticle[[#This Row],[تاریخ]],7)</f>
        <v>1403-03</v>
      </c>
    </row>
    <row r="532" spans="1:39" x14ac:dyDescent="0.25">
      <c r="A532" s="24"/>
      <c r="B532" s="49" t="str">
        <f>VLOOKUP(TArticle[[#This Row],[شناسه]],TAccount[],2,TRUE)</f>
        <v>---</v>
      </c>
      <c r="C532" s="49" t="str">
        <f>VLOOKUP(TArticle[[#This Row],[تاریخ]],TDays[],7,FALSE)</f>
        <v>سه شنبه</v>
      </c>
      <c r="D532" s="21" t="s">
        <v>1316</v>
      </c>
      <c r="F532" s="1">
        <f>TArticle[[#This Row],[مبلغ]]+IFERROR(INT(F531),30181+3667+958)</f>
        <v>295762</v>
      </c>
      <c r="G532" s="49"/>
      <c r="L532" s="171" t="str">
        <f>IF(TArticle[[#This Row],[کد وضعیت سند]]&gt;0,VLOOKUP(TArticle[[#This Row],[کد وضعیت سند]],TDocState[],2,FALSE),"")</f>
        <v/>
      </c>
      <c r="N532" s="171" t="str">
        <f>IF(TArticle[[#This Row],[کد طرف حساب]]&gt;0,VLOOKUP(TArticle[[#This Row],[کد طرف حساب]],TContact[],2,FALSE),"")</f>
        <v/>
      </c>
      <c r="O532" s="61" t="str">
        <f>IF(TArticle[[#This Row],[کد طرف حساب]]&gt;0,VLOOKUP(TArticle[[#This Row],[کد طرف حساب]],TContact[],7,FALSE)-SUMIF($M$2:M532,M532,$E$2:$E532),"")</f>
        <v/>
      </c>
      <c r="P532" s="27" t="str">
        <f>RIGHT(TArticle[[#This Row],[تاریخ]],2)</f>
        <v>29</v>
      </c>
      <c r="Q532" s="27">
        <f>VLOOKUP(TArticle[[#This Row],[تاریخ]],TDays[],16,FALSE)</f>
        <v>14</v>
      </c>
      <c r="R532" s="27" t="str">
        <f>RIGHT(LEFT(TArticle[[#This Row],[تاریخ]],7),2)</f>
        <v>03</v>
      </c>
      <c r="S532" s="27" t="str">
        <f>LEFT(TArticle[[#This Row],[تاریخ]],4)</f>
        <v>1403</v>
      </c>
      <c r="U532" s="21">
        <f>VLOOKUP(TArticle[[#This Row],[شناسه]],TAccount[],7,TRUE)</f>
        <v>0</v>
      </c>
      <c r="W532" s="21">
        <f>IF(AND(TArticle[[#This Row],[مبلغ]]&gt;0, TArticle[[#This Row],[کد وضعیت سند]]=1),TArticle[[#This Row],[مبلغ]],0)</f>
        <v>0</v>
      </c>
      <c r="X532" s="27">
        <f>IF(AND(TArticle[[#This Row],[مبلغ]]&lt;0,TArticle[[#This Row],[کد وضعیت سند]]=1),0-TArticle[[#This Row],[مبلغ]],0)</f>
        <v>0</v>
      </c>
      <c r="Y532" s="27">
        <v>2</v>
      </c>
      <c r="Z532" s="171" t="str">
        <f>IF(TArticle[[#This Row],[کد بانک]]&gt;0,VLOOKUP(TArticle[[#This Row],[کد بانک]],TBank[],2,FALSE),"")</f>
        <v>ملی جاری</v>
      </c>
      <c r="AA532">
        <f>IF(AND(TArticle[[#This Row],[مبلغ]]&lt;0,TArticle[[#This Row],[کد وضعیت سند]]=1),0-TArticle[[#This Row],[مبلغ]],0)</f>
        <v>0</v>
      </c>
      <c r="AB532">
        <f>IF(AND(TArticle[[#This Row],[مبلغ]]&gt;0, TArticle[[#This Row],[کد وضعیت سند]]=1),TArticle[[#This Row],[مبلغ]],0)</f>
        <v>0</v>
      </c>
      <c r="AC532" s="84">
        <f>IF(TArticle[[#This Row],[کد بانک]]&gt;0,VLOOKUP(TArticle[[#This Row],[کد بانک]],TBank[],9,FALSE)+SUMIF($Y$2:Y532,Y532,$E$2:$E532),"")</f>
        <v>337414</v>
      </c>
      <c r="AD532" s="1">
        <f>IFERROR(IF(INT(LEFT(TArticle[[#This Row],[شناسه]]))=3,IF(TArticle[[#This Row],[کد وضعیت سند]]=1,TArticle[مبلغ],0),0),0)</f>
        <v>0</v>
      </c>
      <c r="AE532" s="1">
        <f>IFERROR(IF(((TArticle[[#This Row],[شناسه]]))="4.1.1",IF(TArticle[[#This Row],[کد وضعیت سند]]=1,TArticle[مبلغ],0),0),0)</f>
        <v>0</v>
      </c>
      <c r="AF532" s="1">
        <f>IFERROR(IF(((TArticle[[#This Row],[شناسه]]))="4.1.2",IF(TArticle[[#This Row],[کد وضعیت سند]]=1,TArticle[مبلغ],0),0),0)</f>
        <v>0</v>
      </c>
      <c r="AG532" s="1">
        <f>IFERROR(IF(INT(LEFT(TArticle[[#This Row],[شناسه]]))=1,IF(TArticle[[#This Row],[کد وضعیت سند]]=1,TArticle[مبلغ],0),0),0)</f>
        <v>0</v>
      </c>
      <c r="AH532" s="1">
        <f>IFERROR(IF(INT(LEFT(TArticle[[#This Row],[شناسه]]))=2,IF(TArticle[[#This Row],[کد وضعیت سند]]=1,TArticle[مبلغ],0),0),0)</f>
        <v>0</v>
      </c>
      <c r="AI532" s="1">
        <f>IFERROR(IF((LEFT(TArticle[[#This Row],[شناسه]],3))="5.2",IF(TArticle[[#This Row],[کد وضعیت سند]]=1,TArticle[مبلغ],0),0),0)</f>
        <v>0</v>
      </c>
      <c r="AJ532" s="1">
        <f>IF(TArticle[[#This Row],[کد وضعیت سند]]=1,1,0)</f>
        <v>0</v>
      </c>
      <c r="AK532" s="1">
        <f>IF(AND(TArticle[[#This Row],[کد وضعیت سند]]&lt;&gt;1,TArticle[[#This Row],[مبلغ]]&lt;&gt;0),1,0)</f>
        <v>0</v>
      </c>
      <c r="AL532" s="51">
        <f>IF(TArticle[[#This Row],[کد بانک]]&gt;0,TArticle[[#This Row],[مانده بانک]]-VLOOKUP(TArticle[[#This Row],[کد بانک]],TBank[],7,FALSE),"")</f>
        <v>337414</v>
      </c>
      <c r="AM532" t="str">
        <f>LEFT(TArticle[[#This Row],[تاریخ]],7)</f>
        <v>1403-03</v>
      </c>
    </row>
    <row r="533" spans="1:39" x14ac:dyDescent="0.25">
      <c r="A533" s="24"/>
      <c r="B533" s="49" t="str">
        <f>VLOOKUP(TArticle[[#This Row],[شناسه]],TAccount[],2,TRUE)</f>
        <v>---</v>
      </c>
      <c r="C533" s="49" t="str">
        <f>VLOOKUP(TArticle[[#This Row],[تاریخ]],TDays[],7,FALSE)</f>
        <v>سه شنبه</v>
      </c>
      <c r="D533" s="21" t="s">
        <v>1316</v>
      </c>
      <c r="F533" s="1">
        <f>TArticle[[#This Row],[مبلغ]]+IFERROR(INT(F532),30181+3667+958)</f>
        <v>295762</v>
      </c>
      <c r="G533" s="49"/>
      <c r="L533" s="171" t="str">
        <f>IF(TArticle[[#This Row],[کد وضعیت سند]]&gt;0,VLOOKUP(TArticle[[#This Row],[کد وضعیت سند]],TDocState[],2,FALSE),"")</f>
        <v/>
      </c>
      <c r="N533" s="171" t="str">
        <f>IF(TArticle[[#This Row],[کد طرف حساب]]&gt;0,VLOOKUP(TArticle[[#This Row],[کد طرف حساب]],TContact[],2,FALSE),"")</f>
        <v/>
      </c>
      <c r="O533" s="61" t="str">
        <f>IF(TArticle[[#This Row],[کد طرف حساب]]&gt;0,VLOOKUP(TArticle[[#This Row],[کد طرف حساب]],TContact[],7,FALSE)-SUMIF($M$2:M533,M533,$E$2:$E533),"")</f>
        <v/>
      </c>
      <c r="P533" s="27" t="str">
        <f>RIGHT(TArticle[[#This Row],[تاریخ]],2)</f>
        <v>29</v>
      </c>
      <c r="Q533" s="27">
        <f>VLOOKUP(TArticle[[#This Row],[تاریخ]],TDays[],16,FALSE)</f>
        <v>14</v>
      </c>
      <c r="R533" s="27" t="str">
        <f>RIGHT(LEFT(TArticle[[#This Row],[تاریخ]],7),2)</f>
        <v>03</v>
      </c>
      <c r="S533" s="27" t="str">
        <f>LEFT(TArticle[[#This Row],[تاریخ]],4)</f>
        <v>1403</v>
      </c>
      <c r="U533" s="21">
        <f>VLOOKUP(TArticle[[#This Row],[شناسه]],TAccount[],7,TRUE)</f>
        <v>0</v>
      </c>
      <c r="W533" s="21">
        <f>IF(AND(TArticle[[#This Row],[مبلغ]]&gt;0, TArticle[[#This Row],[کد وضعیت سند]]=1),TArticle[[#This Row],[مبلغ]],0)</f>
        <v>0</v>
      </c>
      <c r="X533" s="27">
        <f>IF(AND(TArticle[[#This Row],[مبلغ]]&lt;0,TArticle[[#This Row],[کد وضعیت سند]]=1),0-TArticle[[#This Row],[مبلغ]],0)</f>
        <v>0</v>
      </c>
      <c r="Y533" s="27">
        <v>2</v>
      </c>
      <c r="Z533" s="171" t="str">
        <f>IF(TArticle[[#This Row],[کد بانک]]&gt;0,VLOOKUP(TArticle[[#This Row],[کد بانک]],TBank[],2,FALSE),"")</f>
        <v>ملی جاری</v>
      </c>
      <c r="AA533">
        <f>IF(AND(TArticle[[#This Row],[مبلغ]]&lt;0,TArticle[[#This Row],[کد وضعیت سند]]=1),0-TArticle[[#This Row],[مبلغ]],0)</f>
        <v>0</v>
      </c>
      <c r="AB533">
        <f>IF(AND(TArticle[[#This Row],[مبلغ]]&gt;0, TArticle[[#This Row],[کد وضعیت سند]]=1),TArticle[[#This Row],[مبلغ]],0)</f>
        <v>0</v>
      </c>
      <c r="AC533" s="84">
        <f>IF(TArticle[[#This Row],[کد بانک]]&gt;0,VLOOKUP(TArticle[[#This Row],[کد بانک]],TBank[],9,FALSE)+SUMIF($Y$2:Y533,Y533,$E$2:$E533),"")</f>
        <v>337414</v>
      </c>
      <c r="AD533" s="1">
        <f>IFERROR(IF(INT(LEFT(TArticle[[#This Row],[شناسه]]))=3,IF(TArticle[[#This Row],[کد وضعیت سند]]=1,TArticle[مبلغ],0),0),0)</f>
        <v>0</v>
      </c>
      <c r="AE533" s="1">
        <f>IFERROR(IF(((TArticle[[#This Row],[شناسه]]))="4.1.1",IF(TArticle[[#This Row],[کد وضعیت سند]]=1,TArticle[مبلغ],0),0),0)</f>
        <v>0</v>
      </c>
      <c r="AF533" s="1">
        <f>IFERROR(IF(((TArticle[[#This Row],[شناسه]]))="4.1.2",IF(TArticle[[#This Row],[کد وضعیت سند]]=1,TArticle[مبلغ],0),0),0)</f>
        <v>0</v>
      </c>
      <c r="AG533" s="1">
        <f>IFERROR(IF(INT(LEFT(TArticle[[#This Row],[شناسه]]))=1,IF(TArticle[[#This Row],[کد وضعیت سند]]=1,TArticle[مبلغ],0),0),0)</f>
        <v>0</v>
      </c>
      <c r="AH533" s="1">
        <f>IFERROR(IF(INT(LEFT(TArticle[[#This Row],[شناسه]]))=2,IF(TArticle[[#This Row],[کد وضعیت سند]]=1,TArticle[مبلغ],0),0),0)</f>
        <v>0</v>
      </c>
      <c r="AI533" s="1">
        <f>IFERROR(IF((LEFT(TArticle[[#This Row],[شناسه]],3))="5.2",IF(TArticle[[#This Row],[کد وضعیت سند]]=1,TArticle[مبلغ],0),0),0)</f>
        <v>0</v>
      </c>
      <c r="AJ533" s="1">
        <f>IF(TArticle[[#This Row],[کد وضعیت سند]]=1,1,0)</f>
        <v>0</v>
      </c>
      <c r="AK533" s="1">
        <f>IF(AND(TArticle[[#This Row],[کد وضعیت سند]]&lt;&gt;1,TArticle[[#This Row],[مبلغ]]&lt;&gt;0),1,0)</f>
        <v>0</v>
      </c>
      <c r="AL533" s="51">
        <f>IF(TArticle[[#This Row],[کد بانک]]&gt;0,TArticle[[#This Row],[مانده بانک]]-VLOOKUP(TArticle[[#This Row],[کد بانک]],TBank[],7,FALSE),"")</f>
        <v>337414</v>
      </c>
      <c r="AM533" t="str">
        <f>LEFT(TArticle[[#This Row],[تاریخ]],7)</f>
        <v>1403-03</v>
      </c>
    </row>
    <row r="534" spans="1:39" x14ac:dyDescent="0.25">
      <c r="A534" s="24"/>
      <c r="B534" s="49" t="str">
        <f>VLOOKUP(TArticle[[#This Row],[شناسه]],TAccount[],2,TRUE)</f>
        <v>---</v>
      </c>
      <c r="C534" s="49" t="str">
        <f>VLOOKUP(TArticle[[#This Row],[تاریخ]],TDays[],7,FALSE)</f>
        <v>سه شنبه</v>
      </c>
      <c r="D534" s="21" t="s">
        <v>1316</v>
      </c>
      <c r="F534" s="1">
        <f>TArticle[[#This Row],[مبلغ]]+IFERROR(INT(F533),30181+3667+958)</f>
        <v>295762</v>
      </c>
      <c r="G534" s="49"/>
      <c r="L534" s="171" t="str">
        <f>IF(TArticle[[#This Row],[کد وضعیت سند]]&gt;0,VLOOKUP(TArticle[[#This Row],[کد وضعیت سند]],TDocState[],2,FALSE),"")</f>
        <v/>
      </c>
      <c r="N534" s="171" t="str">
        <f>IF(TArticle[[#This Row],[کد طرف حساب]]&gt;0,VLOOKUP(TArticle[[#This Row],[کد طرف حساب]],TContact[],2,FALSE),"")</f>
        <v/>
      </c>
      <c r="O534" s="61" t="str">
        <f>IF(TArticle[[#This Row],[کد طرف حساب]]&gt;0,VLOOKUP(TArticle[[#This Row],[کد طرف حساب]],TContact[],7,FALSE)-SUMIF($M$2:M534,M534,$E$2:$E534),"")</f>
        <v/>
      </c>
      <c r="P534" s="27" t="str">
        <f>RIGHT(TArticle[[#This Row],[تاریخ]],2)</f>
        <v>29</v>
      </c>
      <c r="Q534" s="27">
        <f>VLOOKUP(TArticle[[#This Row],[تاریخ]],TDays[],16,FALSE)</f>
        <v>14</v>
      </c>
      <c r="R534" s="27" t="str">
        <f>RIGHT(LEFT(TArticle[[#This Row],[تاریخ]],7),2)</f>
        <v>03</v>
      </c>
      <c r="S534" s="27" t="str">
        <f>LEFT(TArticle[[#This Row],[تاریخ]],4)</f>
        <v>1403</v>
      </c>
      <c r="U534" s="21">
        <f>VLOOKUP(TArticle[[#This Row],[شناسه]],TAccount[],7,TRUE)</f>
        <v>0</v>
      </c>
      <c r="W534" s="21">
        <f>IF(AND(TArticle[[#This Row],[مبلغ]]&gt;0, TArticle[[#This Row],[کد وضعیت سند]]=1),TArticle[[#This Row],[مبلغ]],0)</f>
        <v>0</v>
      </c>
      <c r="X534" s="27">
        <f>IF(AND(TArticle[[#This Row],[مبلغ]]&lt;0,TArticle[[#This Row],[کد وضعیت سند]]=1),0-TArticle[[#This Row],[مبلغ]],0)</f>
        <v>0</v>
      </c>
      <c r="Y534" s="27">
        <v>2</v>
      </c>
      <c r="Z534" s="171" t="str">
        <f>IF(TArticle[[#This Row],[کد بانک]]&gt;0,VLOOKUP(TArticle[[#This Row],[کد بانک]],TBank[],2,FALSE),"")</f>
        <v>ملی جاری</v>
      </c>
      <c r="AA534">
        <f>IF(AND(TArticle[[#This Row],[مبلغ]]&lt;0,TArticle[[#This Row],[کد وضعیت سند]]=1),0-TArticle[[#This Row],[مبلغ]],0)</f>
        <v>0</v>
      </c>
      <c r="AB534">
        <f>IF(AND(TArticle[[#This Row],[مبلغ]]&gt;0, TArticle[[#This Row],[کد وضعیت سند]]=1),TArticle[[#This Row],[مبلغ]],0)</f>
        <v>0</v>
      </c>
      <c r="AC534" s="84">
        <f>IF(TArticle[[#This Row],[کد بانک]]&gt;0,VLOOKUP(TArticle[[#This Row],[کد بانک]],TBank[],9,FALSE)+SUMIF($Y$2:Y534,Y534,$E$2:$E534),"")</f>
        <v>337414</v>
      </c>
      <c r="AD534" s="1">
        <f>IFERROR(IF(INT(LEFT(TArticle[[#This Row],[شناسه]]))=3,IF(TArticle[[#This Row],[کد وضعیت سند]]=1,TArticle[مبلغ],0),0),0)</f>
        <v>0</v>
      </c>
      <c r="AE534" s="1">
        <f>IFERROR(IF(((TArticle[[#This Row],[شناسه]]))="4.1.1",IF(TArticle[[#This Row],[کد وضعیت سند]]=1,TArticle[مبلغ],0),0),0)</f>
        <v>0</v>
      </c>
      <c r="AF534" s="1">
        <f>IFERROR(IF(((TArticle[[#This Row],[شناسه]]))="4.1.2",IF(TArticle[[#This Row],[کد وضعیت سند]]=1,TArticle[مبلغ],0),0),0)</f>
        <v>0</v>
      </c>
      <c r="AG534" s="1">
        <f>IFERROR(IF(INT(LEFT(TArticle[[#This Row],[شناسه]]))=1,IF(TArticle[[#This Row],[کد وضعیت سند]]=1,TArticle[مبلغ],0),0),0)</f>
        <v>0</v>
      </c>
      <c r="AH534" s="1">
        <f>IFERROR(IF(INT(LEFT(TArticle[[#This Row],[شناسه]]))=2,IF(TArticle[[#This Row],[کد وضعیت سند]]=1,TArticle[مبلغ],0),0),0)</f>
        <v>0</v>
      </c>
      <c r="AI534" s="1">
        <f>IFERROR(IF((LEFT(TArticle[[#This Row],[شناسه]],3))="5.2",IF(TArticle[[#This Row],[کد وضعیت سند]]=1,TArticle[مبلغ],0),0),0)</f>
        <v>0</v>
      </c>
      <c r="AJ534" s="1">
        <f>IF(TArticle[[#This Row],[کد وضعیت سند]]=1,1,0)</f>
        <v>0</v>
      </c>
      <c r="AK534" s="1">
        <f>IF(AND(TArticle[[#This Row],[کد وضعیت سند]]&lt;&gt;1,TArticle[[#This Row],[مبلغ]]&lt;&gt;0),1,0)</f>
        <v>0</v>
      </c>
      <c r="AL534" s="51">
        <f>IF(TArticle[[#This Row],[کد بانک]]&gt;0,TArticle[[#This Row],[مانده بانک]]-VLOOKUP(TArticle[[#This Row],[کد بانک]],TBank[],7,FALSE),"")</f>
        <v>337414</v>
      </c>
      <c r="AM534" s="49" t="str">
        <f>LEFT(TArticle[[#This Row],[تاریخ]],7)</f>
        <v>1403-03</v>
      </c>
    </row>
    <row r="535" spans="1:39" x14ac:dyDescent="0.25">
      <c r="A535" s="24"/>
      <c r="B535" s="49" t="str">
        <f>VLOOKUP(TArticle[[#This Row],[شناسه]],TAccount[],2,TRUE)</f>
        <v>---</v>
      </c>
      <c r="C535" s="49" t="str">
        <f>VLOOKUP(TArticle[[#This Row],[تاریخ]],TDays[],7,FALSE)</f>
        <v>سه شنبه</v>
      </c>
      <c r="D535" s="21" t="s">
        <v>1316</v>
      </c>
      <c r="F535" s="1">
        <f>TArticle[[#This Row],[مبلغ]]+IFERROR(INT(F534),30181+3667+958)</f>
        <v>295762</v>
      </c>
      <c r="G535" s="49"/>
      <c r="L535" s="171" t="str">
        <f>IF(TArticle[[#This Row],[کد وضعیت سند]]&gt;0,VLOOKUP(TArticle[[#This Row],[کد وضعیت سند]],TDocState[],2,FALSE),"")</f>
        <v/>
      </c>
      <c r="N535" s="171" t="str">
        <f>IF(TArticle[[#This Row],[کد طرف حساب]]&gt;0,VLOOKUP(TArticle[[#This Row],[کد طرف حساب]],TContact[],2,FALSE),"")</f>
        <v/>
      </c>
      <c r="O535" s="61" t="str">
        <f>IF(TArticle[[#This Row],[کد طرف حساب]]&gt;0,VLOOKUP(TArticle[[#This Row],[کد طرف حساب]],TContact[],7,FALSE)-SUMIF($M$2:M535,M535,$E$2:$E535),"")</f>
        <v/>
      </c>
      <c r="P535" s="27" t="str">
        <f>RIGHT(TArticle[[#This Row],[تاریخ]],2)</f>
        <v>29</v>
      </c>
      <c r="Q535" s="27">
        <f>VLOOKUP(TArticle[[#This Row],[تاریخ]],TDays[],16,FALSE)</f>
        <v>14</v>
      </c>
      <c r="R535" s="27" t="str">
        <f>RIGHT(LEFT(TArticle[[#This Row],[تاریخ]],7),2)</f>
        <v>03</v>
      </c>
      <c r="S535" s="27" t="str">
        <f>LEFT(TArticle[[#This Row],[تاریخ]],4)</f>
        <v>1403</v>
      </c>
      <c r="U535" s="21">
        <f>VLOOKUP(TArticle[[#This Row],[شناسه]],TAccount[],7,TRUE)</f>
        <v>0</v>
      </c>
      <c r="W535" s="21">
        <f>IF(AND(TArticle[[#This Row],[مبلغ]]&gt;0, TArticle[[#This Row],[کد وضعیت سند]]=1),TArticle[[#This Row],[مبلغ]],0)</f>
        <v>0</v>
      </c>
      <c r="X535" s="27">
        <f>IF(AND(TArticle[[#This Row],[مبلغ]]&lt;0,TArticle[[#This Row],[کد وضعیت سند]]=1),0-TArticle[[#This Row],[مبلغ]],0)</f>
        <v>0</v>
      </c>
      <c r="Y535" s="27">
        <v>2</v>
      </c>
      <c r="Z535" s="171" t="str">
        <f>IF(TArticle[[#This Row],[کد بانک]]&gt;0,VLOOKUP(TArticle[[#This Row],[کد بانک]],TBank[],2,FALSE),"")</f>
        <v>ملی جاری</v>
      </c>
      <c r="AA535">
        <f>IF(AND(TArticle[[#This Row],[مبلغ]]&lt;0,TArticle[[#This Row],[کد وضعیت سند]]=1),0-TArticle[[#This Row],[مبلغ]],0)</f>
        <v>0</v>
      </c>
      <c r="AB535">
        <f>IF(AND(TArticle[[#This Row],[مبلغ]]&gt;0, TArticle[[#This Row],[کد وضعیت سند]]=1),TArticle[[#This Row],[مبلغ]],0)</f>
        <v>0</v>
      </c>
      <c r="AC535" s="84">
        <f>IF(TArticle[[#This Row],[کد بانک]]&gt;0,VLOOKUP(TArticle[[#This Row],[کد بانک]],TBank[],9,FALSE)+SUMIF($Y$2:Y535,Y535,$E$2:$E535),"")</f>
        <v>337414</v>
      </c>
      <c r="AD535" s="1">
        <f>IFERROR(IF(INT(LEFT(TArticle[[#This Row],[شناسه]]))=3,IF(TArticle[[#This Row],[کد وضعیت سند]]=1,TArticle[مبلغ],0),0),0)</f>
        <v>0</v>
      </c>
      <c r="AE535" s="1">
        <f>IFERROR(IF(((TArticle[[#This Row],[شناسه]]))="4.1.1",IF(TArticle[[#This Row],[کد وضعیت سند]]=1,TArticle[مبلغ],0),0),0)</f>
        <v>0</v>
      </c>
      <c r="AF535" s="1">
        <f>IFERROR(IF(((TArticle[[#This Row],[شناسه]]))="4.1.2",IF(TArticle[[#This Row],[کد وضعیت سند]]=1,TArticle[مبلغ],0),0),0)</f>
        <v>0</v>
      </c>
      <c r="AG535" s="1">
        <f>IFERROR(IF(INT(LEFT(TArticle[[#This Row],[شناسه]]))=1,IF(TArticle[[#This Row],[کد وضعیت سند]]=1,TArticle[مبلغ],0),0),0)</f>
        <v>0</v>
      </c>
      <c r="AH535" s="1">
        <f>IFERROR(IF(INT(LEFT(TArticle[[#This Row],[شناسه]]))=2,IF(TArticle[[#This Row],[کد وضعیت سند]]=1,TArticle[مبلغ],0),0),0)</f>
        <v>0</v>
      </c>
      <c r="AI535" s="1">
        <f>IFERROR(IF((LEFT(TArticle[[#This Row],[شناسه]],3))="5.2",IF(TArticle[[#This Row],[کد وضعیت سند]]=1,TArticle[مبلغ],0),0),0)</f>
        <v>0</v>
      </c>
      <c r="AJ535" s="1">
        <f>IF(TArticle[[#This Row],[کد وضعیت سند]]=1,1,0)</f>
        <v>0</v>
      </c>
      <c r="AK535" s="1">
        <f>IF(AND(TArticle[[#This Row],[کد وضعیت سند]]&lt;&gt;1,TArticle[[#This Row],[مبلغ]]&lt;&gt;0),1,0)</f>
        <v>0</v>
      </c>
      <c r="AL535" s="51">
        <f>IF(TArticle[[#This Row],[کد بانک]]&gt;0,TArticle[[#This Row],[مانده بانک]]-VLOOKUP(TArticle[[#This Row],[کد بانک]],TBank[],7,FALSE),"")</f>
        <v>337414</v>
      </c>
      <c r="AM535" s="49" t="str">
        <f>LEFT(TArticle[[#This Row],[تاریخ]],7)</f>
        <v>1403-03</v>
      </c>
    </row>
    <row r="536" spans="1:39" x14ac:dyDescent="0.25">
      <c r="A536" s="24"/>
      <c r="B536" s="49" t="str">
        <f>VLOOKUP(TArticle[[#This Row],[شناسه]],TAccount[],2,TRUE)</f>
        <v>---</v>
      </c>
      <c r="C536" s="49" t="str">
        <f>VLOOKUP(TArticle[[#This Row],[تاریخ]],TDays[],7,FALSE)</f>
        <v>سه شنبه</v>
      </c>
      <c r="D536" s="21" t="s">
        <v>1316</v>
      </c>
      <c r="F536" s="1">
        <f>TArticle[[#This Row],[مبلغ]]+IFERROR(INT(F535),30181+3667+958)</f>
        <v>295762</v>
      </c>
      <c r="G536" s="49"/>
      <c r="L536" s="171" t="str">
        <f>IF(TArticle[[#This Row],[کد وضعیت سند]]&gt;0,VLOOKUP(TArticle[[#This Row],[کد وضعیت سند]],TDocState[],2,FALSE),"")</f>
        <v/>
      </c>
      <c r="N536" s="171" t="str">
        <f>IF(TArticle[[#This Row],[کد طرف حساب]]&gt;0,VLOOKUP(TArticle[[#This Row],[کد طرف حساب]],TContact[],2,FALSE),"")</f>
        <v/>
      </c>
      <c r="O536" s="51" t="str">
        <f>IF(TArticle[[#This Row],[کد طرف حساب]]&gt;0,VLOOKUP(TArticle[[#This Row],[کد طرف حساب]],TContact[],7,FALSE)-SUMIF($M$2:M536,M536,$E$2:$E536),"")</f>
        <v/>
      </c>
      <c r="P536" s="27" t="str">
        <f>RIGHT(TArticle[[#This Row],[تاریخ]],2)</f>
        <v>29</v>
      </c>
      <c r="Q536" s="27">
        <f>VLOOKUP(TArticle[[#This Row],[تاریخ]],TDays[],16,FALSE)</f>
        <v>14</v>
      </c>
      <c r="R536" s="27" t="str">
        <f>RIGHT(LEFT(TArticle[[#This Row],[تاریخ]],7),2)</f>
        <v>03</v>
      </c>
      <c r="S536" s="27" t="str">
        <f>LEFT(TArticle[[#This Row],[تاریخ]],4)</f>
        <v>1403</v>
      </c>
      <c r="U536" s="21">
        <f>VLOOKUP(TArticle[[#This Row],[شناسه]],TAccount[],7,TRUE)</f>
        <v>0</v>
      </c>
      <c r="W536" s="21">
        <f>IF(AND(TArticle[[#This Row],[مبلغ]]&gt;0, TArticle[[#This Row],[کد وضعیت سند]]=1),TArticle[[#This Row],[مبلغ]],0)</f>
        <v>0</v>
      </c>
      <c r="X536" s="27">
        <f>IF(AND(TArticle[[#This Row],[مبلغ]]&lt;0,TArticle[[#This Row],[کد وضعیت سند]]=1),0-TArticle[[#This Row],[مبلغ]],0)</f>
        <v>0</v>
      </c>
      <c r="Y536" s="27">
        <v>2</v>
      </c>
      <c r="Z536" s="171" t="str">
        <f>IF(TArticle[[#This Row],[کد بانک]]&gt;0,VLOOKUP(TArticle[[#This Row],[کد بانک]],TBank[],2,FALSE),"")</f>
        <v>ملی جاری</v>
      </c>
      <c r="AA536">
        <f>IF(AND(TArticle[[#This Row],[مبلغ]]&lt;0,TArticle[[#This Row],[کد وضعیت سند]]=1),0-TArticle[[#This Row],[مبلغ]],0)</f>
        <v>0</v>
      </c>
      <c r="AB536">
        <f>IF(AND(TArticle[[#This Row],[مبلغ]]&gt;0, TArticle[[#This Row],[کد وضعیت سند]]=1),TArticle[[#This Row],[مبلغ]],0)</f>
        <v>0</v>
      </c>
      <c r="AC536" s="84">
        <f>IF(TArticle[[#This Row],[کد بانک]]&gt;0,VLOOKUP(TArticle[[#This Row],[کد بانک]],TBank[],9,FALSE)+SUMIF($Y$2:Y536,Y536,$E$2:$E536),"")</f>
        <v>337414</v>
      </c>
      <c r="AD536" s="1">
        <f>IFERROR(IF(INT(LEFT(TArticle[[#This Row],[شناسه]]))=3,IF(TArticle[[#This Row],[کد وضعیت سند]]=1,TArticle[مبلغ],0),0),0)</f>
        <v>0</v>
      </c>
      <c r="AE536" s="1">
        <f>IFERROR(IF(((TArticle[[#This Row],[شناسه]]))="4.1.1",IF(TArticle[[#This Row],[کد وضعیت سند]]=1,TArticle[مبلغ],0),0),0)</f>
        <v>0</v>
      </c>
      <c r="AF536" s="1">
        <f>IFERROR(IF(((TArticle[[#This Row],[شناسه]]))="4.1.2",IF(TArticle[[#This Row],[کد وضعیت سند]]=1,TArticle[مبلغ],0),0),0)</f>
        <v>0</v>
      </c>
      <c r="AG536" s="1">
        <f>IFERROR(IF(INT(LEFT(TArticle[[#This Row],[شناسه]]))=1,IF(TArticle[[#This Row],[کد وضعیت سند]]=1,TArticle[مبلغ],0),0),0)</f>
        <v>0</v>
      </c>
      <c r="AH536" s="1">
        <f>IFERROR(IF(INT(LEFT(TArticle[[#This Row],[شناسه]]))=2,IF(TArticle[[#This Row],[کد وضعیت سند]]=1,TArticle[مبلغ],0),0),0)</f>
        <v>0</v>
      </c>
      <c r="AI536" s="1">
        <f>IFERROR(IF((LEFT(TArticle[[#This Row],[شناسه]],3))="5.2",IF(TArticle[[#This Row],[کد وضعیت سند]]=1,TArticle[مبلغ],0),0),0)</f>
        <v>0</v>
      </c>
      <c r="AJ536" s="1">
        <f>IF(TArticle[[#This Row],[کد وضعیت سند]]=1,1,0)</f>
        <v>0</v>
      </c>
      <c r="AK536" s="1">
        <f>IF(AND(TArticle[[#This Row],[کد وضعیت سند]]&lt;&gt;1,TArticle[[#This Row],[مبلغ]]&lt;&gt;0),1,0)</f>
        <v>0</v>
      </c>
      <c r="AL536" s="51">
        <f>IF(TArticle[[#This Row],[کد بانک]]&gt;0,TArticle[[#This Row],[مانده بانک]]-VLOOKUP(TArticle[[#This Row],[کد بانک]],TBank[],7,FALSE),"")</f>
        <v>337414</v>
      </c>
      <c r="AM536" s="49" t="str">
        <f>LEFT(TArticle[[#This Row],[تاریخ]],7)</f>
        <v>1403-03</v>
      </c>
    </row>
    <row r="537" spans="1:39" x14ac:dyDescent="0.25">
      <c r="A537" s="24"/>
      <c r="B537" s="49" t="str">
        <f>VLOOKUP(TArticle[[#This Row],[شناسه]],TAccount[],2,TRUE)</f>
        <v>---</v>
      </c>
      <c r="C537" s="49" t="str">
        <f>VLOOKUP(TArticle[[#This Row],[تاریخ]],TDays[],7,FALSE)</f>
        <v>سه شنبه</v>
      </c>
      <c r="D537" s="21" t="s">
        <v>1316</v>
      </c>
      <c r="F537" s="1">
        <f>TArticle[[#This Row],[مبلغ]]+IFERROR(INT(F536),30181+3667+958)</f>
        <v>295762</v>
      </c>
      <c r="G537" s="49"/>
      <c r="L537" s="171" t="str">
        <f>IF(TArticle[[#This Row],[کد وضعیت سند]]&gt;0,VLOOKUP(TArticle[[#This Row],[کد وضعیت سند]],TDocState[],2,FALSE),"")</f>
        <v/>
      </c>
      <c r="N537" s="171" t="str">
        <f>IF(TArticle[[#This Row],[کد طرف حساب]]&gt;0,VLOOKUP(TArticle[[#This Row],[کد طرف حساب]],TContact[],2,FALSE),"")</f>
        <v/>
      </c>
      <c r="O537" s="61" t="str">
        <f>IF(TArticle[[#This Row],[کد طرف حساب]]&gt;0,VLOOKUP(TArticle[[#This Row],[کد طرف حساب]],TContact[],7,FALSE)-SUMIF($M$2:M537,M537,$E$2:$E537),"")</f>
        <v/>
      </c>
      <c r="P537" s="27" t="str">
        <f>RIGHT(TArticle[[#This Row],[تاریخ]],2)</f>
        <v>29</v>
      </c>
      <c r="Q537" s="27">
        <f>VLOOKUP(TArticle[[#This Row],[تاریخ]],TDays[],16,FALSE)</f>
        <v>14</v>
      </c>
      <c r="R537" s="27" t="str">
        <f>RIGHT(LEFT(TArticle[[#This Row],[تاریخ]],7),2)</f>
        <v>03</v>
      </c>
      <c r="S537" s="27" t="str">
        <f>LEFT(TArticle[[#This Row],[تاریخ]],4)</f>
        <v>1403</v>
      </c>
      <c r="U537" s="21">
        <f>VLOOKUP(TArticle[[#This Row],[شناسه]],TAccount[],7,TRUE)</f>
        <v>0</v>
      </c>
      <c r="W537" s="21">
        <f>IF(AND(TArticle[[#This Row],[مبلغ]]&gt;0, TArticle[[#This Row],[کد وضعیت سند]]=1),TArticle[[#This Row],[مبلغ]],0)</f>
        <v>0</v>
      </c>
      <c r="X537" s="27">
        <f>IF(AND(TArticle[[#This Row],[مبلغ]]&lt;0,TArticle[[#This Row],[کد وضعیت سند]]=1),0-TArticle[[#This Row],[مبلغ]],0)</f>
        <v>0</v>
      </c>
      <c r="Y537" s="27">
        <v>2</v>
      </c>
      <c r="Z537" s="171" t="str">
        <f>IF(TArticle[[#This Row],[کد بانک]]&gt;0,VLOOKUP(TArticle[[#This Row],[کد بانک]],TBank[],2,FALSE),"")</f>
        <v>ملی جاری</v>
      </c>
      <c r="AA537">
        <f>IF(AND(TArticle[[#This Row],[مبلغ]]&lt;0,TArticle[[#This Row],[کد وضعیت سند]]=1),0-TArticle[[#This Row],[مبلغ]],0)</f>
        <v>0</v>
      </c>
      <c r="AB537">
        <f>IF(AND(TArticle[[#This Row],[مبلغ]]&gt;0, TArticle[[#This Row],[کد وضعیت سند]]=1),TArticle[[#This Row],[مبلغ]],0)</f>
        <v>0</v>
      </c>
      <c r="AC537" s="92">
        <f>IF(TArticle[[#This Row],[کد بانک]]&gt;0,VLOOKUP(TArticle[[#This Row],[کد بانک]],TBank[],9,FALSE)+SUMIF($Y$2:Y537,Y537,$E$2:$E537),"")</f>
        <v>337414</v>
      </c>
      <c r="AD537" s="1">
        <f>IFERROR(IF(INT(LEFT(TArticle[[#This Row],[شناسه]]))=3,IF(TArticle[[#This Row],[کد وضعیت سند]]=1,TArticle[مبلغ],0),0),0)</f>
        <v>0</v>
      </c>
      <c r="AE537" s="1">
        <f>IFERROR(IF(((TArticle[[#This Row],[شناسه]]))="4.1.1",IF(TArticle[[#This Row],[کد وضعیت سند]]=1,TArticle[مبلغ],0),0),0)</f>
        <v>0</v>
      </c>
      <c r="AF537" s="1">
        <f>IFERROR(IF(((TArticle[[#This Row],[شناسه]]))="4.1.2",IF(TArticle[[#This Row],[کد وضعیت سند]]=1,TArticle[مبلغ],0),0),0)</f>
        <v>0</v>
      </c>
      <c r="AG537" s="1">
        <f>IFERROR(IF(INT(LEFT(TArticle[[#This Row],[شناسه]]))=1,IF(TArticle[[#This Row],[کد وضعیت سند]]=1,TArticle[مبلغ],0),0),0)</f>
        <v>0</v>
      </c>
      <c r="AH537" s="1">
        <f>IFERROR(IF(INT(LEFT(TArticle[[#This Row],[شناسه]]))=2,IF(TArticle[[#This Row],[کد وضعیت سند]]=1,TArticle[مبلغ],0),0),0)</f>
        <v>0</v>
      </c>
      <c r="AI537" s="1">
        <f>IFERROR(IF((LEFT(TArticle[[#This Row],[شناسه]],3))="5.2",IF(TArticle[[#This Row],[کد وضعیت سند]]=1,TArticle[مبلغ],0),0),0)</f>
        <v>0</v>
      </c>
      <c r="AJ537" s="1">
        <f>IF(TArticle[[#This Row],[کد وضعیت سند]]=1,1,0)</f>
        <v>0</v>
      </c>
      <c r="AK537" s="1">
        <f>IF(AND(TArticle[[#This Row],[کد وضعیت سند]]&lt;&gt;1,TArticle[[#This Row],[مبلغ]]&lt;&gt;0),1,0)</f>
        <v>0</v>
      </c>
      <c r="AL537" s="51">
        <f>IF(TArticle[[#This Row],[کد بانک]]&gt;0,TArticle[[#This Row],[مانده بانک]]-VLOOKUP(TArticle[[#This Row],[کد بانک]],TBank[],7,FALSE),"")</f>
        <v>337414</v>
      </c>
      <c r="AM537" s="58" t="str">
        <f>LEFT(TArticle[[#This Row],[تاریخ]],7)</f>
        <v>1403-03</v>
      </c>
    </row>
    <row r="538" spans="1:39" x14ac:dyDescent="0.25">
      <c r="A538" s="24"/>
      <c r="B538" s="49" t="str">
        <f>VLOOKUP(TArticle[[#This Row],[شناسه]],TAccount[],2,TRUE)</f>
        <v>---</v>
      </c>
      <c r="C538" s="49" t="str">
        <f>VLOOKUP(TArticle[[#This Row],[تاریخ]],TDays[],7,FALSE)</f>
        <v>سه شنبه</v>
      </c>
      <c r="D538" s="21" t="s">
        <v>1316</v>
      </c>
      <c r="F538" s="1">
        <f>TArticle[[#This Row],[مبلغ]]+IFERROR(INT(F537),30181+3667+958)</f>
        <v>295762</v>
      </c>
      <c r="G538" s="49"/>
      <c r="L538" s="171" t="str">
        <f>IF(TArticle[[#This Row],[کد وضعیت سند]]&gt;0,VLOOKUP(TArticle[[#This Row],[کد وضعیت سند]],TDocState[],2,FALSE),"")</f>
        <v/>
      </c>
      <c r="N538" s="171" t="str">
        <f>IF(TArticle[[#This Row],[کد طرف حساب]]&gt;0,VLOOKUP(TArticle[[#This Row],[کد طرف حساب]],TContact[],2,FALSE),"")</f>
        <v/>
      </c>
      <c r="O538" s="51" t="str">
        <f>IF(TArticle[[#This Row],[کد طرف حساب]]&gt;0,VLOOKUP(TArticle[[#This Row],[کد طرف حساب]],TContact[],7,FALSE)-SUMIF($M$2:M538,M538,$E$2:$E538),"")</f>
        <v/>
      </c>
      <c r="P538" s="27" t="str">
        <f>RIGHT(TArticle[[#This Row],[تاریخ]],2)</f>
        <v>29</v>
      </c>
      <c r="Q538" s="27">
        <f>VLOOKUP(TArticle[[#This Row],[تاریخ]],TDays[],16,FALSE)</f>
        <v>14</v>
      </c>
      <c r="R538" s="27" t="str">
        <f>RIGHT(LEFT(TArticle[[#This Row],[تاریخ]],7),2)</f>
        <v>03</v>
      </c>
      <c r="S538" s="27" t="str">
        <f>LEFT(TArticle[[#This Row],[تاریخ]],4)</f>
        <v>1403</v>
      </c>
      <c r="U538" s="21">
        <f>VLOOKUP(TArticle[[#This Row],[شناسه]],TAccount[],7,TRUE)</f>
        <v>0</v>
      </c>
      <c r="W538" s="21">
        <f>IF(AND(TArticle[[#This Row],[مبلغ]]&gt;0, TArticle[[#This Row],[کد وضعیت سند]]=1),TArticle[[#This Row],[مبلغ]],0)</f>
        <v>0</v>
      </c>
      <c r="X538" s="27">
        <f>IF(AND(TArticle[[#This Row],[مبلغ]]&lt;0,TArticle[[#This Row],[کد وضعیت سند]]=1),0-TArticle[[#This Row],[مبلغ]],0)</f>
        <v>0</v>
      </c>
      <c r="Y538" s="27">
        <v>2</v>
      </c>
      <c r="Z538" s="171" t="str">
        <f>IF(TArticle[[#This Row],[کد بانک]]&gt;0,VLOOKUP(TArticle[[#This Row],[کد بانک]],TBank[],2,FALSE),"")</f>
        <v>ملی جاری</v>
      </c>
      <c r="AA538">
        <f>IF(AND(TArticle[[#This Row],[مبلغ]]&lt;0,TArticle[[#This Row],[کد وضعیت سند]]=1),0-TArticle[[#This Row],[مبلغ]],0)</f>
        <v>0</v>
      </c>
      <c r="AB538">
        <f>IF(AND(TArticle[[#This Row],[مبلغ]]&gt;0, TArticle[[#This Row],[کد وضعیت سند]]=1),TArticle[[#This Row],[مبلغ]],0)</f>
        <v>0</v>
      </c>
      <c r="AC538" s="84">
        <f>IF(TArticle[[#This Row],[کد بانک]]&gt;0,VLOOKUP(TArticle[[#This Row],[کد بانک]],TBank[],9,FALSE)+SUMIF($Y$2:Y538,Y538,$E$2:$E538),"")</f>
        <v>337414</v>
      </c>
      <c r="AD538" s="1">
        <f>IFERROR(IF(INT(LEFT(TArticle[[#This Row],[شناسه]]))=3,IF(TArticle[[#This Row],[کد وضعیت سند]]=1,TArticle[مبلغ],0),0),0)</f>
        <v>0</v>
      </c>
      <c r="AE538" s="1">
        <f>IFERROR(IF(((TArticle[[#This Row],[شناسه]]))="4.1.1",IF(TArticle[[#This Row],[کد وضعیت سند]]=1,TArticle[مبلغ],0),0),0)</f>
        <v>0</v>
      </c>
      <c r="AF538" s="1">
        <f>IFERROR(IF(((TArticle[[#This Row],[شناسه]]))="4.1.2",IF(TArticle[[#This Row],[کد وضعیت سند]]=1,TArticle[مبلغ],0),0),0)</f>
        <v>0</v>
      </c>
      <c r="AG538" s="1">
        <f>IFERROR(IF(INT(LEFT(TArticle[[#This Row],[شناسه]]))=1,IF(TArticle[[#This Row],[کد وضعیت سند]]=1,TArticle[مبلغ],0),0),0)</f>
        <v>0</v>
      </c>
      <c r="AH538" s="1">
        <f>IFERROR(IF(INT(LEFT(TArticle[[#This Row],[شناسه]]))=2,IF(TArticle[[#This Row],[کد وضعیت سند]]=1,TArticle[مبلغ],0),0),0)</f>
        <v>0</v>
      </c>
      <c r="AI538" s="1">
        <f>IFERROR(IF((LEFT(TArticle[[#This Row],[شناسه]],3))="5.2",IF(TArticle[[#This Row],[کد وضعیت سند]]=1,TArticle[مبلغ],0),0),0)</f>
        <v>0</v>
      </c>
      <c r="AJ538" s="1">
        <f>IF(TArticle[[#This Row],[کد وضعیت سند]]=1,1,0)</f>
        <v>0</v>
      </c>
      <c r="AK538" s="1">
        <f>IF(AND(TArticle[[#This Row],[کد وضعیت سند]]&lt;&gt;1,TArticle[[#This Row],[مبلغ]]&lt;&gt;0),1,0)</f>
        <v>0</v>
      </c>
      <c r="AL538" s="51">
        <f>IF(TArticle[[#This Row],[کد بانک]]&gt;0,TArticle[[#This Row],[مانده بانک]]-VLOOKUP(TArticle[[#This Row],[کد بانک]],TBank[],7,FALSE),"")</f>
        <v>337414</v>
      </c>
      <c r="AM538" s="49" t="str">
        <f>LEFT(TArticle[[#This Row],[تاریخ]],7)</f>
        <v>1403-03</v>
      </c>
    </row>
    <row r="539" spans="1:39" x14ac:dyDescent="0.25">
      <c r="A539" s="24"/>
      <c r="B539" s="49" t="str">
        <f>VLOOKUP(TArticle[[#This Row],[شناسه]],TAccount[],2,TRUE)</f>
        <v>---</v>
      </c>
      <c r="C539" s="49" t="str">
        <f>VLOOKUP(TArticle[[#This Row],[تاریخ]],TDays[],7,FALSE)</f>
        <v>سه شنبه</v>
      </c>
      <c r="D539" s="21" t="s">
        <v>1316</v>
      </c>
      <c r="F539" s="1">
        <f>TArticle[[#This Row],[مبلغ]]+IFERROR(INT(F538),30181+3667+958)</f>
        <v>295762</v>
      </c>
      <c r="G539" s="49"/>
      <c r="L539" s="171" t="str">
        <f>IF(TArticle[[#This Row],[کد وضعیت سند]]&gt;0,VLOOKUP(TArticle[[#This Row],[کد وضعیت سند]],TDocState[],2,FALSE),"")</f>
        <v/>
      </c>
      <c r="N539" s="171" t="str">
        <f>IF(TArticle[[#This Row],[کد طرف حساب]]&gt;0,VLOOKUP(TArticle[[#This Row],[کد طرف حساب]],TContact[],2,FALSE),"")</f>
        <v/>
      </c>
      <c r="O539" s="51" t="str">
        <f>IF(TArticle[[#This Row],[کد طرف حساب]]&gt;0,VLOOKUP(TArticle[[#This Row],[کد طرف حساب]],TContact[],7,FALSE)-SUMIF($M$2:M539,M539,$E$2:$E539),"")</f>
        <v/>
      </c>
      <c r="P539" s="27" t="str">
        <f>RIGHT(TArticle[[#This Row],[تاریخ]],2)</f>
        <v>29</v>
      </c>
      <c r="Q539" s="27">
        <f>VLOOKUP(TArticle[[#This Row],[تاریخ]],TDays[],16,FALSE)</f>
        <v>14</v>
      </c>
      <c r="R539" s="27" t="str">
        <f>RIGHT(LEFT(TArticle[[#This Row],[تاریخ]],7),2)</f>
        <v>03</v>
      </c>
      <c r="S539" s="27" t="str">
        <f>LEFT(TArticle[[#This Row],[تاریخ]],4)</f>
        <v>1403</v>
      </c>
      <c r="U539" s="21">
        <f>VLOOKUP(TArticle[[#This Row],[شناسه]],TAccount[],7,TRUE)</f>
        <v>0</v>
      </c>
      <c r="W539" s="21">
        <f>IF(AND(TArticle[[#This Row],[مبلغ]]&gt;0, TArticle[[#This Row],[کد وضعیت سند]]=1),TArticle[[#This Row],[مبلغ]],0)</f>
        <v>0</v>
      </c>
      <c r="X539" s="27">
        <f>IF(AND(TArticle[[#This Row],[مبلغ]]&lt;0,TArticle[[#This Row],[کد وضعیت سند]]=1),0-TArticle[[#This Row],[مبلغ]],0)</f>
        <v>0</v>
      </c>
      <c r="Y539" s="27">
        <v>2</v>
      </c>
      <c r="Z539" s="171" t="str">
        <f>IF(TArticle[[#This Row],[کد بانک]]&gt;0,VLOOKUP(TArticle[[#This Row],[کد بانک]],TBank[],2,FALSE),"")</f>
        <v>ملی جاری</v>
      </c>
      <c r="AA539">
        <f>IF(AND(TArticle[[#This Row],[مبلغ]]&lt;0,TArticle[[#This Row],[کد وضعیت سند]]=1),0-TArticle[[#This Row],[مبلغ]],0)</f>
        <v>0</v>
      </c>
      <c r="AB539">
        <f>IF(AND(TArticle[[#This Row],[مبلغ]]&gt;0, TArticle[[#This Row],[کد وضعیت سند]]=1),TArticle[[#This Row],[مبلغ]],0)</f>
        <v>0</v>
      </c>
      <c r="AC539" s="84">
        <f>IF(TArticle[[#This Row],[کد بانک]]&gt;0,VLOOKUP(TArticle[[#This Row],[کد بانک]],TBank[],9,FALSE)+SUMIF($Y$2:Y539,Y539,$E$2:$E539),"")</f>
        <v>337414</v>
      </c>
      <c r="AD539" s="1">
        <f>IFERROR(IF(INT(LEFT(TArticle[[#This Row],[شناسه]]))=3,IF(TArticle[[#This Row],[کد وضعیت سند]]=1,TArticle[مبلغ],0),0),0)</f>
        <v>0</v>
      </c>
      <c r="AE539" s="1">
        <f>IFERROR(IF(((TArticle[[#This Row],[شناسه]]))="4.1.1",IF(TArticle[[#This Row],[کد وضعیت سند]]=1,TArticle[مبلغ],0),0),0)</f>
        <v>0</v>
      </c>
      <c r="AF539" s="1">
        <f>IFERROR(IF(((TArticle[[#This Row],[شناسه]]))="4.1.2",IF(TArticle[[#This Row],[کد وضعیت سند]]=1,TArticle[مبلغ],0),0),0)</f>
        <v>0</v>
      </c>
      <c r="AG539" s="1">
        <f>IFERROR(IF(INT(LEFT(TArticle[[#This Row],[شناسه]]))=1,IF(TArticle[[#This Row],[کد وضعیت سند]]=1,TArticle[مبلغ],0),0),0)</f>
        <v>0</v>
      </c>
      <c r="AH539" s="1">
        <f>IFERROR(IF(INT(LEFT(TArticle[[#This Row],[شناسه]]))=2,IF(TArticle[[#This Row],[کد وضعیت سند]]=1,TArticle[مبلغ],0),0),0)</f>
        <v>0</v>
      </c>
      <c r="AI539" s="1">
        <f>IFERROR(IF((LEFT(TArticle[[#This Row],[شناسه]],3))="5.2",IF(TArticle[[#This Row],[کد وضعیت سند]]=1,TArticle[مبلغ],0),0),0)</f>
        <v>0</v>
      </c>
      <c r="AJ539" s="1">
        <f>IF(TArticle[[#This Row],[کد وضعیت سند]]=1,1,0)</f>
        <v>0</v>
      </c>
      <c r="AK539" s="1">
        <f>IF(AND(TArticle[[#This Row],[کد وضعیت سند]]&lt;&gt;1,TArticle[[#This Row],[مبلغ]]&lt;&gt;0),1,0)</f>
        <v>0</v>
      </c>
      <c r="AL539" s="51">
        <f>IF(TArticle[[#This Row],[کد بانک]]&gt;0,TArticle[[#This Row],[مانده بانک]]-VLOOKUP(TArticle[[#This Row],[کد بانک]],TBank[],7,FALSE),"")</f>
        <v>337414</v>
      </c>
      <c r="AM539" s="49" t="str">
        <f>LEFT(TArticle[[#This Row],[تاریخ]],7)</f>
        <v>1403-03</v>
      </c>
    </row>
    <row r="540" spans="1:39" x14ac:dyDescent="0.25">
      <c r="A540" s="24"/>
      <c r="B540" s="49" t="str">
        <f>VLOOKUP(TArticle[[#This Row],[شناسه]],TAccount[],2,TRUE)</f>
        <v>---</v>
      </c>
      <c r="C540" s="49" t="str">
        <f>VLOOKUP(TArticle[[#This Row],[تاریخ]],TDays[],7,FALSE)</f>
        <v>سه شنبه</v>
      </c>
      <c r="D540" s="21" t="s">
        <v>1316</v>
      </c>
      <c r="F540" s="1">
        <f>TArticle[[#This Row],[مبلغ]]+IFERROR(INT(F539),30181+3667+958)</f>
        <v>295762</v>
      </c>
      <c r="G540" s="49"/>
      <c r="L540" s="171" t="str">
        <f>IF(TArticle[[#This Row],[کد وضعیت سند]]&gt;0,VLOOKUP(TArticle[[#This Row],[کد وضعیت سند]],TDocState[],2,FALSE),"")</f>
        <v/>
      </c>
      <c r="N540" s="171" t="str">
        <f>IF(TArticle[[#This Row],[کد طرف حساب]]&gt;0,VLOOKUP(TArticle[[#This Row],[کد طرف حساب]],TContact[],2,FALSE),"")</f>
        <v/>
      </c>
      <c r="O540" s="51" t="str">
        <f>IF(TArticle[[#This Row],[کد طرف حساب]]&gt;0,VLOOKUP(TArticle[[#This Row],[کد طرف حساب]],TContact[],7,FALSE)-SUMIF($M$2:M540,M540,$E$2:$E540),"")</f>
        <v/>
      </c>
      <c r="P540" s="27" t="str">
        <f>RIGHT(TArticle[[#This Row],[تاریخ]],2)</f>
        <v>29</v>
      </c>
      <c r="Q540" s="27">
        <f>VLOOKUP(TArticle[[#This Row],[تاریخ]],TDays[],16,FALSE)</f>
        <v>14</v>
      </c>
      <c r="R540" s="27" t="str">
        <f>RIGHT(LEFT(TArticle[[#This Row],[تاریخ]],7),2)</f>
        <v>03</v>
      </c>
      <c r="S540" s="27" t="str">
        <f>LEFT(TArticle[[#This Row],[تاریخ]],4)</f>
        <v>1403</v>
      </c>
      <c r="U540" s="21">
        <f>VLOOKUP(TArticle[[#This Row],[شناسه]],TAccount[],7,TRUE)</f>
        <v>0</v>
      </c>
      <c r="W540" s="21">
        <f>IF(AND(TArticle[[#This Row],[مبلغ]]&gt;0, TArticle[[#This Row],[کد وضعیت سند]]=1),TArticle[[#This Row],[مبلغ]],0)</f>
        <v>0</v>
      </c>
      <c r="X540" s="27">
        <f>IF(AND(TArticle[[#This Row],[مبلغ]]&lt;0,TArticle[[#This Row],[کد وضعیت سند]]=1),0-TArticle[[#This Row],[مبلغ]],0)</f>
        <v>0</v>
      </c>
      <c r="Y540" s="27">
        <v>2</v>
      </c>
      <c r="Z540" s="171" t="str">
        <f>IF(TArticle[[#This Row],[کد بانک]]&gt;0,VLOOKUP(TArticle[[#This Row],[کد بانک]],TBank[],2,FALSE),"")</f>
        <v>ملی جاری</v>
      </c>
      <c r="AA540">
        <f>IF(AND(TArticle[[#This Row],[مبلغ]]&lt;0,TArticle[[#This Row],[کد وضعیت سند]]=1),0-TArticle[[#This Row],[مبلغ]],0)</f>
        <v>0</v>
      </c>
      <c r="AB540">
        <f>IF(AND(TArticle[[#This Row],[مبلغ]]&gt;0, TArticle[[#This Row],[کد وضعیت سند]]=1),TArticle[[#This Row],[مبلغ]],0)</f>
        <v>0</v>
      </c>
      <c r="AC540" s="84">
        <f>IF(TArticle[[#This Row],[کد بانک]]&gt;0,VLOOKUP(TArticle[[#This Row],[کد بانک]],TBank[],9,FALSE)+SUMIF($Y$2:Y540,Y540,$E$2:$E540),"")</f>
        <v>337414</v>
      </c>
      <c r="AD540" s="1">
        <f>IFERROR(IF(INT(LEFT(TArticle[[#This Row],[شناسه]]))=3,IF(TArticle[[#This Row],[کد وضعیت سند]]=1,TArticle[مبلغ],0),0),0)</f>
        <v>0</v>
      </c>
      <c r="AE540" s="1">
        <f>IFERROR(IF(((TArticle[[#This Row],[شناسه]]))="4.1.1",IF(TArticle[[#This Row],[کد وضعیت سند]]=1,TArticle[مبلغ],0),0),0)</f>
        <v>0</v>
      </c>
      <c r="AF540" s="1">
        <f>IFERROR(IF(((TArticle[[#This Row],[شناسه]]))="4.1.2",IF(TArticle[[#This Row],[کد وضعیت سند]]=1,TArticle[مبلغ],0),0),0)</f>
        <v>0</v>
      </c>
      <c r="AG540" s="1">
        <f>IFERROR(IF(INT(LEFT(TArticle[[#This Row],[شناسه]]))=1,IF(TArticle[[#This Row],[کد وضعیت سند]]=1,TArticle[مبلغ],0),0),0)</f>
        <v>0</v>
      </c>
      <c r="AH540" s="1">
        <f>IFERROR(IF(INT(LEFT(TArticle[[#This Row],[شناسه]]))=2,IF(TArticle[[#This Row],[کد وضعیت سند]]=1,TArticle[مبلغ],0),0),0)</f>
        <v>0</v>
      </c>
      <c r="AI540" s="1">
        <f>IFERROR(IF((LEFT(TArticle[[#This Row],[شناسه]],3))="5.2",IF(TArticle[[#This Row],[کد وضعیت سند]]=1,TArticle[مبلغ],0),0),0)</f>
        <v>0</v>
      </c>
      <c r="AJ540" s="1">
        <f>IF(TArticle[[#This Row],[کد وضعیت سند]]=1,1,0)</f>
        <v>0</v>
      </c>
      <c r="AK540" s="1">
        <f>IF(AND(TArticle[[#This Row],[کد وضعیت سند]]&lt;&gt;1,TArticle[[#This Row],[مبلغ]]&lt;&gt;0),1,0)</f>
        <v>0</v>
      </c>
      <c r="AL540" s="51">
        <f>IF(TArticle[[#This Row],[کد بانک]]&gt;0,TArticle[[#This Row],[مانده بانک]]-VLOOKUP(TArticle[[#This Row],[کد بانک]],TBank[],7,FALSE),"")</f>
        <v>337414</v>
      </c>
      <c r="AM540" s="49" t="str">
        <f>LEFT(TArticle[[#This Row],[تاریخ]],7)</f>
        <v>1403-03</v>
      </c>
    </row>
    <row r="541" spans="1:39" x14ac:dyDescent="0.25">
      <c r="A541" s="24"/>
      <c r="B541" s="49" t="str">
        <f>VLOOKUP(TArticle[[#This Row],[شناسه]],TAccount[],2,TRUE)</f>
        <v>---</v>
      </c>
      <c r="C541" s="49" t="str">
        <f>VLOOKUP(TArticle[[#This Row],[تاریخ]],TDays[],7,FALSE)</f>
        <v>سه شنبه</v>
      </c>
      <c r="D541" s="21" t="s">
        <v>1316</v>
      </c>
      <c r="F541" s="1">
        <f>TArticle[[#This Row],[مبلغ]]+IFERROR(INT(F540),30181+3667+958)</f>
        <v>295762</v>
      </c>
      <c r="G541" s="49"/>
      <c r="L541" s="171" t="str">
        <f>IF(TArticle[[#This Row],[کد وضعیت سند]]&gt;0,VLOOKUP(TArticle[[#This Row],[کد وضعیت سند]],TDocState[],2,FALSE),"")</f>
        <v/>
      </c>
      <c r="N541" s="171" t="str">
        <f>IF(TArticle[[#This Row],[کد طرف حساب]]&gt;0,VLOOKUP(TArticle[[#This Row],[کد طرف حساب]],TContact[],2,FALSE),"")</f>
        <v/>
      </c>
      <c r="O541" s="61" t="str">
        <f>IF(TArticle[[#This Row],[کد طرف حساب]]&gt;0,VLOOKUP(TArticle[[#This Row],[کد طرف حساب]],TContact[],7,FALSE)-SUMIF($M$2:M541,M541,$E$2:$E541),"")</f>
        <v/>
      </c>
      <c r="P541" s="27" t="str">
        <f>RIGHT(TArticle[[#This Row],[تاریخ]],2)</f>
        <v>29</v>
      </c>
      <c r="Q541" s="27">
        <f>VLOOKUP(TArticle[[#This Row],[تاریخ]],TDays[],16,FALSE)</f>
        <v>14</v>
      </c>
      <c r="R541" s="27" t="str">
        <f>RIGHT(LEFT(TArticle[[#This Row],[تاریخ]],7),2)</f>
        <v>03</v>
      </c>
      <c r="S541" s="27" t="str">
        <f>LEFT(TArticle[[#This Row],[تاریخ]],4)</f>
        <v>1403</v>
      </c>
      <c r="U541" s="21">
        <f>VLOOKUP(TArticle[[#This Row],[شناسه]],TAccount[],7,TRUE)</f>
        <v>0</v>
      </c>
      <c r="W541" s="21">
        <f>IF(AND(TArticle[[#This Row],[مبلغ]]&gt;0, TArticle[[#This Row],[کد وضعیت سند]]=1),TArticle[[#This Row],[مبلغ]],0)</f>
        <v>0</v>
      </c>
      <c r="X541" s="27">
        <f>IF(AND(TArticle[[#This Row],[مبلغ]]&lt;0,TArticle[[#This Row],[کد وضعیت سند]]=1),0-TArticle[[#This Row],[مبلغ]],0)</f>
        <v>0</v>
      </c>
      <c r="Y541" s="27">
        <v>2</v>
      </c>
      <c r="Z541" s="171" t="str">
        <f>IF(TArticle[[#This Row],[کد بانک]]&gt;0,VLOOKUP(TArticle[[#This Row],[کد بانک]],TBank[],2,FALSE),"")</f>
        <v>ملی جاری</v>
      </c>
      <c r="AA541">
        <f>IF(AND(TArticle[[#This Row],[مبلغ]]&lt;0,TArticle[[#This Row],[کد وضعیت سند]]=1),0-TArticle[[#This Row],[مبلغ]],0)</f>
        <v>0</v>
      </c>
      <c r="AB541">
        <f>IF(AND(TArticle[[#This Row],[مبلغ]]&gt;0, TArticle[[#This Row],[کد وضعیت سند]]=1),TArticle[[#This Row],[مبلغ]],0)</f>
        <v>0</v>
      </c>
      <c r="AC541" s="84">
        <f>IF(TArticle[[#This Row],[کد بانک]]&gt;0,VLOOKUP(TArticle[[#This Row],[کد بانک]],TBank[],9,FALSE)+SUMIF($Y$2:Y541,Y541,$E$2:$E541),"")</f>
        <v>337414</v>
      </c>
      <c r="AD541" s="1">
        <f>IFERROR(IF(INT(LEFT(TArticle[[#This Row],[شناسه]]))=3,IF(TArticle[[#This Row],[کد وضعیت سند]]=1,TArticle[مبلغ],0),0),0)</f>
        <v>0</v>
      </c>
      <c r="AE541" s="1">
        <f>IFERROR(IF(((TArticle[[#This Row],[شناسه]]))="4.1.1",IF(TArticle[[#This Row],[کد وضعیت سند]]=1,TArticle[مبلغ],0),0),0)</f>
        <v>0</v>
      </c>
      <c r="AF541" s="1">
        <f>IFERROR(IF(((TArticle[[#This Row],[شناسه]]))="4.1.2",IF(TArticle[[#This Row],[کد وضعیت سند]]=1,TArticle[مبلغ],0),0),0)</f>
        <v>0</v>
      </c>
      <c r="AG541" s="1">
        <f>IFERROR(IF(INT(LEFT(TArticle[[#This Row],[شناسه]]))=1,IF(TArticle[[#This Row],[کد وضعیت سند]]=1,TArticle[مبلغ],0),0),0)</f>
        <v>0</v>
      </c>
      <c r="AH541" s="1">
        <f>IFERROR(IF(INT(LEFT(TArticle[[#This Row],[شناسه]]))=2,IF(TArticle[[#This Row],[کد وضعیت سند]]=1,TArticle[مبلغ],0),0),0)</f>
        <v>0</v>
      </c>
      <c r="AI541" s="1">
        <f>IFERROR(IF((LEFT(TArticle[[#This Row],[شناسه]],3))="5.2",IF(TArticle[[#This Row],[کد وضعیت سند]]=1,TArticle[مبلغ],0),0),0)</f>
        <v>0</v>
      </c>
      <c r="AJ541" s="1">
        <f>IF(TArticle[[#This Row],[کد وضعیت سند]]=1,1,0)</f>
        <v>0</v>
      </c>
      <c r="AK541" s="1">
        <f>IF(AND(TArticle[[#This Row],[کد وضعیت سند]]&lt;&gt;1,TArticle[[#This Row],[مبلغ]]&lt;&gt;0),1,0)</f>
        <v>0</v>
      </c>
      <c r="AL541" s="51">
        <f>IF(TArticle[[#This Row],[کد بانک]]&gt;0,TArticle[[#This Row],[مانده بانک]]-VLOOKUP(TArticle[[#This Row],[کد بانک]],TBank[],7,FALSE),"")</f>
        <v>337414</v>
      </c>
      <c r="AM541" s="49" t="str">
        <f>LEFT(TArticle[[#This Row],[تاریخ]],7)</f>
        <v>1403-03</v>
      </c>
    </row>
    <row r="542" spans="1:39" x14ac:dyDescent="0.25">
      <c r="A542" s="24"/>
      <c r="B542" s="49" t="str">
        <f>VLOOKUP(TArticle[[#This Row],[شناسه]],TAccount[],2,TRUE)</f>
        <v>---</v>
      </c>
      <c r="C542" s="49" t="str">
        <f>VLOOKUP(TArticle[[#This Row],[تاریخ]],TDays[],7,FALSE)</f>
        <v>سه شنبه</v>
      </c>
      <c r="D542" s="21" t="s">
        <v>1316</v>
      </c>
      <c r="F542" s="1">
        <f>TArticle[[#This Row],[مبلغ]]+IFERROR(INT(F541),30181+3667+958)</f>
        <v>295762</v>
      </c>
      <c r="G542" s="49"/>
      <c r="L542" s="171" t="str">
        <f>IF(TArticle[[#This Row],[کد وضعیت سند]]&gt;0,VLOOKUP(TArticle[[#This Row],[کد وضعیت سند]],TDocState[],2,FALSE),"")</f>
        <v/>
      </c>
      <c r="N542" s="171" t="str">
        <f>IF(TArticle[[#This Row],[کد طرف حساب]]&gt;0,VLOOKUP(TArticle[[#This Row],[کد طرف حساب]],TContact[],2,FALSE),"")</f>
        <v/>
      </c>
      <c r="O542" s="61" t="str">
        <f>IF(TArticle[[#This Row],[کد طرف حساب]]&gt;0,VLOOKUP(TArticle[[#This Row],[کد طرف حساب]],TContact[],7,FALSE)-SUMIF($M$2:M542,M542,$E$2:$E542),"")</f>
        <v/>
      </c>
      <c r="P542" s="27" t="str">
        <f>RIGHT(TArticle[[#This Row],[تاریخ]],2)</f>
        <v>29</v>
      </c>
      <c r="Q542" s="27">
        <f>VLOOKUP(TArticle[[#This Row],[تاریخ]],TDays[],16,FALSE)</f>
        <v>14</v>
      </c>
      <c r="R542" s="27" t="str">
        <f>RIGHT(LEFT(TArticle[[#This Row],[تاریخ]],7),2)</f>
        <v>03</v>
      </c>
      <c r="S542" s="27" t="str">
        <f>LEFT(TArticle[[#This Row],[تاریخ]],4)</f>
        <v>1403</v>
      </c>
      <c r="U542" s="21">
        <f>VLOOKUP(TArticle[[#This Row],[شناسه]],TAccount[],7,TRUE)</f>
        <v>0</v>
      </c>
      <c r="W542" s="21">
        <f>IF(AND(TArticle[[#This Row],[مبلغ]]&gt;0, TArticle[[#This Row],[کد وضعیت سند]]=1),TArticle[[#This Row],[مبلغ]],0)</f>
        <v>0</v>
      </c>
      <c r="X542" s="27">
        <f>IF(AND(TArticle[[#This Row],[مبلغ]]&lt;0,TArticle[[#This Row],[کد وضعیت سند]]=1),0-TArticle[[#This Row],[مبلغ]],0)</f>
        <v>0</v>
      </c>
      <c r="Y542" s="27">
        <v>2</v>
      </c>
      <c r="Z542" s="171" t="str">
        <f>IF(TArticle[[#This Row],[کد بانک]]&gt;0,VLOOKUP(TArticle[[#This Row],[کد بانک]],TBank[],2,FALSE),"")</f>
        <v>ملی جاری</v>
      </c>
      <c r="AA542">
        <f>IF(AND(TArticle[[#This Row],[مبلغ]]&lt;0,TArticle[[#This Row],[کد وضعیت سند]]=1),0-TArticle[[#This Row],[مبلغ]],0)</f>
        <v>0</v>
      </c>
      <c r="AB542">
        <f>IF(AND(TArticle[[#This Row],[مبلغ]]&gt;0, TArticle[[#This Row],[کد وضعیت سند]]=1),TArticle[[#This Row],[مبلغ]],0)</f>
        <v>0</v>
      </c>
      <c r="AC542" s="84">
        <f>IF(TArticle[[#This Row],[کد بانک]]&gt;0,VLOOKUP(TArticle[[#This Row],[کد بانک]],TBank[],9,FALSE)+SUMIF($Y$2:Y542,Y542,$E$2:$E542),"")</f>
        <v>337414</v>
      </c>
      <c r="AD542" s="1">
        <f>IFERROR(IF(INT(LEFT(TArticle[[#This Row],[شناسه]]))=3,IF(TArticle[[#This Row],[کد وضعیت سند]]=1,TArticle[مبلغ],0),0),0)</f>
        <v>0</v>
      </c>
      <c r="AE542" s="1">
        <f>IFERROR(IF(((TArticle[[#This Row],[شناسه]]))="4.1.1",IF(TArticle[[#This Row],[کد وضعیت سند]]=1,TArticle[مبلغ],0),0),0)</f>
        <v>0</v>
      </c>
      <c r="AF542" s="1">
        <f>IFERROR(IF(((TArticle[[#This Row],[شناسه]]))="4.1.2",IF(TArticle[[#This Row],[کد وضعیت سند]]=1,TArticle[مبلغ],0),0),0)</f>
        <v>0</v>
      </c>
      <c r="AG542" s="1">
        <f>IFERROR(IF(INT(LEFT(TArticle[[#This Row],[شناسه]]))=1,IF(TArticle[[#This Row],[کد وضعیت سند]]=1,TArticle[مبلغ],0),0),0)</f>
        <v>0</v>
      </c>
      <c r="AH542" s="1">
        <f>IFERROR(IF(INT(LEFT(TArticle[[#This Row],[شناسه]]))=2,IF(TArticle[[#This Row],[کد وضعیت سند]]=1,TArticle[مبلغ],0),0),0)</f>
        <v>0</v>
      </c>
      <c r="AI542" s="1">
        <f>IFERROR(IF((LEFT(TArticle[[#This Row],[شناسه]],3))="5.2",IF(TArticle[[#This Row],[کد وضعیت سند]]=1,TArticle[مبلغ],0),0),0)</f>
        <v>0</v>
      </c>
      <c r="AJ542" s="1">
        <f>IF(TArticle[[#This Row],[کد وضعیت سند]]=1,1,0)</f>
        <v>0</v>
      </c>
      <c r="AK542" s="1">
        <f>IF(AND(TArticle[[#This Row],[کد وضعیت سند]]&lt;&gt;1,TArticle[[#This Row],[مبلغ]]&lt;&gt;0),1,0)</f>
        <v>0</v>
      </c>
      <c r="AL542" s="51">
        <f>IF(TArticle[[#This Row],[کد بانک]]&gt;0,TArticle[[#This Row],[مانده بانک]]-VLOOKUP(TArticle[[#This Row],[کد بانک]],TBank[],7,FALSE),"")</f>
        <v>337414</v>
      </c>
      <c r="AM542" s="49" t="str">
        <f>LEFT(TArticle[[#This Row],[تاریخ]],7)</f>
        <v>1403-03</v>
      </c>
    </row>
    <row r="543" spans="1:39" x14ac:dyDescent="0.25">
      <c r="A543" s="77"/>
      <c r="B543" s="49" t="str">
        <f>VLOOKUP(TArticle[[#This Row],[شناسه]],TAccount[],2,TRUE)</f>
        <v>---</v>
      </c>
      <c r="C543" s="49" t="str">
        <f>VLOOKUP(TArticle[[#This Row],[تاریخ]],TDays[],7,FALSE)</f>
        <v>سه شنبه</v>
      </c>
      <c r="D543" s="21" t="s">
        <v>1316</v>
      </c>
      <c r="F543" s="1">
        <f>TArticle[[#This Row],[مبلغ]]+IFERROR(INT(F542),30181+3667+958)</f>
        <v>295762</v>
      </c>
      <c r="G543" s="49"/>
      <c r="L543" s="171" t="str">
        <f>IF(TArticle[[#This Row],[کد وضعیت سند]]&gt;0,VLOOKUP(TArticle[[#This Row],[کد وضعیت سند]],TDocState[],2,FALSE),"")</f>
        <v/>
      </c>
      <c r="N543" s="171" t="str">
        <f>IF(TArticle[[#This Row],[کد طرف حساب]]&gt;0,VLOOKUP(TArticle[[#This Row],[کد طرف حساب]],TContact[],2,FALSE),"")</f>
        <v/>
      </c>
      <c r="O543" s="60" t="str">
        <f>IF(TArticle[[#This Row],[کد طرف حساب]]&gt;0,VLOOKUP(TArticle[[#This Row],[کد طرف حساب]],TContact[],7,FALSE)-SUMIF($M$2:M543,M543,$E$2:$E543),"")</f>
        <v/>
      </c>
      <c r="P543" s="27" t="str">
        <f>RIGHT(TArticle[[#This Row],[تاریخ]],2)</f>
        <v>29</v>
      </c>
      <c r="Q543" s="27">
        <f>VLOOKUP(TArticle[[#This Row],[تاریخ]],TDays[],16,FALSE)</f>
        <v>14</v>
      </c>
      <c r="R543" s="27" t="str">
        <f>RIGHT(LEFT(TArticle[[#This Row],[تاریخ]],7),2)</f>
        <v>03</v>
      </c>
      <c r="S543" s="27" t="str">
        <f>LEFT(TArticle[[#This Row],[تاریخ]],4)</f>
        <v>1403</v>
      </c>
      <c r="U543" s="21">
        <f>VLOOKUP(TArticle[[#This Row],[شناسه]],TAccount[],7,TRUE)</f>
        <v>0</v>
      </c>
      <c r="V543" s="28"/>
      <c r="W543" s="21">
        <f>IF(AND(TArticle[[#This Row],[مبلغ]]&gt;0, TArticle[[#This Row],[کد وضعیت سند]]=1),TArticle[[#This Row],[مبلغ]],0)</f>
        <v>0</v>
      </c>
      <c r="X543" s="27">
        <f>IF(AND(TArticle[[#This Row],[مبلغ]]&lt;0,TArticle[[#This Row],[کد وضعیت سند]]=1),0-TArticle[[#This Row],[مبلغ]],0)</f>
        <v>0</v>
      </c>
      <c r="Y543" s="27">
        <v>2</v>
      </c>
      <c r="Z543" s="171" t="str">
        <f>IF(TArticle[[#This Row],[کد بانک]]&gt;0,VLOOKUP(TArticle[[#This Row],[کد بانک]],TBank[],2,FALSE),"")</f>
        <v>ملی جاری</v>
      </c>
      <c r="AA543">
        <f>IF(AND(TArticle[[#This Row],[مبلغ]]&lt;0,TArticle[[#This Row],[کد وضعیت سند]]=1),0-TArticle[[#This Row],[مبلغ]],0)</f>
        <v>0</v>
      </c>
      <c r="AB543">
        <f>IF(AND(TArticle[[#This Row],[مبلغ]]&gt;0, TArticle[[#This Row],[کد وضعیت سند]]=1),TArticle[[#This Row],[مبلغ]],0)</f>
        <v>0</v>
      </c>
      <c r="AC543" s="84">
        <f>IF(TArticle[[#This Row],[کد بانک]]&gt;0,VLOOKUP(TArticle[[#This Row],[کد بانک]],TBank[],9,FALSE)+SUMIF($Y$2:Y543,Y543,$E$2:$E543),"")</f>
        <v>337414</v>
      </c>
      <c r="AD543" s="1">
        <f>IFERROR(IF(INT(LEFT(TArticle[[#This Row],[شناسه]]))=3,IF(TArticle[[#This Row],[کد وضعیت سند]]=1,TArticle[مبلغ],0),0),0)</f>
        <v>0</v>
      </c>
      <c r="AE543" s="1">
        <f>IFERROR(IF(((TArticle[[#This Row],[شناسه]]))="4.1.1",IF(TArticle[[#This Row],[کد وضعیت سند]]=1,TArticle[مبلغ],0),0),0)</f>
        <v>0</v>
      </c>
      <c r="AF543" s="1">
        <f>IFERROR(IF(((TArticle[[#This Row],[شناسه]]))="4.1.2",IF(TArticle[[#This Row],[کد وضعیت سند]]=1,TArticle[مبلغ],0),0),0)</f>
        <v>0</v>
      </c>
      <c r="AG543" s="1">
        <f>IFERROR(IF(INT(LEFT(TArticle[[#This Row],[شناسه]]))=1,IF(TArticle[[#This Row],[کد وضعیت سند]]=1,TArticle[مبلغ],0),0),0)</f>
        <v>0</v>
      </c>
      <c r="AH543" s="1">
        <f>IFERROR(IF(INT(LEFT(TArticle[[#This Row],[شناسه]]))=2,IF(TArticle[[#This Row],[کد وضعیت سند]]=1,TArticle[مبلغ],0),0),0)</f>
        <v>0</v>
      </c>
      <c r="AI543" s="1">
        <f>IFERROR(IF((LEFT(TArticle[[#This Row],[شناسه]],3))="5.2",IF(TArticle[[#This Row],[کد وضعیت سند]]=1,TArticle[مبلغ],0),0),0)</f>
        <v>0</v>
      </c>
      <c r="AJ543" s="1">
        <f>IF(TArticle[[#This Row],[کد وضعیت سند]]=1,1,0)</f>
        <v>0</v>
      </c>
      <c r="AK543" s="1">
        <f>IF(AND(TArticle[[#This Row],[کد وضعیت سند]]&lt;&gt;1,TArticle[[#This Row],[مبلغ]]&lt;&gt;0),1,0)</f>
        <v>0</v>
      </c>
      <c r="AL543" s="51">
        <f>IF(TArticle[[#This Row],[کد بانک]]&gt;0,TArticle[[#This Row],[مانده بانک]]-VLOOKUP(TArticle[[#This Row],[کد بانک]],TBank[],7,FALSE),"")</f>
        <v>337414</v>
      </c>
      <c r="AM543" s="58" t="str">
        <f>LEFT(TArticle[[#This Row],[تاریخ]],7)</f>
        <v>1403-03</v>
      </c>
    </row>
    <row r="544" spans="1:39" x14ac:dyDescent="0.25">
      <c r="A544" s="24"/>
      <c r="B544" s="49" t="str">
        <f>VLOOKUP(TArticle[[#This Row],[شناسه]],TAccount[],2,TRUE)</f>
        <v>---</v>
      </c>
      <c r="C544" s="49" t="str">
        <f>VLOOKUP(TArticle[[#This Row],[تاریخ]],TDays[],7,FALSE)</f>
        <v>سه شنبه</v>
      </c>
      <c r="D544" s="21" t="s">
        <v>1316</v>
      </c>
      <c r="F544" s="1">
        <f>TArticle[[#This Row],[مبلغ]]+IFERROR(INT(F543),30181+3667+958)</f>
        <v>295762</v>
      </c>
      <c r="G544" s="49"/>
      <c r="J544" s="65"/>
      <c r="K544" s="49"/>
      <c r="L544" s="171" t="str">
        <f>IF(TArticle[[#This Row],[کد وضعیت سند]]&gt;0,VLOOKUP(TArticle[[#This Row],[کد وضعیت سند]],TDocState[],2,FALSE),"")</f>
        <v/>
      </c>
      <c r="M544" s="67"/>
      <c r="N544" s="171" t="str">
        <f>IF(TArticle[[#This Row],[کد طرف حساب]]&gt;0,VLOOKUP(TArticle[[#This Row],[کد طرف حساب]],TContact[],2,FALSE),"")</f>
        <v/>
      </c>
      <c r="O544" s="68" t="str">
        <f>IF(TArticle[[#This Row],[کد طرف حساب]]&gt;0,VLOOKUP(TArticle[[#This Row],[کد طرف حساب]],TContact[],7,FALSE)-SUMIF($M$2:M544,M544,$E$2:$E544),"")</f>
        <v/>
      </c>
      <c r="P544" s="67" t="str">
        <f>RIGHT(TArticle[[#This Row],[تاریخ]],2)</f>
        <v>29</v>
      </c>
      <c r="Q544" s="67">
        <f>VLOOKUP(TArticle[[#This Row],[تاریخ]],TDays[],16,FALSE)</f>
        <v>14</v>
      </c>
      <c r="R544" s="67" t="str">
        <f>RIGHT(LEFT(TArticle[[#This Row],[تاریخ]],7),2)</f>
        <v>03</v>
      </c>
      <c r="S544" s="67" t="str">
        <f>LEFT(TArticle[[#This Row],[تاریخ]],4)</f>
        <v>1403</v>
      </c>
      <c r="T544" s="64"/>
      <c r="U544" s="64">
        <f>VLOOKUP(TArticle[[#This Row],[شناسه]],TAccount[],7,TRUE)</f>
        <v>0</v>
      </c>
      <c r="V544" s="64"/>
      <c r="W544" s="64">
        <f>IF(AND(TArticle[[#This Row],[مبلغ]]&gt;0, TArticle[[#This Row],[کد وضعیت سند]]=1),TArticle[[#This Row],[مبلغ]],0)</f>
        <v>0</v>
      </c>
      <c r="X544" s="67">
        <f>IF(AND(TArticle[[#This Row],[مبلغ]]&lt;0,TArticle[[#This Row],[کد وضعیت سند]]=1),0-TArticle[[#This Row],[مبلغ]],0)</f>
        <v>0</v>
      </c>
      <c r="Y544" s="27">
        <v>2</v>
      </c>
      <c r="Z544" s="171" t="str">
        <f>IF(TArticle[[#This Row],[کد بانک]]&gt;0,VLOOKUP(TArticle[[#This Row],[کد بانک]],TBank[],2,FALSE),"")</f>
        <v>ملی جاری</v>
      </c>
      <c r="AA544">
        <f>IF(AND(TArticle[[#This Row],[مبلغ]]&lt;0,TArticle[[#This Row],[کد وضعیت سند]]=1),0-TArticle[[#This Row],[مبلغ]],0)</f>
        <v>0</v>
      </c>
      <c r="AB544">
        <f>IF(AND(TArticle[[#This Row],[مبلغ]]&gt;0, TArticle[[#This Row],[کد وضعیت سند]]=1),TArticle[[#This Row],[مبلغ]],0)</f>
        <v>0</v>
      </c>
      <c r="AC544" s="93">
        <f>IF(TArticle[[#This Row],[کد بانک]]&gt;0,VLOOKUP(TArticle[[#This Row],[کد بانک]],TBank[],9,FALSE)+SUMIF($Y$2:Y544,Y544,$E$2:$E544),"")</f>
        <v>337414</v>
      </c>
      <c r="AD544" s="1">
        <f>IFERROR(IF(INT(LEFT(TArticle[[#This Row],[شناسه]]))=3,IF(TArticle[[#This Row],[کد وضعیت سند]]=1,TArticle[مبلغ],0),0),0)</f>
        <v>0</v>
      </c>
      <c r="AE544" s="1">
        <f>IFERROR(IF(((TArticle[[#This Row],[شناسه]]))="4.1.1",IF(TArticle[[#This Row],[کد وضعیت سند]]=1,TArticle[مبلغ],0),0),0)</f>
        <v>0</v>
      </c>
      <c r="AF544" s="1">
        <f>IFERROR(IF(((TArticle[[#This Row],[شناسه]]))="4.1.2",IF(TArticle[[#This Row],[کد وضعیت سند]]=1,TArticle[مبلغ],0),0),0)</f>
        <v>0</v>
      </c>
      <c r="AG544" s="1">
        <f>IFERROR(IF(INT(LEFT(TArticle[[#This Row],[شناسه]]))=1,IF(TArticle[[#This Row],[کد وضعیت سند]]=1,TArticle[مبلغ],0),0),0)</f>
        <v>0</v>
      </c>
      <c r="AH544" s="1">
        <f>IFERROR(IF(INT(LEFT(TArticle[[#This Row],[شناسه]]))=2,IF(TArticle[[#This Row],[کد وضعیت سند]]=1,TArticle[مبلغ],0),0),0)</f>
        <v>0</v>
      </c>
      <c r="AI544" s="1">
        <f>IFERROR(IF((LEFT(TArticle[[#This Row],[شناسه]],3))="5.2",IF(TArticle[[#This Row],[کد وضعیت سند]]=1,TArticle[مبلغ],0),0),0)</f>
        <v>0</v>
      </c>
      <c r="AJ544" s="1">
        <f>IF(TArticle[[#This Row],[کد وضعیت سند]]=1,1,0)</f>
        <v>0</v>
      </c>
      <c r="AK544" s="1">
        <f>IF(AND(TArticle[[#This Row],[کد وضعیت سند]]&lt;&gt;1,TArticle[[#This Row],[مبلغ]]&lt;&gt;0),1,0)</f>
        <v>0</v>
      </c>
      <c r="AL544" s="78">
        <f>IF(TArticle[[#This Row],[کد بانک]]&gt;0,TArticle[[#This Row],[مانده بانک]]-VLOOKUP(TArticle[[#This Row],[کد بانک]],TBank[],7,FALSE),"")</f>
        <v>337414</v>
      </c>
      <c r="AM544" s="58" t="str">
        <f>LEFT(TArticle[[#This Row],[تاریخ]],7)</f>
        <v>1403-03</v>
      </c>
    </row>
    <row r="545" spans="1:39" x14ac:dyDescent="0.25">
      <c r="A545" s="77"/>
      <c r="B545" s="49" t="str">
        <f>VLOOKUP(TArticle[[#This Row],[شناسه]],TAccount[],2,TRUE)</f>
        <v>---</v>
      </c>
      <c r="C545" s="49" t="str">
        <f>VLOOKUP(TArticle[[#This Row],[تاریخ]],TDays[],7,FALSE)</f>
        <v>سه شنبه</v>
      </c>
      <c r="D545" s="21" t="s">
        <v>1316</v>
      </c>
      <c r="F545" s="1">
        <f>TArticle[[#This Row],[مبلغ]]+IFERROR(INT(F544),30181+3667+958)</f>
        <v>295762</v>
      </c>
      <c r="G545" s="49"/>
      <c r="L545" s="171" t="str">
        <f>IF(TArticle[[#This Row],[کد وضعیت سند]]&gt;0,VLOOKUP(TArticle[[#This Row],[کد وضعیت سند]],TDocState[],2,FALSE),"")</f>
        <v/>
      </c>
      <c r="N545" s="171" t="str">
        <f>IF(TArticle[[#This Row],[کد طرف حساب]]&gt;0,VLOOKUP(TArticle[[#This Row],[کد طرف حساب]],TContact[],2,FALSE),"")</f>
        <v/>
      </c>
      <c r="O545" s="51" t="str">
        <f>IF(TArticle[[#This Row],[کد طرف حساب]]&gt;0,VLOOKUP(TArticle[[#This Row],[کد طرف حساب]],TContact[],7,FALSE)-SUMIF($M$2:M545,M545,$E$2:$E545),"")</f>
        <v/>
      </c>
      <c r="P545" s="21" t="str">
        <f>RIGHT(TArticle[[#This Row],[تاریخ]],2)</f>
        <v>29</v>
      </c>
      <c r="Q545" s="21">
        <f>VLOOKUP(TArticle[[#This Row],[تاریخ]],TDays[],16,FALSE)</f>
        <v>14</v>
      </c>
      <c r="R545" s="21" t="str">
        <f>RIGHT(LEFT(TArticle[[#This Row],[تاریخ]],7),2)</f>
        <v>03</v>
      </c>
      <c r="S545" s="21" t="str">
        <f>LEFT(TArticle[[#This Row],[تاریخ]],4)</f>
        <v>1403</v>
      </c>
      <c r="U545" s="21">
        <f>VLOOKUP(TArticle[[#This Row],[شناسه]],TAccount[],7,TRUE)</f>
        <v>0</v>
      </c>
      <c r="V545" s="28"/>
      <c r="W545" s="21">
        <f>IF(AND(TArticle[[#This Row],[مبلغ]]&gt;0, TArticle[[#This Row],[کد وضعیت سند]]=1),TArticle[[#This Row],[مبلغ]],0)</f>
        <v>0</v>
      </c>
      <c r="X545" s="21">
        <f>IF(AND(TArticle[[#This Row],[مبلغ]]&lt;0,TArticle[[#This Row],[کد وضعیت سند]]=1),0-TArticle[[#This Row],[مبلغ]],0)</f>
        <v>0</v>
      </c>
      <c r="Y545" s="27">
        <v>2</v>
      </c>
      <c r="Z545" s="171" t="str">
        <f>IF(TArticle[[#This Row],[کد بانک]]&gt;0,VLOOKUP(TArticle[[#This Row],[کد بانک]],TBank[],2,FALSE),"")</f>
        <v>ملی جاری</v>
      </c>
      <c r="AA545">
        <f>IF(AND(TArticle[[#This Row],[مبلغ]]&lt;0,TArticle[[#This Row],[کد وضعیت سند]]=1),0-TArticle[[#This Row],[مبلغ]],0)</f>
        <v>0</v>
      </c>
      <c r="AB545">
        <f>IF(AND(TArticle[[#This Row],[مبلغ]]&gt;0, TArticle[[#This Row],[کد وضعیت سند]]=1),TArticle[[#This Row],[مبلغ]],0)</f>
        <v>0</v>
      </c>
      <c r="AC545" s="84">
        <f>IF(TArticle[[#This Row],[کد بانک]]&gt;0,VLOOKUP(TArticle[[#This Row],[کد بانک]],TBank[],9,FALSE)+SUMIF($Y$2:Y545,Y545,$E$2:$E545),"")</f>
        <v>337414</v>
      </c>
      <c r="AD545" s="1">
        <f>IFERROR(IF(INT(LEFT(TArticle[[#This Row],[شناسه]]))=3,IF(TArticle[[#This Row],[کد وضعیت سند]]=1,TArticle[مبلغ],0),0),0)</f>
        <v>0</v>
      </c>
      <c r="AE545" s="1">
        <f>IFERROR(IF(((TArticle[[#This Row],[شناسه]]))="4.1.1",IF(TArticle[[#This Row],[کد وضعیت سند]]=1,TArticle[مبلغ],0),0),0)</f>
        <v>0</v>
      </c>
      <c r="AF545" s="1">
        <f>IFERROR(IF(((TArticle[[#This Row],[شناسه]]))="4.1.2",IF(TArticle[[#This Row],[کد وضعیت سند]]=1,TArticle[مبلغ],0),0),0)</f>
        <v>0</v>
      </c>
      <c r="AG545" s="1">
        <f>IFERROR(IF(INT(LEFT(TArticle[[#This Row],[شناسه]]))=1,IF(TArticle[[#This Row],[کد وضعیت سند]]=1,TArticle[مبلغ],0),0),0)</f>
        <v>0</v>
      </c>
      <c r="AH545" s="1">
        <f>IFERROR(IF(INT(LEFT(TArticle[[#This Row],[شناسه]]))=2,IF(TArticle[[#This Row],[کد وضعیت سند]]=1,TArticle[مبلغ],0),0),0)</f>
        <v>0</v>
      </c>
      <c r="AI545" s="1">
        <f>IFERROR(IF((LEFT(TArticle[[#This Row],[شناسه]],3))="5.2",IF(TArticle[[#This Row],[کد وضعیت سند]]=1,TArticle[مبلغ],0),0),0)</f>
        <v>0</v>
      </c>
      <c r="AJ545" s="1">
        <f>IF(TArticle[[#This Row],[کد وضعیت سند]]=1,1,0)</f>
        <v>0</v>
      </c>
      <c r="AK545" s="1">
        <f>IF(AND(TArticle[[#This Row],[کد وضعیت سند]]&lt;&gt;1,TArticle[[#This Row],[مبلغ]]&lt;&gt;0),1,0)</f>
        <v>0</v>
      </c>
      <c r="AL545" s="51">
        <f>IF(TArticle[[#This Row],[کد بانک]]&gt;0,TArticle[[#This Row],[مانده بانک]]-VLOOKUP(TArticle[[#This Row],[کد بانک]],TBank[],7,FALSE),"")</f>
        <v>337414</v>
      </c>
      <c r="AM545" s="58" t="str">
        <f>LEFT(TArticle[[#This Row],[تاریخ]],7)</f>
        <v>1403-03</v>
      </c>
    </row>
    <row r="546" spans="1:39" x14ac:dyDescent="0.25">
      <c r="A546" s="24"/>
      <c r="B546" s="49" t="str">
        <f>VLOOKUP(TArticle[[#This Row],[شناسه]],TAccount[],2,TRUE)</f>
        <v>---</v>
      </c>
      <c r="C546" s="49" t="str">
        <f>VLOOKUP(TArticle[[#This Row],[تاریخ]],TDays[],7,FALSE)</f>
        <v>سه شنبه</v>
      </c>
      <c r="D546" s="21" t="s">
        <v>1316</v>
      </c>
      <c r="F546" s="1">
        <f>TArticle[[#This Row],[مبلغ]]+IFERROR(INT(F545),30181+3667+958)</f>
        <v>295762</v>
      </c>
      <c r="G546" s="49"/>
      <c r="J546" s="51"/>
      <c r="K546" s="49"/>
      <c r="L546" s="171" t="str">
        <f>IF(TArticle[[#This Row],[کد وضعیت سند]]&gt;0,VLOOKUP(TArticle[[#This Row],[کد وضعیت سند]],TDocState[],2,FALSE),"")</f>
        <v/>
      </c>
      <c r="M546" s="67"/>
      <c r="N546" s="171" t="str">
        <f>IF(TArticle[[#This Row],[کد طرف حساب]]&gt;0,VLOOKUP(TArticle[[#This Row],[کد طرف حساب]],TContact[],2,FALSE),"")</f>
        <v/>
      </c>
      <c r="O546" s="60" t="str">
        <f>IF(TArticle[[#This Row],[کد طرف حساب]]&gt;0,VLOOKUP(TArticle[[#This Row],[کد طرف حساب]],TContact[],7,FALSE)-SUMIF($M$2:M546,M546,$E$2:$E546),"")</f>
        <v/>
      </c>
      <c r="P546" s="27" t="str">
        <f>RIGHT(TArticle[[#This Row],[تاریخ]],2)</f>
        <v>29</v>
      </c>
      <c r="Q546" s="27">
        <f>VLOOKUP(TArticle[[#This Row],[تاریخ]],TDays[],16,FALSE)</f>
        <v>14</v>
      </c>
      <c r="R546" s="27" t="str">
        <f>RIGHT(LEFT(TArticle[[#This Row],[تاریخ]],7),2)</f>
        <v>03</v>
      </c>
      <c r="S546" s="27" t="str">
        <f>LEFT(TArticle[[#This Row],[تاریخ]],4)</f>
        <v>1403</v>
      </c>
      <c r="U546" s="21">
        <f>VLOOKUP(TArticle[[#This Row],[شناسه]],TAccount[],7,TRUE)</f>
        <v>0</v>
      </c>
      <c r="W546" s="21">
        <f>IF(AND(TArticle[[#This Row],[مبلغ]]&gt;0, TArticle[[#This Row],[کد وضعیت سند]]=1),TArticle[[#This Row],[مبلغ]],0)</f>
        <v>0</v>
      </c>
      <c r="X546" s="27">
        <f>IF(AND(TArticle[[#This Row],[مبلغ]]&lt;0,TArticle[[#This Row],[کد وضعیت سند]]=1),0-TArticle[[#This Row],[مبلغ]],0)</f>
        <v>0</v>
      </c>
      <c r="Y546" s="27">
        <v>2</v>
      </c>
      <c r="Z546" s="171" t="str">
        <f>IF(TArticle[[#This Row],[کد بانک]]&gt;0,VLOOKUP(TArticle[[#This Row],[کد بانک]],TBank[],2,FALSE),"")</f>
        <v>ملی جاری</v>
      </c>
      <c r="AA546">
        <f>IF(AND(TArticle[[#This Row],[مبلغ]]&lt;0,TArticle[[#This Row],[کد وضعیت سند]]=1),0-TArticle[[#This Row],[مبلغ]],0)</f>
        <v>0</v>
      </c>
      <c r="AB546">
        <f>IF(AND(TArticle[[#This Row],[مبلغ]]&gt;0, TArticle[[#This Row],[کد وضعیت سند]]=1),TArticle[[#This Row],[مبلغ]],0)</f>
        <v>0</v>
      </c>
      <c r="AC546" s="92">
        <f>IF(TArticle[[#This Row],[کد بانک]]&gt;0,VLOOKUP(TArticle[[#This Row],[کد بانک]],TBank[],9,FALSE)+SUMIF($Y$2:Y546,Y546,$E$2:$E546),"")</f>
        <v>337414</v>
      </c>
      <c r="AD546" s="1">
        <f>IFERROR(IF(INT(LEFT(TArticle[[#This Row],[شناسه]]))=3,IF(TArticle[[#This Row],[کد وضعیت سند]]=1,TArticle[مبلغ],0),0),0)</f>
        <v>0</v>
      </c>
      <c r="AE546" s="1">
        <f>IFERROR(IF(((TArticle[[#This Row],[شناسه]]))="4.1.1",IF(TArticle[[#This Row],[کد وضعیت سند]]=1,TArticle[مبلغ],0),0),0)</f>
        <v>0</v>
      </c>
      <c r="AF546" s="1">
        <f>IFERROR(IF(((TArticle[[#This Row],[شناسه]]))="4.1.2",IF(TArticle[[#This Row],[کد وضعیت سند]]=1,TArticle[مبلغ],0),0),0)</f>
        <v>0</v>
      </c>
      <c r="AG546" s="1">
        <f>IFERROR(IF(INT(LEFT(TArticle[[#This Row],[شناسه]]))=1,IF(TArticle[[#This Row],[کد وضعیت سند]]=1,TArticle[مبلغ],0),0),0)</f>
        <v>0</v>
      </c>
      <c r="AH546" s="1">
        <f>IFERROR(IF(INT(LEFT(TArticle[[#This Row],[شناسه]]))=2,IF(TArticle[[#This Row],[کد وضعیت سند]]=1,TArticle[مبلغ],0),0),0)</f>
        <v>0</v>
      </c>
      <c r="AI546" s="1">
        <f>IFERROR(IF((LEFT(TArticle[[#This Row],[شناسه]],3))="5.2",IF(TArticle[[#This Row],[کد وضعیت سند]]=1,TArticle[مبلغ],0),0),0)</f>
        <v>0</v>
      </c>
      <c r="AJ546" s="1">
        <f>IF(TArticle[[#This Row],[کد وضعیت سند]]=1,1,0)</f>
        <v>0</v>
      </c>
      <c r="AK546" s="1">
        <f>IF(AND(TArticle[[#This Row],[کد وضعیت سند]]&lt;&gt;1,TArticle[[#This Row],[مبلغ]]&lt;&gt;0),1,0)</f>
        <v>0</v>
      </c>
      <c r="AL546" s="51">
        <f>IF(TArticle[[#This Row],[کد بانک]]&gt;0,TArticle[[#This Row],[مانده بانک]]-VLOOKUP(TArticle[[#This Row],[کد بانک]],TBank[],7,FALSE),"")</f>
        <v>337414</v>
      </c>
      <c r="AM546" s="58" t="str">
        <f>LEFT(TArticle[[#This Row],[تاریخ]],7)</f>
        <v>1403-03</v>
      </c>
    </row>
    <row r="547" spans="1:39" x14ac:dyDescent="0.25">
      <c r="A547" s="24"/>
      <c r="B547" s="49" t="str">
        <f>VLOOKUP(TArticle[[#This Row],[شناسه]],TAccount[],2,TRUE)</f>
        <v>---</v>
      </c>
      <c r="C547" s="49" t="str">
        <f>VLOOKUP(TArticle[[#This Row],[تاریخ]],TDays[],7,FALSE)</f>
        <v>سه شنبه</v>
      </c>
      <c r="D547" s="21" t="s">
        <v>1316</v>
      </c>
      <c r="F547" s="1">
        <f>TArticle[[#This Row],[مبلغ]]+IFERROR(INT(F546),30181+3667+958)</f>
        <v>295762</v>
      </c>
      <c r="G547" s="49"/>
      <c r="L547" s="171" t="str">
        <f>IF(TArticle[[#This Row],[کد وضعیت سند]]&gt;0,VLOOKUP(TArticle[[#This Row],[کد وضعیت سند]],TDocState[],2,FALSE),"")</f>
        <v/>
      </c>
      <c r="N547" s="171" t="str">
        <f>IF(TArticle[[#This Row],[کد طرف حساب]]&gt;0,VLOOKUP(TArticle[[#This Row],[کد طرف حساب]],TContact[],2,FALSE),"")</f>
        <v/>
      </c>
      <c r="O547" s="61" t="str">
        <f>IF(TArticle[[#This Row],[کد طرف حساب]]&gt;0,VLOOKUP(TArticle[[#This Row],[کد طرف حساب]],TContact[],7,FALSE)-SUMIF($M$2:M547,M547,$E$2:$E547),"")</f>
        <v/>
      </c>
      <c r="P547" s="27" t="str">
        <f>RIGHT(TArticle[[#This Row],[تاریخ]],2)</f>
        <v>29</v>
      </c>
      <c r="Q547" s="27">
        <f>VLOOKUP(TArticle[[#This Row],[تاریخ]],TDays[],16,FALSE)</f>
        <v>14</v>
      </c>
      <c r="R547" s="27" t="str">
        <f>RIGHT(LEFT(TArticle[[#This Row],[تاریخ]],7),2)</f>
        <v>03</v>
      </c>
      <c r="S547" s="27" t="str">
        <f>LEFT(TArticle[[#This Row],[تاریخ]],4)</f>
        <v>1403</v>
      </c>
      <c r="U547" s="21">
        <f>VLOOKUP(TArticle[[#This Row],[شناسه]],TAccount[],7,TRUE)</f>
        <v>0</v>
      </c>
      <c r="W547" s="21">
        <f>IF(AND(TArticle[[#This Row],[مبلغ]]&gt;0, TArticle[[#This Row],[کد وضعیت سند]]=1),TArticle[[#This Row],[مبلغ]],0)</f>
        <v>0</v>
      </c>
      <c r="X547" s="27">
        <f>IF(AND(TArticle[[#This Row],[مبلغ]]&lt;0,TArticle[[#This Row],[کد وضعیت سند]]=1),0-TArticle[[#This Row],[مبلغ]],0)</f>
        <v>0</v>
      </c>
      <c r="Y547" s="27">
        <v>2</v>
      </c>
      <c r="Z547" s="171" t="str">
        <f>IF(TArticle[[#This Row],[کد بانک]]&gt;0,VLOOKUP(TArticle[[#This Row],[کد بانک]],TBank[],2,FALSE),"")</f>
        <v>ملی جاری</v>
      </c>
      <c r="AA547">
        <f>IF(AND(TArticle[[#This Row],[مبلغ]]&lt;0,TArticle[[#This Row],[کد وضعیت سند]]=1),0-TArticle[[#This Row],[مبلغ]],0)</f>
        <v>0</v>
      </c>
      <c r="AB547">
        <f>IF(AND(TArticle[[#This Row],[مبلغ]]&gt;0, TArticle[[#This Row],[کد وضعیت سند]]=1),TArticle[[#This Row],[مبلغ]],0)</f>
        <v>0</v>
      </c>
      <c r="AC547" s="84">
        <f>IF(TArticle[[#This Row],[کد بانک]]&gt;0,VLOOKUP(TArticle[[#This Row],[کد بانک]],TBank[],9,FALSE)+SUMIF($Y$2:Y547,Y547,$E$2:$E547),"")</f>
        <v>337414</v>
      </c>
      <c r="AD547" s="1">
        <f>IFERROR(IF(INT(LEFT(TArticle[[#This Row],[شناسه]]))=3,IF(TArticle[[#This Row],[کد وضعیت سند]]=1,TArticle[مبلغ],0),0),0)</f>
        <v>0</v>
      </c>
      <c r="AE547" s="1">
        <f>IFERROR(IF(((TArticle[[#This Row],[شناسه]]))="4.1.1",IF(TArticle[[#This Row],[کد وضعیت سند]]=1,TArticle[مبلغ],0),0),0)</f>
        <v>0</v>
      </c>
      <c r="AF547" s="1">
        <f>IFERROR(IF(((TArticle[[#This Row],[شناسه]]))="4.1.2",IF(TArticle[[#This Row],[کد وضعیت سند]]=1,TArticle[مبلغ],0),0),0)</f>
        <v>0</v>
      </c>
      <c r="AG547" s="1">
        <f>IFERROR(IF(INT(LEFT(TArticle[[#This Row],[شناسه]]))=1,IF(TArticle[[#This Row],[کد وضعیت سند]]=1,TArticle[مبلغ],0),0),0)</f>
        <v>0</v>
      </c>
      <c r="AH547" s="1">
        <f>IFERROR(IF(INT(LEFT(TArticle[[#This Row],[شناسه]]))=2,IF(TArticle[[#This Row],[کد وضعیت سند]]=1,TArticle[مبلغ],0),0),0)</f>
        <v>0</v>
      </c>
      <c r="AI547" s="1">
        <f>IFERROR(IF((LEFT(TArticle[[#This Row],[شناسه]],3))="5.2",IF(TArticle[[#This Row],[کد وضعیت سند]]=1,TArticle[مبلغ],0),0),0)</f>
        <v>0</v>
      </c>
      <c r="AJ547" s="1">
        <f>IF(TArticle[[#This Row],[کد وضعیت سند]]=1,1,0)</f>
        <v>0</v>
      </c>
      <c r="AK547" s="1">
        <f>IF(AND(TArticle[[#This Row],[کد وضعیت سند]]&lt;&gt;1,TArticle[[#This Row],[مبلغ]]&lt;&gt;0),1,0)</f>
        <v>0</v>
      </c>
      <c r="AL547" s="51">
        <f>IF(TArticle[[#This Row],[کد بانک]]&gt;0,TArticle[[#This Row],[مانده بانک]]-VLOOKUP(TArticle[[#This Row],[کد بانک]],TBank[],7,FALSE),"")</f>
        <v>337414</v>
      </c>
      <c r="AM547" s="58" t="str">
        <f>LEFT(TArticle[[#This Row],[تاریخ]],7)</f>
        <v>1403-03</v>
      </c>
    </row>
    <row r="548" spans="1:39" x14ac:dyDescent="0.25">
      <c r="A548" s="24"/>
      <c r="B548" s="49" t="str">
        <f>VLOOKUP(TArticle[[#This Row],[شناسه]],TAccount[],2,TRUE)</f>
        <v>---</v>
      </c>
      <c r="C548" s="49" t="str">
        <f>VLOOKUP(TArticle[[#This Row],[تاریخ]],TDays[],7,FALSE)</f>
        <v>سه شنبه</v>
      </c>
      <c r="D548" s="21" t="s">
        <v>1316</v>
      </c>
      <c r="F548" s="1">
        <f>TArticle[[#This Row],[مبلغ]]+IFERROR(INT(F547),30181+3667+958)</f>
        <v>295762</v>
      </c>
      <c r="G548" s="49"/>
      <c r="L548" s="171" t="str">
        <f>IF(TArticle[[#This Row],[کد وضعیت سند]]&gt;0,VLOOKUP(TArticle[[#This Row],[کد وضعیت سند]],TDocState[],2,FALSE),"")</f>
        <v/>
      </c>
      <c r="N548" s="171" t="str">
        <f>IF(TArticle[[#This Row],[کد طرف حساب]]&gt;0,VLOOKUP(TArticle[[#This Row],[کد طرف حساب]],TContact[],2,FALSE),"")</f>
        <v/>
      </c>
      <c r="O548" s="61" t="str">
        <f>IF(TArticle[[#This Row],[کد طرف حساب]]&gt;0,VLOOKUP(TArticle[[#This Row],[کد طرف حساب]],TContact[],7,FALSE)-SUMIF($M$2:M548,M548,$E$2:$E548),"")</f>
        <v/>
      </c>
      <c r="P548" s="27" t="str">
        <f>RIGHT(TArticle[[#This Row],[تاریخ]],2)</f>
        <v>29</v>
      </c>
      <c r="Q548" s="27">
        <f>VLOOKUP(TArticle[[#This Row],[تاریخ]],TDays[],16,FALSE)</f>
        <v>14</v>
      </c>
      <c r="R548" s="27" t="str">
        <f>RIGHT(LEFT(TArticle[[#This Row],[تاریخ]],7),2)</f>
        <v>03</v>
      </c>
      <c r="S548" s="27" t="str">
        <f>LEFT(TArticle[[#This Row],[تاریخ]],4)</f>
        <v>1403</v>
      </c>
      <c r="U548" s="21">
        <f>VLOOKUP(TArticle[[#This Row],[شناسه]],TAccount[],7,TRUE)</f>
        <v>0</v>
      </c>
      <c r="W548" s="21">
        <f>IF(AND(TArticle[[#This Row],[مبلغ]]&gt;0, TArticle[[#This Row],[کد وضعیت سند]]=1),TArticle[[#This Row],[مبلغ]],0)</f>
        <v>0</v>
      </c>
      <c r="X548" s="27">
        <f>IF(AND(TArticle[[#This Row],[مبلغ]]&lt;0,TArticle[[#This Row],[کد وضعیت سند]]=1),0-TArticle[[#This Row],[مبلغ]],0)</f>
        <v>0</v>
      </c>
      <c r="Y548" s="27">
        <v>2</v>
      </c>
      <c r="Z548" s="171" t="str">
        <f>IF(TArticle[[#This Row],[کد بانک]]&gt;0,VLOOKUP(TArticle[[#This Row],[کد بانک]],TBank[],2,FALSE),"")</f>
        <v>ملی جاری</v>
      </c>
      <c r="AA548">
        <f>IF(AND(TArticle[[#This Row],[مبلغ]]&lt;0,TArticle[[#This Row],[کد وضعیت سند]]=1),0-TArticle[[#This Row],[مبلغ]],0)</f>
        <v>0</v>
      </c>
      <c r="AB548">
        <f>IF(AND(TArticle[[#This Row],[مبلغ]]&gt;0, TArticle[[#This Row],[کد وضعیت سند]]=1),TArticle[[#This Row],[مبلغ]],0)</f>
        <v>0</v>
      </c>
      <c r="AC548" s="84">
        <f>IF(TArticle[[#This Row],[کد بانک]]&gt;0,VLOOKUP(TArticle[[#This Row],[کد بانک]],TBank[],9,FALSE)+SUMIF($Y$2:Y548,Y548,$E$2:$E548),"")</f>
        <v>337414</v>
      </c>
      <c r="AD548" s="1">
        <f>IFERROR(IF(INT(LEFT(TArticle[[#This Row],[شناسه]]))=3,IF(TArticle[[#This Row],[کد وضعیت سند]]=1,TArticle[مبلغ],0),0),0)</f>
        <v>0</v>
      </c>
      <c r="AE548" s="1">
        <f>IFERROR(IF(((TArticle[[#This Row],[شناسه]]))="4.1.1",IF(TArticle[[#This Row],[کد وضعیت سند]]=1,TArticle[مبلغ],0),0),0)</f>
        <v>0</v>
      </c>
      <c r="AF548" s="1">
        <f>IFERROR(IF(((TArticle[[#This Row],[شناسه]]))="4.1.2",IF(TArticle[[#This Row],[کد وضعیت سند]]=1,TArticle[مبلغ],0),0),0)</f>
        <v>0</v>
      </c>
      <c r="AG548" s="1">
        <f>IFERROR(IF(INT(LEFT(TArticle[[#This Row],[شناسه]]))=1,IF(TArticle[[#This Row],[کد وضعیت سند]]=1,TArticle[مبلغ],0),0),0)</f>
        <v>0</v>
      </c>
      <c r="AH548" s="1">
        <f>IFERROR(IF(INT(LEFT(TArticle[[#This Row],[شناسه]]))=2,IF(TArticle[[#This Row],[کد وضعیت سند]]=1,TArticle[مبلغ],0),0),0)</f>
        <v>0</v>
      </c>
      <c r="AI548" s="1">
        <f>IFERROR(IF((LEFT(TArticle[[#This Row],[شناسه]],3))="5.2",IF(TArticle[[#This Row],[کد وضعیت سند]]=1,TArticle[مبلغ],0),0),0)</f>
        <v>0</v>
      </c>
      <c r="AJ548" s="1">
        <f>IF(TArticle[[#This Row],[کد وضعیت سند]]=1,1,0)</f>
        <v>0</v>
      </c>
      <c r="AK548" s="1">
        <f>IF(AND(TArticle[[#This Row],[کد وضعیت سند]]&lt;&gt;1,TArticle[[#This Row],[مبلغ]]&lt;&gt;0),1,0)</f>
        <v>0</v>
      </c>
      <c r="AL548" s="51">
        <f>IF(TArticle[[#This Row],[کد بانک]]&gt;0,TArticle[[#This Row],[مانده بانک]]-VLOOKUP(TArticle[[#This Row],[کد بانک]],TBank[],7,FALSE),"")</f>
        <v>337414</v>
      </c>
      <c r="AM548" s="58" t="str">
        <f>LEFT(TArticle[[#This Row],[تاریخ]],7)</f>
        <v>1403-03</v>
      </c>
    </row>
    <row r="549" spans="1:39" x14ac:dyDescent="0.25">
      <c r="A549" s="24"/>
      <c r="B549" s="49" t="str">
        <f>VLOOKUP(TArticle[[#This Row],[شناسه]],TAccount[],2,TRUE)</f>
        <v>---</v>
      </c>
      <c r="C549" s="49" t="str">
        <f>VLOOKUP(TArticle[[#This Row],[تاریخ]],TDays[],7,FALSE)</f>
        <v>سه شنبه</v>
      </c>
      <c r="D549" s="21" t="s">
        <v>1316</v>
      </c>
      <c r="F549" s="1">
        <f>TArticle[[#This Row],[مبلغ]]+IFERROR(INT(F548),30181+3667+958)</f>
        <v>295762</v>
      </c>
      <c r="G549" s="49"/>
      <c r="J549" s="65"/>
      <c r="K549" s="49"/>
      <c r="L549" s="171" t="str">
        <f>IF(TArticle[[#This Row],[کد وضعیت سند]]&gt;0,VLOOKUP(TArticle[[#This Row],[کد وضعیت سند]],TDocState[],2,FALSE),"")</f>
        <v/>
      </c>
      <c r="M549" s="67"/>
      <c r="N549" s="171" t="str">
        <f>IF(TArticle[[#This Row],[کد طرف حساب]]&gt;0,VLOOKUP(TArticle[[#This Row],[کد طرف حساب]],TContact[],2,FALSE),"")</f>
        <v/>
      </c>
      <c r="O549" s="51" t="str">
        <f>IF(TArticle[[#This Row],[کد طرف حساب]]&gt;0,VLOOKUP(TArticle[[#This Row],[کد طرف حساب]],TContact[],7,FALSE)-SUMIF($M$2:M549,M549,$E$2:$E549),"")</f>
        <v/>
      </c>
      <c r="P549" s="67" t="str">
        <f>RIGHT(TArticle[[#This Row],[تاریخ]],2)</f>
        <v>29</v>
      </c>
      <c r="Q549" s="67">
        <f>VLOOKUP(TArticle[[#This Row],[تاریخ]],TDays[],16,FALSE)</f>
        <v>14</v>
      </c>
      <c r="R549" s="67" t="str">
        <f>RIGHT(LEFT(TArticle[[#This Row],[تاریخ]],7),2)</f>
        <v>03</v>
      </c>
      <c r="S549" s="67" t="str">
        <f>LEFT(TArticle[[#This Row],[تاریخ]],4)</f>
        <v>1403</v>
      </c>
      <c r="T549" s="64"/>
      <c r="U549" s="64">
        <f>VLOOKUP(TArticle[[#This Row],[شناسه]],TAccount[],7,TRUE)</f>
        <v>0</v>
      </c>
      <c r="V549" s="64"/>
      <c r="W549" s="64">
        <f>IF(AND(TArticle[[#This Row],[مبلغ]]&gt;0, TArticle[[#This Row],[کد وضعیت سند]]=1),TArticle[[#This Row],[مبلغ]],0)</f>
        <v>0</v>
      </c>
      <c r="X549" s="67">
        <f>IF(AND(TArticle[[#This Row],[مبلغ]]&lt;0,TArticle[[#This Row],[کد وضعیت سند]]=1),0-TArticle[[#This Row],[مبلغ]],0)</f>
        <v>0</v>
      </c>
      <c r="Y549" s="27">
        <v>2</v>
      </c>
      <c r="Z549" s="171" t="str">
        <f>IF(TArticle[[#This Row],[کد بانک]]&gt;0,VLOOKUP(TArticle[[#This Row],[کد بانک]],TBank[],2,FALSE),"")</f>
        <v>ملی جاری</v>
      </c>
      <c r="AA549">
        <f>IF(AND(TArticle[[#This Row],[مبلغ]]&lt;0,TArticle[[#This Row],[کد وضعیت سند]]=1),0-TArticle[[#This Row],[مبلغ]],0)</f>
        <v>0</v>
      </c>
      <c r="AB549">
        <f>IF(AND(TArticle[[#This Row],[مبلغ]]&gt;0, TArticle[[#This Row],[کد وضعیت سند]]=1),TArticle[[#This Row],[مبلغ]],0)</f>
        <v>0</v>
      </c>
      <c r="AC549" s="93">
        <f>IF(TArticle[[#This Row],[کد بانک]]&gt;0,VLOOKUP(TArticle[[#This Row],[کد بانک]],TBank[],9,FALSE)+SUMIF($Y$2:Y549,Y549,$E$2:$E549),"")</f>
        <v>337414</v>
      </c>
      <c r="AD549" s="1">
        <f>IFERROR(IF(INT(LEFT(TArticle[[#This Row],[شناسه]]))=3,IF(TArticle[[#This Row],[کد وضعیت سند]]=1,TArticle[مبلغ],0),0),0)</f>
        <v>0</v>
      </c>
      <c r="AE549" s="1">
        <f>IFERROR(IF(((TArticle[[#This Row],[شناسه]]))="4.1.1",IF(TArticle[[#This Row],[کد وضعیت سند]]=1,TArticle[مبلغ],0),0),0)</f>
        <v>0</v>
      </c>
      <c r="AF549" s="1">
        <f>IFERROR(IF(((TArticle[[#This Row],[شناسه]]))="4.1.2",IF(TArticle[[#This Row],[کد وضعیت سند]]=1,TArticle[مبلغ],0),0),0)</f>
        <v>0</v>
      </c>
      <c r="AG549" s="1">
        <f>IFERROR(IF(INT(LEFT(TArticle[[#This Row],[شناسه]]))=1,IF(TArticle[[#This Row],[کد وضعیت سند]]=1,TArticle[مبلغ],0),0),0)</f>
        <v>0</v>
      </c>
      <c r="AH549" s="1">
        <f>IFERROR(IF(INT(LEFT(TArticle[[#This Row],[شناسه]]))=2,IF(TArticle[[#This Row],[کد وضعیت سند]]=1,TArticle[مبلغ],0),0),0)</f>
        <v>0</v>
      </c>
      <c r="AI549" s="1">
        <f>IFERROR(IF((LEFT(TArticle[[#This Row],[شناسه]],3))="5.2",IF(TArticle[[#This Row],[کد وضعیت سند]]=1,TArticle[مبلغ],0),0),0)</f>
        <v>0</v>
      </c>
      <c r="AJ549" s="1">
        <f>IF(TArticle[[#This Row],[کد وضعیت سند]]=1,1,0)</f>
        <v>0</v>
      </c>
      <c r="AK549" s="1">
        <f>IF(AND(TArticle[[#This Row],[کد وضعیت سند]]&lt;&gt;1,TArticle[[#This Row],[مبلغ]]&lt;&gt;0),1,0)</f>
        <v>0</v>
      </c>
      <c r="AL549" s="78">
        <f>IF(TArticle[[#This Row],[کد بانک]]&gt;0,TArticle[[#This Row],[مانده بانک]]-VLOOKUP(TArticle[[#This Row],[کد بانک]],TBank[],7,FALSE),"")</f>
        <v>337414</v>
      </c>
      <c r="AM549" s="58" t="str">
        <f>LEFT(TArticle[[#This Row],[تاریخ]],7)</f>
        <v>1403-03</v>
      </c>
    </row>
    <row r="550" spans="1:39" x14ac:dyDescent="0.25">
      <c r="A550" s="24"/>
      <c r="B550" s="49" t="str">
        <f>VLOOKUP(TArticle[[#This Row],[شناسه]],TAccount[],2,TRUE)</f>
        <v>---</v>
      </c>
      <c r="C550" s="49" t="str">
        <f>VLOOKUP(TArticle[[#This Row],[تاریخ]],TDays[],7,FALSE)</f>
        <v>سه شنبه</v>
      </c>
      <c r="D550" s="21" t="s">
        <v>1316</v>
      </c>
      <c r="F550" s="1">
        <f>TArticle[[#This Row],[مبلغ]]+IFERROR(INT(F549),30181+3667+958)</f>
        <v>295762</v>
      </c>
      <c r="G550" s="49"/>
      <c r="H550" s="64"/>
      <c r="J550" s="65"/>
      <c r="K550" s="64"/>
      <c r="L550" s="171" t="str">
        <f>IF(TArticle[[#This Row],[کد وضعیت سند]]&gt;0,VLOOKUP(TArticle[[#This Row],[کد وضعیت سند]],TDocState[],2,FALSE),"")</f>
        <v/>
      </c>
      <c r="M550" s="67"/>
      <c r="N550" s="171" t="str">
        <f>IF(TArticle[[#This Row],[کد طرف حساب]]&gt;0,VLOOKUP(TArticle[[#This Row],[کد طرف حساب]],TContact[],2,FALSE),"")</f>
        <v/>
      </c>
      <c r="O550" s="68" t="str">
        <f>IF(TArticle[[#This Row],[کد طرف حساب]]&gt;0,VLOOKUP(TArticle[[#This Row],[کد طرف حساب]],TContact[],7,FALSE)-SUMIF($M$2:M550,M550,$E$2:$E550),"")</f>
        <v/>
      </c>
      <c r="P550" s="67" t="str">
        <f>RIGHT(TArticle[[#This Row],[تاریخ]],2)</f>
        <v>29</v>
      </c>
      <c r="Q550" s="67">
        <f>VLOOKUP(TArticle[[#This Row],[تاریخ]],TDays[],16,FALSE)</f>
        <v>14</v>
      </c>
      <c r="R550" s="67" t="str">
        <f>RIGHT(LEFT(TArticle[[#This Row],[تاریخ]],7),2)</f>
        <v>03</v>
      </c>
      <c r="S550" s="67" t="str">
        <f>LEFT(TArticle[[#This Row],[تاریخ]],4)</f>
        <v>1403</v>
      </c>
      <c r="T550" s="64"/>
      <c r="U550" s="64">
        <f>VLOOKUP(TArticle[[#This Row],[شناسه]],TAccount[],7,TRUE)</f>
        <v>0</v>
      </c>
      <c r="V550" s="64"/>
      <c r="W550" s="64">
        <f>IF(AND(TArticle[[#This Row],[مبلغ]]&gt;0, TArticle[[#This Row],[کد وضعیت سند]]=1),TArticle[[#This Row],[مبلغ]],0)</f>
        <v>0</v>
      </c>
      <c r="X550" s="67">
        <f>IF(AND(TArticle[[#This Row],[مبلغ]]&lt;0,TArticle[[#This Row],[کد وضعیت سند]]=1),0-TArticle[[#This Row],[مبلغ]],0)</f>
        <v>0</v>
      </c>
      <c r="Y550" s="27">
        <v>2</v>
      </c>
      <c r="Z550" s="171" t="str">
        <f>IF(TArticle[[#This Row],[کد بانک]]&gt;0,VLOOKUP(TArticle[[#This Row],[کد بانک]],TBank[],2,FALSE),"")</f>
        <v>ملی جاری</v>
      </c>
      <c r="AA550">
        <f>IF(AND(TArticle[[#This Row],[مبلغ]]&lt;0,TArticle[[#This Row],[کد وضعیت سند]]=1),0-TArticle[[#This Row],[مبلغ]],0)</f>
        <v>0</v>
      </c>
      <c r="AB550">
        <f>IF(AND(TArticle[[#This Row],[مبلغ]]&gt;0, TArticle[[#This Row],[کد وضعیت سند]]=1),TArticle[[#This Row],[مبلغ]],0)</f>
        <v>0</v>
      </c>
      <c r="AC550" s="93">
        <f>IF(TArticle[[#This Row],[کد بانک]]&gt;0,VLOOKUP(TArticle[[#This Row],[کد بانک]],TBank[],9,FALSE)+SUMIF($Y$2:Y550,Y550,$E$2:$E550),"")</f>
        <v>337414</v>
      </c>
      <c r="AD550" s="1">
        <f>IFERROR(IF(INT(LEFT(TArticle[[#This Row],[شناسه]]))=3,IF(TArticle[[#This Row],[کد وضعیت سند]]=1,TArticle[مبلغ],0),0),0)</f>
        <v>0</v>
      </c>
      <c r="AE550" s="1">
        <f>IFERROR(IF(((TArticle[[#This Row],[شناسه]]))="4.1.1",IF(TArticle[[#This Row],[کد وضعیت سند]]=1,TArticle[مبلغ],0),0),0)</f>
        <v>0</v>
      </c>
      <c r="AF550" s="1">
        <f>IFERROR(IF(((TArticle[[#This Row],[شناسه]]))="4.1.2",IF(TArticle[[#This Row],[کد وضعیت سند]]=1,TArticle[مبلغ],0),0),0)</f>
        <v>0</v>
      </c>
      <c r="AG550" s="1">
        <f>IFERROR(IF(INT(LEFT(TArticle[[#This Row],[شناسه]]))=1,IF(TArticle[[#This Row],[کد وضعیت سند]]=1,TArticle[مبلغ],0),0),0)</f>
        <v>0</v>
      </c>
      <c r="AH550" s="1">
        <f>IFERROR(IF(INT(LEFT(TArticle[[#This Row],[شناسه]]))=2,IF(TArticle[[#This Row],[کد وضعیت سند]]=1,TArticle[مبلغ],0),0),0)</f>
        <v>0</v>
      </c>
      <c r="AI550" s="1">
        <f>IFERROR(IF((LEFT(TArticle[[#This Row],[شناسه]],3))="5.2",IF(TArticle[[#This Row],[کد وضعیت سند]]=1,TArticle[مبلغ],0),0),0)</f>
        <v>0</v>
      </c>
      <c r="AJ550" s="1">
        <f>IF(TArticle[[#This Row],[کد وضعیت سند]]=1,1,0)</f>
        <v>0</v>
      </c>
      <c r="AK550" s="1">
        <f>IF(AND(TArticle[[#This Row],[کد وضعیت سند]]&lt;&gt;1,TArticle[[#This Row],[مبلغ]]&lt;&gt;0),1,0)</f>
        <v>0</v>
      </c>
      <c r="AL550" s="78">
        <f>IF(TArticle[[#This Row],[کد بانک]]&gt;0,TArticle[[#This Row],[مانده بانک]]-VLOOKUP(TArticle[[#This Row],[کد بانک]],TBank[],7,FALSE),"")</f>
        <v>337414</v>
      </c>
      <c r="AM550" s="58" t="str">
        <f>LEFT(TArticle[[#This Row],[تاریخ]],7)</f>
        <v>1403-03</v>
      </c>
    </row>
    <row r="551" spans="1:39" x14ac:dyDescent="0.25">
      <c r="A551" s="24"/>
      <c r="B551" s="49" t="str">
        <f>VLOOKUP(TArticle[[#This Row],[شناسه]],TAccount[],2,TRUE)</f>
        <v>---</v>
      </c>
      <c r="C551" s="49" t="str">
        <f>VLOOKUP(TArticle[[#This Row],[تاریخ]],TDays[],7,FALSE)</f>
        <v>سه شنبه</v>
      </c>
      <c r="D551" s="21" t="s">
        <v>1316</v>
      </c>
      <c r="F551" s="1">
        <f>TArticle[[#This Row],[مبلغ]]+IFERROR(INT(F550),30181+3667+958)</f>
        <v>295762</v>
      </c>
      <c r="G551" s="49"/>
      <c r="L551" s="171" t="str">
        <f>IF(TArticle[[#This Row],[کد وضعیت سند]]&gt;0,VLOOKUP(TArticle[[#This Row],[کد وضعیت سند]],TDocState[],2,FALSE),"")</f>
        <v/>
      </c>
      <c r="N551" s="171" t="str">
        <f>IF(TArticle[[#This Row],[کد طرف حساب]]&gt;0,VLOOKUP(TArticle[[#This Row],[کد طرف حساب]],TContact[],2,FALSE),"")</f>
        <v/>
      </c>
      <c r="O551" s="51" t="str">
        <f>IF(TArticle[[#This Row],[کد طرف حساب]]&gt;0,VLOOKUP(TArticle[[#This Row],[کد طرف حساب]],TContact[],7,FALSE)-SUMIF($M$2:M551,M551,$E$2:$E551),"")</f>
        <v/>
      </c>
      <c r="P551" s="27" t="str">
        <f>RIGHT(TArticle[[#This Row],[تاریخ]],2)</f>
        <v>29</v>
      </c>
      <c r="Q551" s="27">
        <f>VLOOKUP(TArticle[[#This Row],[تاریخ]],TDays[],16,FALSE)</f>
        <v>14</v>
      </c>
      <c r="R551" s="27" t="str">
        <f>RIGHT(LEFT(TArticle[[#This Row],[تاریخ]],7),2)</f>
        <v>03</v>
      </c>
      <c r="S551" s="27" t="str">
        <f>LEFT(TArticle[[#This Row],[تاریخ]],4)</f>
        <v>1403</v>
      </c>
      <c r="U551" s="21">
        <f>VLOOKUP(TArticle[[#This Row],[شناسه]],TAccount[],7,TRUE)</f>
        <v>0</v>
      </c>
      <c r="W551" s="21">
        <f>IF(AND(TArticle[[#This Row],[مبلغ]]&gt;0, TArticle[[#This Row],[کد وضعیت سند]]=1),TArticle[[#This Row],[مبلغ]],0)</f>
        <v>0</v>
      </c>
      <c r="X551" s="21">
        <f>IF(AND(TArticle[[#This Row],[مبلغ]]&lt;0,TArticle[[#This Row],[کد وضعیت سند]]=1),0-TArticle[[#This Row],[مبلغ]],0)</f>
        <v>0</v>
      </c>
      <c r="Y551" s="27">
        <v>2</v>
      </c>
      <c r="Z551" s="171" t="str">
        <f>IF(TArticle[[#This Row],[کد بانک]]&gt;0,VLOOKUP(TArticle[[#This Row],[کد بانک]],TBank[],2,FALSE),"")</f>
        <v>ملی جاری</v>
      </c>
      <c r="AA551">
        <f>IF(AND(TArticle[[#This Row],[مبلغ]]&lt;0,TArticle[[#This Row],[کد وضعیت سند]]=1),0-TArticle[[#This Row],[مبلغ]],0)</f>
        <v>0</v>
      </c>
      <c r="AB551">
        <f>IF(AND(TArticle[[#This Row],[مبلغ]]&gt;0, TArticle[[#This Row],[کد وضعیت سند]]=1),TArticle[[#This Row],[مبلغ]],0)</f>
        <v>0</v>
      </c>
      <c r="AC551" s="84">
        <f>IF(TArticle[[#This Row],[کد بانک]]&gt;0,VLOOKUP(TArticle[[#This Row],[کد بانک]],TBank[],9,FALSE)+SUMIF($Y$2:Y551,Y551,$E$2:$E551),"")</f>
        <v>337414</v>
      </c>
      <c r="AD551" s="1">
        <f>IFERROR(IF(INT(LEFT(TArticle[[#This Row],[شناسه]]))=3,IF(TArticle[[#This Row],[کد وضعیت سند]]=1,TArticle[مبلغ],0),0),0)</f>
        <v>0</v>
      </c>
      <c r="AE551" s="1">
        <f>IFERROR(IF(((TArticle[[#This Row],[شناسه]]))="4.1.1",IF(TArticle[[#This Row],[کد وضعیت سند]]=1,TArticle[مبلغ],0),0),0)</f>
        <v>0</v>
      </c>
      <c r="AF551" s="1">
        <f>IFERROR(IF(((TArticle[[#This Row],[شناسه]]))="4.1.2",IF(TArticle[[#This Row],[کد وضعیت سند]]=1,TArticle[مبلغ],0),0),0)</f>
        <v>0</v>
      </c>
      <c r="AG551" s="1">
        <f>IFERROR(IF(INT(LEFT(TArticle[[#This Row],[شناسه]]))=1,IF(TArticle[[#This Row],[کد وضعیت سند]]=1,TArticle[مبلغ],0),0),0)</f>
        <v>0</v>
      </c>
      <c r="AH551" s="1">
        <f>IFERROR(IF(INT(LEFT(TArticle[[#This Row],[شناسه]]))=2,IF(TArticle[[#This Row],[کد وضعیت سند]]=1,TArticle[مبلغ],0),0),0)</f>
        <v>0</v>
      </c>
      <c r="AI551" s="1">
        <f>IFERROR(IF((LEFT(TArticle[[#This Row],[شناسه]],3))="5.2",IF(TArticle[[#This Row],[کد وضعیت سند]]=1,TArticle[مبلغ],0),0),0)</f>
        <v>0</v>
      </c>
      <c r="AJ551" s="1">
        <f>IF(TArticle[[#This Row],[کد وضعیت سند]]=1,1,0)</f>
        <v>0</v>
      </c>
      <c r="AK551" s="1">
        <f>IF(AND(TArticle[[#This Row],[کد وضعیت سند]]&lt;&gt;1,TArticle[[#This Row],[مبلغ]]&lt;&gt;0),1,0)</f>
        <v>0</v>
      </c>
      <c r="AL551" s="51">
        <f>IF(TArticle[[#This Row],[کد بانک]]&gt;0,TArticle[[#This Row],[مانده بانک]]-VLOOKUP(TArticle[[#This Row],[کد بانک]],TBank[],7,FALSE),"")</f>
        <v>337414</v>
      </c>
      <c r="AM551" s="58" t="str">
        <f>LEFT(TArticle[[#This Row],[تاریخ]],7)</f>
        <v>1403-03</v>
      </c>
    </row>
    <row r="552" spans="1:39" x14ac:dyDescent="0.25">
      <c r="A552" s="24"/>
      <c r="B552" s="49" t="str">
        <f>VLOOKUP(TArticle[[#This Row],[شناسه]],TAccount[],2,TRUE)</f>
        <v>---</v>
      </c>
      <c r="C552" s="49" t="str">
        <f>VLOOKUP(TArticle[[#This Row],[تاریخ]],TDays[],7,FALSE)</f>
        <v>سه شنبه</v>
      </c>
      <c r="D552" s="21" t="s">
        <v>1316</v>
      </c>
      <c r="F552" s="1">
        <f>TArticle[[#This Row],[مبلغ]]+IFERROR(INT(F551),30181+3667+958)</f>
        <v>295762</v>
      </c>
      <c r="G552" s="49"/>
      <c r="L552" s="171" t="str">
        <f>IF(TArticle[[#This Row],[کد وضعیت سند]]&gt;0,VLOOKUP(TArticle[[#This Row],[کد وضعیت سند]],TDocState[],2,FALSE),"")</f>
        <v/>
      </c>
      <c r="N552" s="171" t="str">
        <f>IF(TArticle[[#This Row],[کد طرف حساب]]&gt;0,VLOOKUP(TArticle[[#This Row],[کد طرف حساب]],TContact[],2,FALSE),"")</f>
        <v/>
      </c>
      <c r="O552" s="51" t="str">
        <f>IF(TArticle[[#This Row],[کد طرف حساب]]&gt;0,VLOOKUP(TArticle[[#This Row],[کد طرف حساب]],TContact[],7,FALSE)-SUMIF($M$2:M552,M552,$E$2:$E552),"")</f>
        <v/>
      </c>
      <c r="P552" s="27" t="str">
        <f>RIGHT(TArticle[[#This Row],[تاریخ]],2)</f>
        <v>29</v>
      </c>
      <c r="Q552" s="27">
        <f>VLOOKUP(TArticle[[#This Row],[تاریخ]],TDays[],16,FALSE)</f>
        <v>14</v>
      </c>
      <c r="R552" s="27" t="str">
        <f>RIGHT(LEFT(TArticle[[#This Row],[تاریخ]],7),2)</f>
        <v>03</v>
      </c>
      <c r="S552" s="27" t="str">
        <f>LEFT(TArticle[[#This Row],[تاریخ]],4)</f>
        <v>1403</v>
      </c>
      <c r="U552" s="21">
        <f>VLOOKUP(TArticle[[#This Row],[شناسه]],TAccount[],7,TRUE)</f>
        <v>0</v>
      </c>
      <c r="W552" s="21">
        <f>IF(AND(TArticle[[#This Row],[مبلغ]]&gt;0, TArticle[[#This Row],[کد وضعیت سند]]=1),TArticle[[#This Row],[مبلغ]],0)</f>
        <v>0</v>
      </c>
      <c r="X552" s="27">
        <f>IF(AND(TArticle[[#This Row],[مبلغ]]&lt;0,TArticle[[#This Row],[کد وضعیت سند]]=1),0-TArticle[[#This Row],[مبلغ]],0)</f>
        <v>0</v>
      </c>
      <c r="Y552" s="27">
        <v>2</v>
      </c>
      <c r="Z552" s="171" t="str">
        <f>IF(TArticle[[#This Row],[کد بانک]]&gt;0,VLOOKUP(TArticle[[#This Row],[کد بانک]],TBank[],2,FALSE),"")</f>
        <v>ملی جاری</v>
      </c>
      <c r="AA552">
        <f>IF(AND(TArticle[[#This Row],[مبلغ]]&lt;0,TArticle[[#This Row],[کد وضعیت سند]]=1),0-TArticle[[#This Row],[مبلغ]],0)</f>
        <v>0</v>
      </c>
      <c r="AB552">
        <f>IF(AND(TArticle[[#This Row],[مبلغ]]&gt;0, TArticle[[#This Row],[کد وضعیت سند]]=1),TArticle[[#This Row],[مبلغ]],0)</f>
        <v>0</v>
      </c>
      <c r="AC552" s="84">
        <f>IF(TArticle[[#This Row],[کد بانک]]&gt;0,VLOOKUP(TArticle[[#This Row],[کد بانک]],TBank[],9,FALSE)+SUMIF($Y$2:Y552,Y552,$E$2:$E552),"")</f>
        <v>337414</v>
      </c>
      <c r="AD552" s="1">
        <f>IFERROR(IF(INT(LEFT(TArticle[[#This Row],[شناسه]]))=3,IF(TArticle[[#This Row],[کد وضعیت سند]]=1,TArticle[مبلغ],0),0),0)</f>
        <v>0</v>
      </c>
      <c r="AE552" s="1">
        <f>IFERROR(IF(((TArticle[[#This Row],[شناسه]]))="4.1.1",IF(TArticle[[#This Row],[کد وضعیت سند]]=1,TArticle[مبلغ],0),0),0)</f>
        <v>0</v>
      </c>
      <c r="AF552" s="1">
        <f>IFERROR(IF(((TArticle[[#This Row],[شناسه]]))="4.1.2",IF(TArticle[[#This Row],[کد وضعیت سند]]=1,TArticle[مبلغ],0),0),0)</f>
        <v>0</v>
      </c>
      <c r="AG552" s="1">
        <f>IFERROR(IF(INT(LEFT(TArticle[[#This Row],[شناسه]]))=1,IF(TArticle[[#This Row],[کد وضعیت سند]]=1,TArticle[مبلغ],0),0),0)</f>
        <v>0</v>
      </c>
      <c r="AH552" s="1">
        <f>IFERROR(IF(INT(LEFT(TArticle[[#This Row],[شناسه]]))=2,IF(TArticle[[#This Row],[کد وضعیت سند]]=1,TArticle[مبلغ],0),0),0)</f>
        <v>0</v>
      </c>
      <c r="AI552" s="1">
        <f>IFERROR(IF((LEFT(TArticle[[#This Row],[شناسه]],3))="5.2",IF(TArticle[[#This Row],[کد وضعیت سند]]=1,TArticle[مبلغ],0),0),0)</f>
        <v>0</v>
      </c>
      <c r="AJ552" s="1">
        <f>IF(TArticle[[#This Row],[کد وضعیت سند]]=1,1,0)</f>
        <v>0</v>
      </c>
      <c r="AK552" s="1">
        <f>IF(AND(TArticle[[#This Row],[کد وضعیت سند]]&lt;&gt;1,TArticle[[#This Row],[مبلغ]]&lt;&gt;0),1,0)</f>
        <v>0</v>
      </c>
      <c r="AL552" s="51">
        <f>IF(TArticle[[#This Row],[کد بانک]]&gt;0,TArticle[[#This Row],[مانده بانک]]-VLOOKUP(TArticle[[#This Row],[کد بانک]],TBank[],7,FALSE),"")</f>
        <v>337414</v>
      </c>
      <c r="AM552" s="49" t="str">
        <f>LEFT(TArticle[[#This Row],[تاریخ]],7)</f>
        <v>1403-03</v>
      </c>
    </row>
    <row r="553" spans="1:39" x14ac:dyDescent="0.25">
      <c r="A553" s="24"/>
      <c r="B553" s="49" t="str">
        <f>VLOOKUP(TArticle[[#This Row],[شناسه]],TAccount[],2,TRUE)</f>
        <v>---</v>
      </c>
      <c r="C553" s="49" t="str">
        <f>VLOOKUP(TArticle[[#This Row],[تاریخ]],TDays[],7,FALSE)</f>
        <v>سه شنبه</v>
      </c>
      <c r="D553" s="21" t="s">
        <v>1316</v>
      </c>
      <c r="F553" s="1">
        <f>TArticle[[#This Row],[مبلغ]]+IFERROR(INT(F552),30181+3667+958)</f>
        <v>295762</v>
      </c>
      <c r="G553" s="49"/>
      <c r="L553" s="171" t="str">
        <f>IF(TArticle[[#This Row],[کد وضعیت سند]]&gt;0,VLOOKUP(TArticle[[#This Row],[کد وضعیت سند]],TDocState[],2,FALSE),"")</f>
        <v/>
      </c>
      <c r="N553" s="171" t="str">
        <f>IF(TArticle[[#This Row],[کد طرف حساب]]&gt;0,VLOOKUP(TArticle[[#This Row],[کد طرف حساب]],TContact[],2,FALSE),"")</f>
        <v/>
      </c>
      <c r="O553" s="61" t="str">
        <f>IF(TArticle[[#This Row],[کد طرف حساب]]&gt;0,VLOOKUP(TArticle[[#This Row],[کد طرف حساب]],TContact[],7,FALSE)-SUMIF($M$2:M553,M553,$E$2:$E553),"")</f>
        <v/>
      </c>
      <c r="P553" s="27" t="str">
        <f>RIGHT(TArticle[[#This Row],[تاریخ]],2)</f>
        <v>29</v>
      </c>
      <c r="Q553" s="27">
        <f>VLOOKUP(TArticle[[#This Row],[تاریخ]],TDays[],16,FALSE)</f>
        <v>14</v>
      </c>
      <c r="R553" s="27" t="str">
        <f>RIGHT(LEFT(TArticle[[#This Row],[تاریخ]],7),2)</f>
        <v>03</v>
      </c>
      <c r="S553" s="27" t="str">
        <f>LEFT(TArticle[[#This Row],[تاریخ]],4)</f>
        <v>1403</v>
      </c>
      <c r="U553" s="21">
        <f>VLOOKUP(TArticle[[#This Row],[شناسه]],TAccount[],7,TRUE)</f>
        <v>0</v>
      </c>
      <c r="W553" s="21">
        <f>IF(AND(TArticle[[#This Row],[مبلغ]]&gt;0, TArticle[[#This Row],[کد وضعیت سند]]=1),TArticle[[#This Row],[مبلغ]],0)</f>
        <v>0</v>
      </c>
      <c r="X553" s="27">
        <f>IF(AND(TArticle[[#This Row],[مبلغ]]&lt;0,TArticle[[#This Row],[کد وضعیت سند]]=1),0-TArticle[[#This Row],[مبلغ]],0)</f>
        <v>0</v>
      </c>
      <c r="Y553" s="27">
        <v>2</v>
      </c>
      <c r="Z553" s="171" t="str">
        <f>IF(TArticle[[#This Row],[کد بانک]]&gt;0,VLOOKUP(TArticle[[#This Row],[کد بانک]],TBank[],2,FALSE),"")</f>
        <v>ملی جاری</v>
      </c>
      <c r="AA553">
        <f>IF(AND(TArticle[[#This Row],[مبلغ]]&lt;0,TArticle[[#This Row],[کد وضعیت سند]]=1),0-TArticle[[#This Row],[مبلغ]],0)</f>
        <v>0</v>
      </c>
      <c r="AB553">
        <f>IF(AND(TArticle[[#This Row],[مبلغ]]&gt;0, TArticle[[#This Row],[کد وضعیت سند]]=1),TArticle[[#This Row],[مبلغ]],0)</f>
        <v>0</v>
      </c>
      <c r="AC553" s="84">
        <f>IF(TArticle[[#This Row],[کد بانک]]&gt;0,VLOOKUP(TArticle[[#This Row],[کد بانک]],TBank[],9,FALSE)+SUMIF($Y$2:Y553,Y553,$E$2:$E553),"")</f>
        <v>337414</v>
      </c>
      <c r="AD553" s="1">
        <f>IFERROR(IF(INT(LEFT(TArticle[[#This Row],[شناسه]]))=3,IF(TArticle[[#This Row],[کد وضعیت سند]]=1,TArticle[مبلغ],0),0),0)</f>
        <v>0</v>
      </c>
      <c r="AE553" s="1">
        <f>IFERROR(IF(((TArticle[[#This Row],[شناسه]]))="4.1.1",IF(TArticle[[#This Row],[کد وضعیت سند]]=1,TArticle[مبلغ],0),0),0)</f>
        <v>0</v>
      </c>
      <c r="AF553" s="1">
        <f>IFERROR(IF(((TArticle[[#This Row],[شناسه]]))="4.1.2",IF(TArticle[[#This Row],[کد وضعیت سند]]=1,TArticle[مبلغ],0),0),0)</f>
        <v>0</v>
      </c>
      <c r="AG553" s="1">
        <f>IFERROR(IF(INT(LEFT(TArticle[[#This Row],[شناسه]]))=1,IF(TArticle[[#This Row],[کد وضعیت سند]]=1,TArticle[مبلغ],0),0),0)</f>
        <v>0</v>
      </c>
      <c r="AH553" s="1">
        <f>IFERROR(IF(INT(LEFT(TArticle[[#This Row],[شناسه]]))=2,IF(TArticle[[#This Row],[کد وضعیت سند]]=1,TArticle[مبلغ],0),0),0)</f>
        <v>0</v>
      </c>
      <c r="AI553" s="1">
        <f>IFERROR(IF((LEFT(TArticle[[#This Row],[شناسه]],3))="5.2",IF(TArticle[[#This Row],[کد وضعیت سند]]=1,TArticle[مبلغ],0),0),0)</f>
        <v>0</v>
      </c>
      <c r="AJ553" s="1">
        <f>IF(TArticle[[#This Row],[کد وضعیت سند]]=1,1,0)</f>
        <v>0</v>
      </c>
      <c r="AK553" s="1">
        <f>IF(AND(TArticle[[#This Row],[کد وضعیت سند]]&lt;&gt;1,TArticle[[#This Row],[مبلغ]]&lt;&gt;0),1,0)</f>
        <v>0</v>
      </c>
      <c r="AL553" s="51">
        <f>IF(TArticle[[#This Row],[کد بانک]]&gt;0,TArticle[[#This Row],[مانده بانک]]-VLOOKUP(TArticle[[#This Row],[کد بانک]],TBank[],7,FALSE),"")</f>
        <v>337414</v>
      </c>
      <c r="AM553" t="str">
        <f>LEFT(TArticle[[#This Row],[تاریخ]],7)</f>
        <v>1403-03</v>
      </c>
    </row>
    <row r="554" spans="1:39" x14ac:dyDescent="0.25">
      <c r="A554" s="24"/>
      <c r="B554" s="49" t="str">
        <f>VLOOKUP(TArticle[[#This Row],[شناسه]],TAccount[],2,TRUE)</f>
        <v>---</v>
      </c>
      <c r="C554" s="49" t="str">
        <f>VLOOKUP(TArticle[[#This Row],[تاریخ]],TDays[],7,FALSE)</f>
        <v>سه شنبه</v>
      </c>
      <c r="D554" s="21" t="s">
        <v>1316</v>
      </c>
      <c r="F554" s="1">
        <f>TArticle[[#This Row],[مبلغ]]+IFERROR(INT(F553),30181+3667+958)</f>
        <v>295762</v>
      </c>
      <c r="G554" s="49"/>
      <c r="L554" s="171" t="str">
        <f>IF(TArticle[[#This Row],[کد وضعیت سند]]&gt;0,VLOOKUP(TArticle[[#This Row],[کد وضعیت سند]],TDocState[],2,FALSE),"")</f>
        <v/>
      </c>
      <c r="N554" s="171" t="str">
        <f>IF(TArticle[[#This Row],[کد طرف حساب]]&gt;0,VLOOKUP(TArticle[[#This Row],[کد طرف حساب]],TContact[],2,FALSE),"")</f>
        <v/>
      </c>
      <c r="O554" s="51" t="str">
        <f>IF(TArticle[[#This Row],[کد طرف حساب]]&gt;0,VLOOKUP(TArticle[[#This Row],[کد طرف حساب]],TContact[],7,FALSE)-SUMIF($M$2:M554,M554,$E$2:$E554),"")</f>
        <v/>
      </c>
      <c r="P554" s="27" t="str">
        <f>RIGHT(TArticle[[#This Row],[تاریخ]],2)</f>
        <v>29</v>
      </c>
      <c r="Q554" s="27">
        <f>VLOOKUP(TArticle[[#This Row],[تاریخ]],TDays[],16,FALSE)</f>
        <v>14</v>
      </c>
      <c r="R554" s="27" t="str">
        <f>RIGHT(LEFT(TArticle[[#This Row],[تاریخ]],7),2)</f>
        <v>03</v>
      </c>
      <c r="S554" s="27" t="str">
        <f>LEFT(TArticle[[#This Row],[تاریخ]],4)</f>
        <v>1403</v>
      </c>
      <c r="U554" s="21">
        <f>VLOOKUP(TArticle[[#This Row],[شناسه]],TAccount[],7,TRUE)</f>
        <v>0</v>
      </c>
      <c r="W554" s="21">
        <f>IF(AND(TArticle[[#This Row],[مبلغ]]&gt;0, TArticle[[#This Row],[کد وضعیت سند]]=1),TArticle[[#This Row],[مبلغ]],0)</f>
        <v>0</v>
      </c>
      <c r="X554" s="27">
        <f>IF(AND(TArticle[[#This Row],[مبلغ]]&lt;0,TArticle[[#This Row],[کد وضعیت سند]]=1),0-TArticle[[#This Row],[مبلغ]],0)</f>
        <v>0</v>
      </c>
      <c r="Y554" s="27">
        <v>2</v>
      </c>
      <c r="Z554" s="171" t="str">
        <f>IF(TArticle[[#This Row],[کد بانک]]&gt;0,VLOOKUP(TArticle[[#This Row],[کد بانک]],TBank[],2,FALSE),"")</f>
        <v>ملی جاری</v>
      </c>
      <c r="AA554">
        <f>IF(AND(TArticle[[#This Row],[مبلغ]]&lt;0,TArticle[[#This Row],[کد وضعیت سند]]=1),0-TArticle[[#This Row],[مبلغ]],0)</f>
        <v>0</v>
      </c>
      <c r="AB554">
        <f>IF(AND(TArticle[[#This Row],[مبلغ]]&gt;0, TArticle[[#This Row],[کد وضعیت سند]]=1),TArticle[[#This Row],[مبلغ]],0)</f>
        <v>0</v>
      </c>
      <c r="AC554" s="84">
        <f>IF(TArticle[[#This Row],[کد بانک]]&gt;0,VLOOKUP(TArticle[[#This Row],[کد بانک]],TBank[],9,FALSE)+SUMIF($Y$2:Y554,Y554,$E$2:$E554),"")</f>
        <v>337414</v>
      </c>
      <c r="AD554" s="1">
        <f>IFERROR(IF(INT(LEFT(TArticle[[#This Row],[شناسه]]))=3,IF(TArticle[[#This Row],[کد وضعیت سند]]=1,TArticle[مبلغ],0),0),0)</f>
        <v>0</v>
      </c>
      <c r="AE554" s="1">
        <f>IFERROR(IF(((TArticle[[#This Row],[شناسه]]))="4.1.1",IF(TArticle[[#This Row],[کد وضعیت سند]]=1,TArticle[مبلغ],0),0),0)</f>
        <v>0</v>
      </c>
      <c r="AF554" s="1">
        <f>IFERROR(IF(((TArticle[[#This Row],[شناسه]]))="4.1.2",IF(TArticle[[#This Row],[کد وضعیت سند]]=1,TArticle[مبلغ],0),0),0)</f>
        <v>0</v>
      </c>
      <c r="AG554" s="1">
        <f>IFERROR(IF(INT(LEFT(TArticle[[#This Row],[شناسه]]))=1,IF(TArticle[[#This Row],[کد وضعیت سند]]=1,TArticle[مبلغ],0),0),0)</f>
        <v>0</v>
      </c>
      <c r="AH554" s="1">
        <f>IFERROR(IF(INT(LEFT(TArticle[[#This Row],[شناسه]]))=2,IF(TArticle[[#This Row],[کد وضعیت سند]]=1,TArticle[مبلغ],0),0),0)</f>
        <v>0</v>
      </c>
      <c r="AI554" s="1">
        <f>IFERROR(IF((LEFT(TArticle[[#This Row],[شناسه]],3))="5.2",IF(TArticle[[#This Row],[کد وضعیت سند]]=1,TArticle[مبلغ],0),0),0)</f>
        <v>0</v>
      </c>
      <c r="AJ554" s="1">
        <f>IF(TArticle[[#This Row],[کد وضعیت سند]]=1,1,0)</f>
        <v>0</v>
      </c>
      <c r="AK554" s="1">
        <f>IF(AND(TArticle[[#This Row],[کد وضعیت سند]]&lt;&gt;1,TArticle[[#This Row],[مبلغ]]&lt;&gt;0),1,0)</f>
        <v>0</v>
      </c>
      <c r="AL554" s="51">
        <f>IF(TArticle[[#This Row],[کد بانک]]&gt;0,TArticle[[#This Row],[مانده بانک]]-VLOOKUP(TArticle[[#This Row],[کد بانک]],TBank[],7,FALSE),"")</f>
        <v>337414</v>
      </c>
      <c r="AM554" s="49" t="str">
        <f>LEFT(TArticle[[#This Row],[تاریخ]],7)</f>
        <v>1403-03</v>
      </c>
    </row>
    <row r="555" spans="1:39" x14ac:dyDescent="0.25">
      <c r="A555" s="24"/>
      <c r="B555" s="49" t="str">
        <f>VLOOKUP(TArticle[[#This Row],[شناسه]],TAccount[],2,TRUE)</f>
        <v>---</v>
      </c>
      <c r="C555" s="49" t="str">
        <f>VLOOKUP(TArticle[[#This Row],[تاریخ]],TDays[],7,FALSE)</f>
        <v>سه شنبه</v>
      </c>
      <c r="D555" s="21" t="s">
        <v>1316</v>
      </c>
      <c r="F555" s="1">
        <f>TArticle[[#This Row],[مبلغ]]+IFERROR(INT(F554),30181+3667+958)</f>
        <v>295762</v>
      </c>
      <c r="G555" s="49"/>
      <c r="L555" s="171" t="str">
        <f>IF(TArticle[[#This Row],[کد وضعیت سند]]&gt;0,VLOOKUP(TArticle[[#This Row],[کد وضعیت سند]],TDocState[],2,FALSE),"")</f>
        <v/>
      </c>
      <c r="N555" s="171" t="str">
        <f>IF(TArticle[[#This Row],[کد طرف حساب]]&gt;0,VLOOKUP(TArticle[[#This Row],[کد طرف حساب]],TContact[],2,FALSE),"")</f>
        <v/>
      </c>
      <c r="O555" s="51" t="str">
        <f>IF(TArticle[[#This Row],[کد طرف حساب]]&gt;0,VLOOKUP(TArticle[[#This Row],[کد طرف حساب]],TContact[],7,FALSE)-SUMIF($M$2:M555,M555,$E$2:$E555),"")</f>
        <v/>
      </c>
      <c r="P555" s="27" t="str">
        <f>RIGHT(TArticle[[#This Row],[تاریخ]],2)</f>
        <v>29</v>
      </c>
      <c r="Q555" s="27">
        <f>VLOOKUP(TArticle[[#This Row],[تاریخ]],TDays[],16,FALSE)</f>
        <v>14</v>
      </c>
      <c r="R555" s="27" t="str">
        <f>RIGHT(LEFT(TArticle[[#This Row],[تاریخ]],7),2)</f>
        <v>03</v>
      </c>
      <c r="S555" s="27" t="str">
        <f>LEFT(TArticle[[#This Row],[تاریخ]],4)</f>
        <v>1403</v>
      </c>
      <c r="U555" s="21">
        <f>VLOOKUP(TArticle[[#This Row],[شناسه]],TAccount[],7,TRUE)</f>
        <v>0</v>
      </c>
      <c r="W555" s="21">
        <f>IF(AND(TArticle[[#This Row],[مبلغ]]&gt;0, TArticle[[#This Row],[کد وضعیت سند]]=1),TArticle[[#This Row],[مبلغ]],0)</f>
        <v>0</v>
      </c>
      <c r="X555" s="27">
        <f>IF(AND(TArticle[[#This Row],[مبلغ]]&lt;0,TArticle[[#This Row],[کد وضعیت سند]]=1),0-TArticle[[#This Row],[مبلغ]],0)</f>
        <v>0</v>
      </c>
      <c r="Y555" s="27">
        <v>2</v>
      </c>
      <c r="Z555" s="171" t="str">
        <f>IF(TArticle[[#This Row],[کد بانک]]&gt;0,VLOOKUP(TArticle[[#This Row],[کد بانک]],TBank[],2,FALSE),"")</f>
        <v>ملی جاری</v>
      </c>
      <c r="AA555">
        <f>IF(AND(TArticle[[#This Row],[مبلغ]]&lt;0,TArticle[[#This Row],[کد وضعیت سند]]=1),0-TArticle[[#This Row],[مبلغ]],0)</f>
        <v>0</v>
      </c>
      <c r="AB555">
        <f>IF(AND(TArticle[[#This Row],[مبلغ]]&gt;0, TArticle[[#This Row],[کد وضعیت سند]]=1),TArticle[[#This Row],[مبلغ]],0)</f>
        <v>0</v>
      </c>
      <c r="AC555" s="84">
        <f>IF(TArticle[[#This Row],[کد بانک]]&gt;0,VLOOKUP(TArticle[[#This Row],[کد بانک]],TBank[],9,FALSE)+SUMIF($Y$2:Y555,Y555,$E$2:$E555),"")</f>
        <v>337414</v>
      </c>
      <c r="AD555" s="1">
        <f>IFERROR(IF(INT(LEFT(TArticle[[#This Row],[شناسه]]))=3,IF(TArticle[[#This Row],[کد وضعیت سند]]=1,TArticle[مبلغ],0),0),0)</f>
        <v>0</v>
      </c>
      <c r="AE555" s="1">
        <f>IFERROR(IF(((TArticle[[#This Row],[شناسه]]))="4.1.1",IF(TArticle[[#This Row],[کد وضعیت سند]]=1,TArticle[مبلغ],0),0),0)</f>
        <v>0</v>
      </c>
      <c r="AF555" s="1">
        <f>IFERROR(IF(((TArticle[[#This Row],[شناسه]]))="4.1.2",IF(TArticle[[#This Row],[کد وضعیت سند]]=1,TArticle[مبلغ],0),0),0)</f>
        <v>0</v>
      </c>
      <c r="AG555" s="1">
        <f>IFERROR(IF(INT(LEFT(TArticle[[#This Row],[شناسه]]))=1,IF(TArticle[[#This Row],[کد وضعیت سند]]=1,TArticle[مبلغ],0),0),0)</f>
        <v>0</v>
      </c>
      <c r="AH555" s="1">
        <f>IFERROR(IF(INT(LEFT(TArticle[[#This Row],[شناسه]]))=2,IF(TArticle[[#This Row],[کد وضعیت سند]]=1,TArticle[مبلغ],0),0),0)</f>
        <v>0</v>
      </c>
      <c r="AI555" s="1">
        <f>IFERROR(IF((LEFT(TArticle[[#This Row],[شناسه]],3))="5.2",IF(TArticle[[#This Row],[کد وضعیت سند]]=1,TArticle[مبلغ],0),0),0)</f>
        <v>0</v>
      </c>
      <c r="AJ555" s="1">
        <f>IF(TArticle[[#This Row],[کد وضعیت سند]]=1,1,0)</f>
        <v>0</v>
      </c>
      <c r="AK555" s="1">
        <f>IF(AND(TArticle[[#This Row],[کد وضعیت سند]]&lt;&gt;1,TArticle[[#This Row],[مبلغ]]&lt;&gt;0),1,0)</f>
        <v>0</v>
      </c>
      <c r="AL555" s="51">
        <f>IF(TArticle[[#This Row],[کد بانک]]&gt;0,TArticle[[#This Row],[مانده بانک]]-VLOOKUP(TArticle[[#This Row],[کد بانک]],TBank[],7,FALSE),"")</f>
        <v>337414</v>
      </c>
      <c r="AM555" s="49" t="str">
        <f>LEFT(TArticle[[#This Row],[تاریخ]],7)</f>
        <v>1403-03</v>
      </c>
    </row>
    <row r="556" spans="1:39" x14ac:dyDescent="0.25">
      <c r="A556" s="24"/>
      <c r="B556" s="49" t="str">
        <f>VLOOKUP(TArticle[[#This Row],[شناسه]],TAccount[],2,TRUE)</f>
        <v>---</v>
      </c>
      <c r="C556" s="49" t="str">
        <f>VLOOKUP(TArticle[[#This Row],[تاریخ]],TDays[],7,FALSE)</f>
        <v>سه شنبه</v>
      </c>
      <c r="D556" s="21" t="s">
        <v>1316</v>
      </c>
      <c r="F556" s="1">
        <f>TArticle[[#This Row],[مبلغ]]+IFERROR(INT(F555),30181+3667+958)</f>
        <v>295762</v>
      </c>
      <c r="G556" s="49"/>
      <c r="L556" s="171" t="str">
        <f>IF(TArticle[[#This Row],[کد وضعیت سند]]&gt;0,VLOOKUP(TArticle[[#This Row],[کد وضعیت سند]],TDocState[],2,FALSE),"")</f>
        <v/>
      </c>
      <c r="N556" s="171" t="str">
        <f>IF(TArticle[[#This Row],[کد طرف حساب]]&gt;0,VLOOKUP(TArticle[[#This Row],[کد طرف حساب]],TContact[],2,FALSE),"")</f>
        <v/>
      </c>
      <c r="O556" s="51" t="str">
        <f>IF(TArticle[[#This Row],[کد طرف حساب]]&gt;0,VLOOKUP(TArticle[[#This Row],[کد طرف حساب]],TContact[],7,FALSE)-SUMIF($M$2:M556,M556,$E$2:$E556),"")</f>
        <v/>
      </c>
      <c r="P556" s="27" t="str">
        <f>RIGHT(TArticle[[#This Row],[تاریخ]],2)</f>
        <v>29</v>
      </c>
      <c r="Q556" s="27">
        <f>VLOOKUP(TArticle[[#This Row],[تاریخ]],TDays[],16,FALSE)</f>
        <v>14</v>
      </c>
      <c r="R556" s="27" t="str">
        <f>RIGHT(LEFT(TArticle[[#This Row],[تاریخ]],7),2)</f>
        <v>03</v>
      </c>
      <c r="S556" s="27" t="str">
        <f>LEFT(TArticle[[#This Row],[تاریخ]],4)</f>
        <v>1403</v>
      </c>
      <c r="U556" s="21">
        <f>VLOOKUP(TArticle[[#This Row],[شناسه]],TAccount[],7,TRUE)</f>
        <v>0</v>
      </c>
      <c r="W556" s="21">
        <f>IF(AND(TArticle[[#This Row],[مبلغ]]&gt;0, TArticle[[#This Row],[کد وضعیت سند]]=1),TArticle[[#This Row],[مبلغ]],0)</f>
        <v>0</v>
      </c>
      <c r="X556" s="27">
        <f>IF(AND(TArticle[[#This Row],[مبلغ]]&lt;0,TArticle[[#This Row],[کد وضعیت سند]]=1),0-TArticle[[#This Row],[مبلغ]],0)</f>
        <v>0</v>
      </c>
      <c r="Y556" s="27">
        <v>2</v>
      </c>
      <c r="Z556" s="171" t="str">
        <f>IF(TArticle[[#This Row],[کد بانک]]&gt;0,VLOOKUP(TArticle[[#This Row],[کد بانک]],TBank[],2,FALSE),"")</f>
        <v>ملی جاری</v>
      </c>
      <c r="AA556">
        <f>IF(AND(TArticle[[#This Row],[مبلغ]]&lt;0,TArticle[[#This Row],[کد وضعیت سند]]=1),0-TArticle[[#This Row],[مبلغ]],0)</f>
        <v>0</v>
      </c>
      <c r="AB556">
        <f>IF(AND(TArticle[[#This Row],[مبلغ]]&gt;0, TArticle[[#This Row],[کد وضعیت سند]]=1),TArticle[[#This Row],[مبلغ]],0)</f>
        <v>0</v>
      </c>
      <c r="AC556" s="84">
        <f>IF(TArticle[[#This Row],[کد بانک]]&gt;0,VLOOKUP(TArticle[[#This Row],[کد بانک]],TBank[],9,FALSE)+SUMIF($Y$2:Y556,Y556,$E$2:$E556),"")</f>
        <v>337414</v>
      </c>
      <c r="AD556" s="1">
        <f>IFERROR(IF(INT(LEFT(TArticle[[#This Row],[شناسه]]))=3,IF(TArticle[[#This Row],[کد وضعیت سند]]=1,TArticle[مبلغ],0),0),0)</f>
        <v>0</v>
      </c>
      <c r="AE556" s="1">
        <f>IFERROR(IF(((TArticle[[#This Row],[شناسه]]))="4.1.1",IF(TArticle[[#This Row],[کد وضعیت سند]]=1,TArticle[مبلغ],0),0),0)</f>
        <v>0</v>
      </c>
      <c r="AF556" s="1">
        <f>IFERROR(IF(((TArticle[[#This Row],[شناسه]]))="4.1.2",IF(TArticle[[#This Row],[کد وضعیت سند]]=1,TArticle[مبلغ],0),0),0)</f>
        <v>0</v>
      </c>
      <c r="AG556" s="1">
        <f>IFERROR(IF(INT(LEFT(TArticle[[#This Row],[شناسه]]))=1,IF(TArticle[[#This Row],[کد وضعیت سند]]=1,TArticle[مبلغ],0),0),0)</f>
        <v>0</v>
      </c>
      <c r="AH556" s="1">
        <f>IFERROR(IF(INT(LEFT(TArticle[[#This Row],[شناسه]]))=2,IF(TArticle[[#This Row],[کد وضعیت سند]]=1,TArticle[مبلغ],0),0),0)</f>
        <v>0</v>
      </c>
      <c r="AI556" s="1">
        <f>IFERROR(IF((LEFT(TArticle[[#This Row],[شناسه]],3))="5.2",IF(TArticle[[#This Row],[کد وضعیت سند]]=1,TArticle[مبلغ],0),0),0)</f>
        <v>0</v>
      </c>
      <c r="AJ556" s="1">
        <f>IF(TArticle[[#This Row],[کد وضعیت سند]]=1,1,0)</f>
        <v>0</v>
      </c>
      <c r="AK556" s="1">
        <f>IF(AND(TArticle[[#This Row],[کد وضعیت سند]]&lt;&gt;1,TArticle[[#This Row],[مبلغ]]&lt;&gt;0),1,0)</f>
        <v>0</v>
      </c>
      <c r="AL556" s="51">
        <f>IF(TArticle[[#This Row],[کد بانک]]&gt;0,TArticle[[#This Row],[مانده بانک]]-VLOOKUP(TArticle[[#This Row],[کد بانک]],TBank[],7,FALSE),"")</f>
        <v>337414</v>
      </c>
      <c r="AM556" s="49" t="str">
        <f>LEFT(TArticle[[#This Row],[تاریخ]],7)</f>
        <v>1403-03</v>
      </c>
    </row>
    <row r="557" spans="1:39" x14ac:dyDescent="0.25">
      <c r="A557" s="24"/>
      <c r="B557" s="49" t="str">
        <f>VLOOKUP(TArticle[[#This Row],[شناسه]],TAccount[],2,TRUE)</f>
        <v>---</v>
      </c>
      <c r="C557" s="49" t="str">
        <f>VLOOKUP(TArticle[[#This Row],[تاریخ]],TDays[],7,FALSE)</f>
        <v>سه شنبه</v>
      </c>
      <c r="D557" s="21" t="s">
        <v>1316</v>
      </c>
      <c r="F557" s="1">
        <f>TArticle[[#This Row],[مبلغ]]+IFERROR(INT(F556),30181+3667+958)</f>
        <v>295762</v>
      </c>
      <c r="G557" s="49"/>
      <c r="L557" s="171" t="str">
        <f>IF(TArticle[[#This Row],[کد وضعیت سند]]&gt;0,VLOOKUP(TArticle[[#This Row],[کد وضعیت سند]],TDocState[],2,FALSE),"")</f>
        <v/>
      </c>
      <c r="N557" s="171" t="str">
        <f>IF(TArticle[[#This Row],[کد طرف حساب]]&gt;0,VLOOKUP(TArticle[[#This Row],[کد طرف حساب]],TContact[],2,FALSE),"")</f>
        <v/>
      </c>
      <c r="O557" s="51" t="str">
        <f>IF(TArticle[[#This Row],[کد طرف حساب]]&gt;0,VLOOKUP(TArticle[[#This Row],[کد طرف حساب]],TContact[],7,FALSE)-SUMIF($M$2:M557,M557,$E$2:$E557),"")</f>
        <v/>
      </c>
      <c r="P557" s="27" t="str">
        <f>RIGHT(TArticle[[#This Row],[تاریخ]],2)</f>
        <v>29</v>
      </c>
      <c r="Q557" s="27">
        <f>VLOOKUP(TArticle[[#This Row],[تاریخ]],TDays[],16,FALSE)</f>
        <v>14</v>
      </c>
      <c r="R557" s="27" t="str">
        <f>RIGHT(LEFT(TArticle[[#This Row],[تاریخ]],7),2)</f>
        <v>03</v>
      </c>
      <c r="S557" s="27" t="str">
        <f>LEFT(TArticle[[#This Row],[تاریخ]],4)</f>
        <v>1403</v>
      </c>
      <c r="U557" s="21">
        <f>VLOOKUP(TArticle[[#This Row],[شناسه]],TAccount[],7,TRUE)</f>
        <v>0</v>
      </c>
      <c r="W557" s="21">
        <f>IF(AND(TArticle[[#This Row],[مبلغ]]&gt;0, TArticle[[#This Row],[کد وضعیت سند]]=1),TArticle[[#This Row],[مبلغ]],0)</f>
        <v>0</v>
      </c>
      <c r="X557" s="27">
        <f>IF(AND(TArticle[[#This Row],[مبلغ]]&lt;0,TArticle[[#This Row],[کد وضعیت سند]]=1),0-TArticle[[#This Row],[مبلغ]],0)</f>
        <v>0</v>
      </c>
      <c r="Y557" s="27">
        <v>2</v>
      </c>
      <c r="Z557" s="171" t="str">
        <f>IF(TArticle[[#This Row],[کد بانک]]&gt;0,VLOOKUP(TArticle[[#This Row],[کد بانک]],TBank[],2,FALSE),"")</f>
        <v>ملی جاری</v>
      </c>
      <c r="AA557">
        <f>IF(AND(TArticle[[#This Row],[مبلغ]]&lt;0,TArticle[[#This Row],[کد وضعیت سند]]=1),0-TArticle[[#This Row],[مبلغ]],0)</f>
        <v>0</v>
      </c>
      <c r="AB557">
        <f>IF(AND(TArticle[[#This Row],[مبلغ]]&gt;0, TArticle[[#This Row],[کد وضعیت سند]]=1),TArticle[[#This Row],[مبلغ]],0)</f>
        <v>0</v>
      </c>
      <c r="AC557" s="84">
        <f>IF(TArticle[[#This Row],[کد بانک]]&gt;0,VLOOKUP(TArticle[[#This Row],[کد بانک]],TBank[],9,FALSE)+SUMIF($Y$2:Y557,Y557,$E$2:$E557),"")</f>
        <v>337414</v>
      </c>
      <c r="AD557" s="1">
        <f>IFERROR(IF(INT(LEFT(TArticle[[#This Row],[شناسه]]))=3,IF(TArticle[[#This Row],[کد وضعیت سند]]=1,TArticle[مبلغ],0),0),0)</f>
        <v>0</v>
      </c>
      <c r="AE557" s="1">
        <f>IFERROR(IF(((TArticle[[#This Row],[شناسه]]))="4.1.1",IF(TArticle[[#This Row],[کد وضعیت سند]]=1,TArticle[مبلغ],0),0),0)</f>
        <v>0</v>
      </c>
      <c r="AF557" s="1">
        <f>IFERROR(IF(((TArticle[[#This Row],[شناسه]]))="4.1.2",IF(TArticle[[#This Row],[کد وضعیت سند]]=1,TArticle[مبلغ],0),0),0)</f>
        <v>0</v>
      </c>
      <c r="AG557" s="1">
        <f>IFERROR(IF(INT(LEFT(TArticle[[#This Row],[شناسه]]))=1,IF(TArticle[[#This Row],[کد وضعیت سند]]=1,TArticle[مبلغ],0),0),0)</f>
        <v>0</v>
      </c>
      <c r="AH557" s="1">
        <f>IFERROR(IF(INT(LEFT(TArticle[[#This Row],[شناسه]]))=2,IF(TArticle[[#This Row],[کد وضعیت سند]]=1,TArticle[مبلغ],0),0),0)</f>
        <v>0</v>
      </c>
      <c r="AI557" s="1">
        <f>IFERROR(IF((LEFT(TArticle[[#This Row],[شناسه]],3))="5.2",IF(TArticle[[#This Row],[کد وضعیت سند]]=1,TArticle[مبلغ],0),0),0)</f>
        <v>0</v>
      </c>
      <c r="AJ557" s="1">
        <f>IF(TArticle[[#This Row],[کد وضعیت سند]]=1,1,0)</f>
        <v>0</v>
      </c>
      <c r="AK557" s="1">
        <f>IF(AND(TArticle[[#This Row],[کد وضعیت سند]]&lt;&gt;1,TArticle[[#This Row],[مبلغ]]&lt;&gt;0),1,0)</f>
        <v>0</v>
      </c>
      <c r="AL557" s="51">
        <f>IF(TArticle[[#This Row],[کد بانک]]&gt;0,TArticle[[#This Row],[مانده بانک]]-VLOOKUP(TArticle[[#This Row],[کد بانک]],TBank[],7,FALSE),"")</f>
        <v>337414</v>
      </c>
      <c r="AM557" s="49" t="str">
        <f>LEFT(TArticle[[#This Row],[تاریخ]],7)</f>
        <v>1403-03</v>
      </c>
    </row>
    <row r="558" spans="1:39" x14ac:dyDescent="0.25">
      <c r="A558" s="24"/>
      <c r="B558" s="49" t="str">
        <f>VLOOKUP(TArticle[[#This Row],[شناسه]],TAccount[],2,TRUE)</f>
        <v>---</v>
      </c>
      <c r="C558" s="49" t="str">
        <f>VLOOKUP(TArticle[[#This Row],[تاریخ]],TDays[],7,FALSE)</f>
        <v>سه شنبه</v>
      </c>
      <c r="D558" s="21" t="s">
        <v>1316</v>
      </c>
      <c r="F558" s="1">
        <f>TArticle[[#This Row],[مبلغ]]+IFERROR(INT(F557),30181+3667+958)</f>
        <v>295762</v>
      </c>
      <c r="G558" s="49"/>
      <c r="L558" s="171" t="str">
        <f>IF(TArticle[[#This Row],[کد وضعیت سند]]&gt;0,VLOOKUP(TArticle[[#This Row],[کد وضعیت سند]],TDocState[],2,FALSE),"")</f>
        <v/>
      </c>
      <c r="N558" s="171" t="str">
        <f>IF(TArticle[[#This Row],[کد طرف حساب]]&gt;0,VLOOKUP(TArticle[[#This Row],[کد طرف حساب]],TContact[],2,FALSE),"")</f>
        <v/>
      </c>
      <c r="O558" s="51" t="str">
        <f>IF(TArticle[[#This Row],[کد طرف حساب]]&gt;0,VLOOKUP(TArticle[[#This Row],[کد طرف حساب]],TContact[],7,FALSE)-SUMIF($M$2:M558,M558,$E$2:$E558),"")</f>
        <v/>
      </c>
      <c r="P558" s="27" t="str">
        <f>RIGHT(TArticle[[#This Row],[تاریخ]],2)</f>
        <v>29</v>
      </c>
      <c r="Q558" s="27">
        <f>VLOOKUP(TArticle[[#This Row],[تاریخ]],TDays[],16,FALSE)</f>
        <v>14</v>
      </c>
      <c r="R558" s="27" t="str">
        <f>RIGHT(LEFT(TArticle[[#This Row],[تاریخ]],7),2)</f>
        <v>03</v>
      </c>
      <c r="S558" s="27" t="str">
        <f>LEFT(TArticle[[#This Row],[تاریخ]],4)</f>
        <v>1403</v>
      </c>
      <c r="U558" s="21">
        <f>VLOOKUP(TArticle[[#This Row],[شناسه]],TAccount[],7,TRUE)</f>
        <v>0</v>
      </c>
      <c r="W558" s="21">
        <f>IF(AND(TArticle[[#This Row],[مبلغ]]&gt;0, TArticle[[#This Row],[کد وضعیت سند]]=1),TArticle[[#This Row],[مبلغ]],0)</f>
        <v>0</v>
      </c>
      <c r="X558" s="27">
        <f>IF(AND(TArticle[[#This Row],[مبلغ]]&lt;0,TArticle[[#This Row],[کد وضعیت سند]]=1),0-TArticle[[#This Row],[مبلغ]],0)</f>
        <v>0</v>
      </c>
      <c r="Y558" s="27">
        <v>2</v>
      </c>
      <c r="Z558" s="171" t="str">
        <f>IF(TArticle[[#This Row],[کد بانک]]&gt;0,VLOOKUP(TArticle[[#This Row],[کد بانک]],TBank[],2,FALSE),"")</f>
        <v>ملی جاری</v>
      </c>
      <c r="AA558">
        <f>IF(AND(TArticle[[#This Row],[مبلغ]]&lt;0,TArticle[[#This Row],[کد وضعیت سند]]=1),0-TArticle[[#This Row],[مبلغ]],0)</f>
        <v>0</v>
      </c>
      <c r="AB558">
        <f>IF(AND(TArticle[[#This Row],[مبلغ]]&gt;0, TArticle[[#This Row],[کد وضعیت سند]]=1),TArticle[[#This Row],[مبلغ]],0)</f>
        <v>0</v>
      </c>
      <c r="AC558" s="84">
        <f>IF(TArticle[[#This Row],[کد بانک]]&gt;0,VLOOKUP(TArticle[[#This Row],[کد بانک]],TBank[],9,FALSE)+SUMIF($Y$2:Y558,Y558,$E$2:$E558),"")</f>
        <v>337414</v>
      </c>
      <c r="AD558" s="1">
        <f>IFERROR(IF(INT(LEFT(TArticle[[#This Row],[شناسه]]))=3,IF(TArticle[[#This Row],[کد وضعیت سند]]=1,TArticle[مبلغ],0),0),0)</f>
        <v>0</v>
      </c>
      <c r="AE558" s="1">
        <f>IFERROR(IF(((TArticle[[#This Row],[شناسه]]))="4.1.1",IF(TArticle[[#This Row],[کد وضعیت سند]]=1,TArticle[مبلغ],0),0),0)</f>
        <v>0</v>
      </c>
      <c r="AF558" s="1">
        <f>IFERROR(IF(((TArticle[[#This Row],[شناسه]]))="4.1.2",IF(TArticle[[#This Row],[کد وضعیت سند]]=1,TArticle[مبلغ],0),0),0)</f>
        <v>0</v>
      </c>
      <c r="AG558" s="1">
        <f>IFERROR(IF(INT(LEFT(TArticle[[#This Row],[شناسه]]))=1,IF(TArticle[[#This Row],[کد وضعیت سند]]=1,TArticle[مبلغ],0),0),0)</f>
        <v>0</v>
      </c>
      <c r="AH558" s="1">
        <f>IFERROR(IF(INT(LEFT(TArticle[[#This Row],[شناسه]]))=2,IF(TArticle[[#This Row],[کد وضعیت سند]]=1,TArticle[مبلغ],0),0),0)</f>
        <v>0</v>
      </c>
      <c r="AI558" s="1">
        <f>IFERROR(IF((LEFT(TArticle[[#This Row],[شناسه]],3))="5.2",IF(TArticle[[#This Row],[کد وضعیت سند]]=1,TArticle[مبلغ],0),0),0)</f>
        <v>0</v>
      </c>
      <c r="AJ558" s="1">
        <f>IF(TArticle[[#This Row],[کد وضعیت سند]]=1,1,0)</f>
        <v>0</v>
      </c>
      <c r="AK558" s="1">
        <f>IF(AND(TArticle[[#This Row],[کد وضعیت سند]]&lt;&gt;1,TArticle[[#This Row],[مبلغ]]&lt;&gt;0),1,0)</f>
        <v>0</v>
      </c>
      <c r="AL558" s="51">
        <f>IF(TArticle[[#This Row],[کد بانک]]&gt;0,TArticle[[#This Row],[مانده بانک]]-VLOOKUP(TArticle[[#This Row],[کد بانک]],TBank[],7,FALSE),"")</f>
        <v>337414</v>
      </c>
      <c r="AM558" s="49" t="str">
        <f>LEFT(TArticle[[#This Row],[تاریخ]],7)</f>
        <v>1403-03</v>
      </c>
    </row>
    <row r="559" spans="1:39" x14ac:dyDescent="0.25">
      <c r="A559" s="24"/>
      <c r="B559" s="49" t="str">
        <f>VLOOKUP(TArticle[[#This Row],[شناسه]],TAccount[],2,TRUE)</f>
        <v>---</v>
      </c>
      <c r="C559" s="49" t="str">
        <f>VLOOKUP(TArticle[[#This Row],[تاریخ]],TDays[],7,FALSE)</f>
        <v>سه شنبه</v>
      </c>
      <c r="D559" s="21" t="s">
        <v>1316</v>
      </c>
      <c r="F559" s="1">
        <f>TArticle[[#This Row],[مبلغ]]+IFERROR(INT(F558),30181+3667+958)</f>
        <v>295762</v>
      </c>
      <c r="G559" s="49"/>
      <c r="L559" s="171" t="str">
        <f>IF(TArticle[[#This Row],[کد وضعیت سند]]&gt;0,VLOOKUP(TArticle[[#This Row],[کد وضعیت سند]],TDocState[],2,FALSE),"")</f>
        <v/>
      </c>
      <c r="N559" s="171" t="str">
        <f>IF(TArticle[[#This Row],[کد طرف حساب]]&gt;0,VLOOKUP(TArticle[[#This Row],[کد طرف حساب]],TContact[],2,FALSE),"")</f>
        <v/>
      </c>
      <c r="O559" s="61" t="str">
        <f>IF(TArticle[[#This Row],[کد طرف حساب]]&gt;0,VLOOKUP(TArticle[[#This Row],[کد طرف حساب]],TContact[],7,FALSE)-SUMIF($M$2:M559,M559,$E$2:$E559),"")</f>
        <v/>
      </c>
      <c r="P559" s="27" t="str">
        <f>RIGHT(TArticle[[#This Row],[تاریخ]],2)</f>
        <v>29</v>
      </c>
      <c r="Q559" s="27">
        <f>VLOOKUP(TArticle[[#This Row],[تاریخ]],TDays[],16,FALSE)</f>
        <v>14</v>
      </c>
      <c r="R559" s="27" t="str">
        <f>RIGHT(LEFT(TArticle[[#This Row],[تاریخ]],7),2)</f>
        <v>03</v>
      </c>
      <c r="S559" s="27" t="str">
        <f>LEFT(TArticle[[#This Row],[تاریخ]],4)</f>
        <v>1403</v>
      </c>
      <c r="U559" s="21">
        <f>VLOOKUP(TArticle[[#This Row],[شناسه]],TAccount[],7,TRUE)</f>
        <v>0</v>
      </c>
      <c r="W559" s="21">
        <f>IF(AND(TArticle[[#This Row],[مبلغ]]&gt;0, TArticle[[#This Row],[کد وضعیت سند]]=1),TArticle[[#This Row],[مبلغ]],0)</f>
        <v>0</v>
      </c>
      <c r="X559" s="27">
        <f>IF(AND(TArticle[[#This Row],[مبلغ]]&lt;0,TArticle[[#This Row],[کد وضعیت سند]]=1),0-TArticle[[#This Row],[مبلغ]],0)</f>
        <v>0</v>
      </c>
      <c r="Y559" s="27">
        <v>2</v>
      </c>
      <c r="Z559" s="171" t="str">
        <f>IF(TArticle[[#This Row],[کد بانک]]&gt;0,VLOOKUP(TArticle[[#This Row],[کد بانک]],TBank[],2,FALSE),"")</f>
        <v>ملی جاری</v>
      </c>
      <c r="AA559">
        <f>IF(AND(TArticle[[#This Row],[مبلغ]]&lt;0,TArticle[[#This Row],[کد وضعیت سند]]=1),0-TArticle[[#This Row],[مبلغ]],0)</f>
        <v>0</v>
      </c>
      <c r="AB559">
        <f>IF(AND(TArticle[[#This Row],[مبلغ]]&gt;0, TArticle[[#This Row],[کد وضعیت سند]]=1),TArticle[[#This Row],[مبلغ]],0)</f>
        <v>0</v>
      </c>
      <c r="AC559" s="84">
        <f>IF(TArticle[[#This Row],[کد بانک]]&gt;0,VLOOKUP(TArticle[[#This Row],[کد بانک]],TBank[],9,FALSE)+SUMIF($Y$2:Y559,Y559,$E$2:$E559),"")</f>
        <v>337414</v>
      </c>
      <c r="AD559" s="1">
        <f>IFERROR(IF(INT(LEFT(TArticle[[#This Row],[شناسه]]))=3,IF(TArticle[[#This Row],[کد وضعیت سند]]=1,TArticle[مبلغ],0),0),0)</f>
        <v>0</v>
      </c>
      <c r="AE559" s="1">
        <f>IFERROR(IF(((TArticle[[#This Row],[شناسه]]))="4.1.1",IF(TArticle[[#This Row],[کد وضعیت سند]]=1,TArticle[مبلغ],0),0),0)</f>
        <v>0</v>
      </c>
      <c r="AF559" s="1">
        <f>IFERROR(IF(((TArticle[[#This Row],[شناسه]]))="4.1.2",IF(TArticle[[#This Row],[کد وضعیت سند]]=1,TArticle[مبلغ],0),0),0)</f>
        <v>0</v>
      </c>
      <c r="AG559" s="1">
        <f>IFERROR(IF(INT(LEFT(TArticle[[#This Row],[شناسه]]))=1,IF(TArticle[[#This Row],[کد وضعیت سند]]=1,TArticle[مبلغ],0),0),0)</f>
        <v>0</v>
      </c>
      <c r="AH559" s="1">
        <f>IFERROR(IF(INT(LEFT(TArticle[[#This Row],[شناسه]]))=2,IF(TArticle[[#This Row],[کد وضعیت سند]]=1,TArticle[مبلغ],0),0),0)</f>
        <v>0</v>
      </c>
      <c r="AI559" s="1">
        <f>IFERROR(IF((LEFT(TArticle[[#This Row],[شناسه]],3))="5.2",IF(TArticle[[#This Row],[کد وضعیت سند]]=1,TArticle[مبلغ],0),0),0)</f>
        <v>0</v>
      </c>
      <c r="AJ559" s="1">
        <f>IF(TArticle[[#This Row],[کد وضعیت سند]]=1,1,0)</f>
        <v>0</v>
      </c>
      <c r="AK559" s="1">
        <f>IF(AND(TArticle[[#This Row],[کد وضعیت سند]]&lt;&gt;1,TArticle[[#This Row],[مبلغ]]&lt;&gt;0),1,0)</f>
        <v>0</v>
      </c>
      <c r="AL559" s="51">
        <f>IF(TArticle[[#This Row],[کد بانک]]&gt;0,TArticle[[#This Row],[مانده بانک]]-VLOOKUP(TArticle[[#This Row],[کد بانک]],TBank[],7,FALSE),"")</f>
        <v>337414</v>
      </c>
      <c r="AM559" s="49" t="str">
        <f>LEFT(TArticle[[#This Row],[تاریخ]],7)</f>
        <v>1403-03</v>
      </c>
    </row>
    <row r="560" spans="1:39" x14ac:dyDescent="0.25">
      <c r="A560" s="24"/>
      <c r="B560" s="49" t="str">
        <f>VLOOKUP(TArticle[[#This Row],[شناسه]],TAccount[],2,TRUE)</f>
        <v>---</v>
      </c>
      <c r="C560" s="49" t="str">
        <f>VLOOKUP(TArticle[[#This Row],[تاریخ]],TDays[],7,FALSE)</f>
        <v>سه شنبه</v>
      </c>
      <c r="D560" s="21" t="s">
        <v>1316</v>
      </c>
      <c r="F560" s="1">
        <f>TArticle[[#This Row],[مبلغ]]+IFERROR(INT(F559),30181+3667+958)</f>
        <v>295762</v>
      </c>
      <c r="G560" s="49"/>
      <c r="L560" s="171" t="str">
        <f>IF(TArticle[[#This Row],[کد وضعیت سند]]&gt;0,VLOOKUP(TArticle[[#This Row],[کد وضعیت سند]],TDocState[],2,FALSE),"")</f>
        <v/>
      </c>
      <c r="N560" s="171" t="str">
        <f>IF(TArticle[[#This Row],[کد طرف حساب]]&gt;0,VLOOKUP(TArticle[[#This Row],[کد طرف حساب]],TContact[],2,FALSE),"")</f>
        <v/>
      </c>
      <c r="O560" s="61" t="str">
        <f>IF(TArticle[[#This Row],[کد طرف حساب]]&gt;0,VLOOKUP(TArticle[[#This Row],[کد طرف حساب]],TContact[],7,FALSE)-SUMIF($M$2:M560,M560,$E$2:$E560),"")</f>
        <v/>
      </c>
      <c r="P560" s="27" t="str">
        <f>RIGHT(TArticle[[#This Row],[تاریخ]],2)</f>
        <v>29</v>
      </c>
      <c r="Q560" s="27">
        <f>VLOOKUP(TArticle[[#This Row],[تاریخ]],TDays[],16,FALSE)</f>
        <v>14</v>
      </c>
      <c r="R560" s="27" t="str">
        <f>RIGHT(LEFT(TArticle[[#This Row],[تاریخ]],7),2)</f>
        <v>03</v>
      </c>
      <c r="S560" s="27" t="str">
        <f>LEFT(TArticle[[#This Row],[تاریخ]],4)</f>
        <v>1403</v>
      </c>
      <c r="U560" s="21">
        <f>VLOOKUP(TArticle[[#This Row],[شناسه]],TAccount[],7,TRUE)</f>
        <v>0</v>
      </c>
      <c r="W560" s="21">
        <f>IF(AND(TArticle[[#This Row],[مبلغ]]&gt;0, TArticle[[#This Row],[کد وضعیت سند]]=1),TArticle[[#This Row],[مبلغ]],0)</f>
        <v>0</v>
      </c>
      <c r="X560" s="27">
        <f>IF(AND(TArticle[[#This Row],[مبلغ]]&lt;0,TArticle[[#This Row],[کد وضعیت سند]]=1),0-TArticle[[#This Row],[مبلغ]],0)</f>
        <v>0</v>
      </c>
      <c r="Y560" s="27">
        <v>2</v>
      </c>
      <c r="Z560" s="171" t="str">
        <f>IF(TArticle[[#This Row],[کد بانک]]&gt;0,VLOOKUP(TArticle[[#This Row],[کد بانک]],TBank[],2,FALSE),"")</f>
        <v>ملی جاری</v>
      </c>
      <c r="AA560">
        <f>IF(AND(TArticle[[#This Row],[مبلغ]]&lt;0,TArticle[[#This Row],[کد وضعیت سند]]=1),0-TArticle[[#This Row],[مبلغ]],0)</f>
        <v>0</v>
      </c>
      <c r="AB560">
        <f>IF(AND(TArticle[[#This Row],[مبلغ]]&gt;0, TArticle[[#This Row],[کد وضعیت سند]]=1),TArticle[[#This Row],[مبلغ]],0)</f>
        <v>0</v>
      </c>
      <c r="AC560" s="84">
        <f>IF(TArticle[[#This Row],[کد بانک]]&gt;0,VLOOKUP(TArticle[[#This Row],[کد بانک]],TBank[],9,FALSE)+SUMIF($Y$2:Y560,Y560,$E$2:$E560),"")</f>
        <v>337414</v>
      </c>
      <c r="AD560" s="1">
        <f>IFERROR(IF(INT(LEFT(TArticle[[#This Row],[شناسه]]))=3,IF(TArticle[[#This Row],[کد وضعیت سند]]=1,TArticle[مبلغ],0),0),0)</f>
        <v>0</v>
      </c>
      <c r="AE560" s="1">
        <f>IFERROR(IF(((TArticle[[#This Row],[شناسه]]))="4.1.1",IF(TArticle[[#This Row],[کد وضعیت سند]]=1,TArticle[مبلغ],0),0),0)</f>
        <v>0</v>
      </c>
      <c r="AF560" s="1">
        <f>IFERROR(IF(((TArticle[[#This Row],[شناسه]]))="4.1.2",IF(TArticle[[#This Row],[کد وضعیت سند]]=1,TArticle[مبلغ],0),0),0)</f>
        <v>0</v>
      </c>
      <c r="AG560" s="1">
        <f>IFERROR(IF(INT(LEFT(TArticle[[#This Row],[شناسه]]))=1,IF(TArticle[[#This Row],[کد وضعیت سند]]=1,TArticle[مبلغ],0),0),0)</f>
        <v>0</v>
      </c>
      <c r="AH560" s="1">
        <f>IFERROR(IF(INT(LEFT(TArticle[[#This Row],[شناسه]]))=2,IF(TArticle[[#This Row],[کد وضعیت سند]]=1,TArticle[مبلغ],0),0),0)</f>
        <v>0</v>
      </c>
      <c r="AI560" s="1">
        <f>IFERROR(IF((LEFT(TArticle[[#This Row],[شناسه]],3))="5.2",IF(TArticle[[#This Row],[کد وضعیت سند]]=1,TArticle[مبلغ],0),0),0)</f>
        <v>0</v>
      </c>
      <c r="AJ560" s="1">
        <f>IF(TArticle[[#This Row],[کد وضعیت سند]]=1,1,0)</f>
        <v>0</v>
      </c>
      <c r="AK560" s="1">
        <f>IF(AND(TArticle[[#This Row],[کد وضعیت سند]]&lt;&gt;1,TArticle[[#This Row],[مبلغ]]&lt;&gt;0),1,0)</f>
        <v>0</v>
      </c>
      <c r="AL560" s="51">
        <f>IF(TArticle[[#This Row],[کد بانک]]&gt;0,TArticle[[#This Row],[مانده بانک]]-VLOOKUP(TArticle[[#This Row],[کد بانک]],TBank[],7,FALSE),"")</f>
        <v>337414</v>
      </c>
      <c r="AM560" s="49" t="str">
        <f>LEFT(TArticle[[#This Row],[تاریخ]],7)</f>
        <v>1403-03</v>
      </c>
    </row>
    <row r="561" spans="1:39" x14ac:dyDescent="0.25">
      <c r="A561" s="24"/>
      <c r="B561" s="49" t="str">
        <f>VLOOKUP(TArticle[[#This Row],[شناسه]],TAccount[],2,TRUE)</f>
        <v>---</v>
      </c>
      <c r="C561" s="49" t="str">
        <f>VLOOKUP(TArticle[[#This Row],[تاریخ]],TDays[],7,FALSE)</f>
        <v>سه شنبه</v>
      </c>
      <c r="D561" s="21" t="s">
        <v>1316</v>
      </c>
      <c r="F561" s="1">
        <f>TArticle[[#This Row],[مبلغ]]+IFERROR(INT(F560),30181+3667+958)</f>
        <v>295762</v>
      </c>
      <c r="G561" s="49"/>
      <c r="L561" s="171" t="str">
        <f>IF(TArticle[[#This Row],[کد وضعیت سند]]&gt;0,VLOOKUP(TArticle[[#This Row],[کد وضعیت سند]],TDocState[],2,FALSE),"")</f>
        <v/>
      </c>
      <c r="N561" s="171" t="str">
        <f>IF(TArticle[[#This Row],[کد طرف حساب]]&gt;0,VLOOKUP(TArticle[[#This Row],[کد طرف حساب]],TContact[],2,FALSE),"")</f>
        <v/>
      </c>
      <c r="O561" s="61" t="str">
        <f>IF(TArticle[[#This Row],[کد طرف حساب]]&gt;0,VLOOKUP(TArticle[[#This Row],[کد طرف حساب]],TContact[],7,FALSE)-SUMIF($M$2:M561,M561,$E$2:$E561),"")</f>
        <v/>
      </c>
      <c r="P561" s="27" t="str">
        <f>RIGHT(TArticle[[#This Row],[تاریخ]],2)</f>
        <v>29</v>
      </c>
      <c r="Q561" s="27">
        <f>VLOOKUP(TArticle[[#This Row],[تاریخ]],TDays[],16,FALSE)</f>
        <v>14</v>
      </c>
      <c r="R561" s="27" t="str">
        <f>RIGHT(LEFT(TArticle[[#This Row],[تاریخ]],7),2)</f>
        <v>03</v>
      </c>
      <c r="S561" s="27" t="str">
        <f>LEFT(TArticle[[#This Row],[تاریخ]],4)</f>
        <v>1403</v>
      </c>
      <c r="U561" s="21">
        <f>VLOOKUP(TArticle[[#This Row],[شناسه]],TAccount[],7,TRUE)</f>
        <v>0</v>
      </c>
      <c r="W561" s="21">
        <f>IF(AND(TArticle[[#This Row],[مبلغ]]&gt;0, TArticle[[#This Row],[کد وضعیت سند]]=1),TArticle[[#This Row],[مبلغ]],0)</f>
        <v>0</v>
      </c>
      <c r="X561" s="27">
        <f>IF(AND(TArticle[[#This Row],[مبلغ]]&lt;0,TArticle[[#This Row],[کد وضعیت سند]]=1),0-TArticle[[#This Row],[مبلغ]],0)</f>
        <v>0</v>
      </c>
      <c r="Y561" s="27">
        <v>2</v>
      </c>
      <c r="Z561" s="171" t="str">
        <f>IF(TArticle[[#This Row],[کد بانک]]&gt;0,VLOOKUP(TArticle[[#This Row],[کد بانک]],TBank[],2,FALSE),"")</f>
        <v>ملی جاری</v>
      </c>
      <c r="AA561">
        <f>IF(AND(TArticle[[#This Row],[مبلغ]]&lt;0,TArticle[[#This Row],[کد وضعیت سند]]=1),0-TArticle[[#This Row],[مبلغ]],0)</f>
        <v>0</v>
      </c>
      <c r="AB561">
        <f>IF(AND(TArticle[[#This Row],[مبلغ]]&gt;0, TArticle[[#This Row],[کد وضعیت سند]]=1),TArticle[[#This Row],[مبلغ]],0)</f>
        <v>0</v>
      </c>
      <c r="AC561" s="84">
        <f>IF(TArticle[[#This Row],[کد بانک]]&gt;0,VLOOKUP(TArticle[[#This Row],[کد بانک]],TBank[],9,FALSE)+SUMIF($Y$2:Y561,Y561,$E$2:$E561),"")</f>
        <v>337414</v>
      </c>
      <c r="AD561" s="1">
        <f>IFERROR(IF(INT(LEFT(TArticle[[#This Row],[شناسه]]))=3,IF(TArticle[[#This Row],[کد وضعیت سند]]=1,TArticle[مبلغ],0),0),0)</f>
        <v>0</v>
      </c>
      <c r="AE561" s="1">
        <f>IFERROR(IF(((TArticle[[#This Row],[شناسه]]))="4.1.1",IF(TArticle[[#This Row],[کد وضعیت سند]]=1,TArticle[مبلغ],0),0),0)</f>
        <v>0</v>
      </c>
      <c r="AF561" s="1">
        <f>IFERROR(IF(((TArticle[[#This Row],[شناسه]]))="4.1.2",IF(TArticle[[#This Row],[کد وضعیت سند]]=1,TArticle[مبلغ],0),0),0)</f>
        <v>0</v>
      </c>
      <c r="AG561" s="1">
        <f>IFERROR(IF(INT(LEFT(TArticle[[#This Row],[شناسه]]))=1,IF(TArticle[[#This Row],[کد وضعیت سند]]=1,TArticle[مبلغ],0),0),0)</f>
        <v>0</v>
      </c>
      <c r="AH561" s="1">
        <f>IFERROR(IF(INT(LEFT(TArticle[[#This Row],[شناسه]]))=2,IF(TArticle[[#This Row],[کد وضعیت سند]]=1,TArticle[مبلغ],0),0),0)</f>
        <v>0</v>
      </c>
      <c r="AI561" s="1">
        <f>IFERROR(IF((LEFT(TArticle[[#This Row],[شناسه]],3))="5.2",IF(TArticle[[#This Row],[کد وضعیت سند]]=1,TArticle[مبلغ],0),0),0)</f>
        <v>0</v>
      </c>
      <c r="AJ561" s="1">
        <f>IF(TArticle[[#This Row],[کد وضعیت سند]]=1,1,0)</f>
        <v>0</v>
      </c>
      <c r="AK561" s="1">
        <f>IF(AND(TArticle[[#This Row],[کد وضعیت سند]]&lt;&gt;1,TArticle[[#This Row],[مبلغ]]&lt;&gt;0),1,0)</f>
        <v>0</v>
      </c>
      <c r="AL561" s="51">
        <f>IF(TArticle[[#This Row],[کد بانک]]&gt;0,TArticle[[#This Row],[مانده بانک]]-VLOOKUP(TArticle[[#This Row],[کد بانک]],TBank[],7,FALSE),"")</f>
        <v>337414</v>
      </c>
      <c r="AM561" s="49" t="str">
        <f>LEFT(TArticle[[#This Row],[تاریخ]],7)</f>
        <v>1403-03</v>
      </c>
    </row>
    <row r="562" spans="1:39" x14ac:dyDescent="0.25">
      <c r="A562" s="24"/>
      <c r="B562" s="49" t="str">
        <f>VLOOKUP(TArticle[[#This Row],[شناسه]],TAccount[],2,TRUE)</f>
        <v>---</v>
      </c>
      <c r="C562" s="49" t="str">
        <f>VLOOKUP(TArticle[[#This Row],[تاریخ]],TDays[],7,FALSE)</f>
        <v>سه شنبه</v>
      </c>
      <c r="D562" s="21" t="s">
        <v>1316</v>
      </c>
      <c r="F562" s="1">
        <f>TArticle[[#This Row],[مبلغ]]+IFERROR(INT(F561),30181+3667+958)</f>
        <v>295762</v>
      </c>
      <c r="G562" s="49"/>
      <c r="L562" s="171" t="str">
        <f>IF(TArticle[[#This Row],[کد وضعیت سند]]&gt;0,VLOOKUP(TArticle[[#This Row],[کد وضعیت سند]],TDocState[],2,FALSE),"")</f>
        <v/>
      </c>
      <c r="N562" s="171" t="str">
        <f>IF(TArticle[[#This Row],[کد طرف حساب]]&gt;0,VLOOKUP(TArticle[[#This Row],[کد طرف حساب]],TContact[],2,FALSE),"")</f>
        <v/>
      </c>
      <c r="O562" s="61" t="str">
        <f>IF(TArticle[[#This Row],[کد طرف حساب]]&gt;0,VLOOKUP(TArticle[[#This Row],[کد طرف حساب]],TContact[],7,FALSE)-SUMIF($M$2:M562,M562,$E$2:$E562),"")</f>
        <v/>
      </c>
      <c r="P562" s="27" t="str">
        <f>RIGHT(TArticle[[#This Row],[تاریخ]],2)</f>
        <v>29</v>
      </c>
      <c r="Q562" s="27">
        <f>VLOOKUP(TArticle[[#This Row],[تاریخ]],TDays[],16,FALSE)</f>
        <v>14</v>
      </c>
      <c r="R562" s="27" t="str">
        <f>RIGHT(LEFT(TArticle[[#This Row],[تاریخ]],7),2)</f>
        <v>03</v>
      </c>
      <c r="S562" s="27" t="str">
        <f>LEFT(TArticle[[#This Row],[تاریخ]],4)</f>
        <v>1403</v>
      </c>
      <c r="U562" s="21">
        <f>VLOOKUP(TArticle[[#This Row],[شناسه]],TAccount[],7,TRUE)</f>
        <v>0</v>
      </c>
      <c r="W562" s="21">
        <f>IF(AND(TArticle[[#This Row],[مبلغ]]&gt;0, TArticle[[#This Row],[کد وضعیت سند]]=1),TArticle[[#This Row],[مبلغ]],0)</f>
        <v>0</v>
      </c>
      <c r="X562" s="27">
        <f>IF(AND(TArticle[[#This Row],[مبلغ]]&lt;0,TArticle[[#This Row],[کد وضعیت سند]]=1),0-TArticle[[#This Row],[مبلغ]],0)</f>
        <v>0</v>
      </c>
      <c r="Y562" s="27">
        <v>2</v>
      </c>
      <c r="Z562" s="171" t="str">
        <f>IF(TArticle[[#This Row],[کد بانک]]&gt;0,VLOOKUP(TArticle[[#This Row],[کد بانک]],TBank[],2,FALSE),"")</f>
        <v>ملی جاری</v>
      </c>
      <c r="AA562">
        <f>IF(AND(TArticle[[#This Row],[مبلغ]]&lt;0,TArticle[[#This Row],[کد وضعیت سند]]=1),0-TArticle[[#This Row],[مبلغ]],0)</f>
        <v>0</v>
      </c>
      <c r="AB562">
        <f>IF(AND(TArticle[[#This Row],[مبلغ]]&gt;0, TArticle[[#This Row],[کد وضعیت سند]]=1),TArticle[[#This Row],[مبلغ]],0)</f>
        <v>0</v>
      </c>
      <c r="AC562" s="84">
        <f>IF(TArticle[[#This Row],[کد بانک]]&gt;0,VLOOKUP(TArticle[[#This Row],[کد بانک]],TBank[],9,FALSE)+SUMIF($Y$2:Y562,Y562,$E$2:$E562),"")</f>
        <v>337414</v>
      </c>
      <c r="AD562" s="1">
        <f>IFERROR(IF(INT(LEFT(TArticle[[#This Row],[شناسه]]))=3,IF(TArticle[[#This Row],[کد وضعیت سند]]=1,TArticle[مبلغ],0),0),0)</f>
        <v>0</v>
      </c>
      <c r="AE562" s="1">
        <f>IFERROR(IF(((TArticle[[#This Row],[شناسه]]))="4.1.1",IF(TArticle[[#This Row],[کد وضعیت سند]]=1,TArticle[مبلغ],0),0),0)</f>
        <v>0</v>
      </c>
      <c r="AF562" s="1">
        <f>IFERROR(IF(((TArticle[[#This Row],[شناسه]]))="4.1.2",IF(TArticle[[#This Row],[کد وضعیت سند]]=1,TArticle[مبلغ],0),0),0)</f>
        <v>0</v>
      </c>
      <c r="AG562" s="1">
        <f>IFERROR(IF(INT(LEFT(TArticle[[#This Row],[شناسه]]))=1,IF(TArticle[[#This Row],[کد وضعیت سند]]=1,TArticle[مبلغ],0),0),0)</f>
        <v>0</v>
      </c>
      <c r="AH562" s="1">
        <f>IFERROR(IF(INT(LEFT(TArticle[[#This Row],[شناسه]]))=2,IF(TArticle[[#This Row],[کد وضعیت سند]]=1,TArticle[مبلغ],0),0),0)</f>
        <v>0</v>
      </c>
      <c r="AI562" s="1">
        <f>IFERROR(IF((LEFT(TArticle[[#This Row],[شناسه]],3))="5.2",IF(TArticle[[#This Row],[کد وضعیت سند]]=1,TArticle[مبلغ],0),0),0)</f>
        <v>0</v>
      </c>
      <c r="AJ562" s="1">
        <f>IF(TArticle[[#This Row],[کد وضعیت سند]]=1,1,0)</f>
        <v>0</v>
      </c>
      <c r="AK562" s="1">
        <f>IF(AND(TArticle[[#This Row],[کد وضعیت سند]]&lt;&gt;1,TArticle[[#This Row],[مبلغ]]&lt;&gt;0),1,0)</f>
        <v>0</v>
      </c>
      <c r="AL562" s="51">
        <f>IF(TArticle[[#This Row],[کد بانک]]&gt;0,TArticle[[#This Row],[مانده بانک]]-VLOOKUP(TArticle[[#This Row],[کد بانک]],TBank[],7,FALSE),"")</f>
        <v>337414</v>
      </c>
      <c r="AM562" s="49" t="str">
        <f>LEFT(TArticle[[#This Row],[تاریخ]],7)</f>
        <v>1403-03</v>
      </c>
    </row>
    <row r="563" spans="1:39" x14ac:dyDescent="0.25">
      <c r="A563" s="24"/>
      <c r="B563" s="49" t="str">
        <f>VLOOKUP(TArticle[[#This Row],[شناسه]],TAccount[],2,TRUE)</f>
        <v>---</v>
      </c>
      <c r="C563" s="49" t="str">
        <f>VLOOKUP(TArticle[[#This Row],[تاریخ]],TDays[],7,FALSE)</f>
        <v>سه شنبه</v>
      </c>
      <c r="D563" s="21" t="s">
        <v>1316</v>
      </c>
      <c r="F563" s="1">
        <f>TArticle[[#This Row],[مبلغ]]+IFERROR(INT(F562),30181+3667+958)</f>
        <v>295762</v>
      </c>
      <c r="G563" s="49"/>
      <c r="L563" s="171" t="str">
        <f>IF(TArticle[[#This Row],[کد وضعیت سند]]&gt;0,VLOOKUP(TArticle[[#This Row],[کد وضعیت سند]],TDocState[],2,FALSE),"")</f>
        <v/>
      </c>
      <c r="N563" s="171" t="str">
        <f>IF(TArticle[[#This Row],[کد طرف حساب]]&gt;0,VLOOKUP(TArticle[[#This Row],[کد طرف حساب]],TContact[],2,FALSE),"")</f>
        <v/>
      </c>
      <c r="O563" s="61" t="str">
        <f>IF(TArticle[[#This Row],[کد طرف حساب]]&gt;0,VLOOKUP(TArticle[[#This Row],[کد طرف حساب]],TContact[],7,FALSE)-SUMIF($M$2:M563,M563,$E$2:$E563),"")</f>
        <v/>
      </c>
      <c r="P563" s="27" t="str">
        <f>RIGHT(TArticle[[#This Row],[تاریخ]],2)</f>
        <v>29</v>
      </c>
      <c r="Q563" s="27">
        <f>VLOOKUP(TArticle[[#This Row],[تاریخ]],TDays[],16,FALSE)</f>
        <v>14</v>
      </c>
      <c r="R563" s="27" t="str">
        <f>RIGHT(LEFT(TArticle[[#This Row],[تاریخ]],7),2)</f>
        <v>03</v>
      </c>
      <c r="S563" s="27" t="str">
        <f>LEFT(TArticle[[#This Row],[تاریخ]],4)</f>
        <v>1403</v>
      </c>
      <c r="U563" s="21">
        <f>VLOOKUP(TArticle[[#This Row],[شناسه]],TAccount[],7,TRUE)</f>
        <v>0</v>
      </c>
      <c r="W563" s="21">
        <f>IF(AND(TArticle[[#This Row],[مبلغ]]&gt;0, TArticle[[#This Row],[کد وضعیت سند]]=1),TArticle[[#This Row],[مبلغ]],0)</f>
        <v>0</v>
      </c>
      <c r="X563" s="27">
        <f>IF(AND(TArticle[[#This Row],[مبلغ]]&lt;0,TArticle[[#This Row],[کد وضعیت سند]]=1),0-TArticle[[#This Row],[مبلغ]],0)</f>
        <v>0</v>
      </c>
      <c r="Y563" s="27">
        <v>2</v>
      </c>
      <c r="Z563" s="171" t="str">
        <f>IF(TArticle[[#This Row],[کد بانک]]&gt;0,VLOOKUP(TArticle[[#This Row],[کد بانک]],TBank[],2,FALSE),"")</f>
        <v>ملی جاری</v>
      </c>
      <c r="AA563">
        <f>IF(AND(TArticle[[#This Row],[مبلغ]]&lt;0,TArticle[[#This Row],[کد وضعیت سند]]=1),0-TArticle[[#This Row],[مبلغ]],0)</f>
        <v>0</v>
      </c>
      <c r="AB563">
        <f>IF(AND(TArticle[[#This Row],[مبلغ]]&gt;0, TArticle[[#This Row],[کد وضعیت سند]]=1),TArticle[[#This Row],[مبلغ]],0)</f>
        <v>0</v>
      </c>
      <c r="AC563" s="84">
        <f>IF(TArticle[[#This Row],[کد بانک]]&gt;0,VLOOKUP(TArticle[[#This Row],[کد بانک]],TBank[],9,FALSE)+SUMIF($Y$2:Y563,Y563,$E$2:$E563),"")</f>
        <v>337414</v>
      </c>
      <c r="AD563" s="1">
        <f>IFERROR(IF(INT(LEFT(TArticle[[#This Row],[شناسه]]))=3,IF(TArticle[[#This Row],[کد وضعیت سند]]=1,TArticle[مبلغ],0),0),0)</f>
        <v>0</v>
      </c>
      <c r="AE563" s="1">
        <f>IFERROR(IF(((TArticle[[#This Row],[شناسه]]))="4.1.1",IF(TArticle[[#This Row],[کد وضعیت سند]]=1,TArticle[مبلغ],0),0),0)</f>
        <v>0</v>
      </c>
      <c r="AF563" s="1">
        <f>IFERROR(IF(((TArticle[[#This Row],[شناسه]]))="4.1.2",IF(TArticle[[#This Row],[کد وضعیت سند]]=1,TArticle[مبلغ],0),0),0)</f>
        <v>0</v>
      </c>
      <c r="AG563" s="1">
        <f>IFERROR(IF(INT(LEFT(TArticle[[#This Row],[شناسه]]))=1,IF(TArticle[[#This Row],[کد وضعیت سند]]=1,TArticle[مبلغ],0),0),0)</f>
        <v>0</v>
      </c>
      <c r="AH563" s="1">
        <f>IFERROR(IF(INT(LEFT(TArticle[[#This Row],[شناسه]]))=2,IF(TArticle[[#This Row],[کد وضعیت سند]]=1,TArticle[مبلغ],0),0),0)</f>
        <v>0</v>
      </c>
      <c r="AI563" s="1">
        <f>IFERROR(IF((LEFT(TArticle[[#This Row],[شناسه]],3))="5.2",IF(TArticle[[#This Row],[کد وضعیت سند]]=1,TArticle[مبلغ],0),0),0)</f>
        <v>0</v>
      </c>
      <c r="AJ563" s="1">
        <f>IF(TArticle[[#This Row],[کد وضعیت سند]]=1,1,0)</f>
        <v>0</v>
      </c>
      <c r="AK563" s="1">
        <f>IF(AND(TArticle[[#This Row],[کد وضعیت سند]]&lt;&gt;1,TArticle[[#This Row],[مبلغ]]&lt;&gt;0),1,0)</f>
        <v>0</v>
      </c>
      <c r="AL563" s="51">
        <f>IF(TArticle[[#This Row],[کد بانک]]&gt;0,TArticle[[#This Row],[مانده بانک]]-VLOOKUP(TArticle[[#This Row],[کد بانک]],TBank[],7,FALSE),"")</f>
        <v>337414</v>
      </c>
      <c r="AM563" s="49" t="str">
        <f>LEFT(TArticle[[#This Row],[تاریخ]],7)</f>
        <v>1403-03</v>
      </c>
    </row>
    <row r="564" spans="1:39" x14ac:dyDescent="0.25">
      <c r="A564" s="24"/>
      <c r="B564" s="49" t="str">
        <f>VLOOKUP(TArticle[[#This Row],[شناسه]],TAccount[],2,TRUE)</f>
        <v>---</v>
      </c>
      <c r="C564" s="49" t="str">
        <f>VLOOKUP(TArticle[[#This Row],[تاریخ]],TDays[],7,FALSE)</f>
        <v>سه شنبه</v>
      </c>
      <c r="D564" s="21" t="s">
        <v>1316</v>
      </c>
      <c r="F564" s="1">
        <f>TArticle[[#This Row],[مبلغ]]+IFERROR(INT(F563),30181+3667+958)</f>
        <v>295762</v>
      </c>
      <c r="G564" s="49"/>
      <c r="L564" s="171" t="str">
        <f>IF(TArticle[[#This Row],[کد وضعیت سند]]&gt;0,VLOOKUP(TArticle[[#This Row],[کد وضعیت سند]],TDocState[],2,FALSE),"")</f>
        <v/>
      </c>
      <c r="N564" s="171" t="str">
        <f>IF(TArticle[[#This Row],[کد طرف حساب]]&gt;0,VLOOKUP(TArticle[[#This Row],[کد طرف حساب]],TContact[],2,FALSE),"")</f>
        <v/>
      </c>
      <c r="O564" s="61" t="str">
        <f>IF(TArticle[[#This Row],[کد طرف حساب]]&gt;0,VLOOKUP(TArticle[[#This Row],[کد طرف حساب]],TContact[],7,FALSE)-SUMIF($M$2:M564,M564,$E$2:$E564),"")</f>
        <v/>
      </c>
      <c r="P564" s="27" t="str">
        <f>RIGHT(TArticle[[#This Row],[تاریخ]],2)</f>
        <v>29</v>
      </c>
      <c r="Q564" s="27">
        <f>VLOOKUP(TArticle[[#This Row],[تاریخ]],TDays[],16,FALSE)</f>
        <v>14</v>
      </c>
      <c r="R564" s="27" t="str">
        <f>RIGHT(LEFT(TArticle[[#This Row],[تاریخ]],7),2)</f>
        <v>03</v>
      </c>
      <c r="S564" s="27" t="str">
        <f>LEFT(TArticle[[#This Row],[تاریخ]],4)</f>
        <v>1403</v>
      </c>
      <c r="U564" s="21">
        <f>VLOOKUP(TArticle[[#This Row],[شناسه]],TAccount[],7,TRUE)</f>
        <v>0</v>
      </c>
      <c r="W564" s="21">
        <f>IF(AND(TArticle[[#This Row],[مبلغ]]&gt;0, TArticle[[#This Row],[کد وضعیت سند]]=1),TArticle[[#This Row],[مبلغ]],0)</f>
        <v>0</v>
      </c>
      <c r="X564" s="27">
        <f>IF(AND(TArticle[[#This Row],[مبلغ]]&lt;0,TArticle[[#This Row],[کد وضعیت سند]]=1),0-TArticle[[#This Row],[مبلغ]],0)</f>
        <v>0</v>
      </c>
      <c r="Y564" s="27">
        <v>2</v>
      </c>
      <c r="Z564" s="171" t="str">
        <f>IF(TArticle[[#This Row],[کد بانک]]&gt;0,VLOOKUP(TArticle[[#This Row],[کد بانک]],TBank[],2,FALSE),"")</f>
        <v>ملی جاری</v>
      </c>
      <c r="AA564">
        <f>IF(AND(TArticle[[#This Row],[مبلغ]]&lt;0,TArticle[[#This Row],[کد وضعیت سند]]=1),0-TArticle[[#This Row],[مبلغ]],0)</f>
        <v>0</v>
      </c>
      <c r="AB564">
        <f>IF(AND(TArticle[[#This Row],[مبلغ]]&gt;0, TArticle[[#This Row],[کد وضعیت سند]]=1),TArticle[[#This Row],[مبلغ]],0)</f>
        <v>0</v>
      </c>
      <c r="AC564" s="84">
        <f>IF(TArticle[[#This Row],[کد بانک]]&gt;0,VLOOKUP(TArticle[[#This Row],[کد بانک]],TBank[],9,FALSE)+SUMIF($Y$2:Y564,Y564,$E$2:$E564),"")</f>
        <v>337414</v>
      </c>
      <c r="AD564" s="1">
        <f>IFERROR(IF(INT(LEFT(TArticle[[#This Row],[شناسه]]))=3,IF(TArticle[[#This Row],[کد وضعیت سند]]=1,TArticle[مبلغ],0),0),0)</f>
        <v>0</v>
      </c>
      <c r="AE564" s="1">
        <f>IFERROR(IF(((TArticle[[#This Row],[شناسه]]))="4.1.1",IF(TArticle[[#This Row],[کد وضعیت سند]]=1,TArticle[مبلغ],0),0),0)</f>
        <v>0</v>
      </c>
      <c r="AF564" s="1">
        <f>IFERROR(IF(((TArticle[[#This Row],[شناسه]]))="4.1.2",IF(TArticle[[#This Row],[کد وضعیت سند]]=1,TArticle[مبلغ],0),0),0)</f>
        <v>0</v>
      </c>
      <c r="AG564" s="1">
        <f>IFERROR(IF(INT(LEFT(TArticle[[#This Row],[شناسه]]))=1,IF(TArticle[[#This Row],[کد وضعیت سند]]=1,TArticle[مبلغ],0),0),0)</f>
        <v>0</v>
      </c>
      <c r="AH564" s="1">
        <f>IFERROR(IF(INT(LEFT(TArticle[[#This Row],[شناسه]]))=2,IF(TArticle[[#This Row],[کد وضعیت سند]]=1,TArticle[مبلغ],0),0),0)</f>
        <v>0</v>
      </c>
      <c r="AI564" s="1">
        <f>IFERROR(IF((LEFT(TArticle[[#This Row],[شناسه]],3))="5.2",IF(TArticle[[#This Row],[کد وضعیت سند]]=1,TArticle[مبلغ],0),0),0)</f>
        <v>0</v>
      </c>
      <c r="AJ564" s="1">
        <f>IF(TArticle[[#This Row],[کد وضعیت سند]]=1,1,0)</f>
        <v>0</v>
      </c>
      <c r="AK564" s="1">
        <f>IF(AND(TArticle[[#This Row],[کد وضعیت سند]]&lt;&gt;1,TArticle[[#This Row],[مبلغ]]&lt;&gt;0),1,0)</f>
        <v>0</v>
      </c>
      <c r="AL564" s="51">
        <f>IF(TArticle[[#This Row],[کد بانک]]&gt;0,TArticle[[#This Row],[مانده بانک]]-VLOOKUP(TArticle[[#This Row],[کد بانک]],TBank[],7,FALSE),"")</f>
        <v>337414</v>
      </c>
      <c r="AM564" s="49" t="str">
        <f>LEFT(TArticle[[#This Row],[تاریخ]],7)</f>
        <v>1403-03</v>
      </c>
    </row>
    <row r="565" spans="1:39" x14ac:dyDescent="0.25">
      <c r="A565" s="24"/>
      <c r="B565" s="49" t="str">
        <f>VLOOKUP(TArticle[[#This Row],[شناسه]],TAccount[],2,TRUE)</f>
        <v>---</v>
      </c>
      <c r="C565" s="49" t="str">
        <f>VLOOKUP(TArticle[[#This Row],[تاریخ]],TDays[],7,FALSE)</f>
        <v>سه شنبه</v>
      </c>
      <c r="D565" s="21" t="s">
        <v>1316</v>
      </c>
      <c r="F565" s="1">
        <f>TArticle[[#This Row],[مبلغ]]+IFERROR(INT(F564),30181+3667+958)</f>
        <v>295762</v>
      </c>
      <c r="G565" s="49"/>
      <c r="L565" s="171" t="str">
        <f>IF(TArticle[[#This Row],[کد وضعیت سند]]&gt;0,VLOOKUP(TArticle[[#This Row],[کد وضعیت سند]],TDocState[],2,FALSE),"")</f>
        <v/>
      </c>
      <c r="N565" s="171" t="str">
        <f>IF(TArticle[[#This Row],[کد طرف حساب]]&gt;0,VLOOKUP(TArticle[[#This Row],[کد طرف حساب]],TContact[],2,FALSE),"")</f>
        <v/>
      </c>
      <c r="O565" s="51" t="str">
        <f>IF(TArticle[[#This Row],[کد طرف حساب]]&gt;0,VLOOKUP(TArticle[[#This Row],[کد طرف حساب]],TContact[],7,FALSE)-SUMIF($M$2:M565,M565,$E$2:$E565),"")</f>
        <v/>
      </c>
      <c r="P565" s="27" t="str">
        <f>RIGHT(TArticle[[#This Row],[تاریخ]],2)</f>
        <v>29</v>
      </c>
      <c r="Q565" s="27">
        <f>VLOOKUP(TArticle[[#This Row],[تاریخ]],TDays[],16,FALSE)</f>
        <v>14</v>
      </c>
      <c r="R565" s="27" t="str">
        <f>RIGHT(LEFT(TArticle[[#This Row],[تاریخ]],7),2)</f>
        <v>03</v>
      </c>
      <c r="S565" s="27" t="str">
        <f>LEFT(TArticle[[#This Row],[تاریخ]],4)</f>
        <v>1403</v>
      </c>
      <c r="U565" s="21">
        <f>VLOOKUP(TArticle[[#This Row],[شناسه]],TAccount[],7,TRUE)</f>
        <v>0</v>
      </c>
      <c r="W565" s="21">
        <f>IF(AND(TArticle[[#This Row],[مبلغ]]&gt;0, TArticle[[#This Row],[کد وضعیت سند]]=1),TArticle[[#This Row],[مبلغ]],0)</f>
        <v>0</v>
      </c>
      <c r="X565" s="27">
        <f>IF(AND(TArticle[[#This Row],[مبلغ]]&lt;0,TArticle[[#This Row],[کد وضعیت سند]]=1),0-TArticle[[#This Row],[مبلغ]],0)</f>
        <v>0</v>
      </c>
      <c r="Y565" s="27">
        <v>2</v>
      </c>
      <c r="Z565" s="171" t="str">
        <f>IF(TArticle[[#This Row],[کد بانک]]&gt;0,VLOOKUP(TArticle[[#This Row],[کد بانک]],TBank[],2,FALSE),"")</f>
        <v>ملی جاری</v>
      </c>
      <c r="AA565">
        <f>IF(AND(TArticle[[#This Row],[مبلغ]]&lt;0,TArticle[[#This Row],[کد وضعیت سند]]=1),0-TArticle[[#This Row],[مبلغ]],0)</f>
        <v>0</v>
      </c>
      <c r="AB565">
        <f>IF(AND(TArticle[[#This Row],[مبلغ]]&gt;0, TArticle[[#This Row],[کد وضعیت سند]]=1),TArticle[[#This Row],[مبلغ]],0)</f>
        <v>0</v>
      </c>
      <c r="AC565" s="84">
        <f>IF(TArticle[[#This Row],[کد بانک]]&gt;0,VLOOKUP(TArticle[[#This Row],[کد بانک]],TBank[],9,FALSE)+SUMIF($Y$2:Y565,Y565,$E$2:$E565),"")</f>
        <v>337414</v>
      </c>
      <c r="AD565" s="1">
        <f>IFERROR(IF(INT(LEFT(TArticle[[#This Row],[شناسه]]))=3,IF(TArticle[[#This Row],[کد وضعیت سند]]=1,TArticle[مبلغ],0),0),0)</f>
        <v>0</v>
      </c>
      <c r="AE565" s="1">
        <f>IFERROR(IF(((TArticle[[#This Row],[شناسه]]))="4.1.1",IF(TArticle[[#This Row],[کد وضعیت سند]]=1,TArticle[مبلغ],0),0),0)</f>
        <v>0</v>
      </c>
      <c r="AF565" s="1">
        <f>IFERROR(IF(((TArticle[[#This Row],[شناسه]]))="4.1.2",IF(TArticle[[#This Row],[کد وضعیت سند]]=1,TArticle[مبلغ],0),0),0)</f>
        <v>0</v>
      </c>
      <c r="AG565" s="1">
        <f>IFERROR(IF(INT(LEFT(TArticle[[#This Row],[شناسه]]))=1,IF(TArticle[[#This Row],[کد وضعیت سند]]=1,TArticle[مبلغ],0),0),0)</f>
        <v>0</v>
      </c>
      <c r="AH565" s="1">
        <f>IFERROR(IF(INT(LEFT(TArticle[[#This Row],[شناسه]]))=2,IF(TArticle[[#This Row],[کد وضعیت سند]]=1,TArticle[مبلغ],0),0),0)</f>
        <v>0</v>
      </c>
      <c r="AI565" s="1">
        <f>IFERROR(IF((LEFT(TArticle[[#This Row],[شناسه]],3))="5.2",IF(TArticle[[#This Row],[کد وضعیت سند]]=1,TArticle[مبلغ],0),0),0)</f>
        <v>0</v>
      </c>
      <c r="AJ565" s="1">
        <f>IF(TArticle[[#This Row],[کد وضعیت سند]]=1,1,0)</f>
        <v>0</v>
      </c>
      <c r="AK565" s="1">
        <f>IF(AND(TArticle[[#This Row],[کد وضعیت سند]]&lt;&gt;1,TArticle[[#This Row],[مبلغ]]&lt;&gt;0),1,0)</f>
        <v>0</v>
      </c>
      <c r="AL565" s="51">
        <f>IF(TArticle[[#This Row],[کد بانک]]&gt;0,TArticle[[#This Row],[مانده بانک]]-VLOOKUP(TArticle[[#This Row],[کد بانک]],TBank[],7,FALSE),"")</f>
        <v>337414</v>
      </c>
      <c r="AM565" s="49" t="str">
        <f>LEFT(TArticle[[#This Row],[تاریخ]],7)</f>
        <v>1403-03</v>
      </c>
    </row>
    <row r="566" spans="1:39" x14ac:dyDescent="0.25">
      <c r="A566" s="63"/>
      <c r="B566" s="49" t="str">
        <f>VLOOKUP(TArticle[[#This Row],[شناسه]],TAccount[],2,TRUE)</f>
        <v>---</v>
      </c>
      <c r="C566" s="49" t="str">
        <f>VLOOKUP(TArticle[[#This Row],[تاریخ]],TDays[],7,FALSE)</f>
        <v>سه شنبه</v>
      </c>
      <c r="D566" s="21" t="s">
        <v>1316</v>
      </c>
      <c r="F566" s="1">
        <f>TArticle[[#This Row],[مبلغ]]+IFERROR(INT(F565),30181+3667+958)</f>
        <v>295762</v>
      </c>
      <c r="G566" s="49"/>
      <c r="H566" s="64"/>
      <c r="J566" s="65"/>
      <c r="K566" s="64"/>
      <c r="L566" s="171" t="str">
        <f>IF(TArticle[[#This Row],[کد وضعیت سند]]&gt;0,VLOOKUP(TArticle[[#This Row],[کد وضعیت سند]],TDocState[],2,FALSE),"")</f>
        <v/>
      </c>
      <c r="M566" s="67"/>
      <c r="N566" s="171" t="str">
        <f>IF(TArticle[[#This Row],[کد طرف حساب]]&gt;0,VLOOKUP(TArticle[[#This Row],[کد طرف حساب]],TContact[],2,FALSE),"")</f>
        <v/>
      </c>
      <c r="O566" s="68" t="str">
        <f>IF(TArticle[[#This Row],[کد طرف حساب]]&gt;0,VLOOKUP(TArticle[[#This Row],[کد طرف حساب]],TContact[],7,FALSE)-SUMIF($M$2:M566,M566,$E$2:$E566),"")</f>
        <v/>
      </c>
      <c r="P566" s="67" t="str">
        <f>RIGHT(TArticle[[#This Row],[تاریخ]],2)</f>
        <v>29</v>
      </c>
      <c r="Q566" s="67">
        <f>VLOOKUP(TArticle[[#This Row],[تاریخ]],TDays[],16,FALSE)</f>
        <v>14</v>
      </c>
      <c r="R566" s="67" t="str">
        <f>RIGHT(LEFT(TArticle[[#This Row],[تاریخ]],7),2)</f>
        <v>03</v>
      </c>
      <c r="S566" s="67" t="str">
        <f>LEFT(TArticle[[#This Row],[تاریخ]],4)</f>
        <v>1403</v>
      </c>
      <c r="T566" s="64"/>
      <c r="U566" s="64">
        <f>VLOOKUP(TArticle[[#This Row],[شناسه]],TAccount[],7,TRUE)</f>
        <v>0</v>
      </c>
      <c r="W566" s="64">
        <f>IF(AND(TArticle[[#This Row],[مبلغ]]&gt;0, TArticle[[#This Row],[کد وضعیت سند]]=1),TArticle[[#This Row],[مبلغ]],0)</f>
        <v>0</v>
      </c>
      <c r="X566" s="67">
        <f>IF(AND(TArticle[[#This Row],[مبلغ]]&lt;0,TArticle[[#This Row],[کد وضعیت سند]]=1),0-TArticle[[#This Row],[مبلغ]],0)</f>
        <v>0</v>
      </c>
      <c r="Y566" s="27">
        <v>2</v>
      </c>
      <c r="Z566" s="171" t="str">
        <f>IF(TArticle[[#This Row],[کد بانک]]&gt;0,VLOOKUP(TArticle[[#This Row],[کد بانک]],TBank[],2,FALSE),"")</f>
        <v>ملی جاری</v>
      </c>
      <c r="AA566">
        <f>IF(AND(TArticle[[#This Row],[مبلغ]]&lt;0,TArticle[[#This Row],[کد وضعیت سند]]=1),0-TArticle[[#This Row],[مبلغ]],0)</f>
        <v>0</v>
      </c>
      <c r="AB566">
        <f>IF(AND(TArticle[[#This Row],[مبلغ]]&gt;0, TArticle[[#This Row],[کد وضعیت سند]]=1),TArticle[[#This Row],[مبلغ]],0)</f>
        <v>0</v>
      </c>
      <c r="AC566" s="93">
        <f>IF(TArticle[[#This Row],[کد بانک]]&gt;0,VLOOKUP(TArticle[[#This Row],[کد بانک]],TBank[],9,FALSE)+SUMIF($Y$2:Y566,Y566,$E$2:$E566),"")</f>
        <v>337414</v>
      </c>
      <c r="AD566" s="1">
        <f>IFERROR(IF(INT(LEFT(TArticle[[#This Row],[شناسه]]))=3,IF(TArticle[[#This Row],[کد وضعیت سند]]=1,TArticle[مبلغ],0),0),0)</f>
        <v>0</v>
      </c>
      <c r="AE566" s="1">
        <f>IFERROR(IF(((TArticle[[#This Row],[شناسه]]))="4.1.1",IF(TArticle[[#This Row],[کد وضعیت سند]]=1,TArticle[مبلغ],0),0),0)</f>
        <v>0</v>
      </c>
      <c r="AF566" s="1">
        <f>IFERROR(IF(((TArticle[[#This Row],[شناسه]]))="4.1.2",IF(TArticle[[#This Row],[کد وضعیت سند]]=1,TArticle[مبلغ],0),0),0)</f>
        <v>0</v>
      </c>
      <c r="AG566" s="1">
        <f>IFERROR(IF(INT(LEFT(TArticle[[#This Row],[شناسه]]))=1,IF(TArticle[[#This Row],[کد وضعیت سند]]=1,TArticle[مبلغ],0),0),0)</f>
        <v>0</v>
      </c>
      <c r="AH566" s="1">
        <f>IFERROR(IF(INT(LEFT(TArticle[[#This Row],[شناسه]]))=2,IF(TArticle[[#This Row],[کد وضعیت سند]]=1,TArticle[مبلغ],0),0),0)</f>
        <v>0</v>
      </c>
      <c r="AI566" s="1">
        <f>IFERROR(IF((LEFT(TArticle[[#This Row],[شناسه]],3))="5.2",IF(TArticle[[#This Row],[کد وضعیت سند]]=1,TArticle[مبلغ],0),0),0)</f>
        <v>0</v>
      </c>
      <c r="AJ566" s="1">
        <f>IF(TArticle[[#This Row],[کد وضعیت سند]]=1,1,0)</f>
        <v>0</v>
      </c>
      <c r="AK566" s="1">
        <f>IF(AND(TArticle[[#This Row],[کد وضعیت سند]]&lt;&gt;1,TArticle[[#This Row],[مبلغ]]&lt;&gt;0),1,0)</f>
        <v>0</v>
      </c>
      <c r="AL566" s="78">
        <f>IF(TArticle[[#This Row],[کد بانک]]&gt;0,TArticle[[#This Row],[مانده بانک]]-VLOOKUP(TArticle[[#This Row],[کد بانک]],TBank[],7,FALSE),"")</f>
        <v>337414</v>
      </c>
      <c r="AM566" s="58" t="str">
        <f>LEFT(TArticle[[#This Row],[تاریخ]],7)</f>
        <v>1403-03</v>
      </c>
    </row>
    <row r="567" spans="1:39" x14ac:dyDescent="0.25">
      <c r="A567" s="24"/>
      <c r="B567" s="49" t="str">
        <f>VLOOKUP(TArticle[[#This Row],[شناسه]],TAccount[],2,TRUE)</f>
        <v>---</v>
      </c>
      <c r="C567" s="49" t="str">
        <f>VLOOKUP(TArticle[[#This Row],[تاریخ]],TDays[],7,FALSE)</f>
        <v>سه شنبه</v>
      </c>
      <c r="D567" s="21" t="s">
        <v>1316</v>
      </c>
      <c r="F567" s="1">
        <f>TArticle[[#This Row],[مبلغ]]+IFERROR(INT(F566),30181+3667+958)</f>
        <v>295762</v>
      </c>
      <c r="G567" s="49"/>
      <c r="L567" s="171" t="str">
        <f>IF(TArticle[[#This Row],[کد وضعیت سند]]&gt;0,VLOOKUP(TArticle[[#This Row],[کد وضعیت سند]],TDocState[],2,FALSE),"")</f>
        <v/>
      </c>
      <c r="N567" s="171" t="str">
        <f>IF(TArticle[[#This Row],[کد طرف حساب]]&gt;0,VLOOKUP(TArticle[[#This Row],[کد طرف حساب]],TContact[],2,FALSE),"")</f>
        <v/>
      </c>
      <c r="O567" s="51" t="str">
        <f>IF(TArticle[[#This Row],[کد طرف حساب]]&gt;0,VLOOKUP(TArticle[[#This Row],[کد طرف حساب]],TContact[],7,FALSE)-SUMIF($M$2:M567,M567,$E$2:$E567),"")</f>
        <v/>
      </c>
      <c r="P567" s="27" t="str">
        <f>RIGHT(TArticle[[#This Row],[تاریخ]],2)</f>
        <v>29</v>
      </c>
      <c r="Q567" s="27">
        <f>VLOOKUP(TArticle[[#This Row],[تاریخ]],TDays[],16,FALSE)</f>
        <v>14</v>
      </c>
      <c r="R567" s="27" t="str">
        <f>RIGHT(LEFT(TArticle[[#This Row],[تاریخ]],7),2)</f>
        <v>03</v>
      </c>
      <c r="S567" s="27" t="str">
        <f>LEFT(TArticle[[#This Row],[تاریخ]],4)</f>
        <v>1403</v>
      </c>
      <c r="U567" s="21">
        <f>VLOOKUP(TArticle[[#This Row],[شناسه]],TAccount[],7,TRUE)</f>
        <v>0</v>
      </c>
      <c r="W567" s="21">
        <f>IF(AND(TArticle[[#This Row],[مبلغ]]&gt;0, TArticle[[#This Row],[کد وضعیت سند]]=1),TArticle[[#This Row],[مبلغ]],0)</f>
        <v>0</v>
      </c>
      <c r="X567" s="27">
        <f>IF(AND(TArticle[[#This Row],[مبلغ]]&lt;0,TArticle[[#This Row],[کد وضعیت سند]]=1),0-TArticle[[#This Row],[مبلغ]],0)</f>
        <v>0</v>
      </c>
      <c r="Y567" s="27">
        <v>2</v>
      </c>
      <c r="Z567" s="171" t="str">
        <f>IF(TArticle[[#This Row],[کد بانک]]&gt;0,VLOOKUP(TArticle[[#This Row],[کد بانک]],TBank[],2,FALSE),"")</f>
        <v>ملی جاری</v>
      </c>
      <c r="AA567">
        <f>IF(AND(TArticle[[#This Row],[مبلغ]]&lt;0,TArticle[[#This Row],[کد وضعیت سند]]=1),0-TArticle[[#This Row],[مبلغ]],0)</f>
        <v>0</v>
      </c>
      <c r="AB567">
        <f>IF(AND(TArticle[[#This Row],[مبلغ]]&gt;0, TArticle[[#This Row],[کد وضعیت سند]]=1),TArticle[[#This Row],[مبلغ]],0)</f>
        <v>0</v>
      </c>
      <c r="AC567" s="84">
        <f>IF(TArticle[[#This Row],[کد بانک]]&gt;0,VLOOKUP(TArticle[[#This Row],[کد بانک]],TBank[],9,FALSE)+SUMIF($Y$2:Y567,Y567,$E$2:$E567),"")</f>
        <v>337414</v>
      </c>
      <c r="AD567" s="1">
        <f>IFERROR(IF(INT(LEFT(TArticle[[#This Row],[شناسه]]))=3,IF(TArticle[[#This Row],[کد وضعیت سند]]=1,TArticle[مبلغ],0),0),0)</f>
        <v>0</v>
      </c>
      <c r="AE567" s="1">
        <f>IFERROR(IF(((TArticle[[#This Row],[شناسه]]))="4.1.1",IF(TArticle[[#This Row],[کد وضعیت سند]]=1,TArticle[مبلغ],0),0),0)</f>
        <v>0</v>
      </c>
      <c r="AF567" s="1">
        <f>IFERROR(IF(((TArticle[[#This Row],[شناسه]]))="4.1.2",IF(TArticle[[#This Row],[کد وضعیت سند]]=1,TArticle[مبلغ],0),0),0)</f>
        <v>0</v>
      </c>
      <c r="AG567" s="1">
        <f>IFERROR(IF(INT(LEFT(TArticle[[#This Row],[شناسه]]))=1,IF(TArticle[[#This Row],[کد وضعیت سند]]=1,TArticle[مبلغ],0),0),0)</f>
        <v>0</v>
      </c>
      <c r="AH567" s="1">
        <f>IFERROR(IF(INT(LEFT(TArticle[[#This Row],[شناسه]]))=2,IF(TArticle[[#This Row],[کد وضعیت سند]]=1,TArticle[مبلغ],0),0),0)</f>
        <v>0</v>
      </c>
      <c r="AI567" s="1">
        <f>IFERROR(IF((LEFT(TArticle[[#This Row],[شناسه]],3))="5.2",IF(TArticle[[#This Row],[کد وضعیت سند]]=1,TArticle[مبلغ],0),0),0)</f>
        <v>0</v>
      </c>
      <c r="AJ567" s="1">
        <f>IF(TArticle[[#This Row],[کد وضعیت سند]]=1,1,0)</f>
        <v>0</v>
      </c>
      <c r="AK567" s="1">
        <f>IF(AND(TArticle[[#This Row],[کد وضعیت سند]]&lt;&gt;1,TArticle[[#This Row],[مبلغ]]&lt;&gt;0),1,0)</f>
        <v>0</v>
      </c>
      <c r="AL567" s="51">
        <f>IF(TArticle[[#This Row],[کد بانک]]&gt;0,TArticle[[#This Row],[مانده بانک]]-VLOOKUP(TArticle[[#This Row],[کد بانک]],TBank[],7,FALSE),"")</f>
        <v>337414</v>
      </c>
      <c r="AM567" s="49" t="str">
        <f>LEFT(TArticle[[#This Row],[تاریخ]],7)</f>
        <v>1403-03</v>
      </c>
    </row>
    <row r="568" spans="1:39" x14ac:dyDescent="0.25">
      <c r="A568" s="24"/>
      <c r="B568" s="49" t="str">
        <f>VLOOKUP(TArticle[[#This Row],[شناسه]],TAccount[],2,TRUE)</f>
        <v>---</v>
      </c>
      <c r="C568" s="49" t="str">
        <f>VLOOKUP(TArticle[[#This Row],[تاریخ]],TDays[],7,FALSE)</f>
        <v>سه شنبه</v>
      </c>
      <c r="D568" s="21" t="s">
        <v>1316</v>
      </c>
      <c r="F568" s="1">
        <f>TArticle[[#This Row],[مبلغ]]+IFERROR(INT(F567),30181+3667+958)</f>
        <v>295762</v>
      </c>
      <c r="G568" s="49"/>
      <c r="J568" s="51"/>
      <c r="K568" s="49"/>
      <c r="L568" s="171" t="str">
        <f>IF(TArticle[[#This Row],[کد وضعیت سند]]&gt;0,VLOOKUP(TArticle[[#This Row],[کد وضعیت سند]],TDocState[],2,FALSE),"")</f>
        <v/>
      </c>
      <c r="N568" s="171" t="str">
        <f>IF(TArticle[[#This Row],[کد طرف حساب]]&gt;0,VLOOKUP(TArticle[[#This Row],[کد طرف حساب]],TContact[],2,FALSE),"")</f>
        <v/>
      </c>
      <c r="O568" s="60" t="str">
        <f>IF(TArticle[[#This Row],[کد طرف حساب]]&gt;0,VLOOKUP(TArticle[[#This Row],[کد طرف حساب]],TContact[],7,FALSE)-SUMIF($M$2:M568,M568,$E$2:$E568),"")</f>
        <v/>
      </c>
      <c r="P568" s="27" t="str">
        <f>RIGHT(TArticle[[#This Row],[تاریخ]],2)</f>
        <v>29</v>
      </c>
      <c r="Q568" s="27">
        <f>VLOOKUP(TArticle[[#This Row],[تاریخ]],TDays[],16,FALSE)</f>
        <v>14</v>
      </c>
      <c r="R568" s="27" t="str">
        <f>RIGHT(LEFT(TArticle[[#This Row],[تاریخ]],7),2)</f>
        <v>03</v>
      </c>
      <c r="S568" s="27" t="str">
        <f>LEFT(TArticle[[#This Row],[تاریخ]],4)</f>
        <v>1403</v>
      </c>
      <c r="U568" s="21">
        <f>VLOOKUP(TArticle[[#This Row],[شناسه]],TAccount[],7,TRUE)</f>
        <v>0</v>
      </c>
      <c r="W568" s="21">
        <f>IF(AND(TArticle[[#This Row],[مبلغ]]&gt;0, TArticle[[#This Row],[کد وضعیت سند]]=1),TArticle[[#This Row],[مبلغ]],0)</f>
        <v>0</v>
      </c>
      <c r="X568" s="27">
        <f>IF(AND(TArticle[[#This Row],[مبلغ]]&lt;0,TArticle[[#This Row],[کد وضعیت سند]]=1),0-TArticle[[#This Row],[مبلغ]],0)</f>
        <v>0</v>
      </c>
      <c r="Y568" s="27">
        <v>2</v>
      </c>
      <c r="Z568" s="171" t="str">
        <f>IF(TArticle[[#This Row],[کد بانک]]&gt;0,VLOOKUP(TArticle[[#This Row],[کد بانک]],TBank[],2,FALSE),"")</f>
        <v>ملی جاری</v>
      </c>
      <c r="AA568">
        <f>IF(AND(TArticle[[#This Row],[مبلغ]]&lt;0,TArticle[[#This Row],[کد وضعیت سند]]=1),0-TArticle[[#This Row],[مبلغ]],0)</f>
        <v>0</v>
      </c>
      <c r="AB568">
        <f>IF(AND(TArticle[[#This Row],[مبلغ]]&gt;0, TArticle[[#This Row],[کد وضعیت سند]]=1),TArticle[[#This Row],[مبلغ]],0)</f>
        <v>0</v>
      </c>
      <c r="AC568" s="92">
        <f>IF(TArticle[[#This Row],[کد بانک]]&gt;0,VLOOKUP(TArticle[[#This Row],[کد بانک]],TBank[],9,FALSE)+SUMIF($Y$2:Y568,Y568,$E$2:$E568),"")</f>
        <v>337414</v>
      </c>
      <c r="AD568" s="1">
        <f>IFERROR(IF(INT(LEFT(TArticle[[#This Row],[شناسه]]))=3,IF(TArticle[[#This Row],[کد وضعیت سند]]=1,TArticle[مبلغ],0),0),0)</f>
        <v>0</v>
      </c>
      <c r="AE568" s="1">
        <f>IFERROR(IF(((TArticle[[#This Row],[شناسه]]))="4.1.1",IF(TArticle[[#This Row],[کد وضعیت سند]]=1,TArticle[مبلغ],0),0),0)</f>
        <v>0</v>
      </c>
      <c r="AF568" s="1">
        <f>IFERROR(IF(((TArticle[[#This Row],[شناسه]]))="4.1.2",IF(TArticle[[#This Row],[کد وضعیت سند]]=1,TArticle[مبلغ],0),0),0)</f>
        <v>0</v>
      </c>
      <c r="AG568" s="1">
        <f>IFERROR(IF(INT(LEFT(TArticle[[#This Row],[شناسه]]))=1,IF(TArticle[[#This Row],[کد وضعیت سند]]=1,TArticle[مبلغ],0),0),0)</f>
        <v>0</v>
      </c>
      <c r="AH568" s="1">
        <f>IFERROR(IF(INT(LEFT(TArticle[[#This Row],[شناسه]]))=2,IF(TArticle[[#This Row],[کد وضعیت سند]]=1,TArticle[مبلغ],0),0),0)</f>
        <v>0</v>
      </c>
      <c r="AI568" s="1">
        <f>IFERROR(IF((LEFT(TArticle[[#This Row],[شناسه]],3))="5.2",IF(TArticle[[#This Row],[کد وضعیت سند]]=1,TArticle[مبلغ],0),0),0)</f>
        <v>0</v>
      </c>
      <c r="AJ568" s="1">
        <f>IF(TArticle[[#This Row],[کد وضعیت سند]]=1,1,0)</f>
        <v>0</v>
      </c>
      <c r="AK568" s="1">
        <f>IF(AND(TArticle[[#This Row],[کد وضعیت سند]]&lt;&gt;1,TArticle[[#This Row],[مبلغ]]&lt;&gt;0),1,0)</f>
        <v>0</v>
      </c>
      <c r="AL568" s="51">
        <f>IF(TArticle[[#This Row],[کد بانک]]&gt;0,TArticle[[#This Row],[مانده بانک]]-VLOOKUP(TArticle[[#This Row],[کد بانک]],TBank[],7,FALSE),"")</f>
        <v>337414</v>
      </c>
      <c r="AM568" s="58" t="str">
        <f>LEFT(TArticle[[#This Row],[تاریخ]],7)</f>
        <v>1403-03</v>
      </c>
    </row>
    <row r="569" spans="1:39" x14ac:dyDescent="0.25">
      <c r="A569" s="24"/>
      <c r="B569" s="49" t="str">
        <f>VLOOKUP(TArticle[[#This Row],[شناسه]],TAccount[],2,TRUE)</f>
        <v>---</v>
      </c>
      <c r="C569" s="49" t="str">
        <f>VLOOKUP(TArticle[[#This Row],[تاریخ]],TDays[],7,FALSE)</f>
        <v>سه شنبه</v>
      </c>
      <c r="D569" s="21" t="s">
        <v>1316</v>
      </c>
      <c r="F569" s="1">
        <f>TArticle[[#This Row],[مبلغ]]+IFERROR(INT(F568),30181+3667+958)</f>
        <v>295762</v>
      </c>
      <c r="G569" s="49"/>
      <c r="L569" s="171" t="str">
        <f>IF(TArticle[[#This Row],[کد وضعیت سند]]&gt;0,VLOOKUP(TArticle[[#This Row],[کد وضعیت سند]],TDocState[],2,FALSE),"")</f>
        <v/>
      </c>
      <c r="N569" s="171" t="str">
        <f>IF(TArticle[[#This Row],[کد طرف حساب]]&gt;0,VLOOKUP(TArticle[[#This Row],[کد طرف حساب]],TContact[],2,FALSE),"")</f>
        <v/>
      </c>
      <c r="O569" s="61" t="str">
        <f>IF(TArticle[[#This Row],[کد طرف حساب]]&gt;0,VLOOKUP(TArticle[[#This Row],[کد طرف حساب]],TContact[],7,FALSE)-SUMIF($M$2:M569,M569,$E$2:$E569),"")</f>
        <v/>
      </c>
      <c r="P569" s="27" t="str">
        <f>RIGHT(TArticle[[#This Row],[تاریخ]],2)</f>
        <v>29</v>
      </c>
      <c r="Q569" s="27">
        <f>VLOOKUP(TArticle[[#This Row],[تاریخ]],TDays[],16,FALSE)</f>
        <v>14</v>
      </c>
      <c r="R569" s="27" t="str">
        <f>RIGHT(LEFT(TArticle[[#This Row],[تاریخ]],7),2)</f>
        <v>03</v>
      </c>
      <c r="S569" s="27" t="str">
        <f>LEFT(TArticle[[#This Row],[تاریخ]],4)</f>
        <v>1403</v>
      </c>
      <c r="U569" s="21">
        <f>VLOOKUP(TArticle[[#This Row],[شناسه]],TAccount[],7,TRUE)</f>
        <v>0</v>
      </c>
      <c r="W569" s="21">
        <f>IF(AND(TArticle[[#This Row],[مبلغ]]&gt;0, TArticle[[#This Row],[کد وضعیت سند]]=1),TArticle[[#This Row],[مبلغ]],0)</f>
        <v>0</v>
      </c>
      <c r="X569" s="27">
        <f>IF(AND(TArticle[[#This Row],[مبلغ]]&lt;0,TArticle[[#This Row],[کد وضعیت سند]]=1),0-TArticle[[#This Row],[مبلغ]],0)</f>
        <v>0</v>
      </c>
      <c r="Y569" s="27">
        <v>2</v>
      </c>
      <c r="Z569" s="171" t="str">
        <f>IF(TArticle[[#This Row],[کد بانک]]&gt;0,VLOOKUP(TArticle[[#This Row],[کد بانک]],TBank[],2,FALSE),"")</f>
        <v>ملی جاری</v>
      </c>
      <c r="AA569">
        <f>IF(AND(TArticle[[#This Row],[مبلغ]]&lt;0,TArticle[[#This Row],[کد وضعیت سند]]=1),0-TArticle[[#This Row],[مبلغ]],0)</f>
        <v>0</v>
      </c>
      <c r="AB569">
        <f>IF(AND(TArticle[[#This Row],[مبلغ]]&gt;0, TArticle[[#This Row],[کد وضعیت سند]]=1),TArticle[[#This Row],[مبلغ]],0)</f>
        <v>0</v>
      </c>
      <c r="AC569" s="84">
        <f>IF(TArticle[[#This Row],[کد بانک]]&gt;0,VLOOKUP(TArticle[[#This Row],[کد بانک]],TBank[],9,FALSE)+SUMIF($Y$2:Y569,Y569,$E$2:$E569),"")</f>
        <v>337414</v>
      </c>
      <c r="AD569" s="1">
        <f>IFERROR(IF(INT(LEFT(TArticle[[#This Row],[شناسه]]))=3,IF(TArticle[[#This Row],[کد وضعیت سند]]=1,TArticle[مبلغ],0),0),0)</f>
        <v>0</v>
      </c>
      <c r="AE569" s="1">
        <f>IFERROR(IF(((TArticle[[#This Row],[شناسه]]))="4.1.1",IF(TArticle[[#This Row],[کد وضعیت سند]]=1,TArticle[مبلغ],0),0),0)</f>
        <v>0</v>
      </c>
      <c r="AF569" s="1">
        <f>IFERROR(IF(((TArticle[[#This Row],[شناسه]]))="4.1.2",IF(TArticle[[#This Row],[کد وضعیت سند]]=1,TArticle[مبلغ],0),0),0)</f>
        <v>0</v>
      </c>
      <c r="AG569" s="1">
        <f>IFERROR(IF(INT(LEFT(TArticle[[#This Row],[شناسه]]))=1,IF(TArticle[[#This Row],[کد وضعیت سند]]=1,TArticle[مبلغ],0),0),0)</f>
        <v>0</v>
      </c>
      <c r="AH569" s="1">
        <f>IFERROR(IF(INT(LEFT(TArticle[[#This Row],[شناسه]]))=2,IF(TArticle[[#This Row],[کد وضعیت سند]]=1,TArticle[مبلغ],0),0),0)</f>
        <v>0</v>
      </c>
      <c r="AI569" s="1">
        <f>IFERROR(IF((LEFT(TArticle[[#This Row],[شناسه]],3))="5.2",IF(TArticle[[#This Row],[کد وضعیت سند]]=1,TArticle[مبلغ],0),0),0)</f>
        <v>0</v>
      </c>
      <c r="AJ569" s="1">
        <f>IF(TArticle[[#This Row],[کد وضعیت سند]]=1,1,0)</f>
        <v>0</v>
      </c>
      <c r="AK569" s="1">
        <f>IF(AND(TArticle[[#This Row],[کد وضعیت سند]]&lt;&gt;1,TArticle[[#This Row],[مبلغ]]&lt;&gt;0),1,0)</f>
        <v>0</v>
      </c>
      <c r="AL569" s="51">
        <f>IF(TArticle[[#This Row],[کد بانک]]&gt;0,TArticle[[#This Row],[مانده بانک]]-VLOOKUP(TArticle[[#This Row],[کد بانک]],TBank[],7,FALSE),"")</f>
        <v>337414</v>
      </c>
      <c r="AM569" s="49" t="str">
        <f>LEFT(TArticle[[#This Row],[تاریخ]],7)</f>
        <v>1403-03</v>
      </c>
    </row>
    <row r="570" spans="1:39" x14ac:dyDescent="0.25">
      <c r="A570" s="24"/>
      <c r="B570" s="49" t="str">
        <f>VLOOKUP(TArticle[[#This Row],[شناسه]],TAccount[],2,TRUE)</f>
        <v>---</v>
      </c>
      <c r="C570" s="49" t="str">
        <f>VLOOKUP(TArticle[[#This Row],[تاریخ]],TDays[],7,FALSE)</f>
        <v>سه شنبه</v>
      </c>
      <c r="D570" s="21" t="s">
        <v>1316</v>
      </c>
      <c r="F570" s="1">
        <f>TArticle[[#This Row],[مبلغ]]+IFERROR(INT(F569),30181+3667+958)</f>
        <v>295762</v>
      </c>
      <c r="G570" s="49"/>
      <c r="L570" s="171" t="str">
        <f>IF(TArticle[[#This Row],[کد وضعیت سند]]&gt;0,VLOOKUP(TArticle[[#This Row],[کد وضعیت سند]],TDocState[],2,FALSE),"")</f>
        <v/>
      </c>
      <c r="N570" s="171" t="str">
        <f>IF(TArticle[[#This Row],[کد طرف حساب]]&gt;0,VLOOKUP(TArticle[[#This Row],[کد طرف حساب]],TContact[],2,FALSE),"")</f>
        <v/>
      </c>
      <c r="O570" s="61" t="str">
        <f>IF(TArticle[[#This Row],[کد طرف حساب]]&gt;0,VLOOKUP(TArticle[[#This Row],[کد طرف حساب]],TContact[],7,FALSE)-SUMIF($M$2:M570,M570,$E$2:$E570),"")</f>
        <v/>
      </c>
      <c r="P570" s="27" t="str">
        <f>RIGHT(TArticle[[#This Row],[تاریخ]],2)</f>
        <v>29</v>
      </c>
      <c r="Q570" s="27">
        <f>VLOOKUP(TArticle[[#This Row],[تاریخ]],TDays[],16,FALSE)</f>
        <v>14</v>
      </c>
      <c r="R570" s="27" t="str">
        <f>RIGHT(LEFT(TArticle[[#This Row],[تاریخ]],7),2)</f>
        <v>03</v>
      </c>
      <c r="S570" s="27" t="str">
        <f>LEFT(TArticle[[#This Row],[تاریخ]],4)</f>
        <v>1403</v>
      </c>
      <c r="U570" s="21">
        <f>VLOOKUP(TArticle[[#This Row],[شناسه]],TAccount[],7,TRUE)</f>
        <v>0</v>
      </c>
      <c r="W570" s="21">
        <f>IF(AND(TArticle[[#This Row],[مبلغ]]&gt;0, TArticle[[#This Row],[کد وضعیت سند]]=1),TArticle[[#This Row],[مبلغ]],0)</f>
        <v>0</v>
      </c>
      <c r="X570" s="27">
        <f>IF(AND(TArticle[[#This Row],[مبلغ]]&lt;0,TArticle[[#This Row],[کد وضعیت سند]]=1),0-TArticle[[#This Row],[مبلغ]],0)</f>
        <v>0</v>
      </c>
      <c r="Y570" s="27">
        <v>2</v>
      </c>
      <c r="Z570" s="171" t="str">
        <f>IF(TArticle[[#This Row],[کد بانک]]&gt;0,VLOOKUP(TArticle[[#This Row],[کد بانک]],TBank[],2,FALSE),"")</f>
        <v>ملی جاری</v>
      </c>
      <c r="AA570">
        <f>IF(AND(TArticle[[#This Row],[مبلغ]]&lt;0,TArticle[[#This Row],[کد وضعیت سند]]=1),0-TArticle[[#This Row],[مبلغ]],0)</f>
        <v>0</v>
      </c>
      <c r="AB570">
        <f>IF(AND(TArticle[[#This Row],[مبلغ]]&gt;0, TArticle[[#This Row],[کد وضعیت سند]]=1),TArticle[[#This Row],[مبلغ]],0)</f>
        <v>0</v>
      </c>
      <c r="AC570" s="84">
        <f>IF(TArticle[[#This Row],[کد بانک]]&gt;0,VLOOKUP(TArticle[[#This Row],[کد بانک]],TBank[],9,FALSE)+SUMIF($Y$2:Y570,Y570,$E$2:$E570),"")</f>
        <v>337414</v>
      </c>
      <c r="AD570" s="1">
        <f>IFERROR(IF(INT(LEFT(TArticle[[#This Row],[شناسه]]))=3,IF(TArticle[[#This Row],[کد وضعیت سند]]=1,TArticle[مبلغ],0),0),0)</f>
        <v>0</v>
      </c>
      <c r="AE570" s="1">
        <f>IFERROR(IF(((TArticle[[#This Row],[شناسه]]))="4.1.1",IF(TArticle[[#This Row],[کد وضعیت سند]]=1,TArticle[مبلغ],0),0),0)</f>
        <v>0</v>
      </c>
      <c r="AF570" s="1">
        <f>IFERROR(IF(((TArticle[[#This Row],[شناسه]]))="4.1.2",IF(TArticle[[#This Row],[کد وضعیت سند]]=1,TArticle[مبلغ],0),0),0)</f>
        <v>0</v>
      </c>
      <c r="AG570" s="1">
        <f>IFERROR(IF(INT(LEFT(TArticle[[#This Row],[شناسه]]))=1,IF(TArticle[[#This Row],[کد وضعیت سند]]=1,TArticle[مبلغ],0),0),0)</f>
        <v>0</v>
      </c>
      <c r="AH570" s="1">
        <f>IFERROR(IF(INT(LEFT(TArticle[[#This Row],[شناسه]]))=2,IF(TArticle[[#This Row],[کد وضعیت سند]]=1,TArticle[مبلغ],0),0),0)</f>
        <v>0</v>
      </c>
      <c r="AI570" s="1">
        <f>IFERROR(IF((LEFT(TArticle[[#This Row],[شناسه]],3))="5.2",IF(TArticle[[#This Row],[کد وضعیت سند]]=1,TArticle[مبلغ],0),0),0)</f>
        <v>0</v>
      </c>
      <c r="AJ570" s="1">
        <f>IF(TArticle[[#This Row],[کد وضعیت سند]]=1,1,0)</f>
        <v>0</v>
      </c>
      <c r="AK570" s="1">
        <f>IF(AND(TArticle[[#This Row],[کد وضعیت سند]]&lt;&gt;1,TArticle[[#This Row],[مبلغ]]&lt;&gt;0),1,0)</f>
        <v>0</v>
      </c>
      <c r="AL570" s="51">
        <f>IF(TArticle[[#This Row],[کد بانک]]&gt;0,TArticle[[#This Row],[مانده بانک]]-VLOOKUP(TArticle[[#This Row],[کد بانک]],TBank[],7,FALSE),"")</f>
        <v>337414</v>
      </c>
      <c r="AM570" s="49" t="str">
        <f>LEFT(TArticle[[#This Row],[تاریخ]],7)</f>
        <v>1403-03</v>
      </c>
    </row>
    <row r="571" spans="1:39" x14ac:dyDescent="0.25">
      <c r="A571" s="24"/>
      <c r="B571" s="49" t="str">
        <f>VLOOKUP(TArticle[[#This Row],[شناسه]],TAccount[],2,TRUE)</f>
        <v>---</v>
      </c>
      <c r="C571" s="49" t="str">
        <f>VLOOKUP(TArticle[[#This Row],[تاریخ]],TDays[],7,FALSE)</f>
        <v>سه شنبه</v>
      </c>
      <c r="D571" s="21" t="s">
        <v>1316</v>
      </c>
      <c r="F571" s="1">
        <f>TArticle[[#This Row],[مبلغ]]+IFERROR(INT(F570),30181+3667+958)</f>
        <v>295762</v>
      </c>
      <c r="G571" s="49"/>
      <c r="L571" s="171" t="str">
        <f>IF(TArticle[[#This Row],[کد وضعیت سند]]&gt;0,VLOOKUP(TArticle[[#This Row],[کد وضعیت سند]],TDocState[],2,FALSE),"")</f>
        <v/>
      </c>
      <c r="N571" s="171" t="str">
        <f>IF(TArticle[[#This Row],[کد طرف حساب]]&gt;0,VLOOKUP(TArticle[[#This Row],[کد طرف حساب]],TContact[],2,FALSE),"")</f>
        <v/>
      </c>
      <c r="O571" s="61" t="str">
        <f>IF(TArticle[[#This Row],[کد طرف حساب]]&gt;0,VLOOKUP(TArticle[[#This Row],[کد طرف حساب]],TContact[],7,FALSE)-SUMIF($M$2:M571,M571,$E$2:$E571),"")</f>
        <v/>
      </c>
      <c r="P571" s="27" t="str">
        <f>RIGHT(TArticle[[#This Row],[تاریخ]],2)</f>
        <v>29</v>
      </c>
      <c r="Q571" s="27">
        <f>VLOOKUP(TArticle[[#This Row],[تاریخ]],TDays[],16,FALSE)</f>
        <v>14</v>
      </c>
      <c r="R571" s="27" t="str">
        <f>RIGHT(LEFT(TArticle[[#This Row],[تاریخ]],7),2)</f>
        <v>03</v>
      </c>
      <c r="S571" s="27" t="str">
        <f>LEFT(TArticle[[#This Row],[تاریخ]],4)</f>
        <v>1403</v>
      </c>
      <c r="U571" s="21">
        <f>VLOOKUP(TArticle[[#This Row],[شناسه]],TAccount[],7,TRUE)</f>
        <v>0</v>
      </c>
      <c r="W571" s="21">
        <f>IF(AND(TArticle[[#This Row],[مبلغ]]&gt;0, TArticle[[#This Row],[کد وضعیت سند]]=1),TArticle[[#This Row],[مبلغ]],0)</f>
        <v>0</v>
      </c>
      <c r="X571" s="27">
        <f>IF(AND(TArticle[[#This Row],[مبلغ]]&lt;0,TArticle[[#This Row],[کد وضعیت سند]]=1),0-TArticle[[#This Row],[مبلغ]],0)</f>
        <v>0</v>
      </c>
      <c r="Y571" s="27">
        <v>2</v>
      </c>
      <c r="Z571" s="171" t="str">
        <f>IF(TArticle[[#This Row],[کد بانک]]&gt;0,VLOOKUP(TArticle[[#This Row],[کد بانک]],TBank[],2,FALSE),"")</f>
        <v>ملی جاری</v>
      </c>
      <c r="AA571">
        <f>IF(AND(TArticle[[#This Row],[مبلغ]]&lt;0,TArticle[[#This Row],[کد وضعیت سند]]=1),0-TArticle[[#This Row],[مبلغ]],0)</f>
        <v>0</v>
      </c>
      <c r="AB571">
        <f>IF(AND(TArticle[[#This Row],[مبلغ]]&gt;0, TArticle[[#This Row],[کد وضعیت سند]]=1),TArticle[[#This Row],[مبلغ]],0)</f>
        <v>0</v>
      </c>
      <c r="AC571" s="84">
        <f>IF(TArticle[[#This Row],[کد بانک]]&gt;0,VLOOKUP(TArticle[[#This Row],[کد بانک]],TBank[],9,FALSE)+SUMIF($Y$2:Y571,Y571,$E$2:$E571),"")</f>
        <v>337414</v>
      </c>
      <c r="AD571" s="1">
        <f>IFERROR(IF(INT(LEFT(TArticle[[#This Row],[شناسه]]))=3,IF(TArticle[[#This Row],[کد وضعیت سند]]=1,TArticle[مبلغ],0),0),0)</f>
        <v>0</v>
      </c>
      <c r="AE571" s="1">
        <f>IFERROR(IF(((TArticle[[#This Row],[شناسه]]))="4.1.1",IF(TArticle[[#This Row],[کد وضعیت سند]]=1,TArticle[مبلغ],0),0),0)</f>
        <v>0</v>
      </c>
      <c r="AF571" s="1">
        <f>IFERROR(IF(((TArticle[[#This Row],[شناسه]]))="4.1.2",IF(TArticle[[#This Row],[کد وضعیت سند]]=1,TArticle[مبلغ],0),0),0)</f>
        <v>0</v>
      </c>
      <c r="AG571" s="1">
        <f>IFERROR(IF(INT(LEFT(TArticle[[#This Row],[شناسه]]))=1,IF(TArticle[[#This Row],[کد وضعیت سند]]=1,TArticle[مبلغ],0),0),0)</f>
        <v>0</v>
      </c>
      <c r="AH571" s="1">
        <f>IFERROR(IF(INT(LEFT(TArticle[[#This Row],[شناسه]]))=2,IF(TArticle[[#This Row],[کد وضعیت سند]]=1,TArticle[مبلغ],0),0),0)</f>
        <v>0</v>
      </c>
      <c r="AI571" s="1">
        <f>IFERROR(IF((LEFT(TArticle[[#This Row],[شناسه]],3))="5.2",IF(TArticle[[#This Row],[کد وضعیت سند]]=1,TArticle[مبلغ],0),0),0)</f>
        <v>0</v>
      </c>
      <c r="AJ571" s="1">
        <f>IF(TArticle[[#This Row],[کد وضعیت سند]]=1,1,0)</f>
        <v>0</v>
      </c>
      <c r="AK571" s="1">
        <f>IF(AND(TArticle[[#This Row],[کد وضعیت سند]]&lt;&gt;1,TArticle[[#This Row],[مبلغ]]&lt;&gt;0),1,0)</f>
        <v>0</v>
      </c>
      <c r="AL571" s="51">
        <f>IF(TArticle[[#This Row],[کد بانک]]&gt;0,TArticle[[#This Row],[مانده بانک]]-VLOOKUP(TArticle[[#This Row],[کد بانک]],TBank[],7,FALSE),"")</f>
        <v>337414</v>
      </c>
      <c r="AM571" s="49" t="str">
        <f>LEFT(TArticle[[#This Row],[تاریخ]],7)</f>
        <v>1403-03</v>
      </c>
    </row>
    <row r="572" spans="1:39" x14ac:dyDescent="0.25">
      <c r="A572" s="24"/>
      <c r="B572" s="49" t="str">
        <f>VLOOKUP(TArticle[[#This Row],[شناسه]],TAccount[],2,TRUE)</f>
        <v>---</v>
      </c>
      <c r="C572" s="49" t="str">
        <f>VLOOKUP(TArticle[[#This Row],[تاریخ]],TDays[],7,FALSE)</f>
        <v>سه شنبه</v>
      </c>
      <c r="D572" s="21" t="s">
        <v>1316</v>
      </c>
      <c r="F572" s="1">
        <f>TArticle[[#This Row],[مبلغ]]+IFERROR(INT(F571),30181+3667+958)</f>
        <v>295762</v>
      </c>
      <c r="G572" s="49"/>
      <c r="L572" s="171" t="str">
        <f>IF(TArticle[[#This Row],[کد وضعیت سند]]&gt;0,VLOOKUP(TArticle[[#This Row],[کد وضعیت سند]],TDocState[],2,FALSE),"")</f>
        <v/>
      </c>
      <c r="N572" s="171" t="str">
        <f>IF(TArticle[[#This Row],[کد طرف حساب]]&gt;0,VLOOKUP(TArticle[[#This Row],[کد طرف حساب]],TContact[],2,FALSE),"")</f>
        <v/>
      </c>
      <c r="O572" s="61" t="str">
        <f>IF(TArticle[[#This Row],[کد طرف حساب]]&gt;0,VLOOKUP(TArticle[[#This Row],[کد طرف حساب]],TContact[],7,FALSE)-SUMIF($M$2:M572,M572,$E$2:$E572),"")</f>
        <v/>
      </c>
      <c r="P572" s="27" t="str">
        <f>RIGHT(TArticle[[#This Row],[تاریخ]],2)</f>
        <v>29</v>
      </c>
      <c r="Q572" s="27">
        <f>VLOOKUP(TArticle[[#This Row],[تاریخ]],TDays[],16,FALSE)</f>
        <v>14</v>
      </c>
      <c r="R572" s="27" t="str">
        <f>RIGHT(LEFT(TArticle[[#This Row],[تاریخ]],7),2)</f>
        <v>03</v>
      </c>
      <c r="S572" s="27" t="str">
        <f>LEFT(TArticle[[#This Row],[تاریخ]],4)</f>
        <v>1403</v>
      </c>
      <c r="U572" s="21">
        <f>VLOOKUP(TArticle[[#This Row],[شناسه]],TAccount[],7,TRUE)</f>
        <v>0</v>
      </c>
      <c r="W572" s="21">
        <f>IF(AND(TArticle[[#This Row],[مبلغ]]&gt;0, TArticle[[#This Row],[کد وضعیت سند]]=1),TArticle[[#This Row],[مبلغ]],0)</f>
        <v>0</v>
      </c>
      <c r="X572" s="27">
        <f>IF(AND(TArticle[[#This Row],[مبلغ]]&lt;0,TArticle[[#This Row],[کد وضعیت سند]]=1),0-TArticle[[#This Row],[مبلغ]],0)</f>
        <v>0</v>
      </c>
      <c r="Y572" s="27">
        <v>2</v>
      </c>
      <c r="Z572" s="171" t="str">
        <f>IF(TArticle[[#This Row],[کد بانک]]&gt;0,VLOOKUP(TArticle[[#This Row],[کد بانک]],TBank[],2,FALSE),"")</f>
        <v>ملی جاری</v>
      </c>
      <c r="AA572">
        <f>IF(AND(TArticle[[#This Row],[مبلغ]]&lt;0,TArticle[[#This Row],[کد وضعیت سند]]=1),0-TArticle[[#This Row],[مبلغ]],0)</f>
        <v>0</v>
      </c>
      <c r="AB572">
        <f>IF(AND(TArticle[[#This Row],[مبلغ]]&gt;0, TArticle[[#This Row],[کد وضعیت سند]]=1),TArticle[[#This Row],[مبلغ]],0)</f>
        <v>0</v>
      </c>
      <c r="AC572" s="84">
        <f>IF(TArticle[[#This Row],[کد بانک]]&gt;0,VLOOKUP(TArticle[[#This Row],[کد بانک]],TBank[],9,FALSE)+SUMIF($Y$2:Y572,Y572,$E$2:$E572),"")</f>
        <v>337414</v>
      </c>
      <c r="AD572" s="1">
        <f>IFERROR(IF(INT(LEFT(TArticle[[#This Row],[شناسه]]))=3,IF(TArticle[[#This Row],[کد وضعیت سند]]=1,TArticle[مبلغ],0),0),0)</f>
        <v>0</v>
      </c>
      <c r="AE572" s="1">
        <f>IFERROR(IF(((TArticle[[#This Row],[شناسه]]))="4.1.1",IF(TArticle[[#This Row],[کد وضعیت سند]]=1,TArticle[مبلغ],0),0),0)</f>
        <v>0</v>
      </c>
      <c r="AF572" s="1">
        <f>IFERROR(IF(((TArticle[[#This Row],[شناسه]]))="4.1.2",IF(TArticle[[#This Row],[کد وضعیت سند]]=1,TArticle[مبلغ],0),0),0)</f>
        <v>0</v>
      </c>
      <c r="AG572" s="1">
        <f>IFERROR(IF(INT(LEFT(TArticle[[#This Row],[شناسه]]))=1,IF(TArticle[[#This Row],[کد وضعیت سند]]=1,TArticle[مبلغ],0),0),0)</f>
        <v>0</v>
      </c>
      <c r="AH572" s="1">
        <f>IFERROR(IF(INT(LEFT(TArticle[[#This Row],[شناسه]]))=2,IF(TArticle[[#This Row],[کد وضعیت سند]]=1,TArticle[مبلغ],0),0),0)</f>
        <v>0</v>
      </c>
      <c r="AI572" s="1">
        <f>IFERROR(IF((LEFT(TArticle[[#This Row],[شناسه]],3))="5.2",IF(TArticle[[#This Row],[کد وضعیت سند]]=1,TArticle[مبلغ],0),0),0)</f>
        <v>0</v>
      </c>
      <c r="AJ572" s="1">
        <f>IF(TArticle[[#This Row],[کد وضعیت سند]]=1,1,0)</f>
        <v>0</v>
      </c>
      <c r="AK572" s="1">
        <f>IF(AND(TArticle[[#This Row],[کد وضعیت سند]]&lt;&gt;1,TArticle[[#This Row],[مبلغ]]&lt;&gt;0),1,0)</f>
        <v>0</v>
      </c>
      <c r="AL572" s="51">
        <f>IF(TArticle[[#This Row],[کد بانک]]&gt;0,TArticle[[#This Row],[مانده بانک]]-VLOOKUP(TArticle[[#This Row],[کد بانک]],TBank[],7,FALSE),"")</f>
        <v>337414</v>
      </c>
      <c r="AM572" s="49" t="str">
        <f>LEFT(TArticle[[#This Row],[تاریخ]],7)</f>
        <v>1403-03</v>
      </c>
    </row>
    <row r="573" spans="1:39" x14ac:dyDescent="0.25">
      <c r="A573" s="24"/>
      <c r="B573" s="49" t="str">
        <f>VLOOKUP(TArticle[[#This Row],[شناسه]],TAccount[],2,TRUE)</f>
        <v>---</v>
      </c>
      <c r="C573" s="49" t="str">
        <f>VLOOKUP(TArticle[[#This Row],[تاریخ]],TDays[],7,FALSE)</f>
        <v>سه شنبه</v>
      </c>
      <c r="D573" s="21" t="s">
        <v>1316</v>
      </c>
      <c r="F573" s="1">
        <f>TArticle[[#This Row],[مبلغ]]+IFERROR(INT(F572),30181+3667+958)</f>
        <v>295762</v>
      </c>
      <c r="G573" s="49"/>
      <c r="L573" s="171" t="str">
        <f>IF(TArticle[[#This Row],[کد وضعیت سند]]&gt;0,VLOOKUP(TArticle[[#This Row],[کد وضعیت سند]],TDocState[],2,FALSE),"")</f>
        <v/>
      </c>
      <c r="N573" s="171" t="str">
        <f>IF(TArticle[[#This Row],[کد طرف حساب]]&gt;0,VLOOKUP(TArticle[[#This Row],[کد طرف حساب]],TContact[],2,FALSE),"")</f>
        <v/>
      </c>
      <c r="O573" s="61" t="str">
        <f>IF(TArticle[[#This Row],[کد طرف حساب]]&gt;0,VLOOKUP(TArticle[[#This Row],[کد طرف حساب]],TContact[],7,FALSE)-SUMIF($M$2:M573,M573,$E$2:$E573),"")</f>
        <v/>
      </c>
      <c r="P573" s="27" t="str">
        <f>RIGHT(TArticle[[#This Row],[تاریخ]],2)</f>
        <v>29</v>
      </c>
      <c r="Q573" s="27">
        <f>VLOOKUP(TArticle[[#This Row],[تاریخ]],TDays[],16,FALSE)</f>
        <v>14</v>
      </c>
      <c r="R573" s="27" t="str">
        <f>RIGHT(LEFT(TArticle[[#This Row],[تاریخ]],7),2)</f>
        <v>03</v>
      </c>
      <c r="S573" s="27" t="str">
        <f>LEFT(TArticle[[#This Row],[تاریخ]],4)</f>
        <v>1403</v>
      </c>
      <c r="U573" s="21">
        <f>VLOOKUP(TArticle[[#This Row],[شناسه]],TAccount[],7,TRUE)</f>
        <v>0</v>
      </c>
      <c r="W573" s="21">
        <f>IF(AND(TArticle[[#This Row],[مبلغ]]&gt;0, TArticle[[#This Row],[کد وضعیت سند]]=1),TArticle[[#This Row],[مبلغ]],0)</f>
        <v>0</v>
      </c>
      <c r="X573" s="27">
        <f>IF(AND(TArticle[[#This Row],[مبلغ]]&lt;0,TArticle[[#This Row],[کد وضعیت سند]]=1),0-TArticle[[#This Row],[مبلغ]],0)</f>
        <v>0</v>
      </c>
      <c r="Y573" s="27">
        <v>2</v>
      </c>
      <c r="Z573" s="171" t="str">
        <f>IF(TArticle[[#This Row],[کد بانک]]&gt;0,VLOOKUP(TArticle[[#This Row],[کد بانک]],TBank[],2,FALSE),"")</f>
        <v>ملی جاری</v>
      </c>
      <c r="AA573">
        <f>IF(AND(TArticle[[#This Row],[مبلغ]]&lt;0,TArticle[[#This Row],[کد وضعیت سند]]=1),0-TArticle[[#This Row],[مبلغ]],0)</f>
        <v>0</v>
      </c>
      <c r="AB573">
        <f>IF(AND(TArticle[[#This Row],[مبلغ]]&gt;0, TArticle[[#This Row],[کد وضعیت سند]]=1),TArticle[[#This Row],[مبلغ]],0)</f>
        <v>0</v>
      </c>
      <c r="AC573" s="84">
        <f>IF(TArticle[[#This Row],[کد بانک]]&gt;0,VLOOKUP(TArticle[[#This Row],[کد بانک]],TBank[],9,FALSE)+SUMIF($Y$2:Y573,Y573,$E$2:$E573),"")</f>
        <v>337414</v>
      </c>
      <c r="AD573" s="1">
        <f>IFERROR(IF(INT(LEFT(TArticle[[#This Row],[شناسه]]))=3,IF(TArticle[[#This Row],[کد وضعیت سند]]=1,TArticle[مبلغ],0),0),0)</f>
        <v>0</v>
      </c>
      <c r="AE573" s="1">
        <f>IFERROR(IF(((TArticle[[#This Row],[شناسه]]))="4.1.1",IF(TArticle[[#This Row],[کد وضعیت سند]]=1,TArticle[مبلغ],0),0),0)</f>
        <v>0</v>
      </c>
      <c r="AF573" s="1">
        <f>IFERROR(IF(((TArticle[[#This Row],[شناسه]]))="4.1.2",IF(TArticle[[#This Row],[کد وضعیت سند]]=1,TArticle[مبلغ],0),0),0)</f>
        <v>0</v>
      </c>
      <c r="AG573" s="1">
        <f>IFERROR(IF(INT(LEFT(TArticle[[#This Row],[شناسه]]))=1,IF(TArticle[[#This Row],[کد وضعیت سند]]=1,TArticle[مبلغ],0),0),0)</f>
        <v>0</v>
      </c>
      <c r="AH573" s="1">
        <f>IFERROR(IF(INT(LEFT(TArticle[[#This Row],[شناسه]]))=2,IF(TArticle[[#This Row],[کد وضعیت سند]]=1,TArticle[مبلغ],0),0),0)</f>
        <v>0</v>
      </c>
      <c r="AI573" s="1">
        <f>IFERROR(IF((LEFT(TArticle[[#This Row],[شناسه]],3))="5.2",IF(TArticle[[#This Row],[کد وضعیت سند]]=1,TArticle[مبلغ],0),0),0)</f>
        <v>0</v>
      </c>
      <c r="AJ573" s="1">
        <f>IF(TArticle[[#This Row],[کد وضعیت سند]]=1,1,0)</f>
        <v>0</v>
      </c>
      <c r="AK573" s="1">
        <f>IF(AND(TArticle[[#This Row],[کد وضعیت سند]]&lt;&gt;1,TArticle[[#This Row],[مبلغ]]&lt;&gt;0),1,0)</f>
        <v>0</v>
      </c>
      <c r="AL573" s="51">
        <f>IF(TArticle[[#This Row],[کد بانک]]&gt;0,TArticle[[#This Row],[مانده بانک]]-VLOOKUP(TArticle[[#This Row],[کد بانک]],TBank[],7,FALSE),"")</f>
        <v>337414</v>
      </c>
      <c r="AM573" s="49" t="str">
        <f>LEFT(TArticle[[#This Row],[تاریخ]],7)</f>
        <v>1403-03</v>
      </c>
    </row>
    <row r="574" spans="1:39" x14ac:dyDescent="0.25">
      <c r="A574" s="24"/>
      <c r="B574" s="49" t="str">
        <f>VLOOKUP(TArticle[[#This Row],[شناسه]],TAccount[],2,TRUE)</f>
        <v>---</v>
      </c>
      <c r="C574" s="49" t="str">
        <f>VLOOKUP(TArticle[[#This Row],[تاریخ]],TDays[],7,FALSE)</f>
        <v>سه شنبه</v>
      </c>
      <c r="D574" s="21" t="s">
        <v>1316</v>
      </c>
      <c r="F574" s="1">
        <f>TArticle[[#This Row],[مبلغ]]+IFERROR(INT(F573),30181+3667+958)</f>
        <v>295762</v>
      </c>
      <c r="G574" s="49"/>
      <c r="L574" s="171" t="str">
        <f>IF(TArticle[[#This Row],[کد وضعیت سند]]&gt;0,VLOOKUP(TArticle[[#This Row],[کد وضعیت سند]],TDocState[],2,FALSE),"")</f>
        <v/>
      </c>
      <c r="N574" s="171" t="str">
        <f>IF(TArticle[[#This Row],[کد طرف حساب]]&gt;0,VLOOKUP(TArticle[[#This Row],[کد طرف حساب]],TContact[],2,FALSE),"")</f>
        <v/>
      </c>
      <c r="O574" s="61" t="str">
        <f>IF(TArticle[[#This Row],[کد طرف حساب]]&gt;0,VLOOKUP(TArticle[[#This Row],[کد طرف حساب]],TContact[],7,FALSE)-SUMIF($M$2:M574,M574,$E$2:$E574),"")</f>
        <v/>
      </c>
      <c r="P574" s="27" t="str">
        <f>RIGHT(TArticle[[#This Row],[تاریخ]],2)</f>
        <v>29</v>
      </c>
      <c r="Q574" s="27">
        <f>VLOOKUP(TArticle[[#This Row],[تاریخ]],TDays[],16,FALSE)</f>
        <v>14</v>
      </c>
      <c r="R574" s="27" t="str">
        <f>RIGHT(LEFT(TArticle[[#This Row],[تاریخ]],7),2)</f>
        <v>03</v>
      </c>
      <c r="S574" s="27" t="str">
        <f>LEFT(TArticle[[#This Row],[تاریخ]],4)</f>
        <v>1403</v>
      </c>
      <c r="U574" s="21">
        <f>VLOOKUP(TArticle[[#This Row],[شناسه]],TAccount[],7,TRUE)</f>
        <v>0</v>
      </c>
      <c r="W574" s="21">
        <f>IF(AND(TArticle[[#This Row],[مبلغ]]&gt;0, TArticle[[#This Row],[کد وضعیت سند]]=1),TArticle[[#This Row],[مبلغ]],0)</f>
        <v>0</v>
      </c>
      <c r="X574" s="27">
        <f>IF(AND(TArticle[[#This Row],[مبلغ]]&lt;0,TArticle[[#This Row],[کد وضعیت سند]]=1),0-TArticle[[#This Row],[مبلغ]],0)</f>
        <v>0</v>
      </c>
      <c r="Y574" s="27">
        <v>2</v>
      </c>
      <c r="Z574" s="171" t="str">
        <f>IF(TArticle[[#This Row],[کد بانک]]&gt;0,VLOOKUP(TArticle[[#This Row],[کد بانک]],TBank[],2,FALSE),"")</f>
        <v>ملی جاری</v>
      </c>
      <c r="AA574">
        <f>IF(AND(TArticle[[#This Row],[مبلغ]]&lt;0,TArticle[[#This Row],[کد وضعیت سند]]=1),0-TArticle[[#This Row],[مبلغ]],0)</f>
        <v>0</v>
      </c>
      <c r="AB574">
        <f>IF(AND(TArticle[[#This Row],[مبلغ]]&gt;0, TArticle[[#This Row],[کد وضعیت سند]]=1),TArticle[[#This Row],[مبلغ]],0)</f>
        <v>0</v>
      </c>
      <c r="AC574" s="84">
        <f>IF(TArticle[[#This Row],[کد بانک]]&gt;0,VLOOKUP(TArticle[[#This Row],[کد بانک]],TBank[],9,FALSE)+SUMIF($Y$2:Y574,Y574,$E$2:$E574),"")</f>
        <v>337414</v>
      </c>
      <c r="AD574" s="1">
        <f>IFERROR(IF(INT(LEFT(TArticle[[#This Row],[شناسه]]))=3,IF(TArticle[[#This Row],[کد وضعیت سند]]=1,TArticle[مبلغ],0),0),0)</f>
        <v>0</v>
      </c>
      <c r="AE574" s="1">
        <f>IFERROR(IF(((TArticle[[#This Row],[شناسه]]))="4.1.1",IF(TArticle[[#This Row],[کد وضعیت سند]]=1,TArticle[مبلغ],0),0),0)</f>
        <v>0</v>
      </c>
      <c r="AF574" s="1">
        <f>IFERROR(IF(((TArticle[[#This Row],[شناسه]]))="4.1.2",IF(TArticle[[#This Row],[کد وضعیت سند]]=1,TArticle[مبلغ],0),0),0)</f>
        <v>0</v>
      </c>
      <c r="AG574" s="1">
        <f>IFERROR(IF(INT(LEFT(TArticle[[#This Row],[شناسه]]))=1,IF(TArticle[[#This Row],[کد وضعیت سند]]=1,TArticle[مبلغ],0),0),0)</f>
        <v>0</v>
      </c>
      <c r="AH574" s="1">
        <f>IFERROR(IF(INT(LEFT(TArticle[[#This Row],[شناسه]]))=2,IF(TArticle[[#This Row],[کد وضعیت سند]]=1,TArticle[مبلغ],0),0),0)</f>
        <v>0</v>
      </c>
      <c r="AI574" s="1">
        <f>IFERROR(IF((LEFT(TArticle[[#This Row],[شناسه]],3))="5.2",IF(TArticle[[#This Row],[کد وضعیت سند]]=1,TArticle[مبلغ],0),0),0)</f>
        <v>0</v>
      </c>
      <c r="AJ574" s="1">
        <f>IF(TArticle[[#This Row],[کد وضعیت سند]]=1,1,0)</f>
        <v>0</v>
      </c>
      <c r="AK574" s="1">
        <f>IF(AND(TArticle[[#This Row],[کد وضعیت سند]]&lt;&gt;1,TArticle[[#This Row],[مبلغ]]&lt;&gt;0),1,0)</f>
        <v>0</v>
      </c>
      <c r="AL574" s="51">
        <f>IF(TArticle[[#This Row],[کد بانک]]&gt;0,TArticle[[#This Row],[مانده بانک]]-VLOOKUP(TArticle[[#This Row],[کد بانک]],TBank[],7,FALSE),"")</f>
        <v>337414</v>
      </c>
      <c r="AM574" s="49" t="str">
        <f>LEFT(TArticle[[#This Row],[تاریخ]],7)</f>
        <v>1403-03</v>
      </c>
    </row>
    <row r="575" spans="1:39" x14ac:dyDescent="0.25">
      <c r="A575" s="77"/>
      <c r="B575" s="49" t="str">
        <f>VLOOKUP(TArticle[[#This Row],[شناسه]],TAccount[],2,TRUE)</f>
        <v>---</v>
      </c>
      <c r="C575" s="49" t="str">
        <f>VLOOKUP(TArticle[[#This Row],[تاریخ]],TDays[],7,FALSE)</f>
        <v>سه شنبه</v>
      </c>
      <c r="D575" s="21" t="s">
        <v>1316</v>
      </c>
      <c r="F575" s="1">
        <f>TArticle[[#This Row],[مبلغ]]+IFERROR(INT(F574),30181+3667+958)</f>
        <v>295762</v>
      </c>
      <c r="G575" s="49"/>
      <c r="L575" s="171" t="str">
        <f>IF(TArticle[[#This Row],[کد وضعیت سند]]&gt;0,VLOOKUP(TArticle[[#This Row],[کد وضعیت سند]],TDocState[],2,FALSE),"")</f>
        <v/>
      </c>
      <c r="N575" s="171" t="str">
        <f>IF(TArticle[[#This Row],[کد طرف حساب]]&gt;0,VLOOKUP(TArticle[[#This Row],[کد طرف حساب]],TContact[],2,FALSE),"")</f>
        <v/>
      </c>
      <c r="O575" s="60" t="str">
        <f>IF(TArticle[[#This Row],[کد طرف حساب]]&gt;0,VLOOKUP(TArticle[[#This Row],[کد طرف حساب]],TContact[],7,FALSE)-SUMIF($M$2:M575,M575,$E$2:$E575),"")</f>
        <v/>
      </c>
      <c r="P575" s="27" t="str">
        <f>RIGHT(TArticle[[#This Row],[تاریخ]],2)</f>
        <v>29</v>
      </c>
      <c r="Q575" s="27">
        <f>VLOOKUP(TArticle[[#This Row],[تاریخ]],TDays[],16,FALSE)</f>
        <v>14</v>
      </c>
      <c r="R575" s="27" t="str">
        <f>RIGHT(LEFT(TArticle[[#This Row],[تاریخ]],7),2)</f>
        <v>03</v>
      </c>
      <c r="S575" s="27" t="str">
        <f>LEFT(TArticle[[#This Row],[تاریخ]],4)</f>
        <v>1403</v>
      </c>
      <c r="U575" s="21">
        <f>VLOOKUP(TArticle[[#This Row],[شناسه]],TAccount[],7,TRUE)</f>
        <v>0</v>
      </c>
      <c r="V575" s="28"/>
      <c r="W575" s="21">
        <f>IF(AND(TArticle[[#This Row],[مبلغ]]&gt;0, TArticle[[#This Row],[کد وضعیت سند]]=1),TArticle[[#This Row],[مبلغ]],0)</f>
        <v>0</v>
      </c>
      <c r="X575" s="27">
        <f>IF(AND(TArticle[[#This Row],[مبلغ]]&lt;0,TArticle[[#This Row],[کد وضعیت سند]]=1),0-TArticle[[#This Row],[مبلغ]],0)</f>
        <v>0</v>
      </c>
      <c r="Y575" s="27">
        <v>2</v>
      </c>
      <c r="Z575" s="171" t="str">
        <f>IF(TArticle[[#This Row],[کد بانک]]&gt;0,VLOOKUP(TArticle[[#This Row],[کد بانک]],TBank[],2,FALSE),"")</f>
        <v>ملی جاری</v>
      </c>
      <c r="AA575">
        <f>IF(AND(TArticle[[#This Row],[مبلغ]]&lt;0,TArticle[[#This Row],[کد وضعیت سند]]=1),0-TArticle[[#This Row],[مبلغ]],0)</f>
        <v>0</v>
      </c>
      <c r="AB575">
        <f>IF(AND(TArticle[[#This Row],[مبلغ]]&gt;0, TArticle[[#This Row],[کد وضعیت سند]]=1),TArticle[[#This Row],[مبلغ]],0)</f>
        <v>0</v>
      </c>
      <c r="AC575" s="84">
        <f>IF(TArticle[[#This Row],[کد بانک]]&gt;0,VLOOKUP(TArticle[[#This Row],[کد بانک]],TBank[],9,FALSE)+SUMIF($Y$2:Y575,Y575,$E$2:$E575),"")</f>
        <v>337414</v>
      </c>
      <c r="AD575" s="1">
        <f>IFERROR(IF(INT(LEFT(TArticle[[#This Row],[شناسه]]))=3,IF(TArticle[[#This Row],[کد وضعیت سند]]=1,TArticle[مبلغ],0),0),0)</f>
        <v>0</v>
      </c>
      <c r="AE575" s="1">
        <f>IFERROR(IF(((TArticle[[#This Row],[شناسه]]))="4.1.1",IF(TArticle[[#This Row],[کد وضعیت سند]]=1,TArticle[مبلغ],0),0),0)</f>
        <v>0</v>
      </c>
      <c r="AF575" s="1">
        <f>IFERROR(IF(((TArticle[[#This Row],[شناسه]]))="4.1.2",IF(TArticle[[#This Row],[کد وضعیت سند]]=1,TArticle[مبلغ],0),0),0)</f>
        <v>0</v>
      </c>
      <c r="AG575" s="1">
        <f>IFERROR(IF(INT(LEFT(TArticle[[#This Row],[شناسه]]))=1,IF(TArticle[[#This Row],[کد وضعیت سند]]=1,TArticle[مبلغ],0),0),0)</f>
        <v>0</v>
      </c>
      <c r="AH575" s="1">
        <f>IFERROR(IF(INT(LEFT(TArticle[[#This Row],[شناسه]]))=2,IF(TArticle[[#This Row],[کد وضعیت سند]]=1,TArticle[مبلغ],0),0),0)</f>
        <v>0</v>
      </c>
      <c r="AI575" s="1">
        <f>IFERROR(IF((LEFT(TArticle[[#This Row],[شناسه]],3))="5.2",IF(TArticle[[#This Row],[کد وضعیت سند]]=1,TArticle[مبلغ],0),0),0)</f>
        <v>0</v>
      </c>
      <c r="AJ575" s="1">
        <f>IF(TArticle[[#This Row],[کد وضعیت سند]]=1,1,0)</f>
        <v>0</v>
      </c>
      <c r="AK575" s="1">
        <f>IF(AND(TArticle[[#This Row],[کد وضعیت سند]]&lt;&gt;1,TArticle[[#This Row],[مبلغ]]&lt;&gt;0),1,0)</f>
        <v>0</v>
      </c>
      <c r="AL575" s="51">
        <f>IF(TArticle[[#This Row],[کد بانک]]&gt;0,TArticle[[#This Row],[مانده بانک]]-VLOOKUP(TArticle[[#This Row],[کد بانک]],TBank[],7,FALSE),"")</f>
        <v>337414</v>
      </c>
      <c r="AM575" s="58" t="str">
        <f>LEFT(TArticle[[#This Row],[تاریخ]],7)</f>
        <v>1403-03</v>
      </c>
    </row>
    <row r="576" spans="1:39" x14ac:dyDescent="0.25">
      <c r="A576" s="24"/>
      <c r="B576" s="49" t="str">
        <f>VLOOKUP(TArticle[[#This Row],[شناسه]],TAccount[],2,TRUE)</f>
        <v>---</v>
      </c>
      <c r="C576" s="49" t="str">
        <f>VLOOKUP(TArticle[[#This Row],[تاریخ]],TDays[],7,FALSE)</f>
        <v>سه شنبه</v>
      </c>
      <c r="D576" s="21" t="s">
        <v>1316</v>
      </c>
      <c r="F576" s="1">
        <f>TArticle[[#This Row],[مبلغ]]+IFERROR(INT(F575),30181+3667+958)</f>
        <v>295762</v>
      </c>
      <c r="G576" s="49"/>
      <c r="J576" s="51"/>
      <c r="K576" s="49"/>
      <c r="L576" s="171" t="str">
        <f>IF(TArticle[[#This Row],[کد وضعیت سند]]&gt;0,VLOOKUP(TArticle[[#This Row],[کد وضعیت سند]],TDocState[],2,FALSE),"")</f>
        <v/>
      </c>
      <c r="M576" s="67"/>
      <c r="N576" s="171" t="str">
        <f>IF(TArticle[[#This Row],[کد طرف حساب]]&gt;0,VLOOKUP(TArticle[[#This Row],[کد طرف حساب]],TContact[],2,FALSE),"")</f>
        <v/>
      </c>
      <c r="O576" s="60" t="str">
        <f>IF(TArticle[[#This Row],[کد طرف حساب]]&gt;0,VLOOKUP(TArticle[[#This Row],[کد طرف حساب]],TContact[],7,FALSE)-SUMIF($M$2:M576,M576,$E$2:$E576),"")</f>
        <v/>
      </c>
      <c r="P576" s="27" t="str">
        <f>RIGHT(TArticle[[#This Row],[تاریخ]],2)</f>
        <v>29</v>
      </c>
      <c r="Q576" s="27">
        <f>VLOOKUP(TArticle[[#This Row],[تاریخ]],TDays[],16,FALSE)</f>
        <v>14</v>
      </c>
      <c r="R576" s="27" t="str">
        <f>RIGHT(LEFT(TArticle[[#This Row],[تاریخ]],7),2)</f>
        <v>03</v>
      </c>
      <c r="S576" s="27" t="str">
        <f>LEFT(TArticle[[#This Row],[تاریخ]],4)</f>
        <v>1403</v>
      </c>
      <c r="U576" s="21">
        <f>VLOOKUP(TArticle[[#This Row],[شناسه]],TAccount[],7,TRUE)</f>
        <v>0</v>
      </c>
      <c r="W576" s="21">
        <f>IF(AND(TArticle[[#This Row],[مبلغ]]&gt;0, TArticle[[#This Row],[کد وضعیت سند]]=1),TArticle[[#This Row],[مبلغ]],0)</f>
        <v>0</v>
      </c>
      <c r="X576" s="27">
        <f>IF(AND(TArticle[[#This Row],[مبلغ]]&lt;0,TArticle[[#This Row],[کد وضعیت سند]]=1),0-TArticle[[#This Row],[مبلغ]],0)</f>
        <v>0</v>
      </c>
      <c r="Y576" s="27">
        <v>2</v>
      </c>
      <c r="Z576" s="171" t="str">
        <f>IF(TArticle[[#This Row],[کد بانک]]&gt;0,VLOOKUP(TArticle[[#This Row],[کد بانک]],TBank[],2,FALSE),"")</f>
        <v>ملی جاری</v>
      </c>
      <c r="AA576">
        <f>IF(AND(TArticle[[#This Row],[مبلغ]]&lt;0,TArticle[[#This Row],[کد وضعیت سند]]=1),0-TArticle[[#This Row],[مبلغ]],0)</f>
        <v>0</v>
      </c>
      <c r="AB576">
        <f>IF(AND(TArticle[[#This Row],[مبلغ]]&gt;0, TArticle[[#This Row],[کد وضعیت سند]]=1),TArticle[[#This Row],[مبلغ]],0)</f>
        <v>0</v>
      </c>
      <c r="AC576" s="92">
        <f>IF(TArticle[[#This Row],[کد بانک]]&gt;0,VLOOKUP(TArticle[[#This Row],[کد بانک]],TBank[],9,FALSE)+SUMIF($Y$2:Y576,Y576,$E$2:$E576),"")</f>
        <v>337414</v>
      </c>
      <c r="AD576" s="1">
        <f>IFERROR(IF(INT(LEFT(TArticle[[#This Row],[شناسه]]))=3,IF(TArticle[[#This Row],[کد وضعیت سند]]=1,TArticle[مبلغ],0),0),0)</f>
        <v>0</v>
      </c>
      <c r="AE576" s="1">
        <f>IFERROR(IF(((TArticle[[#This Row],[شناسه]]))="4.1.1",IF(TArticle[[#This Row],[کد وضعیت سند]]=1,TArticle[مبلغ],0),0),0)</f>
        <v>0</v>
      </c>
      <c r="AF576" s="1">
        <f>IFERROR(IF(((TArticle[[#This Row],[شناسه]]))="4.1.2",IF(TArticle[[#This Row],[کد وضعیت سند]]=1,TArticle[مبلغ],0),0),0)</f>
        <v>0</v>
      </c>
      <c r="AG576" s="1">
        <f>IFERROR(IF(INT(LEFT(TArticle[[#This Row],[شناسه]]))=1,IF(TArticle[[#This Row],[کد وضعیت سند]]=1,TArticle[مبلغ],0),0),0)</f>
        <v>0</v>
      </c>
      <c r="AH576" s="1">
        <f>IFERROR(IF(INT(LEFT(TArticle[[#This Row],[شناسه]]))=2,IF(TArticle[[#This Row],[کد وضعیت سند]]=1,TArticle[مبلغ],0),0),0)</f>
        <v>0</v>
      </c>
      <c r="AI576" s="1">
        <f>IFERROR(IF((LEFT(TArticle[[#This Row],[شناسه]],3))="5.2",IF(TArticle[[#This Row],[کد وضعیت سند]]=1,TArticle[مبلغ],0),0),0)</f>
        <v>0</v>
      </c>
      <c r="AJ576" s="1">
        <f>IF(TArticle[[#This Row],[کد وضعیت سند]]=1,1,0)</f>
        <v>0</v>
      </c>
      <c r="AK576" s="1">
        <f>IF(AND(TArticle[[#This Row],[کد وضعیت سند]]&lt;&gt;1,TArticle[[#This Row],[مبلغ]]&lt;&gt;0),1,0)</f>
        <v>0</v>
      </c>
      <c r="AL576" s="51">
        <f>IF(TArticle[[#This Row],[کد بانک]]&gt;0,TArticle[[#This Row],[مانده بانک]]-VLOOKUP(TArticle[[#This Row],[کد بانک]],TBank[],7,FALSE),"")</f>
        <v>337414</v>
      </c>
      <c r="AM576" s="58" t="str">
        <f>LEFT(TArticle[[#This Row],[تاریخ]],7)</f>
        <v>1403-03</v>
      </c>
    </row>
    <row r="577" spans="1:39" x14ac:dyDescent="0.25">
      <c r="A577" s="24"/>
      <c r="B577" s="49" t="str">
        <f>VLOOKUP(TArticle[[#This Row],[شناسه]],TAccount[],2,TRUE)</f>
        <v>---</v>
      </c>
      <c r="C577" s="49" t="str">
        <f>VLOOKUP(TArticle[[#This Row],[تاریخ]],TDays[],7,FALSE)</f>
        <v>سه شنبه</v>
      </c>
      <c r="D577" s="21" t="s">
        <v>1316</v>
      </c>
      <c r="F577" s="1">
        <f>TArticle[[#This Row],[مبلغ]]+IFERROR(INT(F576),30181+3667+958)</f>
        <v>295762</v>
      </c>
      <c r="G577" s="49"/>
      <c r="L577" s="171" t="str">
        <f>IF(TArticle[[#This Row],[کد وضعیت سند]]&gt;0,VLOOKUP(TArticle[[#This Row],[کد وضعیت سند]],TDocState[],2,FALSE),"")</f>
        <v/>
      </c>
      <c r="M577" s="67"/>
      <c r="N577" s="171" t="str">
        <f>IF(TArticle[[#This Row],[کد طرف حساب]]&gt;0,VLOOKUP(TArticle[[#This Row],[کد طرف حساب]],TContact[],2,FALSE),"")</f>
        <v/>
      </c>
      <c r="O577" s="51" t="str">
        <f>IF(TArticle[[#This Row],[کد طرف حساب]]&gt;0,VLOOKUP(TArticle[[#This Row],[کد طرف حساب]],TContact[],7,FALSE)-SUMIF($M$2:M577,M577,$E$2:$E577),"")</f>
        <v/>
      </c>
      <c r="P577" s="21" t="str">
        <f>RIGHT(TArticle[[#This Row],[تاریخ]],2)</f>
        <v>29</v>
      </c>
      <c r="Q577" s="21">
        <f>VLOOKUP(TArticle[[#This Row],[تاریخ]],TDays[],16,FALSE)</f>
        <v>14</v>
      </c>
      <c r="R577" s="21" t="str">
        <f>RIGHT(LEFT(TArticle[[#This Row],[تاریخ]],7),2)</f>
        <v>03</v>
      </c>
      <c r="S577" s="21" t="str">
        <f>LEFT(TArticle[[#This Row],[تاریخ]],4)</f>
        <v>1403</v>
      </c>
      <c r="U577" s="21">
        <f>VLOOKUP(TArticle[[#This Row],[شناسه]],TAccount[],7,TRUE)</f>
        <v>0</v>
      </c>
      <c r="W577" s="21">
        <f>IF(AND(TArticle[[#This Row],[مبلغ]]&gt;0, TArticle[[#This Row],[کد وضعیت سند]]=1),TArticle[[#This Row],[مبلغ]],0)</f>
        <v>0</v>
      </c>
      <c r="X577" s="21">
        <f>IF(AND(TArticle[[#This Row],[مبلغ]]&lt;0,TArticle[[#This Row],[کد وضعیت سند]]=1),0-TArticle[[#This Row],[مبلغ]],0)</f>
        <v>0</v>
      </c>
      <c r="Y577" s="27">
        <v>2</v>
      </c>
      <c r="Z577" s="171" t="str">
        <f>IF(TArticle[[#This Row],[کد بانک]]&gt;0,VLOOKUP(TArticle[[#This Row],[کد بانک]],TBank[],2,FALSE),"")</f>
        <v>ملی جاری</v>
      </c>
      <c r="AA577">
        <f>IF(AND(TArticle[[#This Row],[مبلغ]]&lt;0,TArticle[[#This Row],[کد وضعیت سند]]=1),0-TArticle[[#This Row],[مبلغ]],0)</f>
        <v>0</v>
      </c>
      <c r="AB577">
        <f>IF(AND(TArticle[[#This Row],[مبلغ]]&gt;0, TArticle[[#This Row],[کد وضعیت سند]]=1),TArticle[[#This Row],[مبلغ]],0)</f>
        <v>0</v>
      </c>
      <c r="AC577" s="84">
        <f>IF(TArticle[[#This Row],[کد بانک]]&gt;0,VLOOKUP(TArticle[[#This Row],[کد بانک]],TBank[],9,FALSE)+SUMIF($Y$2:Y577,Y577,$E$2:$E577),"")</f>
        <v>337414</v>
      </c>
      <c r="AD577" s="1">
        <f>IFERROR(IF(INT(LEFT(TArticle[[#This Row],[شناسه]]))=3,IF(TArticle[[#This Row],[کد وضعیت سند]]=1,TArticle[مبلغ],0),0),0)</f>
        <v>0</v>
      </c>
      <c r="AE577" s="1">
        <f>IFERROR(IF(((TArticle[[#This Row],[شناسه]]))="4.1.1",IF(TArticle[[#This Row],[کد وضعیت سند]]=1,TArticle[مبلغ],0),0),0)</f>
        <v>0</v>
      </c>
      <c r="AF577" s="1">
        <f>IFERROR(IF(((TArticle[[#This Row],[شناسه]]))="4.1.2",IF(TArticle[[#This Row],[کد وضعیت سند]]=1,TArticle[مبلغ],0),0),0)</f>
        <v>0</v>
      </c>
      <c r="AG577" s="1">
        <f>IFERROR(IF(INT(LEFT(TArticle[[#This Row],[شناسه]]))=1,IF(TArticle[[#This Row],[کد وضعیت سند]]=1,TArticle[مبلغ],0),0),0)</f>
        <v>0</v>
      </c>
      <c r="AH577" s="1">
        <f>IFERROR(IF(INT(LEFT(TArticle[[#This Row],[شناسه]]))=2,IF(TArticle[[#This Row],[کد وضعیت سند]]=1,TArticle[مبلغ],0),0),0)</f>
        <v>0</v>
      </c>
      <c r="AI577" s="1">
        <f>IFERROR(IF((LEFT(TArticle[[#This Row],[شناسه]],3))="5.2",IF(TArticle[[#This Row],[کد وضعیت سند]]=1,TArticle[مبلغ],0),0),0)</f>
        <v>0</v>
      </c>
      <c r="AJ577" s="1">
        <f>IF(TArticle[[#This Row],[کد وضعیت سند]]=1,1,0)</f>
        <v>0</v>
      </c>
      <c r="AK577" s="1">
        <f>IF(AND(TArticle[[#This Row],[کد وضعیت سند]]&lt;&gt;1,TArticle[[#This Row],[مبلغ]]&lt;&gt;0),1,0)</f>
        <v>0</v>
      </c>
      <c r="AL577" s="51">
        <f>IF(TArticle[[#This Row],[کد بانک]]&gt;0,TArticle[[#This Row],[مانده بانک]]-VLOOKUP(TArticle[[#This Row],[کد بانک]],TBank[],7,FALSE),"")</f>
        <v>337414</v>
      </c>
      <c r="AM577" s="49" t="str">
        <f>LEFT(TArticle[[#This Row],[تاریخ]],7)</f>
        <v>1403-03</v>
      </c>
    </row>
    <row r="578" spans="1:39" x14ac:dyDescent="0.25">
      <c r="A578" s="24"/>
      <c r="B578" s="49" t="str">
        <f>VLOOKUP(TArticle[[#This Row],[شناسه]],TAccount[],2,TRUE)</f>
        <v>---</v>
      </c>
      <c r="C578" s="49" t="str">
        <f>VLOOKUP(TArticle[[#This Row],[تاریخ]],TDays[],7,FALSE)</f>
        <v>سه شنبه</v>
      </c>
      <c r="D578" s="21" t="s">
        <v>1316</v>
      </c>
      <c r="F578" s="1">
        <f>TArticle[[#This Row],[مبلغ]]+IFERROR(INT(F577),30181+3667+958)</f>
        <v>295762</v>
      </c>
      <c r="G578" s="49"/>
      <c r="L578" s="171" t="str">
        <f>IF(TArticle[[#This Row],[کد وضعیت سند]]&gt;0,VLOOKUP(TArticle[[#This Row],[کد وضعیت سند]],TDocState[],2,FALSE),"")</f>
        <v/>
      </c>
      <c r="N578" s="171" t="str">
        <f>IF(TArticle[[#This Row],[کد طرف حساب]]&gt;0,VLOOKUP(TArticle[[#This Row],[کد طرف حساب]],TContact[],2,FALSE),"")</f>
        <v/>
      </c>
      <c r="O578" s="61" t="str">
        <f>IF(TArticle[[#This Row],[کد طرف حساب]]&gt;0,VLOOKUP(TArticle[[#This Row],[کد طرف حساب]],TContact[],7,FALSE)-SUMIF($M$2:M578,M578,$E$2:$E578),"")</f>
        <v/>
      </c>
      <c r="P578" s="27" t="str">
        <f>RIGHT(TArticle[[#This Row],[تاریخ]],2)</f>
        <v>29</v>
      </c>
      <c r="Q578" s="27">
        <f>VLOOKUP(TArticle[[#This Row],[تاریخ]],TDays[],16,FALSE)</f>
        <v>14</v>
      </c>
      <c r="R578" s="27" t="str">
        <f>RIGHT(LEFT(TArticle[[#This Row],[تاریخ]],7),2)</f>
        <v>03</v>
      </c>
      <c r="S578" s="27" t="str">
        <f>LEFT(TArticle[[#This Row],[تاریخ]],4)</f>
        <v>1403</v>
      </c>
      <c r="U578" s="21">
        <f>VLOOKUP(TArticle[[#This Row],[شناسه]],TAccount[],7,TRUE)</f>
        <v>0</v>
      </c>
      <c r="W578" s="21">
        <f>IF(AND(TArticle[[#This Row],[مبلغ]]&gt;0, TArticle[[#This Row],[کد وضعیت سند]]=1),TArticle[[#This Row],[مبلغ]],0)</f>
        <v>0</v>
      </c>
      <c r="X578" s="27">
        <f>IF(AND(TArticle[[#This Row],[مبلغ]]&lt;0,TArticle[[#This Row],[کد وضعیت سند]]=1),0-TArticle[[#This Row],[مبلغ]],0)</f>
        <v>0</v>
      </c>
      <c r="Y578" s="27">
        <v>2</v>
      </c>
      <c r="Z578" s="171" t="str">
        <f>IF(TArticle[[#This Row],[کد بانک]]&gt;0,VLOOKUP(TArticle[[#This Row],[کد بانک]],TBank[],2,FALSE),"")</f>
        <v>ملی جاری</v>
      </c>
      <c r="AA578">
        <f>IF(AND(TArticle[[#This Row],[مبلغ]]&lt;0,TArticle[[#This Row],[کد وضعیت سند]]=1),0-TArticle[[#This Row],[مبلغ]],0)</f>
        <v>0</v>
      </c>
      <c r="AB578">
        <f>IF(AND(TArticle[[#This Row],[مبلغ]]&gt;0, TArticle[[#This Row],[کد وضعیت سند]]=1),TArticle[[#This Row],[مبلغ]],0)</f>
        <v>0</v>
      </c>
      <c r="AC578" s="84">
        <f>IF(TArticle[[#This Row],[کد بانک]]&gt;0,VLOOKUP(TArticle[[#This Row],[کد بانک]],TBank[],9,FALSE)+SUMIF($Y$2:Y578,Y578,$E$2:$E578),"")</f>
        <v>337414</v>
      </c>
      <c r="AD578" s="1">
        <f>IFERROR(IF(INT(LEFT(TArticle[[#This Row],[شناسه]]))=3,IF(TArticle[[#This Row],[کد وضعیت سند]]=1,TArticle[مبلغ],0),0),0)</f>
        <v>0</v>
      </c>
      <c r="AE578" s="1">
        <f>IFERROR(IF(((TArticle[[#This Row],[شناسه]]))="4.1.1",IF(TArticle[[#This Row],[کد وضعیت سند]]=1,TArticle[مبلغ],0),0),0)</f>
        <v>0</v>
      </c>
      <c r="AF578" s="1">
        <f>IFERROR(IF(((TArticle[[#This Row],[شناسه]]))="4.1.2",IF(TArticle[[#This Row],[کد وضعیت سند]]=1,TArticle[مبلغ],0),0),0)</f>
        <v>0</v>
      </c>
      <c r="AG578" s="1">
        <f>IFERROR(IF(INT(LEFT(TArticle[[#This Row],[شناسه]]))=1,IF(TArticle[[#This Row],[کد وضعیت سند]]=1,TArticle[مبلغ],0),0),0)</f>
        <v>0</v>
      </c>
      <c r="AH578" s="1">
        <f>IFERROR(IF(INT(LEFT(TArticle[[#This Row],[شناسه]]))=2,IF(TArticle[[#This Row],[کد وضعیت سند]]=1,TArticle[مبلغ],0),0),0)</f>
        <v>0</v>
      </c>
      <c r="AI578" s="1">
        <f>IFERROR(IF((LEFT(TArticle[[#This Row],[شناسه]],3))="5.2",IF(TArticle[[#This Row],[کد وضعیت سند]]=1,TArticle[مبلغ],0),0),0)</f>
        <v>0</v>
      </c>
      <c r="AJ578" s="1">
        <f>IF(TArticle[[#This Row],[کد وضعیت سند]]=1,1,0)</f>
        <v>0</v>
      </c>
      <c r="AK578" s="1">
        <f>IF(AND(TArticle[[#This Row],[کد وضعیت سند]]&lt;&gt;1,TArticle[[#This Row],[مبلغ]]&lt;&gt;0),1,0)</f>
        <v>0</v>
      </c>
      <c r="AL578" s="51">
        <f>IF(TArticle[[#This Row],[کد بانک]]&gt;0,TArticle[[#This Row],[مانده بانک]]-VLOOKUP(TArticle[[#This Row],[کد بانک]],TBank[],7,FALSE),"")</f>
        <v>337414</v>
      </c>
      <c r="AM578" s="49" t="str">
        <f>LEFT(TArticle[[#This Row],[تاریخ]],7)</f>
        <v>1403-03</v>
      </c>
    </row>
    <row r="579" spans="1:39" x14ac:dyDescent="0.25">
      <c r="A579" s="24"/>
      <c r="B579" s="49" t="str">
        <f>VLOOKUP(TArticle[[#This Row],[شناسه]],TAccount[],2,TRUE)</f>
        <v>---</v>
      </c>
      <c r="C579" s="49" t="str">
        <f>VLOOKUP(TArticle[[#This Row],[تاریخ]],TDays[],7,FALSE)</f>
        <v>سه شنبه</v>
      </c>
      <c r="D579" s="21" t="s">
        <v>1316</v>
      </c>
      <c r="F579" s="1">
        <f>TArticle[[#This Row],[مبلغ]]+IFERROR(INT(F578),30181+3667+958)</f>
        <v>295762</v>
      </c>
      <c r="G579" s="49"/>
      <c r="H579" s="64"/>
      <c r="J579" s="65"/>
      <c r="K579" s="64"/>
      <c r="L579" s="171" t="str">
        <f>IF(TArticle[[#This Row],[کد وضعیت سند]]&gt;0,VLOOKUP(TArticle[[#This Row],[کد وضعیت سند]],TDocState[],2,FALSE),"")</f>
        <v/>
      </c>
      <c r="M579" s="67"/>
      <c r="N579" s="171" t="str">
        <f>IF(TArticle[[#This Row],[کد طرف حساب]]&gt;0,VLOOKUP(TArticle[[#This Row],[کد طرف حساب]],TContact[],2,FALSE),"")</f>
        <v/>
      </c>
      <c r="O579" s="68" t="str">
        <f>IF(TArticle[[#This Row],[کد طرف حساب]]&gt;0,VLOOKUP(TArticle[[#This Row],[کد طرف حساب]],TContact[],7,FALSE)-SUMIF($M$2:M579,M579,$E$2:$E579),"")</f>
        <v/>
      </c>
      <c r="P579" s="67" t="str">
        <f>RIGHT(TArticle[[#This Row],[تاریخ]],2)</f>
        <v>29</v>
      </c>
      <c r="Q579" s="67">
        <f>VLOOKUP(TArticle[[#This Row],[تاریخ]],TDays[],16,FALSE)</f>
        <v>14</v>
      </c>
      <c r="R579" s="67" t="str">
        <f>RIGHT(LEFT(TArticle[[#This Row],[تاریخ]],7),2)</f>
        <v>03</v>
      </c>
      <c r="S579" s="67" t="str">
        <f>LEFT(TArticle[[#This Row],[تاریخ]],4)</f>
        <v>1403</v>
      </c>
      <c r="T579" s="64"/>
      <c r="U579" s="64">
        <f>VLOOKUP(TArticle[[#This Row],[شناسه]],TAccount[],7,TRUE)</f>
        <v>0</v>
      </c>
      <c r="V579" s="64"/>
      <c r="W579" s="64">
        <f>IF(AND(TArticle[[#This Row],[مبلغ]]&gt;0, TArticle[[#This Row],[کد وضعیت سند]]=1),TArticle[[#This Row],[مبلغ]],0)</f>
        <v>0</v>
      </c>
      <c r="X579" s="67">
        <f>IF(AND(TArticle[[#This Row],[مبلغ]]&lt;0,TArticle[[#This Row],[کد وضعیت سند]]=1),0-TArticle[[#This Row],[مبلغ]],0)</f>
        <v>0</v>
      </c>
      <c r="Y579" s="27">
        <v>2</v>
      </c>
      <c r="Z579" s="171" t="str">
        <f>IF(TArticle[[#This Row],[کد بانک]]&gt;0,VLOOKUP(TArticle[[#This Row],[کد بانک]],TBank[],2,FALSE),"")</f>
        <v>ملی جاری</v>
      </c>
      <c r="AA579">
        <f>IF(AND(TArticle[[#This Row],[مبلغ]]&lt;0,TArticle[[#This Row],[کد وضعیت سند]]=1),0-TArticle[[#This Row],[مبلغ]],0)</f>
        <v>0</v>
      </c>
      <c r="AB579">
        <f>IF(AND(TArticle[[#This Row],[مبلغ]]&gt;0, TArticle[[#This Row],[کد وضعیت سند]]=1),TArticle[[#This Row],[مبلغ]],0)</f>
        <v>0</v>
      </c>
      <c r="AC579" s="93">
        <f>IF(TArticle[[#This Row],[کد بانک]]&gt;0,VLOOKUP(TArticle[[#This Row],[کد بانک]],TBank[],9,FALSE)+SUMIF($Y$2:Y579,Y579,$E$2:$E579),"")</f>
        <v>337414</v>
      </c>
      <c r="AD579" s="1">
        <f>IFERROR(IF(INT(LEFT(TArticle[[#This Row],[شناسه]]))=3,IF(TArticle[[#This Row],[کد وضعیت سند]]=1,TArticle[مبلغ],0),0),0)</f>
        <v>0</v>
      </c>
      <c r="AE579" s="1">
        <f>IFERROR(IF(((TArticle[[#This Row],[شناسه]]))="4.1.1",IF(TArticle[[#This Row],[کد وضعیت سند]]=1,TArticle[مبلغ],0),0),0)</f>
        <v>0</v>
      </c>
      <c r="AF579" s="1">
        <f>IFERROR(IF(((TArticle[[#This Row],[شناسه]]))="4.1.2",IF(TArticle[[#This Row],[کد وضعیت سند]]=1,TArticle[مبلغ],0),0),0)</f>
        <v>0</v>
      </c>
      <c r="AG579" s="1">
        <f>IFERROR(IF(INT(LEFT(TArticle[[#This Row],[شناسه]]))=1,IF(TArticle[[#This Row],[کد وضعیت سند]]=1,TArticle[مبلغ],0),0),0)</f>
        <v>0</v>
      </c>
      <c r="AH579" s="1">
        <f>IFERROR(IF(INT(LEFT(TArticle[[#This Row],[شناسه]]))=2,IF(TArticle[[#This Row],[کد وضعیت سند]]=1,TArticle[مبلغ],0),0),0)</f>
        <v>0</v>
      </c>
      <c r="AI579" s="1">
        <f>IFERROR(IF((LEFT(TArticle[[#This Row],[شناسه]],3))="5.2",IF(TArticle[[#This Row],[کد وضعیت سند]]=1,TArticle[مبلغ],0),0),0)</f>
        <v>0</v>
      </c>
      <c r="AJ579" s="1">
        <f>IF(TArticle[[#This Row],[کد وضعیت سند]]=1,1,0)</f>
        <v>0</v>
      </c>
      <c r="AK579" s="1">
        <f>IF(AND(TArticle[[#This Row],[کد وضعیت سند]]&lt;&gt;1,TArticle[[#This Row],[مبلغ]]&lt;&gt;0),1,0)</f>
        <v>0</v>
      </c>
      <c r="AL579" s="78">
        <f>IF(TArticle[[#This Row],[کد بانک]]&gt;0,TArticle[[#This Row],[مانده بانک]]-VLOOKUP(TArticle[[#This Row],[کد بانک]],TBank[],7,FALSE),"")</f>
        <v>337414</v>
      </c>
      <c r="AM579" s="58" t="str">
        <f>LEFT(TArticle[[#This Row],[تاریخ]],7)</f>
        <v>1403-03</v>
      </c>
    </row>
    <row r="580" spans="1:39" x14ac:dyDescent="0.25">
      <c r="A580" s="24"/>
      <c r="B580" s="49" t="str">
        <f>VLOOKUP(TArticle[[#This Row],[شناسه]],TAccount[],2,TRUE)</f>
        <v>---</v>
      </c>
      <c r="C580" s="49" t="str">
        <f>VLOOKUP(TArticle[[#This Row],[تاریخ]],TDays[],7,FALSE)</f>
        <v>سه شنبه</v>
      </c>
      <c r="D580" s="21" t="s">
        <v>1316</v>
      </c>
      <c r="F580" s="1">
        <f>TArticle[[#This Row],[مبلغ]]+IFERROR(INT(F579),30181+3667+958)</f>
        <v>295762</v>
      </c>
      <c r="G580" s="49"/>
      <c r="L580" s="171" t="str">
        <f>IF(TArticle[[#This Row],[کد وضعیت سند]]&gt;0,VLOOKUP(TArticle[[#This Row],[کد وضعیت سند]],TDocState[],2,FALSE),"")</f>
        <v/>
      </c>
      <c r="N580" s="171" t="str">
        <f>IF(TArticle[[#This Row],[کد طرف حساب]]&gt;0,VLOOKUP(TArticle[[#This Row],[کد طرف حساب]],TContact[],2,FALSE),"")</f>
        <v/>
      </c>
      <c r="O580" s="61" t="str">
        <f>IF(TArticle[[#This Row],[کد طرف حساب]]&gt;0,VLOOKUP(TArticle[[#This Row],[کد طرف حساب]],TContact[],7,FALSE)-SUMIF($M$2:M580,M580,$E$2:$E580),"")</f>
        <v/>
      </c>
      <c r="P580" s="27" t="str">
        <f>RIGHT(TArticle[[#This Row],[تاریخ]],2)</f>
        <v>29</v>
      </c>
      <c r="Q580" s="27">
        <f>VLOOKUP(TArticle[[#This Row],[تاریخ]],TDays[],16,FALSE)</f>
        <v>14</v>
      </c>
      <c r="R580" s="27" t="str">
        <f>RIGHT(LEFT(TArticle[[#This Row],[تاریخ]],7),2)</f>
        <v>03</v>
      </c>
      <c r="S580" s="27" t="str">
        <f>LEFT(TArticle[[#This Row],[تاریخ]],4)</f>
        <v>1403</v>
      </c>
      <c r="U580" s="21">
        <f>VLOOKUP(TArticle[[#This Row],[شناسه]],TAccount[],7,TRUE)</f>
        <v>0</v>
      </c>
      <c r="W580" s="21">
        <f>IF(AND(TArticle[[#This Row],[مبلغ]]&gt;0, TArticle[[#This Row],[کد وضعیت سند]]=1),TArticle[[#This Row],[مبلغ]],0)</f>
        <v>0</v>
      </c>
      <c r="X580" s="27">
        <f>IF(AND(TArticle[[#This Row],[مبلغ]]&lt;0,TArticle[[#This Row],[کد وضعیت سند]]=1),0-TArticle[[#This Row],[مبلغ]],0)</f>
        <v>0</v>
      </c>
      <c r="Y580" s="27">
        <v>2</v>
      </c>
      <c r="Z580" s="171" t="str">
        <f>IF(TArticle[[#This Row],[کد بانک]]&gt;0,VLOOKUP(TArticle[[#This Row],[کد بانک]],TBank[],2,FALSE),"")</f>
        <v>ملی جاری</v>
      </c>
      <c r="AA580">
        <f>IF(AND(TArticle[[#This Row],[مبلغ]]&lt;0,TArticle[[#This Row],[کد وضعیت سند]]=1),0-TArticle[[#This Row],[مبلغ]],0)</f>
        <v>0</v>
      </c>
      <c r="AB580">
        <f>IF(AND(TArticle[[#This Row],[مبلغ]]&gt;0, TArticle[[#This Row],[کد وضعیت سند]]=1),TArticle[[#This Row],[مبلغ]],0)</f>
        <v>0</v>
      </c>
      <c r="AC580" s="84">
        <f>IF(TArticle[[#This Row],[کد بانک]]&gt;0,VLOOKUP(TArticle[[#This Row],[کد بانک]],TBank[],9,FALSE)+SUMIF($Y$2:Y580,Y580,$E$2:$E580),"")</f>
        <v>337414</v>
      </c>
      <c r="AD580" s="1">
        <f>IFERROR(IF(INT(LEFT(TArticle[[#This Row],[شناسه]]))=3,IF(TArticle[[#This Row],[کد وضعیت سند]]=1,TArticle[مبلغ],0),0),0)</f>
        <v>0</v>
      </c>
      <c r="AE580" s="1">
        <f>IFERROR(IF(((TArticle[[#This Row],[شناسه]]))="4.1.1",IF(TArticle[[#This Row],[کد وضعیت سند]]=1,TArticle[مبلغ],0),0),0)</f>
        <v>0</v>
      </c>
      <c r="AF580" s="1">
        <f>IFERROR(IF(((TArticle[[#This Row],[شناسه]]))="4.1.2",IF(TArticle[[#This Row],[کد وضعیت سند]]=1,TArticle[مبلغ],0),0),0)</f>
        <v>0</v>
      </c>
      <c r="AG580" s="1">
        <f>IFERROR(IF(INT(LEFT(TArticle[[#This Row],[شناسه]]))=1,IF(TArticle[[#This Row],[کد وضعیت سند]]=1,TArticle[مبلغ],0),0),0)</f>
        <v>0</v>
      </c>
      <c r="AH580" s="1">
        <f>IFERROR(IF(INT(LEFT(TArticle[[#This Row],[شناسه]]))=2,IF(TArticle[[#This Row],[کد وضعیت سند]]=1,TArticle[مبلغ],0),0),0)</f>
        <v>0</v>
      </c>
      <c r="AI580" s="1">
        <f>IFERROR(IF((LEFT(TArticle[[#This Row],[شناسه]],3))="5.2",IF(TArticle[[#This Row],[کد وضعیت سند]]=1,TArticle[مبلغ],0),0),0)</f>
        <v>0</v>
      </c>
      <c r="AJ580" s="1">
        <f>IF(TArticle[[#This Row],[کد وضعیت سند]]=1,1,0)</f>
        <v>0</v>
      </c>
      <c r="AK580" s="1">
        <f>IF(AND(TArticle[[#This Row],[کد وضعیت سند]]&lt;&gt;1,TArticle[[#This Row],[مبلغ]]&lt;&gt;0),1,0)</f>
        <v>0</v>
      </c>
      <c r="AL580" s="51">
        <f>IF(TArticle[[#This Row],[کد بانک]]&gt;0,TArticle[[#This Row],[مانده بانک]]-VLOOKUP(TArticle[[#This Row],[کد بانک]],TBank[],7,FALSE),"")</f>
        <v>337414</v>
      </c>
      <c r="AM580" s="49" t="str">
        <f>LEFT(TArticle[[#This Row],[تاریخ]],7)</f>
        <v>1403-03</v>
      </c>
    </row>
    <row r="581" spans="1:39" x14ac:dyDescent="0.25">
      <c r="A581" s="24"/>
      <c r="B581" s="49" t="str">
        <f>VLOOKUP(TArticle[[#This Row],[شناسه]],TAccount[],2,TRUE)</f>
        <v>---</v>
      </c>
      <c r="C581" s="49" t="str">
        <f>VLOOKUP(TArticle[[#This Row],[تاریخ]],TDays[],7,FALSE)</f>
        <v>سه شنبه</v>
      </c>
      <c r="D581" s="21" t="s">
        <v>1316</v>
      </c>
      <c r="F581" s="1">
        <f>TArticle[[#This Row],[مبلغ]]+IFERROR(INT(F580),30181+3667+958)</f>
        <v>295762</v>
      </c>
      <c r="G581" s="49"/>
      <c r="L581" s="171" t="str">
        <f>IF(TArticle[[#This Row],[کد وضعیت سند]]&gt;0,VLOOKUP(TArticle[[#This Row],[کد وضعیت سند]],TDocState[],2,FALSE),"")</f>
        <v/>
      </c>
      <c r="N581" s="171" t="str">
        <f>IF(TArticle[[#This Row],[کد طرف حساب]]&gt;0,VLOOKUP(TArticle[[#This Row],[کد طرف حساب]],TContact[],2,FALSE),"")</f>
        <v/>
      </c>
      <c r="O581" s="61" t="str">
        <f>IF(TArticle[[#This Row],[کد طرف حساب]]&gt;0,VLOOKUP(TArticle[[#This Row],[کد طرف حساب]],TContact[],7,FALSE)-SUMIF($M$2:M581,M581,$E$2:$E581),"")</f>
        <v/>
      </c>
      <c r="P581" s="27" t="str">
        <f>RIGHT(TArticle[[#This Row],[تاریخ]],2)</f>
        <v>29</v>
      </c>
      <c r="Q581" s="27">
        <f>VLOOKUP(TArticle[[#This Row],[تاریخ]],TDays[],16,FALSE)</f>
        <v>14</v>
      </c>
      <c r="R581" s="27" t="str">
        <f>RIGHT(LEFT(TArticle[[#This Row],[تاریخ]],7),2)</f>
        <v>03</v>
      </c>
      <c r="S581" s="27" t="str">
        <f>LEFT(TArticle[[#This Row],[تاریخ]],4)</f>
        <v>1403</v>
      </c>
      <c r="U581" s="21">
        <f>VLOOKUP(TArticle[[#This Row],[شناسه]],TAccount[],7,TRUE)</f>
        <v>0</v>
      </c>
      <c r="W581" s="21">
        <f>IF(AND(TArticle[[#This Row],[مبلغ]]&gt;0, TArticle[[#This Row],[کد وضعیت سند]]=1),TArticle[[#This Row],[مبلغ]],0)</f>
        <v>0</v>
      </c>
      <c r="X581" s="27">
        <f>IF(AND(TArticle[[#This Row],[مبلغ]]&lt;0,TArticle[[#This Row],[کد وضعیت سند]]=1),0-TArticle[[#This Row],[مبلغ]],0)</f>
        <v>0</v>
      </c>
      <c r="Y581" s="27">
        <v>2</v>
      </c>
      <c r="Z581" s="171" t="str">
        <f>IF(TArticle[[#This Row],[کد بانک]]&gt;0,VLOOKUP(TArticle[[#This Row],[کد بانک]],TBank[],2,FALSE),"")</f>
        <v>ملی جاری</v>
      </c>
      <c r="AA581">
        <f>IF(AND(TArticle[[#This Row],[مبلغ]]&lt;0,TArticle[[#This Row],[کد وضعیت سند]]=1),0-TArticle[[#This Row],[مبلغ]],0)</f>
        <v>0</v>
      </c>
      <c r="AB581">
        <f>IF(AND(TArticle[[#This Row],[مبلغ]]&gt;0, TArticle[[#This Row],[کد وضعیت سند]]=1),TArticle[[#This Row],[مبلغ]],0)</f>
        <v>0</v>
      </c>
      <c r="AC581" s="84">
        <f>IF(TArticle[[#This Row],[کد بانک]]&gt;0,VLOOKUP(TArticle[[#This Row],[کد بانک]],TBank[],9,FALSE)+SUMIF($Y$2:Y581,Y581,$E$2:$E581),"")</f>
        <v>337414</v>
      </c>
      <c r="AD581" s="1">
        <f>IFERROR(IF(INT(LEFT(TArticle[[#This Row],[شناسه]]))=3,IF(TArticle[[#This Row],[کد وضعیت سند]]=1,TArticle[مبلغ],0),0),0)</f>
        <v>0</v>
      </c>
      <c r="AE581" s="1">
        <f>IFERROR(IF(((TArticle[[#This Row],[شناسه]]))="4.1.1",IF(TArticle[[#This Row],[کد وضعیت سند]]=1,TArticle[مبلغ],0),0),0)</f>
        <v>0</v>
      </c>
      <c r="AF581" s="1">
        <f>IFERROR(IF(((TArticle[[#This Row],[شناسه]]))="4.1.2",IF(TArticle[[#This Row],[کد وضعیت سند]]=1,TArticle[مبلغ],0),0),0)</f>
        <v>0</v>
      </c>
      <c r="AG581" s="1">
        <f>IFERROR(IF(INT(LEFT(TArticle[[#This Row],[شناسه]]))=1,IF(TArticle[[#This Row],[کد وضعیت سند]]=1,TArticle[مبلغ],0),0),0)</f>
        <v>0</v>
      </c>
      <c r="AH581" s="1">
        <f>IFERROR(IF(INT(LEFT(TArticle[[#This Row],[شناسه]]))=2,IF(TArticle[[#This Row],[کد وضعیت سند]]=1,TArticle[مبلغ],0),0),0)</f>
        <v>0</v>
      </c>
      <c r="AI581" s="1">
        <f>IFERROR(IF((LEFT(TArticle[[#This Row],[شناسه]],3))="5.2",IF(TArticle[[#This Row],[کد وضعیت سند]]=1,TArticle[مبلغ],0),0),0)</f>
        <v>0</v>
      </c>
      <c r="AJ581" s="1">
        <f>IF(TArticle[[#This Row],[کد وضعیت سند]]=1,1,0)</f>
        <v>0</v>
      </c>
      <c r="AK581" s="1">
        <f>IF(AND(TArticle[[#This Row],[کد وضعیت سند]]&lt;&gt;1,TArticle[[#This Row],[مبلغ]]&lt;&gt;0),1,0)</f>
        <v>0</v>
      </c>
      <c r="AL581" s="51">
        <f>IF(TArticle[[#This Row],[کد بانک]]&gt;0,TArticle[[#This Row],[مانده بانک]]-VLOOKUP(TArticle[[#This Row],[کد بانک]],TBank[],7,FALSE),"")</f>
        <v>337414</v>
      </c>
      <c r="AM581" s="49" t="str">
        <f>LEFT(TArticle[[#This Row],[تاریخ]],7)</f>
        <v>1403-03</v>
      </c>
    </row>
    <row r="582" spans="1:39" x14ac:dyDescent="0.25">
      <c r="A582" s="24"/>
      <c r="B582" s="49" t="str">
        <f>VLOOKUP(TArticle[[#This Row],[شناسه]],TAccount[],2,TRUE)</f>
        <v>---</v>
      </c>
      <c r="C582" s="49" t="str">
        <f>VLOOKUP(TArticle[[#This Row],[تاریخ]],TDays[],7,FALSE)</f>
        <v>سه شنبه</v>
      </c>
      <c r="D582" s="21" t="s">
        <v>1316</v>
      </c>
      <c r="F582" s="1">
        <f>TArticle[[#This Row],[مبلغ]]+IFERROR(INT(F581),30181+3667+958)</f>
        <v>295762</v>
      </c>
      <c r="G582" s="49"/>
      <c r="L582" s="171" t="str">
        <f>IF(TArticle[[#This Row],[کد وضعیت سند]]&gt;0,VLOOKUP(TArticle[[#This Row],[کد وضعیت سند]],TDocState[],2,FALSE),"")</f>
        <v/>
      </c>
      <c r="N582" s="171" t="str">
        <f>IF(TArticle[[#This Row],[کد طرف حساب]]&gt;0,VLOOKUP(TArticle[[#This Row],[کد طرف حساب]],TContact[],2,FALSE),"")</f>
        <v/>
      </c>
      <c r="O582" s="61" t="str">
        <f>IF(TArticle[[#This Row],[کد طرف حساب]]&gt;0,VLOOKUP(TArticle[[#This Row],[کد طرف حساب]],TContact[],7,FALSE)-SUMIF($M$2:M582,M582,$E$2:$E582),"")</f>
        <v/>
      </c>
      <c r="P582" s="27" t="str">
        <f>RIGHT(TArticle[[#This Row],[تاریخ]],2)</f>
        <v>29</v>
      </c>
      <c r="Q582" s="27">
        <f>VLOOKUP(TArticle[[#This Row],[تاریخ]],TDays[],16,FALSE)</f>
        <v>14</v>
      </c>
      <c r="R582" s="27" t="str">
        <f>RIGHT(LEFT(TArticle[[#This Row],[تاریخ]],7),2)</f>
        <v>03</v>
      </c>
      <c r="S582" s="27" t="str">
        <f>LEFT(TArticle[[#This Row],[تاریخ]],4)</f>
        <v>1403</v>
      </c>
      <c r="U582" s="21">
        <f>VLOOKUP(TArticle[[#This Row],[شناسه]],TAccount[],7,TRUE)</f>
        <v>0</v>
      </c>
      <c r="W582" s="21">
        <f>IF(AND(TArticle[[#This Row],[مبلغ]]&gt;0, TArticle[[#This Row],[کد وضعیت سند]]=1),TArticle[[#This Row],[مبلغ]],0)</f>
        <v>0</v>
      </c>
      <c r="X582" s="27">
        <f>IF(AND(TArticle[[#This Row],[مبلغ]]&lt;0,TArticle[[#This Row],[کد وضعیت سند]]=1),0-TArticle[[#This Row],[مبلغ]],0)</f>
        <v>0</v>
      </c>
      <c r="Y582" s="27">
        <v>2</v>
      </c>
      <c r="Z582" s="171" t="str">
        <f>IF(TArticle[[#This Row],[کد بانک]]&gt;0,VLOOKUP(TArticle[[#This Row],[کد بانک]],TBank[],2,FALSE),"")</f>
        <v>ملی جاری</v>
      </c>
      <c r="AA582">
        <f>IF(AND(TArticle[[#This Row],[مبلغ]]&lt;0,TArticle[[#This Row],[کد وضعیت سند]]=1),0-TArticle[[#This Row],[مبلغ]],0)</f>
        <v>0</v>
      </c>
      <c r="AB582">
        <f>IF(AND(TArticle[[#This Row],[مبلغ]]&gt;0, TArticle[[#This Row],[کد وضعیت سند]]=1),TArticle[[#This Row],[مبلغ]],0)</f>
        <v>0</v>
      </c>
      <c r="AC582" s="84">
        <f>IF(TArticle[[#This Row],[کد بانک]]&gt;0,VLOOKUP(TArticle[[#This Row],[کد بانک]],TBank[],9,FALSE)+SUMIF($Y$2:Y582,Y582,$E$2:$E582),"")</f>
        <v>337414</v>
      </c>
      <c r="AD582" s="1">
        <f>IFERROR(IF(INT(LEFT(TArticle[[#This Row],[شناسه]]))=3,IF(TArticle[[#This Row],[کد وضعیت سند]]=1,TArticle[مبلغ],0),0),0)</f>
        <v>0</v>
      </c>
      <c r="AE582" s="1">
        <f>IFERROR(IF(((TArticle[[#This Row],[شناسه]]))="4.1.1",IF(TArticle[[#This Row],[کد وضعیت سند]]=1,TArticle[مبلغ],0),0),0)</f>
        <v>0</v>
      </c>
      <c r="AF582" s="1">
        <f>IFERROR(IF(((TArticle[[#This Row],[شناسه]]))="4.1.2",IF(TArticle[[#This Row],[کد وضعیت سند]]=1,TArticle[مبلغ],0),0),0)</f>
        <v>0</v>
      </c>
      <c r="AG582" s="1">
        <f>IFERROR(IF(INT(LEFT(TArticle[[#This Row],[شناسه]]))=1,IF(TArticle[[#This Row],[کد وضعیت سند]]=1,TArticle[مبلغ],0),0),0)</f>
        <v>0</v>
      </c>
      <c r="AH582" s="1">
        <f>IFERROR(IF(INT(LEFT(TArticle[[#This Row],[شناسه]]))=2,IF(TArticle[[#This Row],[کد وضعیت سند]]=1,TArticle[مبلغ],0),0),0)</f>
        <v>0</v>
      </c>
      <c r="AI582" s="1">
        <f>IFERROR(IF((LEFT(TArticle[[#This Row],[شناسه]],3))="5.2",IF(TArticle[[#This Row],[کد وضعیت سند]]=1,TArticle[مبلغ],0),0),0)</f>
        <v>0</v>
      </c>
      <c r="AJ582" s="1">
        <f>IF(TArticle[[#This Row],[کد وضعیت سند]]=1,1,0)</f>
        <v>0</v>
      </c>
      <c r="AK582" s="1">
        <f>IF(AND(TArticle[[#This Row],[کد وضعیت سند]]&lt;&gt;1,TArticle[[#This Row],[مبلغ]]&lt;&gt;0),1,0)</f>
        <v>0</v>
      </c>
      <c r="AL582" s="51">
        <f>IF(TArticle[[#This Row],[کد بانک]]&gt;0,TArticle[[#This Row],[مانده بانک]]-VLOOKUP(TArticle[[#This Row],[کد بانک]],TBank[],7,FALSE),"")</f>
        <v>337414</v>
      </c>
      <c r="AM582" s="49" t="str">
        <f>LEFT(TArticle[[#This Row],[تاریخ]],7)</f>
        <v>1403-03</v>
      </c>
    </row>
    <row r="583" spans="1:39" x14ac:dyDescent="0.25">
      <c r="A583" s="24"/>
      <c r="B583" s="49" t="str">
        <f>VLOOKUP(TArticle[[#This Row],[شناسه]],TAccount[],2,TRUE)</f>
        <v>---</v>
      </c>
      <c r="C583" s="49" t="str">
        <f>VLOOKUP(TArticle[[#This Row],[تاریخ]],TDays[],7,FALSE)</f>
        <v>سه شنبه</v>
      </c>
      <c r="D583" s="21" t="s">
        <v>1316</v>
      </c>
      <c r="F583" s="1">
        <f>TArticle[[#This Row],[مبلغ]]+IFERROR(INT(F582),30181+3667+958)</f>
        <v>295762</v>
      </c>
      <c r="G583" s="49"/>
      <c r="L583" s="171" t="str">
        <f>IF(TArticle[[#This Row],[کد وضعیت سند]]&gt;0,VLOOKUP(TArticle[[#This Row],[کد وضعیت سند]],TDocState[],2,FALSE),"")</f>
        <v/>
      </c>
      <c r="N583" s="171" t="str">
        <f>IF(TArticle[[#This Row],[کد طرف حساب]]&gt;0,VLOOKUP(TArticle[[#This Row],[کد طرف حساب]],TContact[],2,FALSE),"")</f>
        <v/>
      </c>
      <c r="O583" s="61" t="str">
        <f>IF(TArticle[[#This Row],[کد طرف حساب]]&gt;0,VLOOKUP(TArticle[[#This Row],[کد طرف حساب]],TContact[],7,FALSE)-SUMIF($M$2:M583,M583,$E$2:$E583),"")</f>
        <v/>
      </c>
      <c r="P583" s="27" t="str">
        <f>RIGHT(TArticle[[#This Row],[تاریخ]],2)</f>
        <v>29</v>
      </c>
      <c r="Q583" s="27">
        <f>VLOOKUP(TArticle[[#This Row],[تاریخ]],TDays[],16,FALSE)</f>
        <v>14</v>
      </c>
      <c r="R583" s="27" t="str">
        <f>RIGHT(LEFT(TArticle[[#This Row],[تاریخ]],7),2)</f>
        <v>03</v>
      </c>
      <c r="S583" s="27" t="str">
        <f>LEFT(TArticle[[#This Row],[تاریخ]],4)</f>
        <v>1403</v>
      </c>
      <c r="U583" s="21">
        <f>VLOOKUP(TArticle[[#This Row],[شناسه]],TAccount[],7,TRUE)</f>
        <v>0</v>
      </c>
      <c r="W583" s="21">
        <f>IF(AND(TArticle[[#This Row],[مبلغ]]&gt;0, TArticle[[#This Row],[کد وضعیت سند]]=1),TArticle[[#This Row],[مبلغ]],0)</f>
        <v>0</v>
      </c>
      <c r="X583" s="27">
        <f>IF(AND(TArticle[[#This Row],[مبلغ]]&lt;0,TArticle[[#This Row],[کد وضعیت سند]]=1),0-TArticle[[#This Row],[مبلغ]],0)</f>
        <v>0</v>
      </c>
      <c r="Y583" s="27">
        <v>2</v>
      </c>
      <c r="Z583" s="171" t="str">
        <f>IF(TArticle[[#This Row],[کد بانک]]&gt;0,VLOOKUP(TArticle[[#This Row],[کد بانک]],TBank[],2,FALSE),"")</f>
        <v>ملی جاری</v>
      </c>
      <c r="AA583">
        <f>IF(AND(TArticle[[#This Row],[مبلغ]]&lt;0,TArticle[[#This Row],[کد وضعیت سند]]=1),0-TArticle[[#This Row],[مبلغ]],0)</f>
        <v>0</v>
      </c>
      <c r="AB583">
        <f>IF(AND(TArticle[[#This Row],[مبلغ]]&gt;0, TArticle[[#This Row],[کد وضعیت سند]]=1),TArticle[[#This Row],[مبلغ]],0)</f>
        <v>0</v>
      </c>
      <c r="AC583" s="84">
        <f>IF(TArticle[[#This Row],[کد بانک]]&gt;0,VLOOKUP(TArticle[[#This Row],[کد بانک]],TBank[],9,FALSE)+SUMIF($Y$2:Y583,Y583,$E$2:$E583),"")</f>
        <v>337414</v>
      </c>
      <c r="AD583" s="1">
        <f>IFERROR(IF(INT(LEFT(TArticle[[#This Row],[شناسه]]))=3,IF(TArticle[[#This Row],[کد وضعیت سند]]=1,TArticle[مبلغ],0),0),0)</f>
        <v>0</v>
      </c>
      <c r="AE583" s="1">
        <f>IFERROR(IF(((TArticle[[#This Row],[شناسه]]))="4.1.1",IF(TArticle[[#This Row],[کد وضعیت سند]]=1,TArticle[مبلغ],0),0),0)</f>
        <v>0</v>
      </c>
      <c r="AF583" s="1">
        <f>IFERROR(IF(((TArticle[[#This Row],[شناسه]]))="4.1.2",IF(TArticle[[#This Row],[کد وضعیت سند]]=1,TArticle[مبلغ],0),0),0)</f>
        <v>0</v>
      </c>
      <c r="AG583" s="1">
        <f>IFERROR(IF(INT(LEFT(TArticle[[#This Row],[شناسه]]))=1,IF(TArticle[[#This Row],[کد وضعیت سند]]=1,TArticle[مبلغ],0),0),0)</f>
        <v>0</v>
      </c>
      <c r="AH583" s="1">
        <f>IFERROR(IF(INT(LEFT(TArticle[[#This Row],[شناسه]]))=2,IF(TArticle[[#This Row],[کد وضعیت سند]]=1,TArticle[مبلغ],0),0),0)</f>
        <v>0</v>
      </c>
      <c r="AI583" s="1">
        <f>IFERROR(IF((LEFT(TArticle[[#This Row],[شناسه]],3))="5.2",IF(TArticle[[#This Row],[کد وضعیت سند]]=1,TArticle[مبلغ],0),0),0)</f>
        <v>0</v>
      </c>
      <c r="AJ583" s="1">
        <f>IF(TArticle[[#This Row],[کد وضعیت سند]]=1,1,0)</f>
        <v>0</v>
      </c>
      <c r="AK583" s="1">
        <f>IF(AND(TArticle[[#This Row],[کد وضعیت سند]]&lt;&gt;1,TArticle[[#This Row],[مبلغ]]&lt;&gt;0),1,0)</f>
        <v>0</v>
      </c>
      <c r="AL583" s="51">
        <f>IF(TArticle[[#This Row],[کد بانک]]&gt;0,TArticle[[#This Row],[مانده بانک]]-VLOOKUP(TArticle[[#This Row],[کد بانک]],TBank[],7,FALSE),"")</f>
        <v>337414</v>
      </c>
      <c r="AM583" s="49" t="str">
        <f>LEFT(TArticle[[#This Row],[تاریخ]],7)</f>
        <v>1403-03</v>
      </c>
    </row>
    <row r="584" spans="1:39" x14ac:dyDescent="0.25">
      <c r="A584" s="24"/>
      <c r="B584" s="49" t="str">
        <f>VLOOKUP(TArticle[[#This Row],[شناسه]],TAccount[],2,TRUE)</f>
        <v>---</v>
      </c>
      <c r="C584" s="49" t="str">
        <f>VLOOKUP(TArticle[[#This Row],[تاریخ]],TDays[],7,FALSE)</f>
        <v>سه شنبه</v>
      </c>
      <c r="D584" s="21" t="s">
        <v>1316</v>
      </c>
      <c r="F584" s="1">
        <f>TArticle[[#This Row],[مبلغ]]+IFERROR(INT(F583),30181+3667+958)</f>
        <v>295762</v>
      </c>
      <c r="G584" s="49"/>
      <c r="L584" s="171" t="str">
        <f>IF(TArticle[[#This Row],[کد وضعیت سند]]&gt;0,VLOOKUP(TArticle[[#This Row],[کد وضعیت سند]],TDocState[],2,FALSE),"")</f>
        <v/>
      </c>
      <c r="N584" s="171" t="str">
        <f>IF(TArticle[[#This Row],[کد طرف حساب]]&gt;0,VLOOKUP(TArticle[[#This Row],[کد طرف حساب]],TContact[],2,FALSE),"")</f>
        <v/>
      </c>
      <c r="O584" s="51" t="str">
        <f>IF(TArticle[[#This Row],[کد طرف حساب]]&gt;0,VLOOKUP(TArticle[[#This Row],[کد طرف حساب]],TContact[],7,FALSE)-SUMIF($M$2:M584,M584,$E$2:$E584),"")</f>
        <v/>
      </c>
      <c r="P584" s="27" t="str">
        <f>RIGHT(TArticle[[#This Row],[تاریخ]],2)</f>
        <v>29</v>
      </c>
      <c r="Q584" s="27">
        <f>VLOOKUP(TArticle[[#This Row],[تاریخ]],TDays[],16,FALSE)</f>
        <v>14</v>
      </c>
      <c r="R584" s="27" t="str">
        <f>RIGHT(LEFT(TArticle[[#This Row],[تاریخ]],7),2)</f>
        <v>03</v>
      </c>
      <c r="S584" s="27" t="str">
        <f>LEFT(TArticle[[#This Row],[تاریخ]],4)</f>
        <v>1403</v>
      </c>
      <c r="U584" s="21">
        <f>VLOOKUP(TArticle[[#This Row],[شناسه]],TAccount[],7,TRUE)</f>
        <v>0</v>
      </c>
      <c r="W584" s="21">
        <f>IF(AND(TArticle[[#This Row],[مبلغ]]&gt;0, TArticle[[#This Row],[کد وضعیت سند]]=1),TArticle[[#This Row],[مبلغ]],0)</f>
        <v>0</v>
      </c>
      <c r="X584" s="21">
        <f>IF(AND(TArticle[[#This Row],[مبلغ]]&lt;0,TArticle[[#This Row],[کد وضعیت سند]]=1),0-TArticle[[#This Row],[مبلغ]],0)</f>
        <v>0</v>
      </c>
      <c r="Y584" s="27">
        <v>2</v>
      </c>
      <c r="Z584" s="171" t="str">
        <f>IF(TArticle[[#This Row],[کد بانک]]&gt;0,VLOOKUP(TArticle[[#This Row],[کد بانک]],TBank[],2,FALSE),"")</f>
        <v>ملی جاری</v>
      </c>
      <c r="AA584">
        <f>IF(AND(TArticle[[#This Row],[مبلغ]]&lt;0,TArticle[[#This Row],[کد وضعیت سند]]=1),0-TArticle[[#This Row],[مبلغ]],0)</f>
        <v>0</v>
      </c>
      <c r="AB584">
        <f>IF(AND(TArticle[[#This Row],[مبلغ]]&gt;0, TArticle[[#This Row],[کد وضعیت سند]]=1),TArticle[[#This Row],[مبلغ]],0)</f>
        <v>0</v>
      </c>
      <c r="AC584" s="84">
        <f>IF(TArticle[[#This Row],[کد بانک]]&gt;0,VLOOKUP(TArticle[[#This Row],[کد بانک]],TBank[],9,FALSE)+SUMIF($Y$2:Y584,Y584,$E$2:$E584),"")</f>
        <v>337414</v>
      </c>
      <c r="AD584" s="1">
        <f>IFERROR(IF(INT(LEFT(TArticle[[#This Row],[شناسه]]))=3,IF(TArticle[[#This Row],[کد وضعیت سند]]=1,TArticle[مبلغ],0),0),0)</f>
        <v>0</v>
      </c>
      <c r="AE584" s="1">
        <f>IFERROR(IF(((TArticle[[#This Row],[شناسه]]))="4.1.1",IF(TArticle[[#This Row],[کد وضعیت سند]]=1,TArticle[مبلغ],0),0),0)</f>
        <v>0</v>
      </c>
      <c r="AF584" s="1">
        <f>IFERROR(IF(((TArticle[[#This Row],[شناسه]]))="4.1.2",IF(TArticle[[#This Row],[کد وضعیت سند]]=1,TArticle[مبلغ],0),0),0)</f>
        <v>0</v>
      </c>
      <c r="AG584" s="1">
        <f>IFERROR(IF(INT(LEFT(TArticle[[#This Row],[شناسه]]))=1,IF(TArticle[[#This Row],[کد وضعیت سند]]=1,TArticle[مبلغ],0),0),0)</f>
        <v>0</v>
      </c>
      <c r="AH584" s="1">
        <f>IFERROR(IF(INT(LEFT(TArticle[[#This Row],[شناسه]]))=2,IF(TArticle[[#This Row],[کد وضعیت سند]]=1,TArticle[مبلغ],0),0),0)</f>
        <v>0</v>
      </c>
      <c r="AI584" s="1">
        <f>IFERROR(IF((LEFT(TArticle[[#This Row],[شناسه]],3))="5.2",IF(TArticle[[#This Row],[کد وضعیت سند]]=1,TArticle[مبلغ],0),0),0)</f>
        <v>0</v>
      </c>
      <c r="AJ584" s="1">
        <f>IF(TArticle[[#This Row],[کد وضعیت سند]]=1,1,0)</f>
        <v>0</v>
      </c>
      <c r="AK584" s="1">
        <f>IF(AND(TArticle[[#This Row],[کد وضعیت سند]]&lt;&gt;1,TArticle[[#This Row],[مبلغ]]&lt;&gt;0),1,0)</f>
        <v>0</v>
      </c>
      <c r="AL584" s="51">
        <f>IF(TArticle[[#This Row],[کد بانک]]&gt;0,TArticle[[#This Row],[مانده بانک]]-VLOOKUP(TArticle[[#This Row],[کد بانک]],TBank[],7,FALSE),"")</f>
        <v>337414</v>
      </c>
      <c r="AM584" s="58" t="str">
        <f>LEFT(TArticle[[#This Row],[تاریخ]],7)</f>
        <v>1403-03</v>
      </c>
    </row>
    <row r="585" spans="1:39" x14ac:dyDescent="0.25">
      <c r="A585" s="24"/>
      <c r="B585" s="49" t="str">
        <f>VLOOKUP(TArticle[[#This Row],[شناسه]],TAccount[],2,TRUE)</f>
        <v>---</v>
      </c>
      <c r="C585" s="49" t="str">
        <f>VLOOKUP(TArticle[[#This Row],[تاریخ]],TDays[],7,FALSE)</f>
        <v>سه شنبه</v>
      </c>
      <c r="D585" s="21" t="s">
        <v>1316</v>
      </c>
      <c r="F585" s="1">
        <f>TArticle[[#This Row],[مبلغ]]+IFERROR(INT(F584),30181+3667+958)</f>
        <v>295762</v>
      </c>
      <c r="G585" s="49"/>
      <c r="H585" s="64"/>
      <c r="J585" s="65"/>
      <c r="K585" s="64"/>
      <c r="L585" s="171" t="str">
        <f>IF(TArticle[[#This Row],[کد وضعیت سند]]&gt;0,VLOOKUP(TArticle[[#This Row],[کد وضعیت سند]],TDocState[],2,FALSE),"")</f>
        <v/>
      </c>
      <c r="M585" s="67"/>
      <c r="N585" s="171" t="str">
        <f>IF(TArticle[[#This Row],[کد طرف حساب]]&gt;0,VLOOKUP(TArticle[[#This Row],[کد طرف حساب]],TContact[],2,FALSE),"")</f>
        <v/>
      </c>
      <c r="O585" s="68" t="str">
        <f>IF(TArticle[[#This Row],[کد طرف حساب]]&gt;0,VLOOKUP(TArticle[[#This Row],[کد طرف حساب]],TContact[],7,FALSE)-SUMIF($M$2:M585,M585,$E$2:$E585),"")</f>
        <v/>
      </c>
      <c r="P585" s="67" t="str">
        <f>RIGHT(TArticle[[#This Row],[تاریخ]],2)</f>
        <v>29</v>
      </c>
      <c r="Q585" s="67">
        <f>VLOOKUP(TArticle[[#This Row],[تاریخ]],TDays[],16,FALSE)</f>
        <v>14</v>
      </c>
      <c r="R585" s="67" t="str">
        <f>RIGHT(LEFT(TArticle[[#This Row],[تاریخ]],7),2)</f>
        <v>03</v>
      </c>
      <c r="S585" s="67" t="str">
        <f>LEFT(TArticle[[#This Row],[تاریخ]],4)</f>
        <v>1403</v>
      </c>
      <c r="T585" s="64"/>
      <c r="U585" s="64">
        <f>VLOOKUP(TArticle[[#This Row],[شناسه]],TAccount[],7,TRUE)</f>
        <v>0</v>
      </c>
      <c r="V585" s="64"/>
      <c r="W585" s="64">
        <f>IF(AND(TArticle[[#This Row],[مبلغ]]&gt;0, TArticle[[#This Row],[کد وضعیت سند]]=1),TArticle[[#This Row],[مبلغ]],0)</f>
        <v>0</v>
      </c>
      <c r="X585" s="67">
        <f>IF(AND(TArticle[[#This Row],[مبلغ]]&lt;0,TArticle[[#This Row],[کد وضعیت سند]]=1),0-TArticle[[#This Row],[مبلغ]],0)</f>
        <v>0</v>
      </c>
      <c r="Y585" s="27">
        <v>2</v>
      </c>
      <c r="Z585" s="171" t="str">
        <f>IF(TArticle[[#This Row],[کد بانک]]&gt;0,VLOOKUP(TArticle[[#This Row],[کد بانک]],TBank[],2,FALSE),"")</f>
        <v>ملی جاری</v>
      </c>
      <c r="AA585">
        <f>IF(AND(TArticle[[#This Row],[مبلغ]]&lt;0,TArticle[[#This Row],[کد وضعیت سند]]=1),0-TArticle[[#This Row],[مبلغ]],0)</f>
        <v>0</v>
      </c>
      <c r="AB585">
        <f>IF(AND(TArticle[[#This Row],[مبلغ]]&gt;0, TArticle[[#This Row],[کد وضعیت سند]]=1),TArticle[[#This Row],[مبلغ]],0)</f>
        <v>0</v>
      </c>
      <c r="AC585" s="93">
        <f>IF(TArticle[[#This Row],[کد بانک]]&gt;0,VLOOKUP(TArticle[[#This Row],[کد بانک]],TBank[],9,FALSE)+SUMIF($Y$2:Y585,Y585,$E$2:$E585),"")</f>
        <v>337414</v>
      </c>
      <c r="AD585" s="1">
        <f>IFERROR(IF(INT(LEFT(TArticle[[#This Row],[شناسه]]))=3,IF(TArticle[[#This Row],[کد وضعیت سند]]=1,TArticle[مبلغ],0),0),0)</f>
        <v>0</v>
      </c>
      <c r="AE585" s="1">
        <f>IFERROR(IF(((TArticle[[#This Row],[شناسه]]))="4.1.1",IF(TArticle[[#This Row],[کد وضعیت سند]]=1,TArticle[مبلغ],0),0),0)</f>
        <v>0</v>
      </c>
      <c r="AF585" s="1">
        <f>IFERROR(IF(((TArticle[[#This Row],[شناسه]]))="4.1.2",IF(TArticle[[#This Row],[کد وضعیت سند]]=1,TArticle[مبلغ],0),0),0)</f>
        <v>0</v>
      </c>
      <c r="AG585" s="1">
        <f>IFERROR(IF(INT(LEFT(TArticle[[#This Row],[شناسه]]))=1,IF(TArticle[[#This Row],[کد وضعیت سند]]=1,TArticle[مبلغ],0),0),0)</f>
        <v>0</v>
      </c>
      <c r="AH585" s="1">
        <f>IFERROR(IF(INT(LEFT(TArticle[[#This Row],[شناسه]]))=2,IF(TArticle[[#This Row],[کد وضعیت سند]]=1,TArticle[مبلغ],0),0),0)</f>
        <v>0</v>
      </c>
      <c r="AI585" s="1">
        <f>IFERROR(IF((LEFT(TArticle[[#This Row],[شناسه]],3))="5.2",IF(TArticle[[#This Row],[کد وضعیت سند]]=1,TArticle[مبلغ],0),0),0)</f>
        <v>0</v>
      </c>
      <c r="AJ585" s="1">
        <f>IF(TArticle[[#This Row],[کد وضعیت سند]]=1,1,0)</f>
        <v>0</v>
      </c>
      <c r="AK585" s="1">
        <f>IF(AND(TArticle[[#This Row],[کد وضعیت سند]]&lt;&gt;1,TArticle[[#This Row],[مبلغ]]&lt;&gt;0),1,0)</f>
        <v>0</v>
      </c>
      <c r="AL585" s="78">
        <f>IF(TArticle[[#This Row],[کد بانک]]&gt;0,TArticle[[#This Row],[مانده بانک]]-VLOOKUP(TArticle[[#This Row],[کد بانک]],TBank[],7,FALSE),"")</f>
        <v>337414</v>
      </c>
      <c r="AM585" s="58" t="str">
        <f>LEFT(TArticle[[#This Row],[تاریخ]],7)</f>
        <v>1403-03</v>
      </c>
    </row>
    <row r="586" spans="1:39" x14ac:dyDescent="0.25">
      <c r="A586" s="24"/>
      <c r="B586" s="49" t="str">
        <f>VLOOKUP(TArticle[[#This Row],[شناسه]],TAccount[],2,TRUE)</f>
        <v>---</v>
      </c>
      <c r="C586" s="49" t="str">
        <f>VLOOKUP(TArticle[[#This Row],[تاریخ]],TDays[],7,FALSE)</f>
        <v>سه شنبه</v>
      </c>
      <c r="D586" s="21" t="s">
        <v>1316</v>
      </c>
      <c r="F586" s="1">
        <f>TArticle[[#This Row],[مبلغ]]+IFERROR(INT(F585),30181+3667+958)</f>
        <v>295762</v>
      </c>
      <c r="G586" s="49"/>
      <c r="L586" s="171" t="str">
        <f>IF(TArticle[[#This Row],[کد وضعیت سند]]&gt;0,VLOOKUP(TArticle[[#This Row],[کد وضعیت سند]],TDocState[],2,FALSE),"")</f>
        <v/>
      </c>
      <c r="N586" s="171" t="str">
        <f>IF(TArticle[[#This Row],[کد طرف حساب]]&gt;0,VLOOKUP(TArticle[[#This Row],[کد طرف حساب]],TContact[],2,FALSE),"")</f>
        <v/>
      </c>
      <c r="O586" s="61" t="str">
        <f>IF(TArticle[[#This Row],[کد طرف حساب]]&gt;0,VLOOKUP(TArticle[[#This Row],[کد طرف حساب]],TContact[],7,FALSE)-SUMIF($M$2:M586,M586,$E$2:$E586),"")</f>
        <v/>
      </c>
      <c r="P586" s="27" t="str">
        <f>RIGHT(TArticle[[#This Row],[تاریخ]],2)</f>
        <v>29</v>
      </c>
      <c r="Q586" s="27">
        <f>VLOOKUP(TArticle[[#This Row],[تاریخ]],TDays[],16,FALSE)</f>
        <v>14</v>
      </c>
      <c r="R586" s="27" t="str">
        <f>RIGHT(LEFT(TArticle[[#This Row],[تاریخ]],7),2)</f>
        <v>03</v>
      </c>
      <c r="S586" s="27" t="str">
        <f>LEFT(TArticle[[#This Row],[تاریخ]],4)</f>
        <v>1403</v>
      </c>
      <c r="U586" s="21">
        <f>VLOOKUP(TArticle[[#This Row],[شناسه]],TAccount[],7,TRUE)</f>
        <v>0</v>
      </c>
      <c r="W586" s="21">
        <f>IF(AND(TArticle[[#This Row],[مبلغ]]&gt;0, TArticle[[#This Row],[کد وضعیت سند]]=1),TArticle[[#This Row],[مبلغ]],0)</f>
        <v>0</v>
      </c>
      <c r="X586" s="27">
        <f>IF(AND(TArticle[[#This Row],[مبلغ]]&lt;0,TArticle[[#This Row],[کد وضعیت سند]]=1),0-TArticle[[#This Row],[مبلغ]],0)</f>
        <v>0</v>
      </c>
      <c r="Y586" s="27">
        <v>2</v>
      </c>
      <c r="Z586" s="171" t="str">
        <f>IF(TArticle[[#This Row],[کد بانک]]&gt;0,VLOOKUP(TArticle[[#This Row],[کد بانک]],TBank[],2,FALSE),"")</f>
        <v>ملی جاری</v>
      </c>
      <c r="AA586">
        <f>IF(AND(TArticle[[#This Row],[مبلغ]]&lt;0,TArticle[[#This Row],[کد وضعیت سند]]=1),0-TArticle[[#This Row],[مبلغ]],0)</f>
        <v>0</v>
      </c>
      <c r="AB586">
        <f>IF(AND(TArticle[[#This Row],[مبلغ]]&gt;0, TArticle[[#This Row],[کد وضعیت سند]]=1),TArticle[[#This Row],[مبلغ]],0)</f>
        <v>0</v>
      </c>
      <c r="AC586" s="84">
        <f>IF(TArticle[[#This Row],[کد بانک]]&gt;0,VLOOKUP(TArticle[[#This Row],[کد بانک]],TBank[],9,FALSE)+SUMIF($Y$2:Y586,Y586,$E$2:$E586),"")</f>
        <v>337414</v>
      </c>
      <c r="AD586" s="1">
        <f>IFERROR(IF(INT(LEFT(TArticle[[#This Row],[شناسه]]))=3,IF(TArticle[[#This Row],[کد وضعیت سند]]=1,TArticle[مبلغ],0),0),0)</f>
        <v>0</v>
      </c>
      <c r="AE586" s="1">
        <f>IFERROR(IF(((TArticle[[#This Row],[شناسه]]))="4.1.1",IF(TArticle[[#This Row],[کد وضعیت سند]]=1,TArticle[مبلغ],0),0),0)</f>
        <v>0</v>
      </c>
      <c r="AF586" s="1">
        <f>IFERROR(IF(((TArticle[[#This Row],[شناسه]]))="4.1.2",IF(TArticle[[#This Row],[کد وضعیت سند]]=1,TArticle[مبلغ],0),0),0)</f>
        <v>0</v>
      </c>
      <c r="AG586" s="1">
        <f>IFERROR(IF(INT(LEFT(TArticle[[#This Row],[شناسه]]))=1,IF(TArticle[[#This Row],[کد وضعیت سند]]=1,TArticle[مبلغ],0),0),0)</f>
        <v>0</v>
      </c>
      <c r="AH586" s="1">
        <f>IFERROR(IF(INT(LEFT(TArticle[[#This Row],[شناسه]]))=2,IF(TArticle[[#This Row],[کد وضعیت سند]]=1,TArticle[مبلغ],0),0),0)</f>
        <v>0</v>
      </c>
      <c r="AI586" s="1">
        <f>IFERROR(IF((LEFT(TArticle[[#This Row],[شناسه]],3))="5.2",IF(TArticle[[#This Row],[کد وضعیت سند]]=1,TArticle[مبلغ],0),0),0)</f>
        <v>0</v>
      </c>
      <c r="AJ586" s="1">
        <f>IF(TArticle[[#This Row],[کد وضعیت سند]]=1,1,0)</f>
        <v>0</v>
      </c>
      <c r="AK586" s="1">
        <f>IF(AND(TArticle[[#This Row],[کد وضعیت سند]]&lt;&gt;1,TArticle[[#This Row],[مبلغ]]&lt;&gt;0),1,0)</f>
        <v>0</v>
      </c>
      <c r="AL586" s="51">
        <f>IF(TArticle[[#This Row],[کد بانک]]&gt;0,TArticle[[#This Row],[مانده بانک]]-VLOOKUP(TArticle[[#This Row],[کد بانک]],TBank[],7,FALSE),"")</f>
        <v>337414</v>
      </c>
      <c r="AM586" s="49" t="str">
        <f>LEFT(TArticle[[#This Row],[تاریخ]],7)</f>
        <v>1403-03</v>
      </c>
    </row>
    <row r="587" spans="1:39" x14ac:dyDescent="0.25">
      <c r="A587" s="24"/>
      <c r="B587" s="49" t="str">
        <f>VLOOKUP(TArticle[[#This Row],[شناسه]],TAccount[],2,TRUE)</f>
        <v>---</v>
      </c>
      <c r="C587" s="49" t="str">
        <f>VLOOKUP(TArticle[[#This Row],[تاریخ]],TDays[],7,FALSE)</f>
        <v>سه شنبه</v>
      </c>
      <c r="D587" s="21" t="s">
        <v>1316</v>
      </c>
      <c r="F587" s="1">
        <f>TArticle[[#This Row],[مبلغ]]+IFERROR(INT(F586),30181+3667+958)</f>
        <v>295762</v>
      </c>
      <c r="G587" s="49"/>
      <c r="L587" s="171" t="str">
        <f>IF(TArticle[[#This Row],[کد وضعیت سند]]&gt;0,VLOOKUP(TArticle[[#This Row],[کد وضعیت سند]],TDocState[],2,FALSE),"")</f>
        <v/>
      </c>
      <c r="N587" s="171" t="str">
        <f>IF(TArticle[[#This Row],[کد طرف حساب]]&gt;0,VLOOKUP(TArticle[[#This Row],[کد طرف حساب]],TContact[],2,FALSE),"")</f>
        <v/>
      </c>
      <c r="O587" s="61" t="str">
        <f>IF(TArticle[[#This Row],[کد طرف حساب]]&gt;0,VLOOKUP(TArticle[[#This Row],[کد طرف حساب]],TContact[],7,FALSE)-SUMIF($M$2:M587,M587,$E$2:$E587),"")</f>
        <v/>
      </c>
      <c r="P587" s="27" t="str">
        <f>RIGHT(TArticle[[#This Row],[تاریخ]],2)</f>
        <v>29</v>
      </c>
      <c r="Q587" s="27">
        <f>VLOOKUP(TArticle[[#This Row],[تاریخ]],TDays[],16,FALSE)</f>
        <v>14</v>
      </c>
      <c r="R587" s="27" t="str">
        <f>RIGHT(LEFT(TArticle[[#This Row],[تاریخ]],7),2)</f>
        <v>03</v>
      </c>
      <c r="S587" s="27" t="str">
        <f>LEFT(TArticle[[#This Row],[تاریخ]],4)</f>
        <v>1403</v>
      </c>
      <c r="U587" s="21">
        <f>VLOOKUP(TArticle[[#This Row],[شناسه]],TAccount[],7,TRUE)</f>
        <v>0</v>
      </c>
      <c r="W587" s="21">
        <f>IF(AND(TArticle[[#This Row],[مبلغ]]&gt;0, TArticle[[#This Row],[کد وضعیت سند]]=1),TArticle[[#This Row],[مبلغ]],0)</f>
        <v>0</v>
      </c>
      <c r="X587" s="27">
        <f>IF(AND(TArticle[[#This Row],[مبلغ]]&lt;0,TArticle[[#This Row],[کد وضعیت سند]]=1),0-TArticle[[#This Row],[مبلغ]],0)</f>
        <v>0</v>
      </c>
      <c r="Y587" s="27">
        <v>2</v>
      </c>
      <c r="Z587" s="171" t="str">
        <f>IF(TArticle[[#This Row],[کد بانک]]&gt;0,VLOOKUP(TArticle[[#This Row],[کد بانک]],TBank[],2,FALSE),"")</f>
        <v>ملی جاری</v>
      </c>
      <c r="AA587">
        <f>IF(AND(TArticle[[#This Row],[مبلغ]]&lt;0,TArticle[[#This Row],[کد وضعیت سند]]=1),0-TArticle[[#This Row],[مبلغ]],0)</f>
        <v>0</v>
      </c>
      <c r="AB587">
        <f>IF(AND(TArticle[[#This Row],[مبلغ]]&gt;0, TArticle[[#This Row],[کد وضعیت سند]]=1),TArticle[[#This Row],[مبلغ]],0)</f>
        <v>0</v>
      </c>
      <c r="AC587" s="84">
        <f>IF(TArticle[[#This Row],[کد بانک]]&gt;0,VLOOKUP(TArticle[[#This Row],[کد بانک]],TBank[],9,FALSE)+SUMIF($Y$2:Y587,Y587,$E$2:$E587),"")</f>
        <v>337414</v>
      </c>
      <c r="AD587" s="1">
        <f>IFERROR(IF(INT(LEFT(TArticle[[#This Row],[شناسه]]))=3,IF(TArticle[[#This Row],[کد وضعیت سند]]=1,TArticle[مبلغ],0),0),0)</f>
        <v>0</v>
      </c>
      <c r="AE587" s="1">
        <f>IFERROR(IF(((TArticle[[#This Row],[شناسه]]))="4.1.1",IF(TArticle[[#This Row],[کد وضعیت سند]]=1,TArticle[مبلغ],0),0),0)</f>
        <v>0</v>
      </c>
      <c r="AF587" s="1">
        <f>IFERROR(IF(((TArticle[[#This Row],[شناسه]]))="4.1.2",IF(TArticle[[#This Row],[کد وضعیت سند]]=1,TArticle[مبلغ],0),0),0)</f>
        <v>0</v>
      </c>
      <c r="AG587" s="1">
        <f>IFERROR(IF(INT(LEFT(TArticle[[#This Row],[شناسه]]))=1,IF(TArticle[[#This Row],[کد وضعیت سند]]=1,TArticle[مبلغ],0),0),0)</f>
        <v>0</v>
      </c>
      <c r="AH587" s="1">
        <f>IFERROR(IF(INT(LEFT(TArticle[[#This Row],[شناسه]]))=2,IF(TArticle[[#This Row],[کد وضعیت سند]]=1,TArticle[مبلغ],0),0),0)</f>
        <v>0</v>
      </c>
      <c r="AI587" s="1">
        <f>IFERROR(IF((LEFT(TArticle[[#This Row],[شناسه]],3))="5.2",IF(TArticle[[#This Row],[کد وضعیت سند]]=1,TArticle[مبلغ],0),0),0)</f>
        <v>0</v>
      </c>
      <c r="AJ587" s="1">
        <f>IF(TArticle[[#This Row],[کد وضعیت سند]]=1,1,0)</f>
        <v>0</v>
      </c>
      <c r="AK587" s="1">
        <f>IF(AND(TArticle[[#This Row],[کد وضعیت سند]]&lt;&gt;1,TArticle[[#This Row],[مبلغ]]&lt;&gt;0),1,0)</f>
        <v>0</v>
      </c>
      <c r="AL587" s="51">
        <f>IF(TArticle[[#This Row],[کد بانک]]&gt;0,TArticle[[#This Row],[مانده بانک]]-VLOOKUP(TArticle[[#This Row],[کد بانک]],TBank[],7,FALSE),"")</f>
        <v>337414</v>
      </c>
      <c r="AM587" s="58" t="str">
        <f>LEFT(TArticle[[#This Row],[تاریخ]],7)</f>
        <v>1403-03</v>
      </c>
    </row>
    <row r="588" spans="1:39" x14ac:dyDescent="0.25">
      <c r="A588" s="24"/>
      <c r="B588" s="49" t="str">
        <f>VLOOKUP(TArticle[[#This Row],[شناسه]],TAccount[],2,TRUE)</f>
        <v>---</v>
      </c>
      <c r="C588" s="49" t="str">
        <f>VLOOKUP(TArticle[[#This Row],[تاریخ]],TDays[],7,FALSE)</f>
        <v>سه شنبه</v>
      </c>
      <c r="D588" s="21" t="s">
        <v>1316</v>
      </c>
      <c r="F588" s="1">
        <f>TArticle[[#This Row],[مبلغ]]+IFERROR(INT(F587),30181+3667+958)</f>
        <v>295762</v>
      </c>
      <c r="G588" s="49"/>
      <c r="L588" s="171" t="str">
        <f>IF(TArticle[[#This Row],[کد وضعیت سند]]&gt;0,VLOOKUP(TArticle[[#This Row],[کد وضعیت سند]],TDocState[],2,FALSE),"")</f>
        <v/>
      </c>
      <c r="N588" s="171" t="str">
        <f>IF(TArticle[[#This Row],[کد طرف حساب]]&gt;0,VLOOKUP(TArticle[[#This Row],[کد طرف حساب]],TContact[],2,FALSE),"")</f>
        <v/>
      </c>
      <c r="O588" s="61" t="str">
        <f>IF(TArticle[[#This Row],[کد طرف حساب]]&gt;0,VLOOKUP(TArticle[[#This Row],[کد طرف حساب]],TContact[],7,FALSE)-SUMIF($M$2:M588,M588,$E$2:$E588),"")</f>
        <v/>
      </c>
      <c r="P588" s="27" t="str">
        <f>RIGHT(TArticle[[#This Row],[تاریخ]],2)</f>
        <v>29</v>
      </c>
      <c r="Q588" s="27">
        <f>VLOOKUP(TArticle[[#This Row],[تاریخ]],TDays[],16,FALSE)</f>
        <v>14</v>
      </c>
      <c r="R588" s="27" t="str">
        <f>RIGHT(LEFT(TArticle[[#This Row],[تاریخ]],7),2)</f>
        <v>03</v>
      </c>
      <c r="S588" s="27" t="str">
        <f>LEFT(TArticle[[#This Row],[تاریخ]],4)</f>
        <v>1403</v>
      </c>
      <c r="U588" s="21">
        <f>VLOOKUP(TArticle[[#This Row],[شناسه]],TAccount[],7,TRUE)</f>
        <v>0</v>
      </c>
      <c r="W588" s="21">
        <f>IF(AND(TArticle[[#This Row],[مبلغ]]&gt;0, TArticle[[#This Row],[کد وضعیت سند]]=1),TArticle[[#This Row],[مبلغ]],0)</f>
        <v>0</v>
      </c>
      <c r="X588" s="27">
        <f>IF(AND(TArticle[[#This Row],[مبلغ]]&lt;0,TArticle[[#This Row],[کد وضعیت سند]]=1),0-TArticle[[#This Row],[مبلغ]],0)</f>
        <v>0</v>
      </c>
      <c r="Y588" s="27">
        <v>2</v>
      </c>
      <c r="Z588" s="171" t="str">
        <f>IF(TArticle[[#This Row],[کد بانک]]&gt;0,VLOOKUP(TArticle[[#This Row],[کد بانک]],TBank[],2,FALSE),"")</f>
        <v>ملی جاری</v>
      </c>
      <c r="AA588">
        <f>IF(AND(TArticle[[#This Row],[مبلغ]]&lt;0,TArticle[[#This Row],[کد وضعیت سند]]=1),0-TArticle[[#This Row],[مبلغ]],0)</f>
        <v>0</v>
      </c>
      <c r="AB588">
        <f>IF(AND(TArticle[[#This Row],[مبلغ]]&gt;0, TArticle[[#This Row],[کد وضعیت سند]]=1),TArticle[[#This Row],[مبلغ]],0)</f>
        <v>0</v>
      </c>
      <c r="AC588" s="84">
        <f>IF(TArticle[[#This Row],[کد بانک]]&gt;0,VLOOKUP(TArticle[[#This Row],[کد بانک]],TBank[],9,FALSE)+SUMIF($Y$2:Y588,Y588,$E$2:$E588),"")</f>
        <v>337414</v>
      </c>
      <c r="AD588" s="1">
        <f>IFERROR(IF(INT(LEFT(TArticle[[#This Row],[شناسه]]))=3,IF(TArticle[[#This Row],[کد وضعیت سند]]=1,TArticle[مبلغ],0),0),0)</f>
        <v>0</v>
      </c>
      <c r="AE588" s="1">
        <f>IFERROR(IF(((TArticle[[#This Row],[شناسه]]))="4.1.1",IF(TArticle[[#This Row],[کد وضعیت سند]]=1,TArticle[مبلغ],0),0),0)</f>
        <v>0</v>
      </c>
      <c r="AF588" s="1">
        <f>IFERROR(IF(((TArticle[[#This Row],[شناسه]]))="4.1.2",IF(TArticle[[#This Row],[کد وضعیت سند]]=1,TArticle[مبلغ],0),0),0)</f>
        <v>0</v>
      </c>
      <c r="AG588" s="1">
        <f>IFERROR(IF(INT(LEFT(TArticle[[#This Row],[شناسه]]))=1,IF(TArticle[[#This Row],[کد وضعیت سند]]=1,TArticle[مبلغ],0),0),0)</f>
        <v>0</v>
      </c>
      <c r="AH588" s="1">
        <f>IFERROR(IF(INT(LEFT(TArticle[[#This Row],[شناسه]]))=2,IF(TArticle[[#This Row],[کد وضعیت سند]]=1,TArticle[مبلغ],0),0),0)</f>
        <v>0</v>
      </c>
      <c r="AI588" s="1">
        <f>IFERROR(IF((LEFT(TArticle[[#This Row],[شناسه]],3))="5.2",IF(TArticle[[#This Row],[کد وضعیت سند]]=1,TArticle[مبلغ],0),0),0)</f>
        <v>0</v>
      </c>
      <c r="AJ588" s="1">
        <f>IF(TArticle[[#This Row],[کد وضعیت سند]]=1,1,0)</f>
        <v>0</v>
      </c>
      <c r="AK588" s="1">
        <f>IF(AND(TArticle[[#This Row],[کد وضعیت سند]]&lt;&gt;1,TArticle[[#This Row],[مبلغ]]&lt;&gt;0),1,0)</f>
        <v>0</v>
      </c>
      <c r="AL588" s="51">
        <f>IF(TArticle[[#This Row],[کد بانک]]&gt;0,TArticle[[#This Row],[مانده بانک]]-VLOOKUP(TArticle[[#This Row],[کد بانک]],TBank[],7,FALSE),"")</f>
        <v>337414</v>
      </c>
      <c r="AM588" s="58" t="str">
        <f>LEFT(TArticle[[#This Row],[تاریخ]],7)</f>
        <v>1403-03</v>
      </c>
    </row>
    <row r="589" spans="1:39" x14ac:dyDescent="0.25">
      <c r="A589" s="24"/>
      <c r="B589" s="49" t="str">
        <f>VLOOKUP(TArticle[[#This Row],[شناسه]],TAccount[],2,TRUE)</f>
        <v>---</v>
      </c>
      <c r="C589" s="49" t="str">
        <f>VLOOKUP(TArticle[[#This Row],[تاریخ]],TDays[],7,FALSE)</f>
        <v>سه شنبه</v>
      </c>
      <c r="D589" s="21" t="s">
        <v>1316</v>
      </c>
      <c r="F589" s="1">
        <f>TArticle[[#This Row],[مبلغ]]+IFERROR(INT(F588),30181+3667+958)</f>
        <v>295762</v>
      </c>
      <c r="G589" s="49"/>
      <c r="L589" s="171" t="str">
        <f>IF(TArticle[[#This Row],[کد وضعیت سند]]&gt;0,VLOOKUP(TArticle[[#This Row],[کد وضعیت سند]],TDocState[],2,FALSE),"")</f>
        <v/>
      </c>
      <c r="N589" s="171" t="str">
        <f>IF(TArticle[[#This Row],[کد طرف حساب]]&gt;0,VLOOKUP(TArticle[[#This Row],[کد طرف حساب]],TContact[],2,FALSE),"")</f>
        <v/>
      </c>
      <c r="O589" s="61" t="str">
        <f>IF(TArticle[[#This Row],[کد طرف حساب]]&gt;0,VLOOKUP(TArticle[[#This Row],[کد طرف حساب]],TContact[],7,FALSE)-SUMIF($M$2:M589,M589,$E$2:$E589),"")</f>
        <v/>
      </c>
      <c r="P589" s="27" t="str">
        <f>RIGHT(TArticle[[#This Row],[تاریخ]],2)</f>
        <v>29</v>
      </c>
      <c r="Q589" s="27">
        <f>VLOOKUP(TArticle[[#This Row],[تاریخ]],TDays[],16,FALSE)</f>
        <v>14</v>
      </c>
      <c r="R589" s="27" t="str">
        <f>RIGHT(LEFT(TArticle[[#This Row],[تاریخ]],7),2)</f>
        <v>03</v>
      </c>
      <c r="S589" s="27" t="str">
        <f>LEFT(TArticle[[#This Row],[تاریخ]],4)</f>
        <v>1403</v>
      </c>
      <c r="U589" s="21">
        <f>VLOOKUP(TArticle[[#This Row],[شناسه]],TAccount[],7,TRUE)</f>
        <v>0</v>
      </c>
      <c r="W589" s="21">
        <f>IF(AND(TArticle[[#This Row],[مبلغ]]&gt;0, TArticle[[#This Row],[کد وضعیت سند]]=1),TArticle[[#This Row],[مبلغ]],0)</f>
        <v>0</v>
      </c>
      <c r="X589" s="27">
        <f>IF(AND(TArticle[[#This Row],[مبلغ]]&lt;0,TArticle[[#This Row],[کد وضعیت سند]]=1),0-TArticle[[#This Row],[مبلغ]],0)</f>
        <v>0</v>
      </c>
      <c r="Y589" s="27">
        <v>2</v>
      </c>
      <c r="Z589" s="171" t="str">
        <f>IF(TArticle[[#This Row],[کد بانک]]&gt;0,VLOOKUP(TArticle[[#This Row],[کد بانک]],TBank[],2,FALSE),"")</f>
        <v>ملی جاری</v>
      </c>
      <c r="AA589">
        <f>IF(AND(TArticle[[#This Row],[مبلغ]]&lt;0,TArticle[[#This Row],[کد وضعیت سند]]=1),0-TArticle[[#This Row],[مبلغ]],0)</f>
        <v>0</v>
      </c>
      <c r="AB589">
        <f>IF(AND(TArticle[[#This Row],[مبلغ]]&gt;0, TArticle[[#This Row],[کد وضعیت سند]]=1),TArticle[[#This Row],[مبلغ]],0)</f>
        <v>0</v>
      </c>
      <c r="AC589" s="84">
        <f>IF(TArticle[[#This Row],[کد بانک]]&gt;0,VLOOKUP(TArticle[[#This Row],[کد بانک]],TBank[],9,FALSE)+SUMIF($Y$2:Y589,Y589,$E$2:$E589),"")</f>
        <v>337414</v>
      </c>
      <c r="AD589" s="1">
        <f>IFERROR(IF(INT(LEFT(TArticle[[#This Row],[شناسه]]))=3,IF(TArticle[[#This Row],[کد وضعیت سند]]=1,TArticle[مبلغ],0),0),0)</f>
        <v>0</v>
      </c>
      <c r="AE589" s="1">
        <f>IFERROR(IF(((TArticle[[#This Row],[شناسه]]))="4.1.1",IF(TArticle[[#This Row],[کد وضعیت سند]]=1,TArticle[مبلغ],0),0),0)</f>
        <v>0</v>
      </c>
      <c r="AF589" s="1">
        <f>IFERROR(IF(((TArticle[[#This Row],[شناسه]]))="4.1.2",IF(TArticle[[#This Row],[کد وضعیت سند]]=1,TArticle[مبلغ],0),0),0)</f>
        <v>0</v>
      </c>
      <c r="AG589" s="1">
        <f>IFERROR(IF(INT(LEFT(TArticle[[#This Row],[شناسه]]))=1,IF(TArticle[[#This Row],[کد وضعیت سند]]=1,TArticle[مبلغ],0),0),0)</f>
        <v>0</v>
      </c>
      <c r="AH589" s="1">
        <f>IFERROR(IF(INT(LEFT(TArticle[[#This Row],[شناسه]]))=2,IF(TArticle[[#This Row],[کد وضعیت سند]]=1,TArticle[مبلغ],0),0),0)</f>
        <v>0</v>
      </c>
      <c r="AI589" s="1">
        <f>IFERROR(IF((LEFT(TArticle[[#This Row],[شناسه]],3))="5.2",IF(TArticle[[#This Row],[کد وضعیت سند]]=1,TArticle[مبلغ],0),0),0)</f>
        <v>0</v>
      </c>
      <c r="AJ589" s="1">
        <f>IF(TArticle[[#This Row],[کد وضعیت سند]]=1,1,0)</f>
        <v>0</v>
      </c>
      <c r="AK589" s="1">
        <f>IF(AND(TArticle[[#This Row],[کد وضعیت سند]]&lt;&gt;1,TArticle[[#This Row],[مبلغ]]&lt;&gt;0),1,0)</f>
        <v>0</v>
      </c>
      <c r="AL589" s="51">
        <f>IF(TArticle[[#This Row],[کد بانک]]&gt;0,TArticle[[#This Row],[مانده بانک]]-VLOOKUP(TArticle[[#This Row],[کد بانک]],TBank[],7,FALSE),"")</f>
        <v>337414</v>
      </c>
      <c r="AM589" s="49" t="str">
        <f>LEFT(TArticle[[#This Row],[تاریخ]],7)</f>
        <v>1403-03</v>
      </c>
    </row>
    <row r="590" spans="1:39" x14ac:dyDescent="0.25">
      <c r="A590" s="24"/>
      <c r="B590" s="49" t="str">
        <f>VLOOKUP(TArticle[[#This Row],[شناسه]],TAccount[],2,TRUE)</f>
        <v>---</v>
      </c>
      <c r="C590" s="49" t="str">
        <f>VLOOKUP(TArticle[[#This Row],[تاریخ]],TDays[],7,FALSE)</f>
        <v>سه شنبه</v>
      </c>
      <c r="D590" s="21" t="s">
        <v>1316</v>
      </c>
      <c r="F590" s="1">
        <f>TArticle[[#This Row],[مبلغ]]+IFERROR(INT(F589),30181+3667+958)</f>
        <v>295762</v>
      </c>
      <c r="G590" s="49"/>
      <c r="L590" s="171" t="str">
        <f>IF(TArticle[[#This Row],[کد وضعیت سند]]&gt;0,VLOOKUP(TArticle[[#This Row],[کد وضعیت سند]],TDocState[],2,FALSE),"")</f>
        <v/>
      </c>
      <c r="N590" s="171" t="str">
        <f>IF(TArticle[[#This Row],[کد طرف حساب]]&gt;0,VLOOKUP(TArticle[[#This Row],[کد طرف حساب]],TContact[],2,FALSE),"")</f>
        <v/>
      </c>
      <c r="O590" s="61" t="str">
        <f>IF(TArticle[[#This Row],[کد طرف حساب]]&gt;0,VLOOKUP(TArticle[[#This Row],[کد طرف حساب]],TContact[],7,FALSE)-SUMIF($M$2:M590,M590,$E$2:$E590),"")</f>
        <v/>
      </c>
      <c r="P590" s="27" t="str">
        <f>RIGHT(TArticle[[#This Row],[تاریخ]],2)</f>
        <v>29</v>
      </c>
      <c r="Q590" s="27">
        <f>VLOOKUP(TArticle[[#This Row],[تاریخ]],TDays[],16,FALSE)</f>
        <v>14</v>
      </c>
      <c r="R590" s="27" t="str">
        <f>RIGHT(LEFT(TArticle[[#This Row],[تاریخ]],7),2)</f>
        <v>03</v>
      </c>
      <c r="S590" s="27" t="str">
        <f>LEFT(TArticle[[#This Row],[تاریخ]],4)</f>
        <v>1403</v>
      </c>
      <c r="U590" s="21">
        <f>VLOOKUP(TArticle[[#This Row],[شناسه]],TAccount[],7,TRUE)</f>
        <v>0</v>
      </c>
      <c r="W590" s="21">
        <f>IF(AND(TArticle[[#This Row],[مبلغ]]&gt;0, TArticle[[#This Row],[کد وضعیت سند]]=1),TArticle[[#This Row],[مبلغ]],0)</f>
        <v>0</v>
      </c>
      <c r="X590" s="27">
        <f>IF(AND(TArticle[[#This Row],[مبلغ]]&lt;0,TArticle[[#This Row],[کد وضعیت سند]]=1),0-TArticle[[#This Row],[مبلغ]],0)</f>
        <v>0</v>
      </c>
      <c r="Y590" s="27">
        <v>2</v>
      </c>
      <c r="Z590" s="171" t="str">
        <f>IF(TArticle[[#This Row],[کد بانک]]&gt;0,VLOOKUP(TArticle[[#This Row],[کد بانک]],TBank[],2,FALSE),"")</f>
        <v>ملی جاری</v>
      </c>
      <c r="AA590">
        <f>IF(AND(TArticle[[#This Row],[مبلغ]]&lt;0,TArticle[[#This Row],[کد وضعیت سند]]=1),0-TArticle[[#This Row],[مبلغ]],0)</f>
        <v>0</v>
      </c>
      <c r="AB590">
        <f>IF(AND(TArticle[[#This Row],[مبلغ]]&gt;0, TArticle[[#This Row],[کد وضعیت سند]]=1),TArticle[[#This Row],[مبلغ]],0)</f>
        <v>0</v>
      </c>
      <c r="AC590" s="84">
        <f>IF(TArticle[[#This Row],[کد بانک]]&gt;0,VLOOKUP(TArticle[[#This Row],[کد بانک]],TBank[],9,FALSE)+SUMIF($Y$2:Y590,Y590,$E$2:$E590),"")</f>
        <v>337414</v>
      </c>
      <c r="AD590" s="1">
        <f>IFERROR(IF(INT(LEFT(TArticle[[#This Row],[شناسه]]))=3,IF(TArticle[[#This Row],[کد وضعیت سند]]=1,TArticle[مبلغ],0),0),0)</f>
        <v>0</v>
      </c>
      <c r="AE590" s="1">
        <f>IFERROR(IF(((TArticle[[#This Row],[شناسه]]))="4.1.1",IF(TArticle[[#This Row],[کد وضعیت سند]]=1,TArticle[مبلغ],0),0),0)</f>
        <v>0</v>
      </c>
      <c r="AF590" s="1">
        <f>IFERROR(IF(((TArticle[[#This Row],[شناسه]]))="4.1.2",IF(TArticle[[#This Row],[کد وضعیت سند]]=1,TArticle[مبلغ],0),0),0)</f>
        <v>0</v>
      </c>
      <c r="AG590" s="1">
        <f>IFERROR(IF(INT(LEFT(TArticle[[#This Row],[شناسه]]))=1,IF(TArticle[[#This Row],[کد وضعیت سند]]=1,TArticle[مبلغ],0),0),0)</f>
        <v>0</v>
      </c>
      <c r="AH590" s="1">
        <f>IFERROR(IF(INT(LEFT(TArticle[[#This Row],[شناسه]]))=2,IF(TArticle[[#This Row],[کد وضعیت سند]]=1,TArticle[مبلغ],0),0),0)</f>
        <v>0</v>
      </c>
      <c r="AI590" s="1">
        <f>IFERROR(IF((LEFT(TArticle[[#This Row],[شناسه]],3))="5.2",IF(TArticle[[#This Row],[کد وضعیت سند]]=1,TArticle[مبلغ],0),0),0)</f>
        <v>0</v>
      </c>
      <c r="AJ590" s="1">
        <f>IF(TArticle[[#This Row],[کد وضعیت سند]]=1,1,0)</f>
        <v>0</v>
      </c>
      <c r="AK590" s="1">
        <f>IF(AND(TArticle[[#This Row],[کد وضعیت سند]]&lt;&gt;1,TArticle[[#This Row],[مبلغ]]&lt;&gt;0),1,0)</f>
        <v>0</v>
      </c>
      <c r="AL590" s="51">
        <f>IF(TArticle[[#This Row],[کد بانک]]&gt;0,TArticle[[#This Row],[مانده بانک]]-VLOOKUP(TArticle[[#This Row],[کد بانک]],TBank[],7,FALSE),"")</f>
        <v>337414</v>
      </c>
      <c r="AM590" s="49" t="str">
        <f>LEFT(TArticle[[#This Row],[تاریخ]],7)</f>
        <v>1403-03</v>
      </c>
    </row>
    <row r="591" spans="1:39" x14ac:dyDescent="0.25">
      <c r="A591" s="24"/>
      <c r="B591" s="49" t="str">
        <f>VLOOKUP(TArticle[[#This Row],[شناسه]],TAccount[],2,TRUE)</f>
        <v>---</v>
      </c>
      <c r="C591" s="49" t="str">
        <f>VLOOKUP(TArticle[[#This Row],[تاریخ]],TDays[],7,FALSE)</f>
        <v>سه شنبه</v>
      </c>
      <c r="D591" s="21" t="s">
        <v>1316</v>
      </c>
      <c r="F591" s="1">
        <f>TArticle[[#This Row],[مبلغ]]+IFERROR(INT(F590),30181+3667+958)</f>
        <v>295762</v>
      </c>
      <c r="G591" s="49"/>
      <c r="L591" s="171" t="str">
        <f>IF(TArticle[[#This Row],[کد وضعیت سند]]&gt;0,VLOOKUP(TArticle[[#This Row],[کد وضعیت سند]],TDocState[],2,FALSE),"")</f>
        <v/>
      </c>
      <c r="N591" s="171" t="str">
        <f>IF(TArticle[[#This Row],[کد طرف حساب]]&gt;0,VLOOKUP(TArticle[[#This Row],[کد طرف حساب]],TContact[],2,FALSE),"")</f>
        <v/>
      </c>
      <c r="O591" s="61" t="str">
        <f>IF(TArticle[[#This Row],[کد طرف حساب]]&gt;0,VLOOKUP(TArticle[[#This Row],[کد طرف حساب]],TContact[],7,FALSE)-SUMIF($M$2:M591,M591,$E$2:$E591),"")</f>
        <v/>
      </c>
      <c r="P591" s="27" t="str">
        <f>RIGHT(TArticle[[#This Row],[تاریخ]],2)</f>
        <v>29</v>
      </c>
      <c r="Q591" s="27">
        <f>VLOOKUP(TArticle[[#This Row],[تاریخ]],TDays[],16,FALSE)</f>
        <v>14</v>
      </c>
      <c r="R591" s="27" t="str">
        <f>RIGHT(LEFT(TArticle[[#This Row],[تاریخ]],7),2)</f>
        <v>03</v>
      </c>
      <c r="S591" s="27" t="str">
        <f>LEFT(TArticle[[#This Row],[تاریخ]],4)</f>
        <v>1403</v>
      </c>
      <c r="U591" s="21">
        <f>VLOOKUP(TArticle[[#This Row],[شناسه]],TAccount[],7,TRUE)</f>
        <v>0</v>
      </c>
      <c r="W591" s="21">
        <f>IF(AND(TArticle[[#This Row],[مبلغ]]&gt;0, TArticle[[#This Row],[کد وضعیت سند]]=1),TArticle[[#This Row],[مبلغ]],0)</f>
        <v>0</v>
      </c>
      <c r="X591" s="27">
        <f>IF(AND(TArticle[[#This Row],[مبلغ]]&lt;0,TArticle[[#This Row],[کد وضعیت سند]]=1),0-TArticle[[#This Row],[مبلغ]],0)</f>
        <v>0</v>
      </c>
      <c r="Y591" s="27">
        <v>2</v>
      </c>
      <c r="Z591" s="171" t="str">
        <f>IF(TArticle[[#This Row],[کد بانک]]&gt;0,VLOOKUP(TArticle[[#This Row],[کد بانک]],TBank[],2,FALSE),"")</f>
        <v>ملی جاری</v>
      </c>
      <c r="AA591">
        <f>IF(AND(TArticle[[#This Row],[مبلغ]]&lt;0,TArticle[[#This Row],[کد وضعیت سند]]=1),0-TArticle[[#This Row],[مبلغ]],0)</f>
        <v>0</v>
      </c>
      <c r="AB591">
        <f>IF(AND(TArticle[[#This Row],[مبلغ]]&gt;0, TArticle[[#This Row],[کد وضعیت سند]]=1),TArticle[[#This Row],[مبلغ]],0)</f>
        <v>0</v>
      </c>
      <c r="AC591" s="84">
        <f>IF(TArticle[[#This Row],[کد بانک]]&gt;0,VLOOKUP(TArticle[[#This Row],[کد بانک]],TBank[],9,FALSE)+SUMIF($Y$2:Y591,Y591,$E$2:$E591),"")</f>
        <v>337414</v>
      </c>
      <c r="AD591" s="1">
        <f>IFERROR(IF(INT(LEFT(TArticle[[#This Row],[شناسه]]))=3,IF(TArticle[[#This Row],[کد وضعیت سند]]=1,TArticle[مبلغ],0),0),0)</f>
        <v>0</v>
      </c>
      <c r="AE591" s="1">
        <f>IFERROR(IF(((TArticle[[#This Row],[شناسه]]))="4.1.1",IF(TArticle[[#This Row],[کد وضعیت سند]]=1,TArticle[مبلغ],0),0),0)</f>
        <v>0</v>
      </c>
      <c r="AF591" s="1">
        <f>IFERROR(IF(((TArticle[[#This Row],[شناسه]]))="4.1.2",IF(TArticle[[#This Row],[کد وضعیت سند]]=1,TArticle[مبلغ],0),0),0)</f>
        <v>0</v>
      </c>
      <c r="AG591" s="1">
        <f>IFERROR(IF(INT(LEFT(TArticle[[#This Row],[شناسه]]))=1,IF(TArticle[[#This Row],[کد وضعیت سند]]=1,TArticle[مبلغ],0),0),0)</f>
        <v>0</v>
      </c>
      <c r="AH591" s="1">
        <f>IFERROR(IF(INT(LEFT(TArticle[[#This Row],[شناسه]]))=2,IF(TArticle[[#This Row],[کد وضعیت سند]]=1,TArticle[مبلغ],0),0),0)</f>
        <v>0</v>
      </c>
      <c r="AI591" s="1">
        <f>IFERROR(IF((LEFT(TArticle[[#This Row],[شناسه]],3))="5.2",IF(TArticle[[#This Row],[کد وضعیت سند]]=1,TArticle[مبلغ],0),0),0)</f>
        <v>0</v>
      </c>
      <c r="AJ591" s="1">
        <f>IF(TArticle[[#This Row],[کد وضعیت سند]]=1,1,0)</f>
        <v>0</v>
      </c>
      <c r="AK591" s="1">
        <f>IF(AND(TArticle[[#This Row],[کد وضعیت سند]]&lt;&gt;1,TArticle[[#This Row],[مبلغ]]&lt;&gt;0),1,0)</f>
        <v>0</v>
      </c>
      <c r="AL591" s="51">
        <f>IF(TArticle[[#This Row],[کد بانک]]&gt;0,TArticle[[#This Row],[مانده بانک]]-VLOOKUP(TArticle[[#This Row],[کد بانک]],TBank[],7,FALSE),"")</f>
        <v>337414</v>
      </c>
      <c r="AM591" s="49" t="str">
        <f>LEFT(TArticle[[#This Row],[تاریخ]],7)</f>
        <v>1403-03</v>
      </c>
    </row>
    <row r="592" spans="1:39" x14ac:dyDescent="0.25">
      <c r="A592" s="24"/>
      <c r="B592" s="49" t="str">
        <f>VLOOKUP(TArticle[[#This Row],[شناسه]],TAccount[],2,TRUE)</f>
        <v>---</v>
      </c>
      <c r="C592" s="49" t="str">
        <f>VLOOKUP(TArticle[[#This Row],[تاریخ]],TDays[],7,FALSE)</f>
        <v>سه شنبه</v>
      </c>
      <c r="D592" s="21" t="s">
        <v>1316</v>
      </c>
      <c r="F592" s="1">
        <f>TArticle[[#This Row],[مبلغ]]+IFERROR(INT(F591),30181+3667+958)</f>
        <v>295762</v>
      </c>
      <c r="G592" s="49"/>
      <c r="L592" s="171" t="str">
        <f>IF(TArticle[[#This Row],[کد وضعیت سند]]&gt;0,VLOOKUP(TArticle[[#This Row],[کد وضعیت سند]],TDocState[],2,FALSE),"")</f>
        <v/>
      </c>
      <c r="N592" s="171" t="str">
        <f>IF(TArticle[[#This Row],[کد طرف حساب]]&gt;0,VLOOKUP(TArticle[[#This Row],[کد طرف حساب]],TContact[],2,FALSE),"")</f>
        <v/>
      </c>
      <c r="O592" s="61" t="str">
        <f>IF(TArticle[[#This Row],[کد طرف حساب]]&gt;0,VLOOKUP(TArticle[[#This Row],[کد طرف حساب]],TContact[],7,FALSE)-SUMIF($M$2:M592,M592,$E$2:$E592),"")</f>
        <v/>
      </c>
      <c r="P592" s="27" t="str">
        <f>RIGHT(TArticle[[#This Row],[تاریخ]],2)</f>
        <v>29</v>
      </c>
      <c r="Q592" s="27">
        <f>VLOOKUP(TArticle[[#This Row],[تاریخ]],TDays[],16,FALSE)</f>
        <v>14</v>
      </c>
      <c r="R592" s="27" t="str">
        <f>RIGHT(LEFT(TArticle[[#This Row],[تاریخ]],7),2)</f>
        <v>03</v>
      </c>
      <c r="S592" s="27" t="str">
        <f>LEFT(TArticle[[#This Row],[تاریخ]],4)</f>
        <v>1403</v>
      </c>
      <c r="U592" s="21">
        <f>VLOOKUP(TArticle[[#This Row],[شناسه]],TAccount[],7,TRUE)</f>
        <v>0</v>
      </c>
      <c r="W592" s="21">
        <f>IF(AND(TArticle[[#This Row],[مبلغ]]&gt;0, TArticle[[#This Row],[کد وضعیت سند]]=1),TArticle[[#This Row],[مبلغ]],0)</f>
        <v>0</v>
      </c>
      <c r="X592" s="27">
        <f>IF(AND(TArticle[[#This Row],[مبلغ]]&lt;0,TArticle[[#This Row],[کد وضعیت سند]]=1),0-TArticle[[#This Row],[مبلغ]],0)</f>
        <v>0</v>
      </c>
      <c r="Y592" s="27">
        <v>2</v>
      </c>
      <c r="Z592" s="171" t="str">
        <f>IF(TArticle[[#This Row],[کد بانک]]&gt;0,VLOOKUP(TArticle[[#This Row],[کد بانک]],TBank[],2,FALSE),"")</f>
        <v>ملی جاری</v>
      </c>
      <c r="AA592">
        <f>IF(AND(TArticle[[#This Row],[مبلغ]]&lt;0,TArticle[[#This Row],[کد وضعیت سند]]=1),0-TArticle[[#This Row],[مبلغ]],0)</f>
        <v>0</v>
      </c>
      <c r="AB592">
        <f>IF(AND(TArticle[[#This Row],[مبلغ]]&gt;0, TArticle[[#This Row],[کد وضعیت سند]]=1),TArticle[[#This Row],[مبلغ]],0)</f>
        <v>0</v>
      </c>
      <c r="AC592" s="84">
        <f>IF(TArticle[[#This Row],[کد بانک]]&gt;0,VLOOKUP(TArticle[[#This Row],[کد بانک]],TBank[],9,FALSE)+SUMIF($Y$2:Y592,Y592,$E$2:$E592),"")</f>
        <v>337414</v>
      </c>
      <c r="AD592" s="1">
        <f>IFERROR(IF(INT(LEFT(TArticle[[#This Row],[شناسه]]))=3,IF(TArticle[[#This Row],[کد وضعیت سند]]=1,TArticle[مبلغ],0),0),0)</f>
        <v>0</v>
      </c>
      <c r="AE592" s="1">
        <f>IFERROR(IF(((TArticle[[#This Row],[شناسه]]))="4.1.1",IF(TArticle[[#This Row],[کد وضعیت سند]]=1,TArticle[مبلغ],0),0),0)</f>
        <v>0</v>
      </c>
      <c r="AF592" s="1">
        <f>IFERROR(IF(((TArticle[[#This Row],[شناسه]]))="4.1.2",IF(TArticle[[#This Row],[کد وضعیت سند]]=1,TArticle[مبلغ],0),0),0)</f>
        <v>0</v>
      </c>
      <c r="AG592" s="1">
        <f>IFERROR(IF(INT(LEFT(TArticle[[#This Row],[شناسه]]))=1,IF(TArticle[[#This Row],[کد وضعیت سند]]=1,TArticle[مبلغ],0),0),0)</f>
        <v>0</v>
      </c>
      <c r="AH592" s="1">
        <f>IFERROR(IF(INT(LEFT(TArticle[[#This Row],[شناسه]]))=2,IF(TArticle[[#This Row],[کد وضعیت سند]]=1,TArticle[مبلغ],0),0),0)</f>
        <v>0</v>
      </c>
      <c r="AI592" s="1">
        <f>IFERROR(IF((LEFT(TArticle[[#This Row],[شناسه]],3))="5.2",IF(TArticle[[#This Row],[کد وضعیت سند]]=1,TArticle[مبلغ],0),0),0)</f>
        <v>0</v>
      </c>
      <c r="AJ592" s="1">
        <f>IF(TArticle[[#This Row],[کد وضعیت سند]]=1,1,0)</f>
        <v>0</v>
      </c>
      <c r="AK592" s="1">
        <f>IF(AND(TArticle[[#This Row],[کد وضعیت سند]]&lt;&gt;1,TArticle[[#This Row],[مبلغ]]&lt;&gt;0),1,0)</f>
        <v>0</v>
      </c>
      <c r="AL592" s="51">
        <f>IF(TArticle[[#This Row],[کد بانک]]&gt;0,TArticle[[#This Row],[مانده بانک]]-VLOOKUP(TArticle[[#This Row],[کد بانک]],TBank[],7,FALSE),"")</f>
        <v>337414</v>
      </c>
      <c r="AM592" s="49" t="str">
        <f>LEFT(TArticle[[#This Row],[تاریخ]],7)</f>
        <v>1403-03</v>
      </c>
    </row>
    <row r="593" spans="1:39" x14ac:dyDescent="0.25">
      <c r="A593" s="24"/>
      <c r="B593" s="49" t="str">
        <f>VLOOKUP(TArticle[[#This Row],[شناسه]],TAccount[],2,TRUE)</f>
        <v>---</v>
      </c>
      <c r="C593" s="49" t="str">
        <f>VLOOKUP(TArticle[[#This Row],[تاریخ]],TDays[],7,FALSE)</f>
        <v>سه شنبه</v>
      </c>
      <c r="D593" s="21" t="s">
        <v>1316</v>
      </c>
      <c r="F593" s="1">
        <f>TArticle[[#This Row],[مبلغ]]+IFERROR(INT(F592),30181+3667+958)</f>
        <v>295762</v>
      </c>
      <c r="G593" s="49"/>
      <c r="L593" s="171" t="str">
        <f>IF(TArticle[[#This Row],[کد وضعیت سند]]&gt;0,VLOOKUP(TArticle[[#This Row],[کد وضعیت سند]],TDocState[],2,FALSE),"")</f>
        <v/>
      </c>
      <c r="N593" s="171" t="str">
        <f>IF(TArticle[[#This Row],[کد طرف حساب]]&gt;0,VLOOKUP(TArticle[[#This Row],[کد طرف حساب]],TContact[],2,FALSE),"")</f>
        <v/>
      </c>
      <c r="O593" s="61" t="str">
        <f>IF(TArticle[[#This Row],[کد طرف حساب]]&gt;0,VLOOKUP(TArticle[[#This Row],[کد طرف حساب]],TContact[],7,FALSE)-SUMIF($M$2:M593,M593,$E$2:$E593),"")</f>
        <v/>
      </c>
      <c r="P593" s="27" t="str">
        <f>RIGHT(TArticle[[#This Row],[تاریخ]],2)</f>
        <v>29</v>
      </c>
      <c r="Q593" s="27">
        <f>VLOOKUP(TArticle[[#This Row],[تاریخ]],TDays[],16,FALSE)</f>
        <v>14</v>
      </c>
      <c r="R593" s="27" t="str">
        <f>RIGHT(LEFT(TArticle[[#This Row],[تاریخ]],7),2)</f>
        <v>03</v>
      </c>
      <c r="S593" s="27" t="str">
        <f>LEFT(TArticle[[#This Row],[تاریخ]],4)</f>
        <v>1403</v>
      </c>
      <c r="U593" s="21">
        <f>VLOOKUP(TArticle[[#This Row],[شناسه]],TAccount[],7,TRUE)</f>
        <v>0</v>
      </c>
      <c r="W593" s="21">
        <f>IF(AND(TArticle[[#This Row],[مبلغ]]&gt;0, TArticle[[#This Row],[کد وضعیت سند]]=1),TArticle[[#This Row],[مبلغ]],0)</f>
        <v>0</v>
      </c>
      <c r="X593" s="27">
        <f>IF(AND(TArticle[[#This Row],[مبلغ]]&lt;0,TArticle[[#This Row],[کد وضعیت سند]]=1),0-TArticle[[#This Row],[مبلغ]],0)</f>
        <v>0</v>
      </c>
      <c r="Y593" s="27">
        <v>2</v>
      </c>
      <c r="Z593" s="171" t="str">
        <f>IF(TArticle[[#This Row],[کد بانک]]&gt;0,VLOOKUP(TArticle[[#This Row],[کد بانک]],TBank[],2,FALSE),"")</f>
        <v>ملی جاری</v>
      </c>
      <c r="AA593">
        <f>IF(AND(TArticle[[#This Row],[مبلغ]]&lt;0,TArticle[[#This Row],[کد وضعیت سند]]=1),0-TArticle[[#This Row],[مبلغ]],0)</f>
        <v>0</v>
      </c>
      <c r="AB593">
        <f>IF(AND(TArticle[[#This Row],[مبلغ]]&gt;0, TArticle[[#This Row],[کد وضعیت سند]]=1),TArticle[[#This Row],[مبلغ]],0)</f>
        <v>0</v>
      </c>
      <c r="AC593" s="84">
        <f>IF(TArticle[[#This Row],[کد بانک]]&gt;0,VLOOKUP(TArticle[[#This Row],[کد بانک]],TBank[],9,FALSE)+SUMIF($Y$2:Y593,Y593,$E$2:$E593),"")</f>
        <v>337414</v>
      </c>
      <c r="AD593" s="1">
        <f>IFERROR(IF(INT(LEFT(TArticle[[#This Row],[شناسه]]))=3,IF(TArticle[[#This Row],[کد وضعیت سند]]=1,TArticle[مبلغ],0),0),0)</f>
        <v>0</v>
      </c>
      <c r="AE593" s="1">
        <f>IFERROR(IF(((TArticle[[#This Row],[شناسه]]))="4.1.1",IF(TArticle[[#This Row],[کد وضعیت سند]]=1,TArticle[مبلغ],0),0),0)</f>
        <v>0</v>
      </c>
      <c r="AF593" s="1">
        <f>IFERROR(IF(((TArticle[[#This Row],[شناسه]]))="4.1.2",IF(TArticle[[#This Row],[کد وضعیت سند]]=1,TArticle[مبلغ],0),0),0)</f>
        <v>0</v>
      </c>
      <c r="AG593" s="1">
        <f>IFERROR(IF(INT(LEFT(TArticle[[#This Row],[شناسه]]))=1,IF(TArticle[[#This Row],[کد وضعیت سند]]=1,TArticle[مبلغ],0),0),0)</f>
        <v>0</v>
      </c>
      <c r="AH593" s="1">
        <f>IFERROR(IF(INT(LEFT(TArticle[[#This Row],[شناسه]]))=2,IF(TArticle[[#This Row],[کد وضعیت سند]]=1,TArticle[مبلغ],0),0),0)</f>
        <v>0</v>
      </c>
      <c r="AI593" s="1">
        <f>IFERROR(IF((LEFT(TArticle[[#This Row],[شناسه]],3))="5.2",IF(TArticle[[#This Row],[کد وضعیت سند]]=1,TArticle[مبلغ],0),0),0)</f>
        <v>0</v>
      </c>
      <c r="AJ593" s="1">
        <f>IF(TArticle[[#This Row],[کد وضعیت سند]]=1,1,0)</f>
        <v>0</v>
      </c>
      <c r="AK593" s="1">
        <f>IF(AND(TArticle[[#This Row],[کد وضعیت سند]]&lt;&gt;1,TArticle[[#This Row],[مبلغ]]&lt;&gt;0),1,0)</f>
        <v>0</v>
      </c>
      <c r="AL593" s="51">
        <f>IF(TArticle[[#This Row],[کد بانک]]&gt;0,TArticle[[#This Row],[مانده بانک]]-VLOOKUP(TArticle[[#This Row],[کد بانک]],TBank[],7,FALSE),"")</f>
        <v>337414</v>
      </c>
      <c r="AM593" s="49" t="str">
        <f>LEFT(TArticle[[#This Row],[تاریخ]],7)</f>
        <v>1403-03</v>
      </c>
    </row>
    <row r="594" spans="1:39" x14ac:dyDescent="0.25">
      <c r="A594" s="24"/>
      <c r="B594" s="49" t="str">
        <f>VLOOKUP(TArticle[[#This Row],[شناسه]],TAccount[],2,TRUE)</f>
        <v>---</v>
      </c>
      <c r="C594" s="49" t="str">
        <f>VLOOKUP(TArticle[[#This Row],[تاریخ]],TDays[],7,FALSE)</f>
        <v>سه شنبه</v>
      </c>
      <c r="D594" s="21" t="s">
        <v>1316</v>
      </c>
      <c r="F594" s="1">
        <f>TArticle[[#This Row],[مبلغ]]+IFERROR(INT(F593),30181+3667+958)</f>
        <v>295762</v>
      </c>
      <c r="G594" s="49"/>
      <c r="L594" s="171" t="str">
        <f>IF(TArticle[[#This Row],[کد وضعیت سند]]&gt;0,VLOOKUP(TArticle[[#This Row],[کد وضعیت سند]],TDocState[],2,FALSE),"")</f>
        <v/>
      </c>
      <c r="N594" s="171" t="str">
        <f>IF(TArticle[[#This Row],[کد طرف حساب]]&gt;0,VLOOKUP(TArticle[[#This Row],[کد طرف حساب]],TContact[],2,FALSE),"")</f>
        <v/>
      </c>
      <c r="O594" s="61" t="str">
        <f>IF(TArticle[[#This Row],[کد طرف حساب]]&gt;0,VLOOKUP(TArticle[[#This Row],[کد طرف حساب]],TContact[],7,FALSE)-SUMIF($M$2:M594,M594,$E$2:$E594),"")</f>
        <v/>
      </c>
      <c r="P594" s="27" t="str">
        <f>RIGHT(TArticle[[#This Row],[تاریخ]],2)</f>
        <v>29</v>
      </c>
      <c r="Q594" s="27">
        <f>VLOOKUP(TArticle[[#This Row],[تاریخ]],TDays[],16,FALSE)</f>
        <v>14</v>
      </c>
      <c r="R594" s="27" t="str">
        <f>RIGHT(LEFT(TArticle[[#This Row],[تاریخ]],7),2)</f>
        <v>03</v>
      </c>
      <c r="S594" s="27" t="str">
        <f>LEFT(TArticle[[#This Row],[تاریخ]],4)</f>
        <v>1403</v>
      </c>
      <c r="U594" s="21">
        <f>VLOOKUP(TArticle[[#This Row],[شناسه]],TAccount[],7,TRUE)</f>
        <v>0</v>
      </c>
      <c r="W594" s="21">
        <f>IF(AND(TArticle[[#This Row],[مبلغ]]&gt;0, TArticle[[#This Row],[کد وضعیت سند]]=1),TArticle[[#This Row],[مبلغ]],0)</f>
        <v>0</v>
      </c>
      <c r="X594" s="27">
        <f>IF(AND(TArticle[[#This Row],[مبلغ]]&lt;0,TArticle[[#This Row],[کد وضعیت سند]]=1),0-TArticle[[#This Row],[مبلغ]],0)</f>
        <v>0</v>
      </c>
      <c r="Y594" s="27">
        <v>2</v>
      </c>
      <c r="Z594" s="171" t="str">
        <f>IF(TArticle[[#This Row],[کد بانک]]&gt;0,VLOOKUP(TArticle[[#This Row],[کد بانک]],TBank[],2,FALSE),"")</f>
        <v>ملی جاری</v>
      </c>
      <c r="AA594">
        <f>IF(AND(TArticle[[#This Row],[مبلغ]]&lt;0,TArticle[[#This Row],[کد وضعیت سند]]=1),0-TArticle[[#This Row],[مبلغ]],0)</f>
        <v>0</v>
      </c>
      <c r="AB594">
        <f>IF(AND(TArticle[[#This Row],[مبلغ]]&gt;0, TArticle[[#This Row],[کد وضعیت سند]]=1),TArticle[[#This Row],[مبلغ]],0)</f>
        <v>0</v>
      </c>
      <c r="AC594" s="84">
        <f>IF(TArticle[[#This Row],[کد بانک]]&gt;0,VLOOKUP(TArticle[[#This Row],[کد بانک]],TBank[],9,FALSE)+SUMIF($Y$2:Y594,Y594,$E$2:$E594),"")</f>
        <v>337414</v>
      </c>
      <c r="AD594" s="1">
        <f>IFERROR(IF(INT(LEFT(TArticle[[#This Row],[شناسه]]))=3,IF(TArticle[[#This Row],[کد وضعیت سند]]=1,TArticle[مبلغ],0),0),0)</f>
        <v>0</v>
      </c>
      <c r="AE594" s="1">
        <f>IFERROR(IF(((TArticle[[#This Row],[شناسه]]))="4.1.1",IF(TArticle[[#This Row],[کد وضعیت سند]]=1,TArticle[مبلغ],0),0),0)</f>
        <v>0</v>
      </c>
      <c r="AF594" s="1">
        <f>IFERROR(IF(((TArticle[[#This Row],[شناسه]]))="4.1.2",IF(TArticle[[#This Row],[کد وضعیت سند]]=1,TArticle[مبلغ],0),0),0)</f>
        <v>0</v>
      </c>
      <c r="AG594" s="1">
        <f>IFERROR(IF(INT(LEFT(TArticle[[#This Row],[شناسه]]))=1,IF(TArticle[[#This Row],[کد وضعیت سند]]=1,TArticle[مبلغ],0),0),0)</f>
        <v>0</v>
      </c>
      <c r="AH594" s="1">
        <f>IFERROR(IF(INT(LEFT(TArticle[[#This Row],[شناسه]]))=2,IF(TArticle[[#This Row],[کد وضعیت سند]]=1,TArticle[مبلغ],0),0),0)</f>
        <v>0</v>
      </c>
      <c r="AI594" s="1">
        <f>IFERROR(IF((LEFT(TArticle[[#This Row],[شناسه]],3))="5.2",IF(TArticle[[#This Row],[کد وضعیت سند]]=1,TArticle[مبلغ],0),0),0)</f>
        <v>0</v>
      </c>
      <c r="AJ594" s="1">
        <f>IF(TArticle[[#This Row],[کد وضعیت سند]]=1,1,0)</f>
        <v>0</v>
      </c>
      <c r="AK594" s="1">
        <f>IF(AND(TArticle[[#This Row],[کد وضعیت سند]]&lt;&gt;1,TArticle[[#This Row],[مبلغ]]&lt;&gt;0),1,0)</f>
        <v>0</v>
      </c>
      <c r="AL594" s="51">
        <f>IF(TArticle[[#This Row],[کد بانک]]&gt;0,TArticle[[#This Row],[مانده بانک]]-VLOOKUP(TArticle[[#This Row],[کد بانک]],TBank[],7,FALSE),"")</f>
        <v>337414</v>
      </c>
      <c r="AM594" s="49" t="str">
        <f>LEFT(TArticle[[#This Row],[تاریخ]],7)</f>
        <v>1403-03</v>
      </c>
    </row>
    <row r="595" spans="1:39" x14ac:dyDescent="0.25">
      <c r="A595" s="24"/>
      <c r="B595" s="49" t="str">
        <f>VLOOKUP(TArticle[[#This Row],[شناسه]],TAccount[],2,TRUE)</f>
        <v>---</v>
      </c>
      <c r="C595" s="49" t="str">
        <f>VLOOKUP(TArticle[[#This Row],[تاریخ]],TDays[],7,FALSE)</f>
        <v>سه شنبه</v>
      </c>
      <c r="D595" s="21" t="s">
        <v>1316</v>
      </c>
      <c r="F595" s="1">
        <f>TArticle[[#This Row],[مبلغ]]+IFERROR(INT(F594),30181+3667+958)</f>
        <v>295762</v>
      </c>
      <c r="G595" s="49"/>
      <c r="J595" s="65"/>
      <c r="K595" s="49"/>
      <c r="L595" s="171" t="str">
        <f>IF(TArticle[[#This Row],[کد وضعیت سند]]&gt;0,VLOOKUP(TArticle[[#This Row],[کد وضعیت سند]],TDocState[],2,FALSE),"")</f>
        <v/>
      </c>
      <c r="M595" s="67"/>
      <c r="N595" s="171" t="str">
        <f>IF(TArticle[[#This Row],[کد طرف حساب]]&gt;0,VLOOKUP(TArticle[[#This Row],[کد طرف حساب]],TContact[],2,FALSE),"")</f>
        <v/>
      </c>
      <c r="O595" s="68" t="str">
        <f>IF(TArticle[[#This Row],[کد طرف حساب]]&gt;0,VLOOKUP(TArticle[[#This Row],[کد طرف حساب]],TContact[],7,FALSE)-SUMIF($M$2:M595,M595,$E$2:$E595),"")</f>
        <v/>
      </c>
      <c r="P595" s="67" t="str">
        <f>RIGHT(TArticle[[#This Row],[تاریخ]],2)</f>
        <v>29</v>
      </c>
      <c r="Q595" s="67">
        <f>VLOOKUP(TArticle[[#This Row],[تاریخ]],TDays[],16,FALSE)</f>
        <v>14</v>
      </c>
      <c r="R595" s="67" t="str">
        <f>RIGHT(LEFT(TArticle[[#This Row],[تاریخ]],7),2)</f>
        <v>03</v>
      </c>
      <c r="S595" s="67" t="str">
        <f>LEFT(TArticle[[#This Row],[تاریخ]],4)</f>
        <v>1403</v>
      </c>
      <c r="T595" s="64"/>
      <c r="U595" s="64">
        <f>VLOOKUP(TArticle[[#This Row],[شناسه]],TAccount[],7,TRUE)</f>
        <v>0</v>
      </c>
      <c r="V595" s="64"/>
      <c r="W595" s="64">
        <f>IF(AND(TArticle[[#This Row],[مبلغ]]&gt;0, TArticle[[#This Row],[کد وضعیت سند]]=1),TArticle[[#This Row],[مبلغ]],0)</f>
        <v>0</v>
      </c>
      <c r="X595" s="67">
        <f>IF(AND(TArticle[[#This Row],[مبلغ]]&lt;0,TArticle[[#This Row],[کد وضعیت سند]]=1),0-TArticle[[#This Row],[مبلغ]],0)</f>
        <v>0</v>
      </c>
      <c r="Y595" s="27">
        <v>2</v>
      </c>
      <c r="Z595" s="171" t="str">
        <f>IF(TArticle[[#This Row],[کد بانک]]&gt;0,VLOOKUP(TArticle[[#This Row],[کد بانک]],TBank[],2,FALSE),"")</f>
        <v>ملی جاری</v>
      </c>
      <c r="AA595">
        <f>IF(AND(TArticle[[#This Row],[مبلغ]]&lt;0,TArticle[[#This Row],[کد وضعیت سند]]=1),0-TArticle[[#This Row],[مبلغ]],0)</f>
        <v>0</v>
      </c>
      <c r="AB595">
        <f>IF(AND(TArticle[[#This Row],[مبلغ]]&gt;0, TArticle[[#This Row],[کد وضعیت سند]]=1),TArticle[[#This Row],[مبلغ]],0)</f>
        <v>0</v>
      </c>
      <c r="AC595" s="93">
        <f>IF(TArticle[[#This Row],[کد بانک]]&gt;0,VLOOKUP(TArticle[[#This Row],[کد بانک]],TBank[],9,FALSE)+SUMIF($Y$2:Y595,Y595,$E$2:$E595),"")</f>
        <v>337414</v>
      </c>
      <c r="AD595" s="1">
        <f>IFERROR(IF(INT(LEFT(TArticle[[#This Row],[شناسه]]))=3,IF(TArticle[[#This Row],[کد وضعیت سند]]=1,TArticle[مبلغ],0),0),0)</f>
        <v>0</v>
      </c>
      <c r="AE595" s="1">
        <f>IFERROR(IF(((TArticle[[#This Row],[شناسه]]))="4.1.1",IF(TArticle[[#This Row],[کد وضعیت سند]]=1,TArticle[مبلغ],0),0),0)</f>
        <v>0</v>
      </c>
      <c r="AF595" s="1">
        <f>IFERROR(IF(((TArticle[[#This Row],[شناسه]]))="4.1.2",IF(TArticle[[#This Row],[کد وضعیت سند]]=1,TArticle[مبلغ],0),0),0)</f>
        <v>0</v>
      </c>
      <c r="AG595" s="1">
        <f>IFERROR(IF(INT(LEFT(TArticle[[#This Row],[شناسه]]))=1,IF(TArticle[[#This Row],[کد وضعیت سند]]=1,TArticle[مبلغ],0),0),0)</f>
        <v>0</v>
      </c>
      <c r="AH595" s="1">
        <f>IFERROR(IF(INT(LEFT(TArticle[[#This Row],[شناسه]]))=2,IF(TArticle[[#This Row],[کد وضعیت سند]]=1,TArticle[مبلغ],0),0),0)</f>
        <v>0</v>
      </c>
      <c r="AI595" s="1">
        <f>IFERROR(IF((LEFT(TArticle[[#This Row],[شناسه]],3))="5.2",IF(TArticle[[#This Row],[کد وضعیت سند]]=1,TArticle[مبلغ],0),0),0)</f>
        <v>0</v>
      </c>
      <c r="AJ595" s="1">
        <f>IF(TArticle[[#This Row],[کد وضعیت سند]]=1,1,0)</f>
        <v>0</v>
      </c>
      <c r="AK595" s="1">
        <f>IF(AND(TArticle[[#This Row],[کد وضعیت سند]]&lt;&gt;1,TArticle[[#This Row],[مبلغ]]&lt;&gt;0),1,0)</f>
        <v>0</v>
      </c>
      <c r="AL595" s="78">
        <f>IF(TArticle[[#This Row],[کد بانک]]&gt;0,TArticle[[#This Row],[مانده بانک]]-VLOOKUP(TArticle[[#This Row],[کد بانک]],TBank[],7,FALSE),"")</f>
        <v>337414</v>
      </c>
      <c r="AM595" s="58" t="str">
        <f>LEFT(TArticle[[#This Row],[تاریخ]],7)</f>
        <v>1403-03</v>
      </c>
    </row>
    <row r="596" spans="1:39" x14ac:dyDescent="0.25">
      <c r="A596" s="24"/>
      <c r="B596" s="49" t="str">
        <f>VLOOKUP(TArticle[[#This Row],[شناسه]],TAccount[],2,TRUE)</f>
        <v>---</v>
      </c>
      <c r="C596" s="49" t="str">
        <f>VLOOKUP(TArticle[[#This Row],[تاریخ]],TDays[],7,FALSE)</f>
        <v>سه شنبه</v>
      </c>
      <c r="D596" s="21" t="s">
        <v>1316</v>
      </c>
      <c r="F596" s="1">
        <f>TArticle[[#This Row],[مبلغ]]+IFERROR(INT(F595),30181+3667+958)</f>
        <v>295762</v>
      </c>
      <c r="G596" s="49"/>
      <c r="L596" s="171" t="str">
        <f>IF(TArticle[[#This Row],[کد وضعیت سند]]&gt;0,VLOOKUP(TArticle[[#This Row],[کد وضعیت سند]],TDocState[],2,FALSE),"")</f>
        <v/>
      </c>
      <c r="N596" s="171" t="str">
        <f>IF(TArticle[[#This Row],[کد طرف حساب]]&gt;0,VLOOKUP(TArticle[[#This Row],[کد طرف حساب]],TContact[],2,FALSE),"")</f>
        <v/>
      </c>
      <c r="O596" s="61" t="str">
        <f>IF(TArticle[[#This Row],[کد طرف حساب]]&gt;0,VLOOKUP(TArticle[[#This Row],[کد طرف حساب]],TContact[],7,FALSE)-SUMIF($M$2:M596,M596,$E$2:$E596),"")</f>
        <v/>
      </c>
      <c r="P596" s="27" t="str">
        <f>RIGHT(TArticle[[#This Row],[تاریخ]],2)</f>
        <v>29</v>
      </c>
      <c r="Q596" s="27">
        <f>VLOOKUP(TArticle[[#This Row],[تاریخ]],TDays[],16,FALSE)</f>
        <v>14</v>
      </c>
      <c r="R596" s="27" t="str">
        <f>RIGHT(LEFT(TArticle[[#This Row],[تاریخ]],7),2)</f>
        <v>03</v>
      </c>
      <c r="S596" s="27" t="str">
        <f>LEFT(TArticle[[#This Row],[تاریخ]],4)</f>
        <v>1403</v>
      </c>
      <c r="U596" s="21">
        <f>VLOOKUP(TArticle[[#This Row],[شناسه]],TAccount[],7,TRUE)</f>
        <v>0</v>
      </c>
      <c r="W596" s="21">
        <f>IF(AND(TArticle[[#This Row],[مبلغ]]&gt;0, TArticle[[#This Row],[کد وضعیت سند]]=1),TArticle[[#This Row],[مبلغ]],0)</f>
        <v>0</v>
      </c>
      <c r="X596" s="27">
        <f>IF(AND(TArticle[[#This Row],[مبلغ]]&lt;0,TArticle[[#This Row],[کد وضعیت سند]]=1),0-TArticle[[#This Row],[مبلغ]],0)</f>
        <v>0</v>
      </c>
      <c r="Y596" s="27">
        <v>2</v>
      </c>
      <c r="Z596" s="171" t="str">
        <f>IF(TArticle[[#This Row],[کد بانک]]&gt;0,VLOOKUP(TArticle[[#This Row],[کد بانک]],TBank[],2,FALSE),"")</f>
        <v>ملی جاری</v>
      </c>
      <c r="AA596">
        <f>IF(AND(TArticle[[#This Row],[مبلغ]]&lt;0,TArticle[[#This Row],[کد وضعیت سند]]=1),0-TArticle[[#This Row],[مبلغ]],0)</f>
        <v>0</v>
      </c>
      <c r="AB596">
        <f>IF(AND(TArticle[[#This Row],[مبلغ]]&gt;0, TArticle[[#This Row],[کد وضعیت سند]]=1),TArticle[[#This Row],[مبلغ]],0)</f>
        <v>0</v>
      </c>
      <c r="AC596" s="84">
        <f>IF(TArticle[[#This Row],[کد بانک]]&gt;0,VLOOKUP(TArticle[[#This Row],[کد بانک]],TBank[],9,FALSE)+SUMIF($Y$2:Y596,Y596,$E$2:$E596),"")</f>
        <v>337414</v>
      </c>
      <c r="AD596" s="1">
        <f>IFERROR(IF(INT(LEFT(TArticle[[#This Row],[شناسه]]))=3,IF(TArticle[[#This Row],[کد وضعیت سند]]=1,TArticle[مبلغ],0),0),0)</f>
        <v>0</v>
      </c>
      <c r="AE596" s="1">
        <f>IFERROR(IF(((TArticle[[#This Row],[شناسه]]))="4.1.1",IF(TArticle[[#This Row],[کد وضعیت سند]]=1,TArticle[مبلغ],0),0),0)</f>
        <v>0</v>
      </c>
      <c r="AF596" s="1">
        <f>IFERROR(IF(((TArticle[[#This Row],[شناسه]]))="4.1.2",IF(TArticle[[#This Row],[کد وضعیت سند]]=1,TArticle[مبلغ],0),0),0)</f>
        <v>0</v>
      </c>
      <c r="AG596" s="1">
        <f>IFERROR(IF(INT(LEFT(TArticle[[#This Row],[شناسه]]))=1,IF(TArticle[[#This Row],[کد وضعیت سند]]=1,TArticle[مبلغ],0),0),0)</f>
        <v>0</v>
      </c>
      <c r="AH596" s="1">
        <f>IFERROR(IF(INT(LEFT(TArticle[[#This Row],[شناسه]]))=2,IF(TArticle[[#This Row],[کد وضعیت سند]]=1,TArticle[مبلغ],0),0),0)</f>
        <v>0</v>
      </c>
      <c r="AI596" s="1">
        <f>IFERROR(IF((LEFT(TArticle[[#This Row],[شناسه]],3))="5.2",IF(TArticle[[#This Row],[کد وضعیت سند]]=1,TArticle[مبلغ],0),0),0)</f>
        <v>0</v>
      </c>
      <c r="AJ596" s="1">
        <f>IF(TArticle[[#This Row],[کد وضعیت سند]]=1,1,0)</f>
        <v>0</v>
      </c>
      <c r="AK596" s="1">
        <f>IF(AND(TArticle[[#This Row],[کد وضعیت سند]]&lt;&gt;1,TArticle[[#This Row],[مبلغ]]&lt;&gt;0),1,0)</f>
        <v>0</v>
      </c>
      <c r="AL596" s="51">
        <f>IF(TArticle[[#This Row],[کد بانک]]&gt;0,TArticle[[#This Row],[مانده بانک]]-VLOOKUP(TArticle[[#This Row],[کد بانک]],TBank[],7,FALSE),"")</f>
        <v>337414</v>
      </c>
      <c r="AM596" s="49" t="str">
        <f>LEFT(TArticle[[#This Row],[تاریخ]],7)</f>
        <v>1403-03</v>
      </c>
    </row>
    <row r="597" spans="1:39" x14ac:dyDescent="0.25">
      <c r="A597" s="24"/>
      <c r="B597" s="49" t="str">
        <f>VLOOKUP(TArticle[[#This Row],[شناسه]],TAccount[],2,TRUE)</f>
        <v>---</v>
      </c>
      <c r="C597" s="49" t="str">
        <f>VLOOKUP(TArticle[[#This Row],[تاریخ]],TDays[],7,FALSE)</f>
        <v>سه شنبه</v>
      </c>
      <c r="D597" s="21" t="s">
        <v>1316</v>
      </c>
      <c r="F597" s="1">
        <f>TArticle[[#This Row],[مبلغ]]+IFERROR(INT(F596),30181+3667+958)</f>
        <v>295762</v>
      </c>
      <c r="G597" s="49"/>
      <c r="L597" s="171" t="str">
        <f>IF(TArticle[[#This Row],[کد وضعیت سند]]&gt;0,VLOOKUP(TArticle[[#This Row],[کد وضعیت سند]],TDocState[],2,FALSE),"")</f>
        <v/>
      </c>
      <c r="N597" s="171" t="str">
        <f>IF(TArticle[[#This Row],[کد طرف حساب]]&gt;0,VLOOKUP(TArticle[[#This Row],[کد طرف حساب]],TContact[],2,FALSE),"")</f>
        <v/>
      </c>
      <c r="O597" s="61" t="str">
        <f>IF(TArticle[[#This Row],[کد طرف حساب]]&gt;0,VLOOKUP(TArticle[[#This Row],[کد طرف حساب]],TContact[],7,FALSE)-SUMIF($M$2:M597,M597,$E$2:$E597),"")</f>
        <v/>
      </c>
      <c r="P597" s="27" t="str">
        <f>RIGHT(TArticle[[#This Row],[تاریخ]],2)</f>
        <v>29</v>
      </c>
      <c r="Q597" s="27">
        <f>VLOOKUP(TArticle[[#This Row],[تاریخ]],TDays[],16,FALSE)</f>
        <v>14</v>
      </c>
      <c r="R597" s="27" t="str">
        <f>RIGHT(LEFT(TArticle[[#This Row],[تاریخ]],7),2)</f>
        <v>03</v>
      </c>
      <c r="S597" s="27" t="str">
        <f>LEFT(TArticle[[#This Row],[تاریخ]],4)</f>
        <v>1403</v>
      </c>
      <c r="U597" s="21">
        <f>VLOOKUP(TArticle[[#This Row],[شناسه]],TAccount[],7,TRUE)</f>
        <v>0</v>
      </c>
      <c r="W597" s="21">
        <f>IF(AND(TArticle[[#This Row],[مبلغ]]&gt;0, TArticle[[#This Row],[کد وضعیت سند]]=1),TArticle[[#This Row],[مبلغ]],0)</f>
        <v>0</v>
      </c>
      <c r="X597" s="27">
        <f>IF(AND(TArticle[[#This Row],[مبلغ]]&lt;0,TArticle[[#This Row],[کد وضعیت سند]]=1),0-TArticle[[#This Row],[مبلغ]],0)</f>
        <v>0</v>
      </c>
      <c r="Y597" s="27">
        <v>2</v>
      </c>
      <c r="Z597" s="171" t="str">
        <f>IF(TArticle[[#This Row],[کد بانک]]&gt;0,VLOOKUP(TArticle[[#This Row],[کد بانک]],TBank[],2,FALSE),"")</f>
        <v>ملی جاری</v>
      </c>
      <c r="AA597">
        <f>IF(AND(TArticle[[#This Row],[مبلغ]]&lt;0,TArticle[[#This Row],[کد وضعیت سند]]=1),0-TArticle[[#This Row],[مبلغ]],0)</f>
        <v>0</v>
      </c>
      <c r="AB597">
        <f>IF(AND(TArticle[[#This Row],[مبلغ]]&gt;0, TArticle[[#This Row],[کد وضعیت سند]]=1),TArticle[[#This Row],[مبلغ]],0)</f>
        <v>0</v>
      </c>
      <c r="AC597" s="84">
        <f>IF(TArticle[[#This Row],[کد بانک]]&gt;0,VLOOKUP(TArticle[[#This Row],[کد بانک]],TBank[],9,FALSE)+SUMIF($Y$2:Y597,Y597,$E$2:$E597),"")</f>
        <v>337414</v>
      </c>
      <c r="AD597" s="1">
        <f>IFERROR(IF(INT(LEFT(TArticle[[#This Row],[شناسه]]))=3,IF(TArticle[[#This Row],[کد وضعیت سند]]=1,TArticle[مبلغ],0),0),0)</f>
        <v>0</v>
      </c>
      <c r="AE597" s="1">
        <f>IFERROR(IF(((TArticle[[#This Row],[شناسه]]))="4.1.1",IF(TArticle[[#This Row],[کد وضعیت سند]]=1,TArticle[مبلغ],0),0),0)</f>
        <v>0</v>
      </c>
      <c r="AF597" s="1">
        <f>IFERROR(IF(((TArticle[[#This Row],[شناسه]]))="4.1.2",IF(TArticle[[#This Row],[کد وضعیت سند]]=1,TArticle[مبلغ],0),0),0)</f>
        <v>0</v>
      </c>
      <c r="AG597" s="1">
        <f>IFERROR(IF(INT(LEFT(TArticle[[#This Row],[شناسه]]))=1,IF(TArticle[[#This Row],[کد وضعیت سند]]=1,TArticle[مبلغ],0),0),0)</f>
        <v>0</v>
      </c>
      <c r="AH597" s="1">
        <f>IFERROR(IF(INT(LEFT(TArticle[[#This Row],[شناسه]]))=2,IF(TArticle[[#This Row],[کد وضعیت سند]]=1,TArticle[مبلغ],0),0),0)</f>
        <v>0</v>
      </c>
      <c r="AI597" s="1">
        <f>IFERROR(IF((LEFT(TArticle[[#This Row],[شناسه]],3))="5.2",IF(TArticle[[#This Row],[کد وضعیت سند]]=1,TArticle[مبلغ],0),0),0)</f>
        <v>0</v>
      </c>
      <c r="AJ597" s="1">
        <f>IF(TArticle[[#This Row],[کد وضعیت سند]]=1,1,0)</f>
        <v>0</v>
      </c>
      <c r="AK597" s="1">
        <f>IF(AND(TArticle[[#This Row],[کد وضعیت سند]]&lt;&gt;1,TArticle[[#This Row],[مبلغ]]&lt;&gt;0),1,0)</f>
        <v>0</v>
      </c>
      <c r="AL597" s="51">
        <f>IF(TArticle[[#This Row],[کد بانک]]&gt;0,TArticle[[#This Row],[مانده بانک]]-VLOOKUP(TArticle[[#This Row],[کد بانک]],TBank[],7,FALSE),"")</f>
        <v>337414</v>
      </c>
      <c r="AM597" s="49" t="str">
        <f>LEFT(TArticle[[#This Row],[تاریخ]],7)</f>
        <v>1403-03</v>
      </c>
    </row>
    <row r="598" spans="1:39" x14ac:dyDescent="0.25">
      <c r="A598" s="24"/>
      <c r="B598" s="49" t="str">
        <f>VLOOKUP(TArticle[[#This Row],[شناسه]],TAccount[],2,TRUE)</f>
        <v>---</v>
      </c>
      <c r="C598" s="49" t="str">
        <f>VLOOKUP(TArticle[[#This Row],[تاریخ]],TDays[],7,FALSE)</f>
        <v>سه شنبه</v>
      </c>
      <c r="D598" s="21" t="s">
        <v>1316</v>
      </c>
      <c r="F598" s="1">
        <f>TArticle[[#This Row],[مبلغ]]+IFERROR(INT(F597),30181+3667+958)</f>
        <v>295762</v>
      </c>
      <c r="G598" s="49"/>
      <c r="L598" s="171" t="str">
        <f>IF(TArticle[[#This Row],[کد وضعیت سند]]&gt;0,VLOOKUP(TArticle[[#This Row],[کد وضعیت سند]],TDocState[],2,FALSE),"")</f>
        <v/>
      </c>
      <c r="N598" s="171" t="str">
        <f>IF(TArticle[[#This Row],[کد طرف حساب]]&gt;0,VLOOKUP(TArticle[[#This Row],[کد طرف حساب]],TContact[],2,FALSE),"")</f>
        <v/>
      </c>
      <c r="O598" s="61" t="str">
        <f>IF(TArticle[[#This Row],[کد طرف حساب]]&gt;0,VLOOKUP(TArticle[[#This Row],[کد طرف حساب]],TContact[],7,FALSE)-SUMIF($M$2:M598,M598,$E$2:$E598),"")</f>
        <v/>
      </c>
      <c r="P598" s="27" t="str">
        <f>RIGHT(TArticle[[#This Row],[تاریخ]],2)</f>
        <v>29</v>
      </c>
      <c r="Q598" s="27">
        <f>VLOOKUP(TArticle[[#This Row],[تاریخ]],TDays[],16,FALSE)</f>
        <v>14</v>
      </c>
      <c r="R598" s="27" t="str">
        <f>RIGHT(LEFT(TArticle[[#This Row],[تاریخ]],7),2)</f>
        <v>03</v>
      </c>
      <c r="S598" s="27" t="str">
        <f>LEFT(TArticle[[#This Row],[تاریخ]],4)</f>
        <v>1403</v>
      </c>
      <c r="U598" s="21">
        <f>VLOOKUP(TArticle[[#This Row],[شناسه]],TAccount[],7,TRUE)</f>
        <v>0</v>
      </c>
      <c r="W598" s="21">
        <f>IF(AND(TArticle[[#This Row],[مبلغ]]&gt;0, TArticle[[#This Row],[کد وضعیت سند]]=1),TArticle[[#This Row],[مبلغ]],0)</f>
        <v>0</v>
      </c>
      <c r="X598" s="27">
        <f>IF(AND(TArticle[[#This Row],[مبلغ]]&lt;0,TArticle[[#This Row],[کد وضعیت سند]]=1),0-TArticle[[#This Row],[مبلغ]],0)</f>
        <v>0</v>
      </c>
      <c r="Y598" s="27">
        <v>2</v>
      </c>
      <c r="Z598" s="171" t="str">
        <f>IF(TArticle[[#This Row],[کد بانک]]&gt;0,VLOOKUP(TArticle[[#This Row],[کد بانک]],TBank[],2,FALSE),"")</f>
        <v>ملی جاری</v>
      </c>
      <c r="AA598">
        <f>IF(AND(TArticle[[#This Row],[مبلغ]]&lt;0,TArticle[[#This Row],[کد وضعیت سند]]=1),0-TArticle[[#This Row],[مبلغ]],0)</f>
        <v>0</v>
      </c>
      <c r="AB598">
        <f>IF(AND(TArticle[[#This Row],[مبلغ]]&gt;0, TArticle[[#This Row],[کد وضعیت سند]]=1),TArticle[[#This Row],[مبلغ]],0)</f>
        <v>0</v>
      </c>
      <c r="AC598" s="84">
        <f>IF(TArticle[[#This Row],[کد بانک]]&gt;0,VLOOKUP(TArticle[[#This Row],[کد بانک]],TBank[],9,FALSE)+SUMIF($Y$2:Y598,Y598,$E$2:$E598),"")</f>
        <v>337414</v>
      </c>
      <c r="AD598" s="1">
        <f>IFERROR(IF(INT(LEFT(TArticle[[#This Row],[شناسه]]))=3,IF(TArticle[[#This Row],[کد وضعیت سند]]=1,TArticle[مبلغ],0),0),0)</f>
        <v>0</v>
      </c>
      <c r="AE598" s="1">
        <f>IFERROR(IF(((TArticle[[#This Row],[شناسه]]))="4.1.1",IF(TArticle[[#This Row],[کد وضعیت سند]]=1,TArticle[مبلغ],0),0),0)</f>
        <v>0</v>
      </c>
      <c r="AF598" s="1">
        <f>IFERROR(IF(((TArticle[[#This Row],[شناسه]]))="4.1.2",IF(TArticle[[#This Row],[کد وضعیت سند]]=1,TArticle[مبلغ],0),0),0)</f>
        <v>0</v>
      </c>
      <c r="AG598" s="1">
        <f>IFERROR(IF(INT(LEFT(TArticle[[#This Row],[شناسه]]))=1,IF(TArticle[[#This Row],[کد وضعیت سند]]=1,TArticle[مبلغ],0),0),0)</f>
        <v>0</v>
      </c>
      <c r="AH598" s="1">
        <f>IFERROR(IF(INT(LEFT(TArticle[[#This Row],[شناسه]]))=2,IF(TArticle[[#This Row],[کد وضعیت سند]]=1,TArticle[مبلغ],0),0),0)</f>
        <v>0</v>
      </c>
      <c r="AI598" s="1">
        <f>IFERROR(IF((LEFT(TArticle[[#This Row],[شناسه]],3))="5.2",IF(TArticle[[#This Row],[کد وضعیت سند]]=1,TArticle[مبلغ],0),0),0)</f>
        <v>0</v>
      </c>
      <c r="AJ598" s="1">
        <f>IF(TArticle[[#This Row],[کد وضعیت سند]]=1,1,0)</f>
        <v>0</v>
      </c>
      <c r="AK598" s="1">
        <f>IF(AND(TArticle[[#This Row],[کد وضعیت سند]]&lt;&gt;1,TArticle[[#This Row],[مبلغ]]&lt;&gt;0),1,0)</f>
        <v>0</v>
      </c>
      <c r="AL598" s="51">
        <f>IF(TArticle[[#This Row],[کد بانک]]&gt;0,TArticle[[#This Row],[مانده بانک]]-VLOOKUP(TArticle[[#This Row],[کد بانک]],TBank[],7,FALSE),"")</f>
        <v>337414</v>
      </c>
      <c r="AM598" s="49" t="str">
        <f>LEFT(TArticle[[#This Row],[تاریخ]],7)</f>
        <v>1403-03</v>
      </c>
    </row>
    <row r="599" spans="1:39" x14ac:dyDescent="0.25">
      <c r="A599" s="24"/>
      <c r="B599" s="49" t="str">
        <f>VLOOKUP(TArticle[[#This Row],[شناسه]],TAccount[],2,TRUE)</f>
        <v>---</v>
      </c>
      <c r="C599" s="49" t="str">
        <f>VLOOKUP(TArticle[[#This Row],[تاریخ]],TDays[],7,FALSE)</f>
        <v>سه شنبه</v>
      </c>
      <c r="D599" s="21" t="s">
        <v>1316</v>
      </c>
      <c r="F599" s="1">
        <f>TArticle[[#This Row],[مبلغ]]+IFERROR(INT(F598),30181+3667+958)</f>
        <v>295762</v>
      </c>
      <c r="G599" s="49"/>
      <c r="L599" s="171" t="str">
        <f>IF(TArticle[[#This Row],[کد وضعیت سند]]&gt;0,VLOOKUP(TArticle[[#This Row],[کد وضعیت سند]],TDocState[],2,FALSE),"")</f>
        <v/>
      </c>
      <c r="N599" s="171" t="str">
        <f>IF(TArticle[[#This Row],[کد طرف حساب]]&gt;0,VLOOKUP(TArticle[[#This Row],[کد طرف حساب]],TContact[],2,FALSE),"")</f>
        <v/>
      </c>
      <c r="O599" s="61" t="str">
        <f>IF(TArticle[[#This Row],[کد طرف حساب]]&gt;0,VLOOKUP(TArticle[[#This Row],[کد طرف حساب]],TContact[],7,FALSE)-SUMIF($M$2:M599,M599,$E$2:$E599),"")</f>
        <v/>
      </c>
      <c r="P599" s="27" t="str">
        <f>RIGHT(TArticle[[#This Row],[تاریخ]],2)</f>
        <v>29</v>
      </c>
      <c r="Q599" s="27">
        <f>VLOOKUP(TArticle[[#This Row],[تاریخ]],TDays[],16,FALSE)</f>
        <v>14</v>
      </c>
      <c r="R599" s="27" t="str">
        <f>RIGHT(LEFT(TArticle[[#This Row],[تاریخ]],7),2)</f>
        <v>03</v>
      </c>
      <c r="S599" s="27" t="str">
        <f>LEFT(TArticle[[#This Row],[تاریخ]],4)</f>
        <v>1403</v>
      </c>
      <c r="U599" s="21">
        <f>VLOOKUP(TArticle[[#This Row],[شناسه]],TAccount[],7,TRUE)</f>
        <v>0</v>
      </c>
      <c r="W599" s="21">
        <f>IF(AND(TArticle[[#This Row],[مبلغ]]&gt;0, TArticle[[#This Row],[کد وضعیت سند]]=1),TArticle[[#This Row],[مبلغ]],0)</f>
        <v>0</v>
      </c>
      <c r="X599" s="27">
        <f>IF(AND(TArticle[[#This Row],[مبلغ]]&lt;0,TArticle[[#This Row],[کد وضعیت سند]]=1),0-TArticle[[#This Row],[مبلغ]],0)</f>
        <v>0</v>
      </c>
      <c r="Y599" s="27">
        <v>2</v>
      </c>
      <c r="Z599" s="171" t="str">
        <f>IF(TArticle[[#This Row],[کد بانک]]&gt;0,VLOOKUP(TArticle[[#This Row],[کد بانک]],TBank[],2,FALSE),"")</f>
        <v>ملی جاری</v>
      </c>
      <c r="AA599">
        <f>IF(AND(TArticle[[#This Row],[مبلغ]]&lt;0,TArticle[[#This Row],[کد وضعیت سند]]=1),0-TArticle[[#This Row],[مبلغ]],0)</f>
        <v>0</v>
      </c>
      <c r="AB599">
        <f>IF(AND(TArticle[[#This Row],[مبلغ]]&gt;0, TArticle[[#This Row],[کد وضعیت سند]]=1),TArticle[[#This Row],[مبلغ]],0)</f>
        <v>0</v>
      </c>
      <c r="AC599" s="84">
        <f>IF(TArticle[[#This Row],[کد بانک]]&gt;0,VLOOKUP(TArticle[[#This Row],[کد بانک]],TBank[],9,FALSE)+SUMIF($Y$2:Y599,Y599,$E$2:$E599),"")</f>
        <v>337414</v>
      </c>
      <c r="AD599" s="1">
        <f>IFERROR(IF(INT(LEFT(TArticle[[#This Row],[شناسه]]))=3,IF(TArticle[[#This Row],[کد وضعیت سند]]=1,TArticle[مبلغ],0),0),0)</f>
        <v>0</v>
      </c>
      <c r="AE599" s="1">
        <f>IFERROR(IF(((TArticle[[#This Row],[شناسه]]))="4.1.1",IF(TArticle[[#This Row],[کد وضعیت سند]]=1,TArticle[مبلغ],0),0),0)</f>
        <v>0</v>
      </c>
      <c r="AF599" s="1">
        <f>IFERROR(IF(((TArticle[[#This Row],[شناسه]]))="4.1.2",IF(TArticle[[#This Row],[کد وضعیت سند]]=1,TArticle[مبلغ],0),0),0)</f>
        <v>0</v>
      </c>
      <c r="AG599" s="1">
        <f>IFERROR(IF(INT(LEFT(TArticle[[#This Row],[شناسه]]))=1,IF(TArticle[[#This Row],[کد وضعیت سند]]=1,TArticle[مبلغ],0),0),0)</f>
        <v>0</v>
      </c>
      <c r="AH599" s="1">
        <f>IFERROR(IF(INT(LEFT(TArticle[[#This Row],[شناسه]]))=2,IF(TArticle[[#This Row],[کد وضعیت سند]]=1,TArticle[مبلغ],0),0),0)</f>
        <v>0</v>
      </c>
      <c r="AI599" s="1">
        <f>IFERROR(IF((LEFT(TArticle[[#This Row],[شناسه]],3))="5.2",IF(TArticle[[#This Row],[کد وضعیت سند]]=1,TArticle[مبلغ],0),0),0)</f>
        <v>0</v>
      </c>
      <c r="AJ599" s="1">
        <f>IF(TArticle[[#This Row],[کد وضعیت سند]]=1,1,0)</f>
        <v>0</v>
      </c>
      <c r="AK599" s="1">
        <f>IF(AND(TArticle[[#This Row],[کد وضعیت سند]]&lt;&gt;1,TArticle[[#This Row],[مبلغ]]&lt;&gt;0),1,0)</f>
        <v>0</v>
      </c>
      <c r="AL599" s="51">
        <f>IF(TArticle[[#This Row],[کد بانک]]&gt;0,TArticle[[#This Row],[مانده بانک]]-VLOOKUP(TArticle[[#This Row],[کد بانک]],TBank[],7,FALSE),"")</f>
        <v>337414</v>
      </c>
      <c r="AM599" s="49" t="str">
        <f>LEFT(TArticle[[#This Row],[تاریخ]],7)</f>
        <v>1403-03</v>
      </c>
    </row>
    <row r="600" spans="1:39" x14ac:dyDescent="0.25">
      <c r="A600" s="24"/>
      <c r="B600" s="49" t="str">
        <f>VLOOKUP(TArticle[[#This Row],[شناسه]],TAccount[],2,TRUE)</f>
        <v>---</v>
      </c>
      <c r="C600" s="49" t="str">
        <f>VLOOKUP(TArticle[[#This Row],[تاریخ]],TDays[],7,FALSE)</f>
        <v>سه شنبه</v>
      </c>
      <c r="D600" s="21" t="s">
        <v>1316</v>
      </c>
      <c r="F600" s="1">
        <f>TArticle[[#This Row],[مبلغ]]+IFERROR(INT(F599),30181+3667+958)</f>
        <v>295762</v>
      </c>
      <c r="G600" s="49"/>
      <c r="L600" s="171" t="str">
        <f>IF(TArticle[[#This Row],[کد وضعیت سند]]&gt;0,VLOOKUP(TArticle[[#This Row],[کد وضعیت سند]],TDocState[],2,FALSE),"")</f>
        <v/>
      </c>
      <c r="N600" s="171" t="str">
        <f>IF(TArticle[[#This Row],[کد طرف حساب]]&gt;0,VLOOKUP(TArticle[[#This Row],[کد طرف حساب]],TContact[],2,FALSE),"")</f>
        <v/>
      </c>
      <c r="O600" s="61" t="str">
        <f>IF(TArticle[[#This Row],[کد طرف حساب]]&gt;0,VLOOKUP(TArticle[[#This Row],[کد طرف حساب]],TContact[],7,FALSE)-SUMIF($M$2:M600,M600,$E$2:$E600),"")</f>
        <v/>
      </c>
      <c r="P600" s="27" t="str">
        <f>RIGHT(TArticle[[#This Row],[تاریخ]],2)</f>
        <v>29</v>
      </c>
      <c r="Q600" s="27">
        <f>VLOOKUP(TArticle[[#This Row],[تاریخ]],TDays[],16,FALSE)</f>
        <v>14</v>
      </c>
      <c r="R600" s="27" t="str">
        <f>RIGHT(LEFT(TArticle[[#This Row],[تاریخ]],7),2)</f>
        <v>03</v>
      </c>
      <c r="S600" s="27" t="str">
        <f>LEFT(TArticle[[#This Row],[تاریخ]],4)</f>
        <v>1403</v>
      </c>
      <c r="U600" s="21">
        <f>VLOOKUP(TArticle[[#This Row],[شناسه]],TAccount[],7,TRUE)</f>
        <v>0</v>
      </c>
      <c r="W600" s="21">
        <f>IF(AND(TArticle[[#This Row],[مبلغ]]&gt;0, TArticle[[#This Row],[کد وضعیت سند]]=1),TArticle[[#This Row],[مبلغ]],0)</f>
        <v>0</v>
      </c>
      <c r="X600" s="27">
        <f>IF(AND(TArticle[[#This Row],[مبلغ]]&lt;0,TArticle[[#This Row],[کد وضعیت سند]]=1),0-TArticle[[#This Row],[مبلغ]],0)</f>
        <v>0</v>
      </c>
      <c r="Y600" s="27">
        <v>2</v>
      </c>
      <c r="Z600" s="171" t="str">
        <f>IF(TArticle[[#This Row],[کد بانک]]&gt;0,VLOOKUP(TArticle[[#This Row],[کد بانک]],TBank[],2,FALSE),"")</f>
        <v>ملی جاری</v>
      </c>
      <c r="AA600">
        <f>IF(AND(TArticle[[#This Row],[مبلغ]]&lt;0,TArticle[[#This Row],[کد وضعیت سند]]=1),0-TArticle[[#This Row],[مبلغ]],0)</f>
        <v>0</v>
      </c>
      <c r="AB600">
        <f>IF(AND(TArticle[[#This Row],[مبلغ]]&gt;0, TArticle[[#This Row],[کد وضعیت سند]]=1),TArticle[[#This Row],[مبلغ]],0)</f>
        <v>0</v>
      </c>
      <c r="AC600" s="84">
        <f>IF(TArticle[[#This Row],[کد بانک]]&gt;0,VLOOKUP(TArticle[[#This Row],[کد بانک]],TBank[],9,FALSE)+SUMIF($Y$2:Y600,Y600,$E$2:$E600),"")</f>
        <v>337414</v>
      </c>
      <c r="AD600" s="1">
        <f>IFERROR(IF(INT(LEFT(TArticle[[#This Row],[شناسه]]))=3,IF(TArticle[[#This Row],[کد وضعیت سند]]=1,TArticle[مبلغ],0),0),0)</f>
        <v>0</v>
      </c>
      <c r="AE600" s="1">
        <f>IFERROR(IF(((TArticle[[#This Row],[شناسه]]))="4.1.1",IF(TArticle[[#This Row],[کد وضعیت سند]]=1,TArticle[مبلغ],0),0),0)</f>
        <v>0</v>
      </c>
      <c r="AF600" s="1">
        <f>IFERROR(IF(((TArticle[[#This Row],[شناسه]]))="4.1.2",IF(TArticle[[#This Row],[کد وضعیت سند]]=1,TArticle[مبلغ],0),0),0)</f>
        <v>0</v>
      </c>
      <c r="AG600" s="1">
        <f>IFERROR(IF(INT(LEFT(TArticle[[#This Row],[شناسه]]))=1,IF(TArticle[[#This Row],[کد وضعیت سند]]=1,TArticle[مبلغ],0),0),0)</f>
        <v>0</v>
      </c>
      <c r="AH600" s="1">
        <f>IFERROR(IF(INT(LEFT(TArticle[[#This Row],[شناسه]]))=2,IF(TArticle[[#This Row],[کد وضعیت سند]]=1,TArticle[مبلغ],0),0),0)</f>
        <v>0</v>
      </c>
      <c r="AI600" s="1">
        <f>IFERROR(IF((LEFT(TArticle[[#This Row],[شناسه]],3))="5.2",IF(TArticle[[#This Row],[کد وضعیت سند]]=1,TArticle[مبلغ],0),0),0)</f>
        <v>0</v>
      </c>
      <c r="AJ600" s="1">
        <f>IF(TArticle[[#This Row],[کد وضعیت سند]]=1,1,0)</f>
        <v>0</v>
      </c>
      <c r="AK600" s="1">
        <f>IF(AND(TArticle[[#This Row],[کد وضعیت سند]]&lt;&gt;1,TArticle[[#This Row],[مبلغ]]&lt;&gt;0),1,0)</f>
        <v>0</v>
      </c>
      <c r="AL600" s="51">
        <f>IF(TArticle[[#This Row],[کد بانک]]&gt;0,TArticle[[#This Row],[مانده بانک]]-VLOOKUP(TArticle[[#This Row],[کد بانک]],TBank[],7,FALSE),"")</f>
        <v>337414</v>
      </c>
      <c r="AM600" s="49" t="str">
        <f>LEFT(TArticle[[#This Row],[تاریخ]],7)</f>
        <v>1403-03</v>
      </c>
    </row>
    <row r="601" spans="1:39" x14ac:dyDescent="0.25">
      <c r="A601" s="24"/>
      <c r="B601" s="49" t="str">
        <f>VLOOKUP(TArticle[[#This Row],[شناسه]],TAccount[],2,TRUE)</f>
        <v>---</v>
      </c>
      <c r="C601" s="49" t="str">
        <f>VLOOKUP(TArticle[[#This Row],[تاریخ]],TDays[],7,FALSE)</f>
        <v>سه شنبه</v>
      </c>
      <c r="D601" s="21" t="s">
        <v>1316</v>
      </c>
      <c r="F601" s="1">
        <f>TArticle[[#This Row],[مبلغ]]+IFERROR(INT(F600),30181+3667+958)</f>
        <v>295762</v>
      </c>
      <c r="G601" s="49"/>
      <c r="L601" s="171" t="str">
        <f>IF(TArticle[[#This Row],[کد وضعیت سند]]&gt;0,VLOOKUP(TArticle[[#This Row],[کد وضعیت سند]],TDocState[],2,FALSE),"")</f>
        <v/>
      </c>
      <c r="N601" s="171" t="str">
        <f>IF(TArticle[[#This Row],[کد طرف حساب]]&gt;0,VLOOKUP(TArticle[[#This Row],[کد طرف حساب]],TContact[],2,FALSE),"")</f>
        <v/>
      </c>
      <c r="O601" s="61" t="str">
        <f>IF(TArticle[[#This Row],[کد طرف حساب]]&gt;0,VLOOKUP(TArticle[[#This Row],[کد طرف حساب]],TContact[],7,FALSE)-SUMIF($M$2:M601,M601,$E$2:$E601),"")</f>
        <v/>
      </c>
      <c r="P601" s="27" t="str">
        <f>RIGHT(TArticle[[#This Row],[تاریخ]],2)</f>
        <v>29</v>
      </c>
      <c r="Q601" s="27">
        <f>VLOOKUP(TArticle[[#This Row],[تاریخ]],TDays[],16,FALSE)</f>
        <v>14</v>
      </c>
      <c r="R601" s="27" t="str">
        <f>RIGHT(LEFT(TArticle[[#This Row],[تاریخ]],7),2)</f>
        <v>03</v>
      </c>
      <c r="S601" s="27" t="str">
        <f>LEFT(TArticle[[#This Row],[تاریخ]],4)</f>
        <v>1403</v>
      </c>
      <c r="U601" s="21">
        <f>VLOOKUP(TArticle[[#This Row],[شناسه]],TAccount[],7,TRUE)</f>
        <v>0</v>
      </c>
      <c r="W601" s="21">
        <f>IF(AND(TArticle[[#This Row],[مبلغ]]&gt;0, TArticle[[#This Row],[کد وضعیت سند]]=1),TArticle[[#This Row],[مبلغ]],0)</f>
        <v>0</v>
      </c>
      <c r="X601" s="27">
        <f>IF(AND(TArticle[[#This Row],[مبلغ]]&lt;0,TArticle[[#This Row],[کد وضعیت سند]]=1),0-TArticle[[#This Row],[مبلغ]],0)</f>
        <v>0</v>
      </c>
      <c r="Y601" s="27">
        <v>2</v>
      </c>
      <c r="Z601" s="171" t="str">
        <f>IF(TArticle[[#This Row],[کد بانک]]&gt;0,VLOOKUP(TArticle[[#This Row],[کد بانک]],TBank[],2,FALSE),"")</f>
        <v>ملی جاری</v>
      </c>
      <c r="AA601">
        <f>IF(AND(TArticle[[#This Row],[مبلغ]]&lt;0,TArticle[[#This Row],[کد وضعیت سند]]=1),0-TArticle[[#This Row],[مبلغ]],0)</f>
        <v>0</v>
      </c>
      <c r="AB601">
        <f>IF(AND(TArticle[[#This Row],[مبلغ]]&gt;0, TArticle[[#This Row],[کد وضعیت سند]]=1),TArticle[[#This Row],[مبلغ]],0)</f>
        <v>0</v>
      </c>
      <c r="AC601" s="84">
        <f>IF(TArticle[[#This Row],[کد بانک]]&gt;0,VLOOKUP(TArticle[[#This Row],[کد بانک]],TBank[],9,FALSE)+SUMIF($Y$2:Y601,Y601,$E$2:$E601),"")</f>
        <v>337414</v>
      </c>
      <c r="AD601" s="1">
        <f>IFERROR(IF(INT(LEFT(TArticle[[#This Row],[شناسه]]))=3,IF(TArticle[[#This Row],[کد وضعیت سند]]=1,TArticle[مبلغ],0),0),0)</f>
        <v>0</v>
      </c>
      <c r="AE601" s="1">
        <f>IFERROR(IF(((TArticle[[#This Row],[شناسه]]))="4.1.1",IF(TArticle[[#This Row],[کد وضعیت سند]]=1,TArticle[مبلغ],0),0),0)</f>
        <v>0</v>
      </c>
      <c r="AF601" s="1">
        <f>IFERROR(IF(((TArticle[[#This Row],[شناسه]]))="4.1.2",IF(TArticle[[#This Row],[کد وضعیت سند]]=1,TArticle[مبلغ],0),0),0)</f>
        <v>0</v>
      </c>
      <c r="AG601" s="1">
        <f>IFERROR(IF(INT(LEFT(TArticle[[#This Row],[شناسه]]))=1,IF(TArticle[[#This Row],[کد وضعیت سند]]=1,TArticle[مبلغ],0),0),0)</f>
        <v>0</v>
      </c>
      <c r="AH601" s="1">
        <f>IFERROR(IF(INT(LEFT(TArticle[[#This Row],[شناسه]]))=2,IF(TArticle[[#This Row],[کد وضعیت سند]]=1,TArticle[مبلغ],0),0),0)</f>
        <v>0</v>
      </c>
      <c r="AI601" s="1">
        <f>IFERROR(IF((LEFT(TArticle[[#This Row],[شناسه]],3))="5.2",IF(TArticle[[#This Row],[کد وضعیت سند]]=1,TArticle[مبلغ],0),0),0)</f>
        <v>0</v>
      </c>
      <c r="AJ601" s="1">
        <f>IF(TArticle[[#This Row],[کد وضعیت سند]]=1,1,0)</f>
        <v>0</v>
      </c>
      <c r="AK601" s="1">
        <f>IF(AND(TArticle[[#This Row],[کد وضعیت سند]]&lt;&gt;1,TArticle[[#This Row],[مبلغ]]&lt;&gt;0),1,0)</f>
        <v>0</v>
      </c>
      <c r="AL601" s="51">
        <f>IF(TArticle[[#This Row],[کد بانک]]&gt;0,TArticle[[#This Row],[مانده بانک]]-VLOOKUP(TArticle[[#This Row],[کد بانک]],TBank[],7,FALSE),"")</f>
        <v>337414</v>
      </c>
      <c r="AM601" s="49" t="str">
        <f>LEFT(TArticle[[#This Row],[تاریخ]],7)</f>
        <v>1403-03</v>
      </c>
    </row>
    <row r="602" spans="1:39" x14ac:dyDescent="0.25">
      <c r="A602" s="24"/>
      <c r="B602" s="49" t="str">
        <f>VLOOKUP(TArticle[[#This Row],[شناسه]],TAccount[],2,TRUE)</f>
        <v>---</v>
      </c>
      <c r="C602" s="49" t="str">
        <f>VLOOKUP(TArticle[[#This Row],[تاریخ]],TDays[],7,FALSE)</f>
        <v>سه شنبه</v>
      </c>
      <c r="D602" s="21" t="s">
        <v>1316</v>
      </c>
      <c r="F602" s="1">
        <f>TArticle[[#This Row],[مبلغ]]+IFERROR(INT(F601),30181+3667+958)</f>
        <v>295762</v>
      </c>
      <c r="G602" s="49"/>
      <c r="L602" s="171" t="str">
        <f>IF(TArticle[[#This Row],[کد وضعیت سند]]&gt;0,VLOOKUP(TArticle[[#This Row],[کد وضعیت سند]],TDocState[],2,FALSE),"")</f>
        <v/>
      </c>
      <c r="N602" s="171" t="str">
        <f>IF(TArticle[[#This Row],[کد طرف حساب]]&gt;0,VLOOKUP(TArticle[[#This Row],[کد طرف حساب]],TContact[],2,FALSE),"")</f>
        <v/>
      </c>
      <c r="O602" s="61" t="str">
        <f>IF(TArticle[[#This Row],[کد طرف حساب]]&gt;0,VLOOKUP(TArticle[[#This Row],[کد طرف حساب]],TContact[],7,FALSE)-SUMIF($M$2:M602,M602,$E$2:$E602),"")</f>
        <v/>
      </c>
      <c r="P602" s="27" t="str">
        <f>RIGHT(TArticle[[#This Row],[تاریخ]],2)</f>
        <v>29</v>
      </c>
      <c r="Q602" s="27">
        <f>VLOOKUP(TArticle[[#This Row],[تاریخ]],TDays[],16,FALSE)</f>
        <v>14</v>
      </c>
      <c r="R602" s="27" t="str">
        <f>RIGHT(LEFT(TArticle[[#This Row],[تاریخ]],7),2)</f>
        <v>03</v>
      </c>
      <c r="S602" s="27" t="str">
        <f>LEFT(TArticle[[#This Row],[تاریخ]],4)</f>
        <v>1403</v>
      </c>
      <c r="U602" s="21">
        <f>VLOOKUP(TArticle[[#This Row],[شناسه]],TAccount[],7,TRUE)</f>
        <v>0</v>
      </c>
      <c r="W602" s="21">
        <f>IF(AND(TArticle[[#This Row],[مبلغ]]&gt;0, TArticle[[#This Row],[کد وضعیت سند]]=1),TArticle[[#This Row],[مبلغ]],0)</f>
        <v>0</v>
      </c>
      <c r="X602" s="27">
        <f>IF(AND(TArticle[[#This Row],[مبلغ]]&lt;0,TArticle[[#This Row],[کد وضعیت سند]]=1),0-TArticle[[#This Row],[مبلغ]],0)</f>
        <v>0</v>
      </c>
      <c r="Y602" s="27">
        <v>2</v>
      </c>
      <c r="Z602" s="171" t="str">
        <f>IF(TArticle[[#This Row],[کد بانک]]&gt;0,VLOOKUP(TArticle[[#This Row],[کد بانک]],TBank[],2,FALSE),"")</f>
        <v>ملی جاری</v>
      </c>
      <c r="AA602">
        <f>IF(AND(TArticle[[#This Row],[مبلغ]]&lt;0,TArticle[[#This Row],[کد وضعیت سند]]=1),0-TArticle[[#This Row],[مبلغ]],0)</f>
        <v>0</v>
      </c>
      <c r="AB602">
        <f>IF(AND(TArticle[[#This Row],[مبلغ]]&gt;0, TArticle[[#This Row],[کد وضعیت سند]]=1),TArticle[[#This Row],[مبلغ]],0)</f>
        <v>0</v>
      </c>
      <c r="AC602" s="84">
        <f>IF(TArticle[[#This Row],[کد بانک]]&gt;0,VLOOKUP(TArticle[[#This Row],[کد بانک]],TBank[],9,FALSE)+SUMIF($Y$2:Y602,Y602,$E$2:$E602),"")</f>
        <v>337414</v>
      </c>
      <c r="AD602" s="1">
        <f>IFERROR(IF(INT(LEFT(TArticle[[#This Row],[شناسه]]))=3,IF(TArticle[[#This Row],[کد وضعیت سند]]=1,TArticle[مبلغ],0),0),0)</f>
        <v>0</v>
      </c>
      <c r="AE602" s="1">
        <f>IFERROR(IF(((TArticle[[#This Row],[شناسه]]))="4.1.1",IF(TArticle[[#This Row],[کد وضعیت سند]]=1,TArticle[مبلغ],0),0),0)</f>
        <v>0</v>
      </c>
      <c r="AF602" s="1">
        <f>IFERROR(IF(((TArticle[[#This Row],[شناسه]]))="4.1.2",IF(TArticle[[#This Row],[کد وضعیت سند]]=1,TArticle[مبلغ],0),0),0)</f>
        <v>0</v>
      </c>
      <c r="AG602" s="1">
        <f>IFERROR(IF(INT(LEFT(TArticle[[#This Row],[شناسه]]))=1,IF(TArticle[[#This Row],[کد وضعیت سند]]=1,TArticle[مبلغ],0),0),0)</f>
        <v>0</v>
      </c>
      <c r="AH602" s="1">
        <f>IFERROR(IF(INT(LEFT(TArticle[[#This Row],[شناسه]]))=2,IF(TArticle[[#This Row],[کد وضعیت سند]]=1,TArticle[مبلغ],0),0),0)</f>
        <v>0</v>
      </c>
      <c r="AI602" s="1">
        <f>IFERROR(IF((LEFT(TArticle[[#This Row],[شناسه]],3))="5.2",IF(TArticle[[#This Row],[کد وضعیت سند]]=1,TArticle[مبلغ],0),0),0)</f>
        <v>0</v>
      </c>
      <c r="AJ602" s="1">
        <f>IF(TArticle[[#This Row],[کد وضعیت سند]]=1,1,0)</f>
        <v>0</v>
      </c>
      <c r="AK602" s="1">
        <f>IF(AND(TArticle[[#This Row],[کد وضعیت سند]]&lt;&gt;1,TArticle[[#This Row],[مبلغ]]&lt;&gt;0),1,0)</f>
        <v>0</v>
      </c>
      <c r="AL602" s="51">
        <f>IF(TArticle[[#This Row],[کد بانک]]&gt;0,TArticle[[#This Row],[مانده بانک]]-VLOOKUP(TArticle[[#This Row],[کد بانک]],TBank[],7,FALSE),"")</f>
        <v>337414</v>
      </c>
      <c r="AM602" s="49" t="str">
        <f>LEFT(TArticle[[#This Row],[تاریخ]],7)</f>
        <v>1403-03</v>
      </c>
    </row>
    <row r="603" spans="1:39" x14ac:dyDescent="0.25">
      <c r="A603" s="24"/>
      <c r="B603" s="49" t="str">
        <f>VLOOKUP(TArticle[[#This Row],[شناسه]],TAccount[],2,TRUE)</f>
        <v>---</v>
      </c>
      <c r="C603" s="49" t="str">
        <f>VLOOKUP(TArticle[[#This Row],[تاریخ]],TDays[],7,FALSE)</f>
        <v>سه شنبه</v>
      </c>
      <c r="D603" s="21" t="s">
        <v>1316</v>
      </c>
      <c r="F603" s="1">
        <f>TArticle[[#This Row],[مبلغ]]+IFERROR(INT(F602),30181+3667+958)</f>
        <v>295762</v>
      </c>
      <c r="G603" s="49"/>
      <c r="L603" s="171" t="str">
        <f>IF(TArticle[[#This Row],[کد وضعیت سند]]&gt;0,VLOOKUP(TArticle[[#This Row],[کد وضعیت سند]],TDocState[],2,FALSE),"")</f>
        <v/>
      </c>
      <c r="N603" s="171" t="str">
        <f>IF(TArticle[[#This Row],[کد طرف حساب]]&gt;0,VLOOKUP(TArticle[[#This Row],[کد طرف حساب]],TContact[],2,FALSE),"")</f>
        <v/>
      </c>
      <c r="O603" s="61" t="str">
        <f>IF(TArticle[[#This Row],[کد طرف حساب]]&gt;0,VLOOKUP(TArticle[[#This Row],[کد طرف حساب]],TContact[],7,FALSE)-SUMIF($M$2:M603,M603,$E$2:$E603),"")</f>
        <v/>
      </c>
      <c r="P603" s="27" t="str">
        <f>RIGHT(TArticle[[#This Row],[تاریخ]],2)</f>
        <v>29</v>
      </c>
      <c r="Q603" s="27">
        <f>VLOOKUP(TArticle[[#This Row],[تاریخ]],TDays[],16,FALSE)</f>
        <v>14</v>
      </c>
      <c r="R603" s="27" t="str">
        <f>RIGHT(LEFT(TArticle[[#This Row],[تاریخ]],7),2)</f>
        <v>03</v>
      </c>
      <c r="S603" s="27" t="str">
        <f>LEFT(TArticle[[#This Row],[تاریخ]],4)</f>
        <v>1403</v>
      </c>
      <c r="U603" s="21">
        <f>VLOOKUP(TArticle[[#This Row],[شناسه]],TAccount[],7,TRUE)</f>
        <v>0</v>
      </c>
      <c r="W603" s="21">
        <f>IF(AND(TArticle[[#This Row],[مبلغ]]&gt;0, TArticle[[#This Row],[کد وضعیت سند]]=1),TArticle[[#This Row],[مبلغ]],0)</f>
        <v>0</v>
      </c>
      <c r="X603" s="27">
        <f>IF(AND(TArticle[[#This Row],[مبلغ]]&lt;0,TArticle[[#This Row],[کد وضعیت سند]]=1),0-TArticle[[#This Row],[مبلغ]],0)</f>
        <v>0</v>
      </c>
      <c r="Y603" s="27">
        <v>2</v>
      </c>
      <c r="Z603" s="171" t="str">
        <f>IF(TArticle[[#This Row],[کد بانک]]&gt;0,VLOOKUP(TArticle[[#This Row],[کد بانک]],TBank[],2,FALSE),"")</f>
        <v>ملی جاری</v>
      </c>
      <c r="AA603">
        <f>IF(AND(TArticle[[#This Row],[مبلغ]]&lt;0,TArticle[[#This Row],[کد وضعیت سند]]=1),0-TArticle[[#This Row],[مبلغ]],0)</f>
        <v>0</v>
      </c>
      <c r="AB603">
        <f>IF(AND(TArticle[[#This Row],[مبلغ]]&gt;0, TArticle[[#This Row],[کد وضعیت سند]]=1),TArticle[[#This Row],[مبلغ]],0)</f>
        <v>0</v>
      </c>
      <c r="AC603" s="84">
        <f>IF(TArticle[[#This Row],[کد بانک]]&gt;0,VLOOKUP(TArticle[[#This Row],[کد بانک]],TBank[],9,FALSE)+SUMIF($Y$2:Y603,Y603,$E$2:$E603),"")</f>
        <v>337414</v>
      </c>
      <c r="AD603" s="1">
        <f>IFERROR(IF(INT(LEFT(TArticle[[#This Row],[شناسه]]))=3,IF(TArticle[[#This Row],[کد وضعیت سند]]=1,TArticle[مبلغ],0),0),0)</f>
        <v>0</v>
      </c>
      <c r="AE603" s="1">
        <f>IFERROR(IF(((TArticle[[#This Row],[شناسه]]))="4.1.1",IF(TArticle[[#This Row],[کد وضعیت سند]]=1,TArticle[مبلغ],0),0),0)</f>
        <v>0</v>
      </c>
      <c r="AF603" s="1">
        <f>IFERROR(IF(((TArticle[[#This Row],[شناسه]]))="4.1.2",IF(TArticle[[#This Row],[کد وضعیت سند]]=1,TArticle[مبلغ],0),0),0)</f>
        <v>0</v>
      </c>
      <c r="AG603" s="1">
        <f>IFERROR(IF(INT(LEFT(TArticle[[#This Row],[شناسه]]))=1,IF(TArticle[[#This Row],[کد وضعیت سند]]=1,TArticle[مبلغ],0),0),0)</f>
        <v>0</v>
      </c>
      <c r="AH603" s="1">
        <f>IFERROR(IF(INT(LEFT(TArticle[[#This Row],[شناسه]]))=2,IF(TArticle[[#This Row],[کد وضعیت سند]]=1,TArticle[مبلغ],0),0),0)</f>
        <v>0</v>
      </c>
      <c r="AI603" s="1">
        <f>IFERROR(IF((LEFT(TArticle[[#This Row],[شناسه]],3))="5.2",IF(TArticle[[#This Row],[کد وضعیت سند]]=1,TArticle[مبلغ],0),0),0)</f>
        <v>0</v>
      </c>
      <c r="AJ603" s="1">
        <f>IF(TArticle[[#This Row],[کد وضعیت سند]]=1,1,0)</f>
        <v>0</v>
      </c>
      <c r="AK603" s="1">
        <f>IF(AND(TArticle[[#This Row],[کد وضعیت سند]]&lt;&gt;1,TArticle[[#This Row],[مبلغ]]&lt;&gt;0),1,0)</f>
        <v>0</v>
      </c>
      <c r="AL603" s="51">
        <f>IF(TArticle[[#This Row],[کد بانک]]&gt;0,TArticle[[#This Row],[مانده بانک]]-VLOOKUP(TArticle[[#This Row],[کد بانک]],TBank[],7,FALSE),"")</f>
        <v>337414</v>
      </c>
      <c r="AM603" s="49" t="str">
        <f>LEFT(TArticle[[#This Row],[تاریخ]],7)</f>
        <v>1403-03</v>
      </c>
    </row>
    <row r="604" spans="1:39" x14ac:dyDescent="0.25">
      <c r="A604" s="24"/>
      <c r="B604" s="49" t="str">
        <f>VLOOKUP(TArticle[[#This Row],[شناسه]],TAccount[],2,TRUE)</f>
        <v>---</v>
      </c>
      <c r="C604" s="49" t="str">
        <f>VLOOKUP(TArticle[[#This Row],[تاریخ]],TDays[],7,FALSE)</f>
        <v>سه شنبه</v>
      </c>
      <c r="D604" s="21" t="s">
        <v>1316</v>
      </c>
      <c r="F604" s="1">
        <f>TArticle[[#This Row],[مبلغ]]+IFERROR(INT(F603),30181+3667+958)</f>
        <v>295762</v>
      </c>
      <c r="G604" s="49"/>
      <c r="L604" s="171" t="str">
        <f>IF(TArticle[[#This Row],[کد وضعیت سند]]&gt;0,VLOOKUP(TArticle[[#This Row],[کد وضعیت سند]],TDocState[],2,FALSE),"")</f>
        <v/>
      </c>
      <c r="N604" s="171" t="str">
        <f>IF(TArticle[[#This Row],[کد طرف حساب]]&gt;0,VLOOKUP(TArticle[[#This Row],[کد طرف حساب]],TContact[],2,FALSE),"")</f>
        <v/>
      </c>
      <c r="O604" s="61" t="str">
        <f>IF(TArticle[[#This Row],[کد طرف حساب]]&gt;0,VLOOKUP(TArticle[[#This Row],[کد طرف حساب]],TContact[],7,FALSE)-SUMIF($M$2:M604,M604,$E$2:$E604),"")</f>
        <v/>
      </c>
      <c r="P604" s="27" t="str">
        <f>RIGHT(TArticle[[#This Row],[تاریخ]],2)</f>
        <v>29</v>
      </c>
      <c r="Q604" s="27">
        <f>VLOOKUP(TArticle[[#This Row],[تاریخ]],TDays[],16,FALSE)</f>
        <v>14</v>
      </c>
      <c r="R604" s="27" t="str">
        <f>RIGHT(LEFT(TArticle[[#This Row],[تاریخ]],7),2)</f>
        <v>03</v>
      </c>
      <c r="S604" s="27" t="str">
        <f>LEFT(TArticle[[#This Row],[تاریخ]],4)</f>
        <v>1403</v>
      </c>
      <c r="U604" s="21">
        <f>VLOOKUP(TArticle[[#This Row],[شناسه]],TAccount[],7,TRUE)</f>
        <v>0</v>
      </c>
      <c r="W604" s="21">
        <f>IF(AND(TArticle[[#This Row],[مبلغ]]&gt;0, TArticle[[#This Row],[کد وضعیت سند]]=1),TArticle[[#This Row],[مبلغ]],0)</f>
        <v>0</v>
      </c>
      <c r="X604" s="27">
        <f>IF(AND(TArticle[[#This Row],[مبلغ]]&lt;0,TArticle[[#This Row],[کد وضعیت سند]]=1),0-TArticle[[#This Row],[مبلغ]],0)</f>
        <v>0</v>
      </c>
      <c r="Y604" s="27">
        <v>2</v>
      </c>
      <c r="Z604" s="171" t="str">
        <f>IF(TArticle[[#This Row],[کد بانک]]&gt;0,VLOOKUP(TArticle[[#This Row],[کد بانک]],TBank[],2,FALSE),"")</f>
        <v>ملی جاری</v>
      </c>
      <c r="AA604">
        <f>IF(AND(TArticle[[#This Row],[مبلغ]]&lt;0,TArticle[[#This Row],[کد وضعیت سند]]=1),0-TArticle[[#This Row],[مبلغ]],0)</f>
        <v>0</v>
      </c>
      <c r="AB604">
        <f>IF(AND(TArticle[[#This Row],[مبلغ]]&gt;0, TArticle[[#This Row],[کد وضعیت سند]]=1),TArticle[[#This Row],[مبلغ]],0)</f>
        <v>0</v>
      </c>
      <c r="AC604" s="84">
        <f>IF(TArticle[[#This Row],[کد بانک]]&gt;0,VLOOKUP(TArticle[[#This Row],[کد بانک]],TBank[],9,FALSE)+SUMIF($Y$2:Y604,Y604,$E$2:$E604),"")</f>
        <v>337414</v>
      </c>
      <c r="AD604" s="1">
        <f>IFERROR(IF(INT(LEFT(TArticle[[#This Row],[شناسه]]))=3,IF(TArticle[[#This Row],[کد وضعیت سند]]=1,TArticle[مبلغ],0),0),0)</f>
        <v>0</v>
      </c>
      <c r="AE604" s="1">
        <f>IFERROR(IF(((TArticle[[#This Row],[شناسه]]))="4.1.1",IF(TArticle[[#This Row],[کد وضعیت سند]]=1,TArticle[مبلغ],0),0),0)</f>
        <v>0</v>
      </c>
      <c r="AF604" s="1">
        <f>IFERROR(IF(((TArticle[[#This Row],[شناسه]]))="4.1.2",IF(TArticle[[#This Row],[کد وضعیت سند]]=1,TArticle[مبلغ],0),0),0)</f>
        <v>0</v>
      </c>
      <c r="AG604" s="1">
        <f>IFERROR(IF(INT(LEFT(TArticle[[#This Row],[شناسه]]))=1,IF(TArticle[[#This Row],[کد وضعیت سند]]=1,TArticle[مبلغ],0),0),0)</f>
        <v>0</v>
      </c>
      <c r="AH604" s="1">
        <f>IFERROR(IF(INT(LEFT(TArticle[[#This Row],[شناسه]]))=2,IF(TArticle[[#This Row],[کد وضعیت سند]]=1,TArticle[مبلغ],0),0),0)</f>
        <v>0</v>
      </c>
      <c r="AI604" s="1">
        <f>IFERROR(IF((LEFT(TArticle[[#This Row],[شناسه]],3))="5.2",IF(TArticle[[#This Row],[کد وضعیت سند]]=1,TArticle[مبلغ],0),0),0)</f>
        <v>0</v>
      </c>
      <c r="AJ604" s="1">
        <f>IF(TArticle[[#This Row],[کد وضعیت سند]]=1,1,0)</f>
        <v>0</v>
      </c>
      <c r="AK604" s="1">
        <f>IF(AND(TArticle[[#This Row],[کد وضعیت سند]]&lt;&gt;1,TArticle[[#This Row],[مبلغ]]&lt;&gt;0),1,0)</f>
        <v>0</v>
      </c>
      <c r="AL604" s="51">
        <f>IF(TArticle[[#This Row],[کد بانک]]&gt;0,TArticle[[#This Row],[مانده بانک]]-VLOOKUP(TArticle[[#This Row],[کد بانک]],TBank[],7,FALSE),"")</f>
        <v>337414</v>
      </c>
      <c r="AM604" s="49" t="str">
        <f>LEFT(TArticle[[#This Row],[تاریخ]],7)</f>
        <v>1403-03</v>
      </c>
    </row>
    <row r="605" spans="1:39" x14ac:dyDescent="0.25">
      <c r="A605" s="24"/>
      <c r="B605" s="49" t="str">
        <f>VLOOKUP(TArticle[[#This Row],[شناسه]],TAccount[],2,TRUE)</f>
        <v>---</v>
      </c>
      <c r="C605" s="49" t="str">
        <f>VLOOKUP(TArticle[[#This Row],[تاریخ]],TDays[],7,FALSE)</f>
        <v>سه شنبه</v>
      </c>
      <c r="D605" s="21" t="s">
        <v>1316</v>
      </c>
      <c r="F605" s="1">
        <f>TArticle[[#This Row],[مبلغ]]+IFERROR(INT(F604),30181+3667+958)</f>
        <v>295762</v>
      </c>
      <c r="G605" s="49"/>
      <c r="L605" s="171" t="str">
        <f>IF(TArticle[[#This Row],[کد وضعیت سند]]&gt;0,VLOOKUP(TArticle[[#This Row],[کد وضعیت سند]],TDocState[],2,FALSE),"")</f>
        <v/>
      </c>
      <c r="N605" s="171" t="str">
        <f>IF(TArticle[[#This Row],[کد طرف حساب]]&gt;0,VLOOKUP(TArticle[[#This Row],[کد طرف حساب]],TContact[],2,FALSE),"")</f>
        <v/>
      </c>
      <c r="O605" s="61" t="str">
        <f>IF(TArticle[[#This Row],[کد طرف حساب]]&gt;0,VLOOKUP(TArticle[[#This Row],[کد طرف حساب]],TContact[],7,FALSE)-SUMIF($M$2:M605,M605,$E$2:$E605),"")</f>
        <v/>
      </c>
      <c r="P605" s="27" t="str">
        <f>RIGHT(TArticle[[#This Row],[تاریخ]],2)</f>
        <v>29</v>
      </c>
      <c r="Q605" s="27">
        <f>VLOOKUP(TArticle[[#This Row],[تاریخ]],TDays[],16,FALSE)</f>
        <v>14</v>
      </c>
      <c r="R605" s="27" t="str">
        <f>RIGHT(LEFT(TArticle[[#This Row],[تاریخ]],7),2)</f>
        <v>03</v>
      </c>
      <c r="S605" s="27" t="str">
        <f>LEFT(TArticle[[#This Row],[تاریخ]],4)</f>
        <v>1403</v>
      </c>
      <c r="U605" s="21">
        <f>VLOOKUP(TArticle[[#This Row],[شناسه]],TAccount[],7,TRUE)</f>
        <v>0</v>
      </c>
      <c r="W605" s="21">
        <f>IF(AND(TArticle[[#This Row],[مبلغ]]&gt;0, TArticle[[#This Row],[کد وضعیت سند]]=1),TArticle[[#This Row],[مبلغ]],0)</f>
        <v>0</v>
      </c>
      <c r="X605" s="27">
        <f>IF(AND(TArticle[[#This Row],[مبلغ]]&lt;0,TArticle[[#This Row],[کد وضعیت سند]]=1),0-TArticle[[#This Row],[مبلغ]],0)</f>
        <v>0</v>
      </c>
      <c r="Y605" s="27">
        <v>2</v>
      </c>
      <c r="Z605" s="171" t="str">
        <f>IF(TArticle[[#This Row],[کد بانک]]&gt;0,VLOOKUP(TArticle[[#This Row],[کد بانک]],TBank[],2,FALSE),"")</f>
        <v>ملی جاری</v>
      </c>
      <c r="AA605">
        <f>IF(AND(TArticle[[#This Row],[مبلغ]]&lt;0,TArticle[[#This Row],[کد وضعیت سند]]=1),0-TArticle[[#This Row],[مبلغ]],0)</f>
        <v>0</v>
      </c>
      <c r="AB605">
        <f>IF(AND(TArticle[[#This Row],[مبلغ]]&gt;0, TArticle[[#This Row],[کد وضعیت سند]]=1),TArticle[[#This Row],[مبلغ]],0)</f>
        <v>0</v>
      </c>
      <c r="AC605" s="84">
        <f>IF(TArticle[[#This Row],[کد بانک]]&gt;0,VLOOKUP(TArticle[[#This Row],[کد بانک]],TBank[],9,FALSE)+SUMIF($Y$2:Y605,Y605,$E$2:$E605),"")</f>
        <v>337414</v>
      </c>
      <c r="AD605" s="1">
        <f>IFERROR(IF(INT(LEFT(TArticle[[#This Row],[شناسه]]))=3,IF(TArticle[[#This Row],[کد وضعیت سند]]=1,TArticle[مبلغ],0),0),0)</f>
        <v>0</v>
      </c>
      <c r="AE605" s="1">
        <f>IFERROR(IF(((TArticle[[#This Row],[شناسه]]))="4.1.1",IF(TArticle[[#This Row],[کد وضعیت سند]]=1,TArticle[مبلغ],0),0),0)</f>
        <v>0</v>
      </c>
      <c r="AF605" s="1">
        <f>IFERROR(IF(((TArticle[[#This Row],[شناسه]]))="4.1.2",IF(TArticle[[#This Row],[کد وضعیت سند]]=1,TArticle[مبلغ],0),0),0)</f>
        <v>0</v>
      </c>
      <c r="AG605" s="1">
        <f>IFERROR(IF(INT(LEFT(TArticle[[#This Row],[شناسه]]))=1,IF(TArticle[[#This Row],[کد وضعیت سند]]=1,TArticle[مبلغ],0),0),0)</f>
        <v>0</v>
      </c>
      <c r="AH605" s="1">
        <f>IFERROR(IF(INT(LEFT(TArticle[[#This Row],[شناسه]]))=2,IF(TArticle[[#This Row],[کد وضعیت سند]]=1,TArticle[مبلغ],0),0),0)</f>
        <v>0</v>
      </c>
      <c r="AI605" s="1">
        <f>IFERROR(IF((LEFT(TArticle[[#This Row],[شناسه]],3))="5.2",IF(TArticle[[#This Row],[کد وضعیت سند]]=1,TArticle[مبلغ],0),0),0)</f>
        <v>0</v>
      </c>
      <c r="AJ605" s="1">
        <f>IF(TArticle[[#This Row],[کد وضعیت سند]]=1,1,0)</f>
        <v>0</v>
      </c>
      <c r="AK605" s="1">
        <f>IF(AND(TArticle[[#This Row],[کد وضعیت سند]]&lt;&gt;1,TArticle[[#This Row],[مبلغ]]&lt;&gt;0),1,0)</f>
        <v>0</v>
      </c>
      <c r="AL605" s="51">
        <f>IF(TArticle[[#This Row],[کد بانک]]&gt;0,TArticle[[#This Row],[مانده بانک]]-VLOOKUP(TArticle[[#This Row],[کد بانک]],TBank[],7,FALSE),"")</f>
        <v>337414</v>
      </c>
      <c r="AM605" s="49" t="str">
        <f>LEFT(TArticle[[#This Row],[تاریخ]],7)</f>
        <v>1403-03</v>
      </c>
    </row>
    <row r="606" spans="1:39" x14ac:dyDescent="0.25">
      <c r="A606" s="24"/>
      <c r="B606" s="49" t="str">
        <f>VLOOKUP(TArticle[[#This Row],[شناسه]],TAccount[],2,TRUE)</f>
        <v>---</v>
      </c>
      <c r="C606" s="49" t="str">
        <f>VLOOKUP(TArticle[[#This Row],[تاریخ]],TDays[],7,FALSE)</f>
        <v>سه شنبه</v>
      </c>
      <c r="D606" s="21" t="s">
        <v>1316</v>
      </c>
      <c r="F606" s="1">
        <f>TArticle[[#This Row],[مبلغ]]+IFERROR(INT(F605),30181+3667+958)</f>
        <v>295762</v>
      </c>
      <c r="G606" s="49"/>
      <c r="L606" s="171" t="str">
        <f>IF(TArticle[[#This Row],[کد وضعیت سند]]&gt;0,VLOOKUP(TArticle[[#This Row],[کد وضعیت سند]],TDocState[],2,FALSE),"")</f>
        <v/>
      </c>
      <c r="N606" s="171" t="str">
        <f>IF(TArticle[[#This Row],[کد طرف حساب]]&gt;0,VLOOKUP(TArticle[[#This Row],[کد طرف حساب]],TContact[],2,FALSE),"")</f>
        <v/>
      </c>
      <c r="O606" s="61" t="str">
        <f>IF(TArticle[[#This Row],[کد طرف حساب]]&gt;0,VLOOKUP(TArticle[[#This Row],[کد طرف حساب]],TContact[],7,FALSE)-SUMIF($M$2:M606,M606,$E$2:$E606),"")</f>
        <v/>
      </c>
      <c r="P606" s="27" t="str">
        <f>RIGHT(TArticle[[#This Row],[تاریخ]],2)</f>
        <v>29</v>
      </c>
      <c r="Q606" s="27">
        <f>VLOOKUP(TArticle[[#This Row],[تاریخ]],TDays[],16,FALSE)</f>
        <v>14</v>
      </c>
      <c r="R606" s="27" t="str">
        <f>RIGHT(LEFT(TArticle[[#This Row],[تاریخ]],7),2)</f>
        <v>03</v>
      </c>
      <c r="S606" s="27" t="str">
        <f>LEFT(TArticle[[#This Row],[تاریخ]],4)</f>
        <v>1403</v>
      </c>
      <c r="U606" s="21">
        <f>VLOOKUP(TArticle[[#This Row],[شناسه]],TAccount[],7,TRUE)</f>
        <v>0</v>
      </c>
      <c r="W606" s="21">
        <f>IF(AND(TArticle[[#This Row],[مبلغ]]&gt;0, TArticle[[#This Row],[کد وضعیت سند]]=1),TArticle[[#This Row],[مبلغ]],0)</f>
        <v>0</v>
      </c>
      <c r="X606" s="27">
        <f>IF(AND(TArticle[[#This Row],[مبلغ]]&lt;0,TArticle[[#This Row],[کد وضعیت سند]]=1),0-TArticle[[#This Row],[مبلغ]],0)</f>
        <v>0</v>
      </c>
      <c r="Y606" s="27">
        <v>2</v>
      </c>
      <c r="Z606" s="171" t="str">
        <f>IF(TArticle[[#This Row],[کد بانک]]&gt;0,VLOOKUP(TArticle[[#This Row],[کد بانک]],TBank[],2,FALSE),"")</f>
        <v>ملی جاری</v>
      </c>
      <c r="AA606">
        <f>IF(AND(TArticle[[#This Row],[مبلغ]]&lt;0,TArticle[[#This Row],[کد وضعیت سند]]=1),0-TArticle[[#This Row],[مبلغ]],0)</f>
        <v>0</v>
      </c>
      <c r="AB606">
        <f>IF(AND(TArticle[[#This Row],[مبلغ]]&gt;0, TArticle[[#This Row],[کد وضعیت سند]]=1),TArticle[[#This Row],[مبلغ]],0)</f>
        <v>0</v>
      </c>
      <c r="AC606" s="84">
        <f>IF(TArticle[[#This Row],[کد بانک]]&gt;0,VLOOKUP(TArticle[[#This Row],[کد بانک]],TBank[],9,FALSE)+SUMIF($Y$2:Y606,Y606,$E$2:$E606),"")</f>
        <v>337414</v>
      </c>
      <c r="AD606" s="1">
        <f>IFERROR(IF(INT(LEFT(TArticle[[#This Row],[شناسه]]))=3,IF(TArticle[[#This Row],[کد وضعیت سند]]=1,TArticle[مبلغ],0),0),0)</f>
        <v>0</v>
      </c>
      <c r="AE606" s="1">
        <f>IFERROR(IF(((TArticle[[#This Row],[شناسه]]))="4.1.1",IF(TArticle[[#This Row],[کد وضعیت سند]]=1,TArticle[مبلغ],0),0),0)</f>
        <v>0</v>
      </c>
      <c r="AF606" s="1">
        <f>IFERROR(IF(((TArticle[[#This Row],[شناسه]]))="4.1.2",IF(TArticle[[#This Row],[کد وضعیت سند]]=1,TArticle[مبلغ],0),0),0)</f>
        <v>0</v>
      </c>
      <c r="AG606" s="1">
        <f>IFERROR(IF(INT(LEFT(TArticle[[#This Row],[شناسه]]))=1,IF(TArticle[[#This Row],[کد وضعیت سند]]=1,TArticle[مبلغ],0),0),0)</f>
        <v>0</v>
      </c>
      <c r="AH606" s="1">
        <f>IFERROR(IF(INT(LEFT(TArticle[[#This Row],[شناسه]]))=2,IF(TArticle[[#This Row],[کد وضعیت سند]]=1,TArticle[مبلغ],0),0),0)</f>
        <v>0</v>
      </c>
      <c r="AI606" s="1">
        <f>IFERROR(IF((LEFT(TArticle[[#This Row],[شناسه]],3))="5.2",IF(TArticle[[#This Row],[کد وضعیت سند]]=1,TArticle[مبلغ],0),0),0)</f>
        <v>0</v>
      </c>
      <c r="AJ606" s="1">
        <f>IF(TArticle[[#This Row],[کد وضعیت سند]]=1,1,0)</f>
        <v>0</v>
      </c>
      <c r="AK606" s="1">
        <f>IF(AND(TArticle[[#This Row],[کد وضعیت سند]]&lt;&gt;1,TArticle[[#This Row],[مبلغ]]&lt;&gt;0),1,0)</f>
        <v>0</v>
      </c>
      <c r="AL606" s="51">
        <f>IF(TArticle[[#This Row],[کد بانک]]&gt;0,TArticle[[#This Row],[مانده بانک]]-VLOOKUP(TArticle[[#This Row],[کد بانک]],TBank[],7,FALSE),"")</f>
        <v>337414</v>
      </c>
      <c r="AM606" s="49" t="str">
        <f>LEFT(TArticle[[#This Row],[تاریخ]],7)</f>
        <v>1403-03</v>
      </c>
    </row>
    <row r="607" spans="1:39" x14ac:dyDescent="0.25">
      <c r="A607" s="24"/>
      <c r="B607" s="49" t="str">
        <f>VLOOKUP(TArticle[[#This Row],[شناسه]],TAccount[],2,TRUE)</f>
        <v>---</v>
      </c>
      <c r="C607" s="49" t="str">
        <f>VLOOKUP(TArticle[[#This Row],[تاریخ]],TDays[],7,FALSE)</f>
        <v>سه شنبه</v>
      </c>
      <c r="D607" s="21" t="s">
        <v>1316</v>
      </c>
      <c r="F607" s="1">
        <f>TArticle[[#This Row],[مبلغ]]+IFERROR(INT(F606),30181+3667+958)</f>
        <v>295762</v>
      </c>
      <c r="G607" s="49"/>
      <c r="L607" s="171" t="str">
        <f>IF(TArticle[[#This Row],[کد وضعیت سند]]&gt;0,VLOOKUP(TArticle[[#This Row],[کد وضعیت سند]],TDocState[],2,FALSE),"")</f>
        <v/>
      </c>
      <c r="N607" s="171" t="str">
        <f>IF(TArticle[[#This Row],[کد طرف حساب]]&gt;0,VLOOKUP(TArticle[[#This Row],[کد طرف حساب]],TContact[],2,FALSE),"")</f>
        <v/>
      </c>
      <c r="O607" s="61" t="str">
        <f>IF(TArticle[[#This Row],[کد طرف حساب]]&gt;0,VLOOKUP(TArticle[[#This Row],[کد طرف حساب]],TContact[],7,FALSE)-SUMIF($M$2:M607,M607,$E$2:$E607),"")</f>
        <v/>
      </c>
      <c r="P607" s="27" t="str">
        <f>RIGHT(TArticle[[#This Row],[تاریخ]],2)</f>
        <v>29</v>
      </c>
      <c r="Q607" s="27">
        <f>VLOOKUP(TArticle[[#This Row],[تاریخ]],TDays[],16,FALSE)</f>
        <v>14</v>
      </c>
      <c r="R607" s="27" t="str">
        <f>RIGHT(LEFT(TArticle[[#This Row],[تاریخ]],7),2)</f>
        <v>03</v>
      </c>
      <c r="S607" s="27" t="str">
        <f>LEFT(TArticle[[#This Row],[تاریخ]],4)</f>
        <v>1403</v>
      </c>
      <c r="U607" s="21">
        <f>VLOOKUP(TArticle[[#This Row],[شناسه]],TAccount[],7,TRUE)</f>
        <v>0</v>
      </c>
      <c r="W607" s="21">
        <f>IF(AND(TArticle[[#This Row],[مبلغ]]&gt;0, TArticle[[#This Row],[کد وضعیت سند]]=1),TArticle[[#This Row],[مبلغ]],0)</f>
        <v>0</v>
      </c>
      <c r="X607" s="27">
        <f>IF(AND(TArticle[[#This Row],[مبلغ]]&lt;0,TArticle[[#This Row],[کد وضعیت سند]]=1),0-TArticle[[#This Row],[مبلغ]],0)</f>
        <v>0</v>
      </c>
      <c r="Y607" s="27">
        <v>2</v>
      </c>
      <c r="Z607" s="171" t="str">
        <f>IF(TArticle[[#This Row],[کد بانک]]&gt;0,VLOOKUP(TArticle[[#This Row],[کد بانک]],TBank[],2,FALSE),"")</f>
        <v>ملی جاری</v>
      </c>
      <c r="AA607">
        <f>IF(AND(TArticle[[#This Row],[مبلغ]]&lt;0,TArticle[[#This Row],[کد وضعیت سند]]=1),0-TArticle[[#This Row],[مبلغ]],0)</f>
        <v>0</v>
      </c>
      <c r="AB607">
        <f>IF(AND(TArticle[[#This Row],[مبلغ]]&gt;0, TArticle[[#This Row],[کد وضعیت سند]]=1),TArticle[[#This Row],[مبلغ]],0)</f>
        <v>0</v>
      </c>
      <c r="AC607" s="84">
        <f>IF(TArticle[[#This Row],[کد بانک]]&gt;0,VLOOKUP(TArticle[[#This Row],[کد بانک]],TBank[],9,FALSE)+SUMIF($Y$2:Y607,Y607,$E$2:$E607),"")</f>
        <v>337414</v>
      </c>
      <c r="AD607" s="1">
        <f>IFERROR(IF(INT(LEFT(TArticle[[#This Row],[شناسه]]))=3,IF(TArticle[[#This Row],[کد وضعیت سند]]=1,TArticle[مبلغ],0),0),0)</f>
        <v>0</v>
      </c>
      <c r="AE607" s="1">
        <f>IFERROR(IF(((TArticle[[#This Row],[شناسه]]))="4.1.1",IF(TArticle[[#This Row],[کد وضعیت سند]]=1,TArticle[مبلغ],0),0),0)</f>
        <v>0</v>
      </c>
      <c r="AF607" s="1">
        <f>IFERROR(IF(((TArticle[[#This Row],[شناسه]]))="4.1.2",IF(TArticle[[#This Row],[کد وضعیت سند]]=1,TArticle[مبلغ],0),0),0)</f>
        <v>0</v>
      </c>
      <c r="AG607" s="1">
        <f>IFERROR(IF(INT(LEFT(TArticle[[#This Row],[شناسه]]))=1,IF(TArticle[[#This Row],[کد وضعیت سند]]=1,TArticle[مبلغ],0),0),0)</f>
        <v>0</v>
      </c>
      <c r="AH607" s="1">
        <f>IFERROR(IF(INT(LEFT(TArticle[[#This Row],[شناسه]]))=2,IF(TArticle[[#This Row],[کد وضعیت سند]]=1,TArticle[مبلغ],0),0),0)</f>
        <v>0</v>
      </c>
      <c r="AI607" s="1">
        <f>IFERROR(IF((LEFT(TArticle[[#This Row],[شناسه]],3))="5.2",IF(TArticle[[#This Row],[کد وضعیت سند]]=1,TArticle[مبلغ],0),0),0)</f>
        <v>0</v>
      </c>
      <c r="AJ607" s="1">
        <f>IF(TArticle[[#This Row],[کد وضعیت سند]]=1,1,0)</f>
        <v>0</v>
      </c>
      <c r="AK607" s="1">
        <f>IF(AND(TArticle[[#This Row],[کد وضعیت سند]]&lt;&gt;1,TArticle[[#This Row],[مبلغ]]&lt;&gt;0),1,0)</f>
        <v>0</v>
      </c>
      <c r="AL607" s="51">
        <f>IF(TArticle[[#This Row],[کد بانک]]&gt;0,TArticle[[#This Row],[مانده بانک]]-VLOOKUP(TArticle[[#This Row],[کد بانک]],TBank[],7,FALSE),"")</f>
        <v>337414</v>
      </c>
      <c r="AM607" s="49" t="str">
        <f>LEFT(TArticle[[#This Row],[تاریخ]],7)</f>
        <v>1403-03</v>
      </c>
    </row>
    <row r="608" spans="1:39" x14ac:dyDescent="0.25">
      <c r="A608" s="24"/>
      <c r="B608" s="49" t="str">
        <f>VLOOKUP(TArticle[[#This Row],[شناسه]],TAccount[],2,TRUE)</f>
        <v>---</v>
      </c>
      <c r="C608" s="49" t="str">
        <f>VLOOKUP(TArticle[[#This Row],[تاریخ]],TDays[],7,FALSE)</f>
        <v>سه شنبه</v>
      </c>
      <c r="D608" s="21" t="s">
        <v>1316</v>
      </c>
      <c r="F608" s="1">
        <f>TArticle[[#This Row],[مبلغ]]+IFERROR(INT(F607),30181+3667+958)</f>
        <v>295762</v>
      </c>
      <c r="G608" s="49"/>
      <c r="L608" s="171" t="str">
        <f>IF(TArticle[[#This Row],[کد وضعیت سند]]&gt;0,VLOOKUP(TArticle[[#This Row],[کد وضعیت سند]],TDocState[],2,FALSE),"")</f>
        <v/>
      </c>
      <c r="N608" s="171" t="str">
        <f>IF(TArticle[[#This Row],[کد طرف حساب]]&gt;0,VLOOKUP(TArticle[[#This Row],[کد طرف حساب]],TContact[],2,FALSE),"")</f>
        <v/>
      </c>
      <c r="O608" s="61" t="str">
        <f>IF(TArticle[[#This Row],[کد طرف حساب]]&gt;0,VLOOKUP(TArticle[[#This Row],[کد طرف حساب]],TContact[],7,FALSE)-SUMIF($M$2:M608,M608,$E$2:$E608),"")</f>
        <v/>
      </c>
      <c r="P608" s="27" t="str">
        <f>RIGHT(TArticle[[#This Row],[تاریخ]],2)</f>
        <v>29</v>
      </c>
      <c r="Q608" s="27">
        <f>VLOOKUP(TArticle[[#This Row],[تاریخ]],TDays[],16,FALSE)</f>
        <v>14</v>
      </c>
      <c r="R608" s="27" t="str">
        <f>RIGHT(LEFT(TArticle[[#This Row],[تاریخ]],7),2)</f>
        <v>03</v>
      </c>
      <c r="S608" s="27" t="str">
        <f>LEFT(TArticle[[#This Row],[تاریخ]],4)</f>
        <v>1403</v>
      </c>
      <c r="U608" s="21">
        <f>VLOOKUP(TArticle[[#This Row],[شناسه]],TAccount[],7,TRUE)</f>
        <v>0</v>
      </c>
      <c r="W608" s="21">
        <f>IF(AND(TArticle[[#This Row],[مبلغ]]&gt;0, TArticle[[#This Row],[کد وضعیت سند]]=1),TArticle[[#This Row],[مبلغ]],0)</f>
        <v>0</v>
      </c>
      <c r="X608" s="27">
        <f>IF(AND(TArticle[[#This Row],[مبلغ]]&lt;0,TArticle[[#This Row],[کد وضعیت سند]]=1),0-TArticle[[#This Row],[مبلغ]],0)</f>
        <v>0</v>
      </c>
      <c r="Y608" s="27">
        <v>2</v>
      </c>
      <c r="Z608" s="171" t="str">
        <f>IF(TArticle[[#This Row],[کد بانک]]&gt;0,VLOOKUP(TArticle[[#This Row],[کد بانک]],TBank[],2,FALSE),"")</f>
        <v>ملی جاری</v>
      </c>
      <c r="AA608">
        <f>IF(AND(TArticle[[#This Row],[مبلغ]]&lt;0,TArticle[[#This Row],[کد وضعیت سند]]=1),0-TArticle[[#This Row],[مبلغ]],0)</f>
        <v>0</v>
      </c>
      <c r="AB608">
        <f>IF(AND(TArticle[[#This Row],[مبلغ]]&gt;0, TArticle[[#This Row],[کد وضعیت سند]]=1),TArticle[[#This Row],[مبلغ]],0)</f>
        <v>0</v>
      </c>
      <c r="AC608" s="84">
        <f>IF(TArticle[[#This Row],[کد بانک]]&gt;0,VLOOKUP(TArticle[[#This Row],[کد بانک]],TBank[],9,FALSE)+SUMIF($Y$2:Y608,Y608,$E$2:$E608),"")</f>
        <v>337414</v>
      </c>
      <c r="AD608" s="1">
        <f>IFERROR(IF(INT(LEFT(TArticle[[#This Row],[شناسه]]))=3,IF(TArticle[[#This Row],[کد وضعیت سند]]=1,TArticle[مبلغ],0),0),0)</f>
        <v>0</v>
      </c>
      <c r="AE608" s="1">
        <f>IFERROR(IF(((TArticle[[#This Row],[شناسه]]))="4.1.1",IF(TArticle[[#This Row],[کد وضعیت سند]]=1,TArticle[مبلغ],0),0),0)</f>
        <v>0</v>
      </c>
      <c r="AF608" s="1">
        <f>IFERROR(IF(((TArticle[[#This Row],[شناسه]]))="4.1.2",IF(TArticle[[#This Row],[کد وضعیت سند]]=1,TArticle[مبلغ],0),0),0)</f>
        <v>0</v>
      </c>
      <c r="AG608" s="1">
        <f>IFERROR(IF(INT(LEFT(TArticle[[#This Row],[شناسه]]))=1,IF(TArticle[[#This Row],[کد وضعیت سند]]=1,TArticle[مبلغ],0),0),0)</f>
        <v>0</v>
      </c>
      <c r="AH608" s="1">
        <f>IFERROR(IF(INT(LEFT(TArticle[[#This Row],[شناسه]]))=2,IF(TArticle[[#This Row],[کد وضعیت سند]]=1,TArticle[مبلغ],0),0),0)</f>
        <v>0</v>
      </c>
      <c r="AI608" s="1">
        <f>IFERROR(IF((LEFT(TArticle[[#This Row],[شناسه]],3))="5.2",IF(TArticle[[#This Row],[کد وضعیت سند]]=1,TArticle[مبلغ],0),0),0)</f>
        <v>0</v>
      </c>
      <c r="AJ608" s="1">
        <f>IF(TArticle[[#This Row],[کد وضعیت سند]]=1,1,0)</f>
        <v>0</v>
      </c>
      <c r="AK608" s="1">
        <f>IF(AND(TArticle[[#This Row],[کد وضعیت سند]]&lt;&gt;1,TArticle[[#This Row],[مبلغ]]&lt;&gt;0),1,0)</f>
        <v>0</v>
      </c>
      <c r="AL608" s="51">
        <f>IF(TArticle[[#This Row],[کد بانک]]&gt;0,TArticle[[#This Row],[مانده بانک]]-VLOOKUP(TArticle[[#This Row],[کد بانک]],TBank[],7,FALSE),"")</f>
        <v>337414</v>
      </c>
      <c r="AM608" s="49" t="str">
        <f>LEFT(TArticle[[#This Row],[تاریخ]],7)</f>
        <v>1403-03</v>
      </c>
    </row>
    <row r="609" spans="1:39" x14ac:dyDescent="0.25">
      <c r="A609" s="24"/>
      <c r="B609" s="49" t="str">
        <f>VLOOKUP(TArticle[[#This Row],[شناسه]],TAccount[],2,TRUE)</f>
        <v>---</v>
      </c>
      <c r="C609" s="49" t="str">
        <f>VLOOKUP(TArticle[[#This Row],[تاریخ]],TDays[],7,FALSE)</f>
        <v>سه شنبه</v>
      </c>
      <c r="D609" s="21" t="s">
        <v>1316</v>
      </c>
      <c r="F609" s="1">
        <f>TArticle[[#This Row],[مبلغ]]+IFERROR(INT(F608),30181+3667+958)</f>
        <v>295762</v>
      </c>
      <c r="G609" s="49"/>
      <c r="L609" s="171" t="str">
        <f>IF(TArticle[[#This Row],[کد وضعیت سند]]&gt;0,VLOOKUP(TArticle[[#This Row],[کد وضعیت سند]],TDocState[],2,FALSE),"")</f>
        <v/>
      </c>
      <c r="N609" s="171" t="str">
        <f>IF(TArticle[[#This Row],[کد طرف حساب]]&gt;0,VLOOKUP(TArticle[[#This Row],[کد طرف حساب]],TContact[],2,FALSE),"")</f>
        <v/>
      </c>
      <c r="O609" s="61" t="str">
        <f>IF(TArticle[[#This Row],[کد طرف حساب]]&gt;0,VLOOKUP(TArticle[[#This Row],[کد طرف حساب]],TContact[],7,FALSE)-SUMIF($M$2:M609,M609,$E$2:$E609),"")</f>
        <v/>
      </c>
      <c r="P609" s="27" t="str">
        <f>RIGHT(TArticle[[#This Row],[تاریخ]],2)</f>
        <v>29</v>
      </c>
      <c r="Q609" s="27">
        <f>VLOOKUP(TArticle[[#This Row],[تاریخ]],TDays[],16,FALSE)</f>
        <v>14</v>
      </c>
      <c r="R609" s="27" t="str">
        <f>RIGHT(LEFT(TArticle[[#This Row],[تاریخ]],7),2)</f>
        <v>03</v>
      </c>
      <c r="S609" s="27" t="str">
        <f>LEFT(TArticle[[#This Row],[تاریخ]],4)</f>
        <v>1403</v>
      </c>
      <c r="U609" s="21">
        <f>VLOOKUP(TArticle[[#This Row],[شناسه]],TAccount[],7,TRUE)</f>
        <v>0</v>
      </c>
      <c r="W609" s="21">
        <f>IF(AND(TArticle[[#This Row],[مبلغ]]&gt;0, TArticle[[#This Row],[کد وضعیت سند]]=1),TArticle[[#This Row],[مبلغ]],0)</f>
        <v>0</v>
      </c>
      <c r="X609" s="27">
        <f>IF(AND(TArticle[[#This Row],[مبلغ]]&lt;0,TArticle[[#This Row],[کد وضعیت سند]]=1),0-TArticle[[#This Row],[مبلغ]],0)</f>
        <v>0</v>
      </c>
      <c r="Y609" s="27">
        <v>2</v>
      </c>
      <c r="Z609" s="171" t="str">
        <f>IF(TArticle[[#This Row],[کد بانک]]&gt;0,VLOOKUP(TArticle[[#This Row],[کد بانک]],TBank[],2,FALSE),"")</f>
        <v>ملی جاری</v>
      </c>
      <c r="AA609">
        <f>IF(AND(TArticle[[#This Row],[مبلغ]]&lt;0,TArticle[[#This Row],[کد وضعیت سند]]=1),0-TArticle[[#This Row],[مبلغ]],0)</f>
        <v>0</v>
      </c>
      <c r="AB609">
        <f>IF(AND(TArticle[[#This Row],[مبلغ]]&gt;0, TArticle[[#This Row],[کد وضعیت سند]]=1),TArticle[[#This Row],[مبلغ]],0)</f>
        <v>0</v>
      </c>
      <c r="AC609" s="84">
        <f>IF(TArticle[[#This Row],[کد بانک]]&gt;0,VLOOKUP(TArticle[[#This Row],[کد بانک]],TBank[],9,FALSE)+SUMIF($Y$2:Y609,Y609,$E$2:$E609),"")</f>
        <v>337414</v>
      </c>
      <c r="AD609" s="1">
        <f>IFERROR(IF(INT(LEFT(TArticle[[#This Row],[شناسه]]))=3,IF(TArticle[[#This Row],[کد وضعیت سند]]=1,TArticle[مبلغ],0),0),0)</f>
        <v>0</v>
      </c>
      <c r="AE609" s="1">
        <f>IFERROR(IF(((TArticle[[#This Row],[شناسه]]))="4.1.1",IF(TArticle[[#This Row],[کد وضعیت سند]]=1,TArticle[مبلغ],0),0),0)</f>
        <v>0</v>
      </c>
      <c r="AF609" s="1">
        <f>IFERROR(IF(((TArticle[[#This Row],[شناسه]]))="4.1.2",IF(TArticle[[#This Row],[کد وضعیت سند]]=1,TArticle[مبلغ],0),0),0)</f>
        <v>0</v>
      </c>
      <c r="AG609" s="1">
        <f>IFERROR(IF(INT(LEFT(TArticle[[#This Row],[شناسه]]))=1,IF(TArticle[[#This Row],[کد وضعیت سند]]=1,TArticle[مبلغ],0),0),0)</f>
        <v>0</v>
      </c>
      <c r="AH609" s="1">
        <f>IFERROR(IF(INT(LEFT(TArticle[[#This Row],[شناسه]]))=2,IF(TArticle[[#This Row],[کد وضعیت سند]]=1,TArticle[مبلغ],0),0),0)</f>
        <v>0</v>
      </c>
      <c r="AI609" s="1">
        <f>IFERROR(IF((LEFT(TArticle[[#This Row],[شناسه]],3))="5.2",IF(TArticle[[#This Row],[کد وضعیت سند]]=1,TArticle[مبلغ],0),0),0)</f>
        <v>0</v>
      </c>
      <c r="AJ609" s="1">
        <f>IF(TArticle[[#This Row],[کد وضعیت سند]]=1,1,0)</f>
        <v>0</v>
      </c>
      <c r="AK609" s="1">
        <f>IF(AND(TArticle[[#This Row],[کد وضعیت سند]]&lt;&gt;1,TArticle[[#This Row],[مبلغ]]&lt;&gt;0),1,0)</f>
        <v>0</v>
      </c>
      <c r="AL609" s="51">
        <f>IF(TArticle[[#This Row],[کد بانک]]&gt;0,TArticle[[#This Row],[مانده بانک]]-VLOOKUP(TArticle[[#This Row],[کد بانک]],TBank[],7,FALSE),"")</f>
        <v>337414</v>
      </c>
      <c r="AM609" s="49" t="str">
        <f>LEFT(TArticle[[#This Row],[تاریخ]],7)</f>
        <v>1403-03</v>
      </c>
    </row>
    <row r="610" spans="1:39" x14ac:dyDescent="0.25">
      <c r="A610" s="24"/>
      <c r="B610" s="49" t="str">
        <f>VLOOKUP(TArticle[[#This Row],[شناسه]],TAccount[],2,TRUE)</f>
        <v>---</v>
      </c>
      <c r="C610" s="49" t="str">
        <f>VLOOKUP(TArticle[[#This Row],[تاریخ]],TDays[],7,FALSE)</f>
        <v>سه شنبه</v>
      </c>
      <c r="D610" s="21" t="s">
        <v>1316</v>
      </c>
      <c r="F610" s="1">
        <f>TArticle[[#This Row],[مبلغ]]+IFERROR(INT(F609),30181+3667+958)</f>
        <v>295762</v>
      </c>
      <c r="G610" s="49"/>
      <c r="J610" s="51"/>
      <c r="K610" s="49"/>
      <c r="L610" s="171" t="str">
        <f>IF(TArticle[[#This Row],[کد وضعیت سند]]&gt;0,VLOOKUP(TArticle[[#This Row],[کد وضعیت سند]],TDocState[],2,FALSE),"")</f>
        <v/>
      </c>
      <c r="N610" s="171" t="str">
        <f>IF(TArticle[[#This Row],[کد طرف حساب]]&gt;0,VLOOKUP(TArticle[[#This Row],[کد طرف حساب]],TContact[],2,FALSE),"")</f>
        <v/>
      </c>
      <c r="O610" s="60" t="str">
        <f>IF(TArticle[[#This Row],[کد طرف حساب]]&gt;0,VLOOKUP(TArticle[[#This Row],[کد طرف حساب]],TContact[],7,FALSE)-SUMIF($M$2:M610,M610,$E$2:$E610),"")</f>
        <v/>
      </c>
      <c r="P610" s="27" t="str">
        <f>RIGHT(TArticle[[#This Row],[تاریخ]],2)</f>
        <v>29</v>
      </c>
      <c r="Q610" s="27">
        <f>VLOOKUP(TArticle[[#This Row],[تاریخ]],TDays[],16,FALSE)</f>
        <v>14</v>
      </c>
      <c r="R610" s="27" t="str">
        <f>RIGHT(LEFT(TArticle[[#This Row],[تاریخ]],7),2)</f>
        <v>03</v>
      </c>
      <c r="S610" s="27" t="str">
        <f>LEFT(TArticle[[#This Row],[تاریخ]],4)</f>
        <v>1403</v>
      </c>
      <c r="U610" s="21">
        <f>VLOOKUP(TArticle[[#This Row],[شناسه]],TAccount[],7,TRUE)</f>
        <v>0</v>
      </c>
      <c r="W610" s="21">
        <f>IF(AND(TArticle[[#This Row],[مبلغ]]&gt;0, TArticle[[#This Row],[کد وضعیت سند]]=1),TArticle[[#This Row],[مبلغ]],0)</f>
        <v>0</v>
      </c>
      <c r="X610" s="27">
        <f>IF(AND(TArticle[[#This Row],[مبلغ]]&lt;0,TArticle[[#This Row],[کد وضعیت سند]]=1),0-TArticle[[#This Row],[مبلغ]],0)</f>
        <v>0</v>
      </c>
      <c r="Y610" s="27">
        <v>2</v>
      </c>
      <c r="Z610" s="171" t="str">
        <f>IF(TArticle[[#This Row],[کد بانک]]&gt;0,VLOOKUP(TArticle[[#This Row],[کد بانک]],TBank[],2,FALSE),"")</f>
        <v>ملی جاری</v>
      </c>
      <c r="AA610">
        <f>IF(AND(TArticle[[#This Row],[مبلغ]]&lt;0,TArticle[[#This Row],[کد وضعیت سند]]=1),0-TArticle[[#This Row],[مبلغ]],0)</f>
        <v>0</v>
      </c>
      <c r="AB610">
        <f>IF(AND(TArticle[[#This Row],[مبلغ]]&gt;0, TArticle[[#This Row],[کد وضعیت سند]]=1),TArticle[[#This Row],[مبلغ]],0)</f>
        <v>0</v>
      </c>
      <c r="AC610" s="92">
        <f>IF(TArticle[[#This Row],[کد بانک]]&gt;0,VLOOKUP(TArticle[[#This Row],[کد بانک]],TBank[],9,FALSE)+SUMIF($Y$2:Y610,Y610,$E$2:$E610),"")</f>
        <v>337414</v>
      </c>
      <c r="AD610" s="1">
        <f>IFERROR(IF(INT(LEFT(TArticle[[#This Row],[شناسه]]))=3,IF(TArticle[[#This Row],[کد وضعیت سند]]=1,TArticle[مبلغ],0),0),0)</f>
        <v>0</v>
      </c>
      <c r="AE610" s="1">
        <f>IFERROR(IF(((TArticle[[#This Row],[شناسه]]))="4.1.1",IF(TArticle[[#This Row],[کد وضعیت سند]]=1,TArticle[مبلغ],0),0),0)</f>
        <v>0</v>
      </c>
      <c r="AF610" s="1">
        <f>IFERROR(IF(((TArticle[[#This Row],[شناسه]]))="4.1.2",IF(TArticle[[#This Row],[کد وضعیت سند]]=1,TArticle[مبلغ],0),0),0)</f>
        <v>0</v>
      </c>
      <c r="AG610" s="1">
        <f>IFERROR(IF(INT(LEFT(TArticle[[#This Row],[شناسه]]))=1,IF(TArticle[[#This Row],[کد وضعیت سند]]=1,TArticle[مبلغ],0),0),0)</f>
        <v>0</v>
      </c>
      <c r="AH610" s="1">
        <f>IFERROR(IF(INT(LEFT(TArticle[[#This Row],[شناسه]]))=2,IF(TArticle[[#This Row],[کد وضعیت سند]]=1,TArticle[مبلغ],0),0),0)</f>
        <v>0</v>
      </c>
      <c r="AI610" s="1">
        <f>IFERROR(IF((LEFT(TArticle[[#This Row],[شناسه]],3))="5.2",IF(TArticle[[#This Row],[کد وضعیت سند]]=1,TArticle[مبلغ],0),0),0)</f>
        <v>0</v>
      </c>
      <c r="AJ610" s="1">
        <f>IF(TArticle[[#This Row],[کد وضعیت سند]]=1,1,0)</f>
        <v>0</v>
      </c>
      <c r="AK610" s="1">
        <f>IF(AND(TArticle[[#This Row],[کد وضعیت سند]]&lt;&gt;1,TArticle[[#This Row],[مبلغ]]&lt;&gt;0),1,0)</f>
        <v>0</v>
      </c>
      <c r="AL610" s="51">
        <f>IF(TArticle[[#This Row],[کد بانک]]&gt;0,TArticle[[#This Row],[مانده بانک]]-VLOOKUP(TArticle[[#This Row],[کد بانک]],TBank[],7,FALSE),"")</f>
        <v>337414</v>
      </c>
      <c r="AM610" s="58" t="str">
        <f>LEFT(TArticle[[#This Row],[تاریخ]],7)</f>
        <v>1403-03</v>
      </c>
    </row>
    <row r="611" spans="1:39" x14ac:dyDescent="0.25">
      <c r="A611" s="24"/>
      <c r="B611" s="49" t="str">
        <f>VLOOKUP(TArticle[[#This Row],[شناسه]],TAccount[],2,TRUE)</f>
        <v>---</v>
      </c>
      <c r="C611" s="49" t="str">
        <f>VLOOKUP(TArticle[[#This Row],[تاریخ]],TDays[],7,FALSE)</f>
        <v>سه شنبه</v>
      </c>
      <c r="D611" s="21" t="s">
        <v>1316</v>
      </c>
      <c r="F611" s="1">
        <f>TArticle[[#This Row],[مبلغ]]+IFERROR(INT(F610),30181+3667+958)</f>
        <v>295762</v>
      </c>
      <c r="G611" s="49"/>
      <c r="L611" s="171" t="str">
        <f>IF(TArticle[[#This Row],[کد وضعیت سند]]&gt;0,VLOOKUP(TArticle[[#This Row],[کد وضعیت سند]],TDocState[],2,FALSE),"")</f>
        <v/>
      </c>
      <c r="M611" s="67"/>
      <c r="N611" s="171" t="str">
        <f>IF(TArticle[[#This Row],[کد طرف حساب]]&gt;0,VLOOKUP(TArticle[[#This Row],[کد طرف حساب]],TContact[],2,FALSE),"")</f>
        <v/>
      </c>
      <c r="O611" s="51" t="str">
        <f>IF(TArticle[[#This Row],[کد طرف حساب]]&gt;0,VLOOKUP(TArticle[[#This Row],[کد طرف حساب]],TContact[],7,FALSE)-SUMIF($M$2:M611,M611,$E$2:$E611),"")</f>
        <v/>
      </c>
      <c r="P611" s="21" t="str">
        <f>RIGHT(TArticle[[#This Row],[تاریخ]],2)</f>
        <v>29</v>
      </c>
      <c r="Q611" s="21">
        <f>VLOOKUP(TArticle[[#This Row],[تاریخ]],TDays[],16,FALSE)</f>
        <v>14</v>
      </c>
      <c r="R611" s="21" t="str">
        <f>RIGHT(LEFT(TArticle[[#This Row],[تاریخ]],7),2)</f>
        <v>03</v>
      </c>
      <c r="S611" s="21" t="str">
        <f>LEFT(TArticle[[#This Row],[تاریخ]],4)</f>
        <v>1403</v>
      </c>
      <c r="U611" s="21">
        <f>VLOOKUP(TArticle[[#This Row],[شناسه]],TAccount[],7,TRUE)</f>
        <v>0</v>
      </c>
      <c r="W611" s="21">
        <f>IF(AND(TArticle[[#This Row],[مبلغ]]&gt;0, TArticle[[#This Row],[کد وضعیت سند]]=1),TArticle[[#This Row],[مبلغ]],0)</f>
        <v>0</v>
      </c>
      <c r="X611" s="21">
        <f>IF(AND(TArticle[[#This Row],[مبلغ]]&lt;0,TArticle[[#This Row],[کد وضعیت سند]]=1),0-TArticle[[#This Row],[مبلغ]],0)</f>
        <v>0</v>
      </c>
      <c r="Y611" s="27">
        <v>2</v>
      </c>
      <c r="Z611" s="171" t="str">
        <f>IF(TArticle[[#This Row],[کد بانک]]&gt;0,VLOOKUP(TArticle[[#This Row],[کد بانک]],TBank[],2,FALSE),"")</f>
        <v>ملی جاری</v>
      </c>
      <c r="AA611">
        <f>IF(AND(TArticle[[#This Row],[مبلغ]]&lt;0,TArticle[[#This Row],[کد وضعیت سند]]=1),0-TArticle[[#This Row],[مبلغ]],0)</f>
        <v>0</v>
      </c>
      <c r="AB611">
        <f>IF(AND(TArticle[[#This Row],[مبلغ]]&gt;0, TArticle[[#This Row],[کد وضعیت سند]]=1),TArticle[[#This Row],[مبلغ]],0)</f>
        <v>0</v>
      </c>
      <c r="AC611" s="84">
        <f>IF(TArticle[[#This Row],[کد بانک]]&gt;0,VLOOKUP(TArticle[[#This Row],[کد بانک]],TBank[],9,FALSE)+SUMIF($Y$2:Y611,Y611,$E$2:$E611),"")</f>
        <v>337414</v>
      </c>
      <c r="AD611" s="1">
        <f>IFERROR(IF(INT(LEFT(TArticle[[#This Row],[شناسه]]))=3,IF(TArticle[[#This Row],[کد وضعیت سند]]=1,TArticle[مبلغ],0),0),0)</f>
        <v>0</v>
      </c>
      <c r="AE611" s="1">
        <f>IFERROR(IF(((TArticle[[#This Row],[شناسه]]))="4.1.1",IF(TArticle[[#This Row],[کد وضعیت سند]]=1,TArticle[مبلغ],0),0),0)</f>
        <v>0</v>
      </c>
      <c r="AF611" s="1">
        <f>IFERROR(IF(((TArticle[[#This Row],[شناسه]]))="4.1.2",IF(TArticle[[#This Row],[کد وضعیت سند]]=1,TArticle[مبلغ],0),0),0)</f>
        <v>0</v>
      </c>
      <c r="AG611" s="1">
        <f>IFERROR(IF(INT(LEFT(TArticle[[#This Row],[شناسه]]))=1,IF(TArticle[[#This Row],[کد وضعیت سند]]=1,TArticle[مبلغ],0),0),0)</f>
        <v>0</v>
      </c>
      <c r="AH611" s="1">
        <f>IFERROR(IF(INT(LEFT(TArticle[[#This Row],[شناسه]]))=2,IF(TArticle[[#This Row],[کد وضعیت سند]]=1,TArticle[مبلغ],0),0),0)</f>
        <v>0</v>
      </c>
      <c r="AI611" s="1">
        <f>IFERROR(IF((LEFT(TArticle[[#This Row],[شناسه]],3))="5.2",IF(TArticle[[#This Row],[کد وضعیت سند]]=1,TArticle[مبلغ],0),0),0)</f>
        <v>0</v>
      </c>
      <c r="AJ611" s="1">
        <f>IF(TArticle[[#This Row],[کد وضعیت سند]]=1,1,0)</f>
        <v>0</v>
      </c>
      <c r="AK611" s="1">
        <f>IF(AND(TArticle[[#This Row],[کد وضعیت سند]]&lt;&gt;1,TArticle[[#This Row],[مبلغ]]&lt;&gt;0),1,0)</f>
        <v>0</v>
      </c>
      <c r="AL611" s="51">
        <f>IF(TArticle[[#This Row],[کد بانک]]&gt;0,TArticle[[#This Row],[مانده بانک]]-VLOOKUP(TArticle[[#This Row],[کد بانک]],TBank[],7,FALSE),"")</f>
        <v>337414</v>
      </c>
      <c r="AM611" s="49" t="str">
        <f>LEFT(TArticle[[#This Row],[تاریخ]],7)</f>
        <v>1403-03</v>
      </c>
    </row>
    <row r="612" spans="1:39" x14ac:dyDescent="0.25">
      <c r="A612" s="24"/>
      <c r="B612" s="49" t="str">
        <f>VLOOKUP(TArticle[[#This Row],[شناسه]],TAccount[],2,TRUE)</f>
        <v>---</v>
      </c>
      <c r="C612" s="49" t="str">
        <f>VLOOKUP(TArticle[[#This Row],[تاریخ]],TDays[],7,FALSE)</f>
        <v>سه شنبه</v>
      </c>
      <c r="D612" s="21" t="s">
        <v>1316</v>
      </c>
      <c r="F612" s="1">
        <f>TArticle[[#This Row],[مبلغ]]+IFERROR(INT(F611),30181+3667+958)</f>
        <v>295762</v>
      </c>
      <c r="G612" s="49"/>
      <c r="L612" s="171" t="str">
        <f>IF(TArticle[[#This Row],[کد وضعیت سند]]&gt;0,VLOOKUP(TArticle[[#This Row],[کد وضعیت سند]],TDocState[],2,FALSE),"")</f>
        <v/>
      </c>
      <c r="N612" s="171" t="str">
        <f>IF(TArticle[[#This Row],[کد طرف حساب]]&gt;0,VLOOKUP(TArticle[[#This Row],[کد طرف حساب]],TContact[],2,FALSE),"")</f>
        <v/>
      </c>
      <c r="O612" s="61" t="str">
        <f>IF(TArticle[[#This Row],[کد طرف حساب]]&gt;0,VLOOKUP(TArticle[[#This Row],[کد طرف حساب]],TContact[],7,FALSE)-SUMIF($M$2:M612,M612,$E$2:$E612),"")</f>
        <v/>
      </c>
      <c r="P612" s="27" t="str">
        <f>RIGHT(TArticle[[#This Row],[تاریخ]],2)</f>
        <v>29</v>
      </c>
      <c r="Q612" s="27">
        <f>VLOOKUP(TArticle[[#This Row],[تاریخ]],TDays[],16,FALSE)</f>
        <v>14</v>
      </c>
      <c r="R612" s="27" t="str">
        <f>RIGHT(LEFT(TArticle[[#This Row],[تاریخ]],7),2)</f>
        <v>03</v>
      </c>
      <c r="S612" s="27" t="str">
        <f>LEFT(TArticle[[#This Row],[تاریخ]],4)</f>
        <v>1403</v>
      </c>
      <c r="U612" s="21">
        <f>VLOOKUP(TArticle[[#This Row],[شناسه]],TAccount[],7,TRUE)</f>
        <v>0</v>
      </c>
      <c r="W612" s="21">
        <f>IF(AND(TArticle[[#This Row],[مبلغ]]&gt;0, TArticle[[#This Row],[کد وضعیت سند]]=1),TArticle[[#This Row],[مبلغ]],0)</f>
        <v>0</v>
      </c>
      <c r="X612" s="27">
        <f>IF(AND(TArticle[[#This Row],[مبلغ]]&lt;0,TArticle[[#This Row],[کد وضعیت سند]]=1),0-TArticle[[#This Row],[مبلغ]],0)</f>
        <v>0</v>
      </c>
      <c r="Y612" s="27">
        <v>2</v>
      </c>
      <c r="Z612" s="171" t="str">
        <f>IF(TArticle[[#This Row],[کد بانک]]&gt;0,VLOOKUP(TArticle[[#This Row],[کد بانک]],TBank[],2,FALSE),"")</f>
        <v>ملی جاری</v>
      </c>
      <c r="AA612">
        <f>IF(AND(TArticle[[#This Row],[مبلغ]]&lt;0,TArticle[[#This Row],[کد وضعیت سند]]=1),0-TArticle[[#This Row],[مبلغ]],0)</f>
        <v>0</v>
      </c>
      <c r="AB612">
        <f>IF(AND(TArticle[[#This Row],[مبلغ]]&gt;0, TArticle[[#This Row],[کد وضعیت سند]]=1),TArticle[[#This Row],[مبلغ]],0)</f>
        <v>0</v>
      </c>
      <c r="AC612" s="84">
        <f>IF(TArticle[[#This Row],[کد بانک]]&gt;0,VLOOKUP(TArticle[[#This Row],[کد بانک]],TBank[],9,FALSE)+SUMIF($Y$2:Y612,Y612,$E$2:$E612),"")</f>
        <v>337414</v>
      </c>
      <c r="AD612" s="1">
        <f>IFERROR(IF(INT(LEFT(TArticle[[#This Row],[شناسه]]))=3,IF(TArticle[[#This Row],[کد وضعیت سند]]=1,TArticle[مبلغ],0),0),0)</f>
        <v>0</v>
      </c>
      <c r="AE612" s="1">
        <f>IFERROR(IF(((TArticle[[#This Row],[شناسه]]))="4.1.1",IF(TArticle[[#This Row],[کد وضعیت سند]]=1,TArticle[مبلغ],0),0),0)</f>
        <v>0</v>
      </c>
      <c r="AF612" s="1">
        <f>IFERROR(IF(((TArticle[[#This Row],[شناسه]]))="4.1.2",IF(TArticle[[#This Row],[کد وضعیت سند]]=1,TArticle[مبلغ],0),0),0)</f>
        <v>0</v>
      </c>
      <c r="AG612" s="1">
        <f>IFERROR(IF(INT(LEFT(TArticle[[#This Row],[شناسه]]))=1,IF(TArticle[[#This Row],[کد وضعیت سند]]=1,TArticle[مبلغ],0),0),0)</f>
        <v>0</v>
      </c>
      <c r="AH612" s="1">
        <f>IFERROR(IF(INT(LEFT(TArticle[[#This Row],[شناسه]]))=2,IF(TArticle[[#This Row],[کد وضعیت سند]]=1,TArticle[مبلغ],0),0),0)</f>
        <v>0</v>
      </c>
      <c r="AI612" s="1">
        <f>IFERROR(IF((LEFT(TArticle[[#This Row],[شناسه]],3))="5.2",IF(TArticle[[#This Row],[کد وضعیت سند]]=1,TArticle[مبلغ],0),0),0)</f>
        <v>0</v>
      </c>
      <c r="AJ612" s="1">
        <f>IF(TArticle[[#This Row],[کد وضعیت سند]]=1,1,0)</f>
        <v>0</v>
      </c>
      <c r="AK612" s="1">
        <f>IF(AND(TArticle[[#This Row],[کد وضعیت سند]]&lt;&gt;1,TArticle[[#This Row],[مبلغ]]&lt;&gt;0),1,0)</f>
        <v>0</v>
      </c>
      <c r="AL612" s="51">
        <f>IF(TArticle[[#This Row],[کد بانک]]&gt;0,TArticle[[#This Row],[مانده بانک]]-VLOOKUP(TArticle[[#This Row],[کد بانک]],TBank[],7,FALSE),"")</f>
        <v>337414</v>
      </c>
      <c r="AM612" s="49" t="str">
        <f>LEFT(TArticle[[#This Row],[تاریخ]],7)</f>
        <v>1403-03</v>
      </c>
    </row>
    <row r="613" spans="1:39" x14ac:dyDescent="0.25">
      <c r="A613" s="63"/>
      <c r="B613" s="49" t="str">
        <f>VLOOKUP(TArticle[[#This Row],[شناسه]],TAccount[],2,TRUE)</f>
        <v>---</v>
      </c>
      <c r="C613" s="49" t="str">
        <f>VLOOKUP(TArticle[[#This Row],[تاریخ]],TDays[],7,FALSE)</f>
        <v>سه شنبه</v>
      </c>
      <c r="D613" s="21" t="s">
        <v>1316</v>
      </c>
      <c r="F613" s="1">
        <f>TArticle[[#This Row],[مبلغ]]+IFERROR(INT(F612),30181+3667+958)</f>
        <v>295762</v>
      </c>
      <c r="G613" s="49"/>
      <c r="H613" s="64"/>
      <c r="J613" s="65"/>
      <c r="K613" s="64"/>
      <c r="L613" s="171" t="str">
        <f>IF(TArticle[[#This Row],[کد وضعیت سند]]&gt;0,VLOOKUP(TArticle[[#This Row],[کد وضعیت سند]],TDocState[],2,FALSE),"")</f>
        <v/>
      </c>
      <c r="M613" s="67"/>
      <c r="N613" s="171" t="str">
        <f>IF(TArticle[[#This Row],[کد طرف حساب]]&gt;0,VLOOKUP(TArticle[[#This Row],[کد طرف حساب]],TContact[],2,FALSE),"")</f>
        <v/>
      </c>
      <c r="O613" s="68" t="str">
        <f>IF(TArticle[[#This Row],[کد طرف حساب]]&gt;0,VLOOKUP(TArticle[[#This Row],[کد طرف حساب]],TContact[],7,FALSE)-SUMIF($M$2:M613,M613,$E$2:$E613),"")</f>
        <v/>
      </c>
      <c r="P613" s="67" t="str">
        <f>RIGHT(TArticle[[#This Row],[تاریخ]],2)</f>
        <v>29</v>
      </c>
      <c r="Q613" s="67">
        <f>VLOOKUP(TArticle[[#This Row],[تاریخ]],TDays[],16,FALSE)</f>
        <v>14</v>
      </c>
      <c r="R613" s="67" t="str">
        <f>RIGHT(LEFT(TArticle[[#This Row],[تاریخ]],7),2)</f>
        <v>03</v>
      </c>
      <c r="S613" s="67" t="str">
        <f>LEFT(TArticle[[#This Row],[تاریخ]],4)</f>
        <v>1403</v>
      </c>
      <c r="T613" s="64"/>
      <c r="U613" s="64">
        <f>VLOOKUP(TArticle[[#This Row],[شناسه]],TAccount[],7,TRUE)</f>
        <v>0</v>
      </c>
      <c r="W613" s="64">
        <f>IF(AND(TArticle[[#This Row],[مبلغ]]&gt;0, TArticle[[#This Row],[کد وضعیت سند]]=1),TArticle[[#This Row],[مبلغ]],0)</f>
        <v>0</v>
      </c>
      <c r="X613" s="67">
        <f>IF(AND(TArticle[[#This Row],[مبلغ]]&lt;0,TArticle[[#This Row],[کد وضعیت سند]]=1),0-TArticle[[#This Row],[مبلغ]],0)</f>
        <v>0</v>
      </c>
      <c r="Y613" s="27">
        <v>2</v>
      </c>
      <c r="Z613" s="171" t="str">
        <f>IF(TArticle[[#This Row],[کد بانک]]&gt;0,VLOOKUP(TArticle[[#This Row],[کد بانک]],TBank[],2,FALSE),"")</f>
        <v>ملی جاری</v>
      </c>
      <c r="AA613">
        <f>IF(AND(TArticle[[#This Row],[مبلغ]]&lt;0,TArticle[[#This Row],[کد وضعیت سند]]=1),0-TArticle[[#This Row],[مبلغ]],0)</f>
        <v>0</v>
      </c>
      <c r="AB613">
        <f>IF(AND(TArticle[[#This Row],[مبلغ]]&gt;0, TArticle[[#This Row],[کد وضعیت سند]]=1),TArticle[[#This Row],[مبلغ]],0)</f>
        <v>0</v>
      </c>
      <c r="AC613" s="93">
        <f>IF(TArticle[[#This Row],[کد بانک]]&gt;0,VLOOKUP(TArticle[[#This Row],[کد بانک]],TBank[],9,FALSE)+SUMIF($Y$2:Y613,Y613,$E$2:$E613),"")</f>
        <v>337414</v>
      </c>
      <c r="AD613" s="1">
        <f>IFERROR(IF(INT(LEFT(TArticle[[#This Row],[شناسه]]))=3,IF(TArticle[[#This Row],[کد وضعیت سند]]=1,TArticle[مبلغ],0),0),0)</f>
        <v>0</v>
      </c>
      <c r="AE613" s="1">
        <f>IFERROR(IF(((TArticle[[#This Row],[شناسه]]))="4.1.1",IF(TArticle[[#This Row],[کد وضعیت سند]]=1,TArticle[مبلغ],0),0),0)</f>
        <v>0</v>
      </c>
      <c r="AF613" s="1">
        <f>IFERROR(IF(((TArticle[[#This Row],[شناسه]]))="4.1.2",IF(TArticle[[#This Row],[کد وضعیت سند]]=1,TArticle[مبلغ],0),0),0)</f>
        <v>0</v>
      </c>
      <c r="AG613" s="1">
        <f>IFERROR(IF(INT(LEFT(TArticle[[#This Row],[شناسه]]))=1,IF(TArticle[[#This Row],[کد وضعیت سند]]=1,TArticle[مبلغ],0),0),0)</f>
        <v>0</v>
      </c>
      <c r="AH613" s="1">
        <f>IFERROR(IF(INT(LEFT(TArticle[[#This Row],[شناسه]]))=2,IF(TArticle[[#This Row],[کد وضعیت سند]]=1,TArticle[مبلغ],0),0),0)</f>
        <v>0</v>
      </c>
      <c r="AI613" s="1">
        <f>IFERROR(IF((LEFT(TArticle[[#This Row],[شناسه]],3))="5.2",IF(TArticle[[#This Row],[کد وضعیت سند]]=1,TArticle[مبلغ],0),0),0)</f>
        <v>0</v>
      </c>
      <c r="AJ613" s="1">
        <f>IF(TArticle[[#This Row],[کد وضعیت سند]]=1,1,0)</f>
        <v>0</v>
      </c>
      <c r="AK613" s="1">
        <f>IF(AND(TArticle[[#This Row],[کد وضعیت سند]]&lt;&gt;1,TArticle[[#This Row],[مبلغ]]&lt;&gt;0),1,0)</f>
        <v>0</v>
      </c>
      <c r="AL613" s="78">
        <f>IF(TArticle[[#This Row],[کد بانک]]&gt;0,TArticle[[#This Row],[مانده بانک]]-VLOOKUP(TArticle[[#This Row],[کد بانک]],TBank[],7,FALSE),"")</f>
        <v>337414</v>
      </c>
      <c r="AM613" s="58" t="str">
        <f>LEFT(TArticle[[#This Row],[تاریخ]],7)</f>
        <v>1403-03</v>
      </c>
    </row>
    <row r="614" spans="1:39" x14ac:dyDescent="0.25">
      <c r="A614" s="24"/>
      <c r="B614" s="49" t="str">
        <f>VLOOKUP(TArticle[[#This Row],[شناسه]],TAccount[],2,TRUE)</f>
        <v>---</v>
      </c>
      <c r="C614" s="49" t="str">
        <f>VLOOKUP(TArticle[[#This Row],[تاریخ]],TDays[],7,FALSE)</f>
        <v>سه شنبه</v>
      </c>
      <c r="D614" s="21" t="s">
        <v>1316</v>
      </c>
      <c r="F614" s="1">
        <f>TArticle[[#This Row],[مبلغ]]+IFERROR(INT(F613),30181+3667+958)</f>
        <v>295762</v>
      </c>
      <c r="G614" s="49"/>
      <c r="L614" s="171" t="str">
        <f>IF(TArticle[[#This Row],[کد وضعیت سند]]&gt;0,VLOOKUP(TArticle[[#This Row],[کد وضعیت سند]],TDocState[],2,FALSE),"")</f>
        <v/>
      </c>
      <c r="N614" s="171" t="str">
        <f>IF(TArticle[[#This Row],[کد طرف حساب]]&gt;0,VLOOKUP(TArticle[[#This Row],[کد طرف حساب]],TContact[],2,FALSE),"")</f>
        <v/>
      </c>
      <c r="O614" s="61" t="str">
        <f>IF(TArticle[[#This Row],[کد طرف حساب]]&gt;0,VLOOKUP(TArticle[[#This Row],[کد طرف حساب]],TContact[],7,FALSE)-SUMIF($M$2:M614,M614,$E$2:$E614),"")</f>
        <v/>
      </c>
      <c r="P614" s="27" t="str">
        <f>RIGHT(TArticle[[#This Row],[تاریخ]],2)</f>
        <v>29</v>
      </c>
      <c r="Q614" s="27">
        <f>VLOOKUP(TArticle[[#This Row],[تاریخ]],TDays[],16,FALSE)</f>
        <v>14</v>
      </c>
      <c r="R614" s="27" t="str">
        <f>RIGHT(LEFT(TArticle[[#This Row],[تاریخ]],7),2)</f>
        <v>03</v>
      </c>
      <c r="S614" s="27" t="str">
        <f>LEFT(TArticle[[#This Row],[تاریخ]],4)</f>
        <v>1403</v>
      </c>
      <c r="U614" s="21">
        <f>VLOOKUP(TArticle[[#This Row],[شناسه]],TAccount[],7,TRUE)</f>
        <v>0</v>
      </c>
      <c r="W614" s="21">
        <f>IF(AND(TArticle[[#This Row],[مبلغ]]&gt;0, TArticle[[#This Row],[کد وضعیت سند]]=1),TArticle[[#This Row],[مبلغ]],0)</f>
        <v>0</v>
      </c>
      <c r="X614" s="27">
        <f>IF(AND(TArticle[[#This Row],[مبلغ]]&lt;0,TArticle[[#This Row],[کد وضعیت سند]]=1),0-TArticle[[#This Row],[مبلغ]],0)</f>
        <v>0</v>
      </c>
      <c r="Y614" s="27">
        <v>2</v>
      </c>
      <c r="Z614" s="171" t="str">
        <f>IF(TArticle[[#This Row],[کد بانک]]&gt;0,VLOOKUP(TArticle[[#This Row],[کد بانک]],TBank[],2,FALSE),"")</f>
        <v>ملی جاری</v>
      </c>
      <c r="AA614">
        <f>IF(AND(TArticle[[#This Row],[مبلغ]]&lt;0,TArticle[[#This Row],[کد وضعیت سند]]=1),0-TArticle[[#This Row],[مبلغ]],0)</f>
        <v>0</v>
      </c>
      <c r="AB614">
        <f>IF(AND(TArticle[[#This Row],[مبلغ]]&gt;0, TArticle[[#This Row],[کد وضعیت سند]]=1),TArticle[[#This Row],[مبلغ]],0)</f>
        <v>0</v>
      </c>
      <c r="AC614" s="84">
        <f>IF(TArticle[[#This Row],[کد بانک]]&gt;0,VLOOKUP(TArticle[[#This Row],[کد بانک]],TBank[],9,FALSE)+SUMIF($Y$2:Y614,Y614,$E$2:$E614),"")</f>
        <v>337414</v>
      </c>
      <c r="AD614" s="1">
        <f>IFERROR(IF(INT(LEFT(TArticle[[#This Row],[شناسه]]))=3,IF(TArticle[[#This Row],[کد وضعیت سند]]=1,TArticle[مبلغ],0),0),0)</f>
        <v>0</v>
      </c>
      <c r="AE614" s="1">
        <f>IFERROR(IF(((TArticle[[#This Row],[شناسه]]))="4.1.1",IF(TArticle[[#This Row],[کد وضعیت سند]]=1,TArticle[مبلغ],0),0),0)</f>
        <v>0</v>
      </c>
      <c r="AF614" s="1">
        <f>IFERROR(IF(((TArticle[[#This Row],[شناسه]]))="4.1.2",IF(TArticle[[#This Row],[کد وضعیت سند]]=1,TArticle[مبلغ],0),0),0)</f>
        <v>0</v>
      </c>
      <c r="AG614" s="1">
        <f>IFERROR(IF(INT(LEFT(TArticle[[#This Row],[شناسه]]))=1,IF(TArticle[[#This Row],[کد وضعیت سند]]=1,TArticle[مبلغ],0),0),0)</f>
        <v>0</v>
      </c>
      <c r="AH614" s="1">
        <f>IFERROR(IF(INT(LEFT(TArticle[[#This Row],[شناسه]]))=2,IF(TArticle[[#This Row],[کد وضعیت سند]]=1,TArticle[مبلغ],0),0),0)</f>
        <v>0</v>
      </c>
      <c r="AI614" s="1">
        <f>IFERROR(IF((LEFT(TArticle[[#This Row],[شناسه]],3))="5.2",IF(TArticle[[#This Row],[کد وضعیت سند]]=1,TArticle[مبلغ],0),0),0)</f>
        <v>0</v>
      </c>
      <c r="AJ614" s="1">
        <f>IF(TArticle[[#This Row],[کد وضعیت سند]]=1,1,0)</f>
        <v>0</v>
      </c>
      <c r="AK614" s="1">
        <f>IF(AND(TArticle[[#This Row],[کد وضعیت سند]]&lt;&gt;1,TArticle[[#This Row],[مبلغ]]&lt;&gt;0),1,0)</f>
        <v>0</v>
      </c>
      <c r="AL614" s="51">
        <f>IF(TArticle[[#This Row],[کد بانک]]&gt;0,TArticle[[#This Row],[مانده بانک]]-VLOOKUP(TArticle[[#This Row],[کد بانک]],TBank[],7,FALSE),"")</f>
        <v>337414</v>
      </c>
      <c r="AM614" s="49" t="str">
        <f>LEFT(TArticle[[#This Row],[تاریخ]],7)</f>
        <v>1403-03</v>
      </c>
    </row>
    <row r="615" spans="1:39" x14ac:dyDescent="0.25">
      <c r="A615" s="24"/>
      <c r="B615" s="49" t="str">
        <f>VLOOKUP(TArticle[[#This Row],[شناسه]],TAccount[],2,TRUE)</f>
        <v>---</v>
      </c>
      <c r="C615" s="49" t="str">
        <f>VLOOKUP(TArticle[[#This Row],[تاریخ]],TDays[],7,FALSE)</f>
        <v>سه شنبه</v>
      </c>
      <c r="D615" s="21" t="s">
        <v>1316</v>
      </c>
      <c r="F615" s="1">
        <f>TArticle[[#This Row],[مبلغ]]+IFERROR(INT(F614),30181+3667+958)</f>
        <v>295762</v>
      </c>
      <c r="G615" s="49"/>
      <c r="H615" s="64"/>
      <c r="J615" s="65"/>
      <c r="K615" s="64"/>
      <c r="L615" s="171" t="str">
        <f>IF(TArticle[[#This Row],[کد وضعیت سند]]&gt;0,VLOOKUP(TArticle[[#This Row],[کد وضعیت سند]],TDocState[],2,FALSE),"")</f>
        <v/>
      </c>
      <c r="M615" s="67"/>
      <c r="N615" s="171" t="str">
        <f>IF(TArticle[[#This Row],[کد طرف حساب]]&gt;0,VLOOKUP(TArticle[[#This Row],[کد طرف حساب]],TContact[],2,FALSE),"")</f>
        <v/>
      </c>
      <c r="O615" s="68" t="str">
        <f>IF(TArticle[[#This Row],[کد طرف حساب]]&gt;0,VLOOKUP(TArticle[[#This Row],[کد طرف حساب]],TContact[],7,FALSE)-SUMIF($M$2:M615,M615,$E$2:$E615),"")</f>
        <v/>
      </c>
      <c r="P615" s="67" t="str">
        <f>RIGHT(TArticle[[#This Row],[تاریخ]],2)</f>
        <v>29</v>
      </c>
      <c r="Q615" s="67">
        <f>VLOOKUP(TArticle[[#This Row],[تاریخ]],TDays[],16,FALSE)</f>
        <v>14</v>
      </c>
      <c r="R615" s="67" t="str">
        <f>RIGHT(LEFT(TArticle[[#This Row],[تاریخ]],7),2)</f>
        <v>03</v>
      </c>
      <c r="S615" s="67" t="str">
        <f>LEFT(TArticle[[#This Row],[تاریخ]],4)</f>
        <v>1403</v>
      </c>
      <c r="T615" s="64"/>
      <c r="U615" s="64">
        <f>VLOOKUP(TArticle[[#This Row],[شناسه]],TAccount[],7,TRUE)</f>
        <v>0</v>
      </c>
      <c r="V615" s="64"/>
      <c r="W615" s="64">
        <f>IF(AND(TArticle[[#This Row],[مبلغ]]&gt;0, TArticle[[#This Row],[کد وضعیت سند]]=1),TArticle[[#This Row],[مبلغ]],0)</f>
        <v>0</v>
      </c>
      <c r="X615" s="67">
        <f>IF(AND(TArticle[[#This Row],[مبلغ]]&lt;0,TArticle[[#This Row],[کد وضعیت سند]]=1),0-TArticle[[#This Row],[مبلغ]],0)</f>
        <v>0</v>
      </c>
      <c r="Y615" s="27">
        <v>2</v>
      </c>
      <c r="Z615" s="171" t="str">
        <f>IF(TArticle[[#This Row],[کد بانک]]&gt;0,VLOOKUP(TArticle[[#This Row],[کد بانک]],TBank[],2,FALSE),"")</f>
        <v>ملی جاری</v>
      </c>
      <c r="AA615">
        <f>IF(AND(TArticle[[#This Row],[مبلغ]]&lt;0,TArticle[[#This Row],[کد وضعیت سند]]=1),0-TArticle[[#This Row],[مبلغ]],0)</f>
        <v>0</v>
      </c>
      <c r="AB615">
        <f>IF(AND(TArticle[[#This Row],[مبلغ]]&gt;0, TArticle[[#This Row],[کد وضعیت سند]]=1),TArticle[[#This Row],[مبلغ]],0)</f>
        <v>0</v>
      </c>
      <c r="AC615" s="93">
        <f>IF(TArticle[[#This Row],[کد بانک]]&gt;0,VLOOKUP(TArticle[[#This Row],[کد بانک]],TBank[],9,FALSE)+SUMIF($Y$2:Y615,Y615,$E$2:$E615),"")</f>
        <v>337414</v>
      </c>
      <c r="AD615" s="1">
        <f>IFERROR(IF(INT(LEFT(TArticle[[#This Row],[شناسه]]))=3,IF(TArticle[[#This Row],[کد وضعیت سند]]=1,TArticle[مبلغ],0),0),0)</f>
        <v>0</v>
      </c>
      <c r="AE615" s="1">
        <f>IFERROR(IF(((TArticle[[#This Row],[شناسه]]))="4.1.1",IF(TArticle[[#This Row],[کد وضعیت سند]]=1,TArticle[مبلغ],0),0),0)</f>
        <v>0</v>
      </c>
      <c r="AF615" s="1">
        <f>IFERROR(IF(((TArticle[[#This Row],[شناسه]]))="4.1.2",IF(TArticle[[#This Row],[کد وضعیت سند]]=1,TArticle[مبلغ],0),0),0)</f>
        <v>0</v>
      </c>
      <c r="AG615" s="1">
        <f>IFERROR(IF(INT(LEFT(TArticle[[#This Row],[شناسه]]))=1,IF(TArticle[[#This Row],[کد وضعیت سند]]=1,TArticle[مبلغ],0),0),0)</f>
        <v>0</v>
      </c>
      <c r="AH615" s="1">
        <f>IFERROR(IF(INT(LEFT(TArticle[[#This Row],[شناسه]]))=2,IF(TArticle[[#This Row],[کد وضعیت سند]]=1,TArticle[مبلغ],0),0),0)</f>
        <v>0</v>
      </c>
      <c r="AI615" s="1">
        <f>IFERROR(IF((LEFT(TArticle[[#This Row],[شناسه]],3))="5.2",IF(TArticle[[#This Row],[کد وضعیت سند]]=1,TArticle[مبلغ],0),0),0)</f>
        <v>0</v>
      </c>
      <c r="AJ615" s="1">
        <f>IF(TArticle[[#This Row],[کد وضعیت سند]]=1,1,0)</f>
        <v>0</v>
      </c>
      <c r="AK615" s="1">
        <f>IF(AND(TArticle[[#This Row],[کد وضعیت سند]]&lt;&gt;1,TArticle[[#This Row],[مبلغ]]&lt;&gt;0),1,0)</f>
        <v>0</v>
      </c>
      <c r="AL615" s="78">
        <f>IF(TArticle[[#This Row],[کد بانک]]&gt;0,TArticle[[#This Row],[مانده بانک]]-VLOOKUP(TArticle[[#This Row],[کد بانک]],TBank[],7,FALSE),"")</f>
        <v>337414</v>
      </c>
      <c r="AM615" s="58" t="str">
        <f>LEFT(TArticle[[#This Row],[تاریخ]],7)</f>
        <v>1403-03</v>
      </c>
    </row>
    <row r="616" spans="1:39" x14ac:dyDescent="0.25">
      <c r="A616" s="24"/>
      <c r="B616" s="49" t="str">
        <f>VLOOKUP(TArticle[[#This Row],[شناسه]],TAccount[],2,TRUE)</f>
        <v>---</v>
      </c>
      <c r="C616" s="49" t="str">
        <f>VLOOKUP(TArticle[[#This Row],[تاریخ]],TDays[],7,FALSE)</f>
        <v>سه شنبه</v>
      </c>
      <c r="D616" s="21" t="s">
        <v>1316</v>
      </c>
      <c r="F616" s="1">
        <f>TArticle[[#This Row],[مبلغ]]+IFERROR(INT(F615),30181+3667+958)</f>
        <v>295762</v>
      </c>
      <c r="G616" s="49"/>
      <c r="L616" s="171" t="str">
        <f>IF(TArticle[[#This Row],[کد وضعیت سند]]&gt;0,VLOOKUP(TArticle[[#This Row],[کد وضعیت سند]],TDocState[],2,FALSE),"")</f>
        <v/>
      </c>
      <c r="N616" s="171" t="str">
        <f>IF(TArticle[[#This Row],[کد طرف حساب]]&gt;0,VLOOKUP(TArticle[[#This Row],[کد طرف حساب]],TContact[],2,FALSE),"")</f>
        <v/>
      </c>
      <c r="O616" s="61" t="str">
        <f>IF(TArticle[[#This Row],[کد طرف حساب]]&gt;0,VLOOKUP(TArticle[[#This Row],[کد طرف حساب]],TContact[],7,FALSE)-SUMIF($M$2:M616,M616,$E$2:$E616),"")</f>
        <v/>
      </c>
      <c r="P616" s="27" t="str">
        <f>RIGHT(TArticle[[#This Row],[تاریخ]],2)</f>
        <v>29</v>
      </c>
      <c r="Q616" s="27">
        <f>VLOOKUP(TArticle[[#This Row],[تاریخ]],TDays[],16,FALSE)</f>
        <v>14</v>
      </c>
      <c r="R616" s="27" t="str">
        <f>RIGHT(LEFT(TArticle[[#This Row],[تاریخ]],7),2)</f>
        <v>03</v>
      </c>
      <c r="S616" s="27" t="str">
        <f>LEFT(TArticle[[#This Row],[تاریخ]],4)</f>
        <v>1403</v>
      </c>
      <c r="U616" s="21">
        <f>VLOOKUP(TArticle[[#This Row],[شناسه]],TAccount[],7,TRUE)</f>
        <v>0</v>
      </c>
      <c r="W616" s="21">
        <f>IF(AND(TArticle[[#This Row],[مبلغ]]&gt;0, TArticle[[#This Row],[کد وضعیت سند]]=1),TArticle[[#This Row],[مبلغ]],0)</f>
        <v>0</v>
      </c>
      <c r="X616" s="27">
        <f>IF(AND(TArticle[[#This Row],[مبلغ]]&lt;0,TArticle[[#This Row],[کد وضعیت سند]]=1),0-TArticle[[#This Row],[مبلغ]],0)</f>
        <v>0</v>
      </c>
      <c r="Y616" s="27">
        <v>2</v>
      </c>
      <c r="Z616" s="171" t="str">
        <f>IF(TArticle[[#This Row],[کد بانک]]&gt;0,VLOOKUP(TArticle[[#This Row],[کد بانک]],TBank[],2,FALSE),"")</f>
        <v>ملی جاری</v>
      </c>
      <c r="AA616">
        <f>IF(AND(TArticle[[#This Row],[مبلغ]]&lt;0,TArticle[[#This Row],[کد وضعیت سند]]=1),0-TArticle[[#This Row],[مبلغ]],0)</f>
        <v>0</v>
      </c>
      <c r="AB616">
        <f>IF(AND(TArticle[[#This Row],[مبلغ]]&gt;0, TArticle[[#This Row],[کد وضعیت سند]]=1),TArticle[[#This Row],[مبلغ]],0)</f>
        <v>0</v>
      </c>
      <c r="AC616" s="84">
        <f>IF(TArticle[[#This Row],[کد بانک]]&gt;0,VLOOKUP(TArticle[[#This Row],[کد بانک]],TBank[],9,FALSE)+SUMIF($Y$2:Y616,Y616,$E$2:$E616),"")</f>
        <v>337414</v>
      </c>
      <c r="AD616" s="1">
        <f>IFERROR(IF(INT(LEFT(TArticle[[#This Row],[شناسه]]))=3,IF(TArticle[[#This Row],[کد وضعیت سند]]=1,TArticle[مبلغ],0),0),0)</f>
        <v>0</v>
      </c>
      <c r="AE616" s="1">
        <f>IFERROR(IF(((TArticle[[#This Row],[شناسه]]))="4.1.1",IF(TArticle[[#This Row],[کد وضعیت سند]]=1,TArticle[مبلغ],0),0),0)</f>
        <v>0</v>
      </c>
      <c r="AF616" s="1">
        <f>IFERROR(IF(((TArticle[[#This Row],[شناسه]]))="4.1.2",IF(TArticle[[#This Row],[کد وضعیت سند]]=1,TArticle[مبلغ],0),0),0)</f>
        <v>0</v>
      </c>
      <c r="AG616" s="1">
        <f>IFERROR(IF(INT(LEFT(TArticle[[#This Row],[شناسه]]))=1,IF(TArticle[[#This Row],[کد وضعیت سند]]=1,TArticle[مبلغ],0),0),0)</f>
        <v>0</v>
      </c>
      <c r="AH616" s="1">
        <f>IFERROR(IF(INT(LEFT(TArticle[[#This Row],[شناسه]]))=2,IF(TArticle[[#This Row],[کد وضعیت سند]]=1,TArticle[مبلغ],0),0),0)</f>
        <v>0</v>
      </c>
      <c r="AI616" s="1">
        <f>IFERROR(IF((LEFT(TArticle[[#This Row],[شناسه]],3))="5.2",IF(TArticle[[#This Row],[کد وضعیت سند]]=1,TArticle[مبلغ],0),0),0)</f>
        <v>0</v>
      </c>
      <c r="AJ616" s="1">
        <f>IF(TArticle[[#This Row],[کد وضعیت سند]]=1,1,0)</f>
        <v>0</v>
      </c>
      <c r="AK616" s="1">
        <f>IF(AND(TArticle[[#This Row],[کد وضعیت سند]]&lt;&gt;1,TArticle[[#This Row],[مبلغ]]&lt;&gt;0),1,0)</f>
        <v>0</v>
      </c>
      <c r="AL616" s="51">
        <f>IF(TArticle[[#This Row],[کد بانک]]&gt;0,TArticle[[#This Row],[مانده بانک]]-VLOOKUP(TArticle[[#This Row],[کد بانک]],TBank[],7,FALSE),"")</f>
        <v>337414</v>
      </c>
      <c r="AM616" s="49" t="str">
        <f>LEFT(TArticle[[#This Row],[تاریخ]],7)</f>
        <v>1403-03</v>
      </c>
    </row>
    <row r="617" spans="1:39" x14ac:dyDescent="0.25">
      <c r="A617" s="24"/>
      <c r="B617" s="49" t="str">
        <f>VLOOKUP(TArticle[[#This Row],[شناسه]],TAccount[],2,TRUE)</f>
        <v>---</v>
      </c>
      <c r="C617" s="49" t="str">
        <f>VLOOKUP(TArticle[[#This Row],[تاریخ]],TDays[],7,FALSE)</f>
        <v>سه شنبه</v>
      </c>
      <c r="D617" s="21" t="s">
        <v>1316</v>
      </c>
      <c r="F617" s="1">
        <f>TArticle[[#This Row],[مبلغ]]+IFERROR(INT(F616),30181+3667+958)</f>
        <v>295762</v>
      </c>
      <c r="G617" s="49"/>
      <c r="L617" s="171" t="str">
        <f>IF(TArticle[[#This Row],[کد وضعیت سند]]&gt;0,VLOOKUP(TArticle[[#This Row],[کد وضعیت سند]],TDocState[],2,FALSE),"")</f>
        <v/>
      </c>
      <c r="N617" s="171" t="str">
        <f>IF(TArticle[[#This Row],[کد طرف حساب]]&gt;0,VLOOKUP(TArticle[[#This Row],[کد طرف حساب]],TContact[],2,FALSE),"")</f>
        <v/>
      </c>
      <c r="O617" s="61" t="str">
        <f>IF(TArticle[[#This Row],[کد طرف حساب]]&gt;0,VLOOKUP(TArticle[[#This Row],[کد طرف حساب]],TContact[],7,FALSE)-SUMIF($M$2:M617,M617,$E$2:$E617),"")</f>
        <v/>
      </c>
      <c r="P617" s="27" t="str">
        <f>RIGHT(TArticle[[#This Row],[تاریخ]],2)</f>
        <v>29</v>
      </c>
      <c r="Q617" s="27">
        <f>VLOOKUP(TArticle[[#This Row],[تاریخ]],TDays[],16,FALSE)</f>
        <v>14</v>
      </c>
      <c r="R617" s="27" t="str">
        <f>RIGHT(LEFT(TArticle[[#This Row],[تاریخ]],7),2)</f>
        <v>03</v>
      </c>
      <c r="S617" s="27" t="str">
        <f>LEFT(TArticle[[#This Row],[تاریخ]],4)</f>
        <v>1403</v>
      </c>
      <c r="U617" s="21">
        <f>VLOOKUP(TArticle[[#This Row],[شناسه]],TAccount[],7,TRUE)</f>
        <v>0</v>
      </c>
      <c r="W617" s="21">
        <f>IF(AND(TArticle[[#This Row],[مبلغ]]&gt;0, TArticle[[#This Row],[کد وضعیت سند]]=1),TArticle[[#This Row],[مبلغ]],0)</f>
        <v>0</v>
      </c>
      <c r="X617" s="27">
        <f>IF(AND(TArticle[[#This Row],[مبلغ]]&lt;0,TArticle[[#This Row],[کد وضعیت سند]]=1),0-TArticle[[#This Row],[مبلغ]],0)</f>
        <v>0</v>
      </c>
      <c r="Y617" s="27">
        <v>2</v>
      </c>
      <c r="Z617" s="171" t="str">
        <f>IF(TArticle[[#This Row],[کد بانک]]&gt;0,VLOOKUP(TArticle[[#This Row],[کد بانک]],TBank[],2,FALSE),"")</f>
        <v>ملی جاری</v>
      </c>
      <c r="AA617">
        <f>IF(AND(TArticle[[#This Row],[مبلغ]]&lt;0,TArticle[[#This Row],[کد وضعیت سند]]=1),0-TArticle[[#This Row],[مبلغ]],0)</f>
        <v>0</v>
      </c>
      <c r="AB617">
        <f>IF(AND(TArticle[[#This Row],[مبلغ]]&gt;0, TArticle[[#This Row],[کد وضعیت سند]]=1),TArticle[[#This Row],[مبلغ]],0)</f>
        <v>0</v>
      </c>
      <c r="AC617" s="84">
        <f>IF(TArticle[[#This Row],[کد بانک]]&gt;0,VLOOKUP(TArticle[[#This Row],[کد بانک]],TBank[],9,FALSE)+SUMIF($Y$2:Y617,Y617,$E$2:$E617),"")</f>
        <v>337414</v>
      </c>
      <c r="AD617" s="1">
        <f>IFERROR(IF(INT(LEFT(TArticle[[#This Row],[شناسه]]))=3,IF(TArticle[[#This Row],[کد وضعیت سند]]=1,TArticle[مبلغ],0),0),0)</f>
        <v>0</v>
      </c>
      <c r="AE617" s="1">
        <f>IFERROR(IF(((TArticle[[#This Row],[شناسه]]))="4.1.1",IF(TArticle[[#This Row],[کد وضعیت سند]]=1,TArticle[مبلغ],0),0),0)</f>
        <v>0</v>
      </c>
      <c r="AF617" s="1">
        <f>IFERROR(IF(((TArticle[[#This Row],[شناسه]]))="4.1.2",IF(TArticle[[#This Row],[کد وضعیت سند]]=1,TArticle[مبلغ],0),0),0)</f>
        <v>0</v>
      </c>
      <c r="AG617" s="1">
        <f>IFERROR(IF(INT(LEFT(TArticle[[#This Row],[شناسه]]))=1,IF(TArticle[[#This Row],[کد وضعیت سند]]=1,TArticle[مبلغ],0),0),0)</f>
        <v>0</v>
      </c>
      <c r="AH617" s="1">
        <f>IFERROR(IF(INT(LEFT(TArticle[[#This Row],[شناسه]]))=2,IF(TArticle[[#This Row],[کد وضعیت سند]]=1,TArticle[مبلغ],0),0),0)</f>
        <v>0</v>
      </c>
      <c r="AI617" s="1">
        <f>IFERROR(IF((LEFT(TArticle[[#This Row],[شناسه]],3))="5.2",IF(TArticle[[#This Row],[کد وضعیت سند]]=1,TArticle[مبلغ],0),0),0)</f>
        <v>0</v>
      </c>
      <c r="AJ617" s="1">
        <f>IF(TArticle[[#This Row],[کد وضعیت سند]]=1,1,0)</f>
        <v>0</v>
      </c>
      <c r="AK617" s="1">
        <f>IF(AND(TArticle[[#This Row],[کد وضعیت سند]]&lt;&gt;1,TArticle[[#This Row],[مبلغ]]&lt;&gt;0),1,0)</f>
        <v>0</v>
      </c>
      <c r="AL617" s="51">
        <f>IF(TArticle[[#This Row],[کد بانک]]&gt;0,TArticle[[#This Row],[مانده بانک]]-VLOOKUP(TArticle[[#This Row],[کد بانک]],TBank[],7,FALSE),"")</f>
        <v>337414</v>
      </c>
      <c r="AM617" s="49" t="str">
        <f>LEFT(TArticle[[#This Row],[تاریخ]],7)</f>
        <v>1403-03</v>
      </c>
    </row>
    <row r="618" spans="1:39" x14ac:dyDescent="0.25">
      <c r="A618" s="24"/>
      <c r="B618" s="49" t="str">
        <f>VLOOKUP(TArticle[[#This Row],[شناسه]],TAccount[],2,TRUE)</f>
        <v>---</v>
      </c>
      <c r="C618" s="49" t="str">
        <f>VLOOKUP(TArticle[[#This Row],[تاریخ]],TDays[],7,FALSE)</f>
        <v>سه شنبه</v>
      </c>
      <c r="D618" s="21" t="s">
        <v>1316</v>
      </c>
      <c r="F618" s="1">
        <f>TArticle[[#This Row],[مبلغ]]+IFERROR(INT(F617),30181+3667+958)</f>
        <v>295762</v>
      </c>
      <c r="G618" s="49"/>
      <c r="L618" s="171" t="str">
        <f>IF(TArticle[[#This Row],[کد وضعیت سند]]&gt;0,VLOOKUP(TArticle[[#This Row],[کد وضعیت سند]],TDocState[],2,FALSE),"")</f>
        <v/>
      </c>
      <c r="N618" s="171" t="str">
        <f>IF(TArticle[[#This Row],[کد طرف حساب]]&gt;0,VLOOKUP(TArticle[[#This Row],[کد طرف حساب]],TContact[],2,FALSE),"")</f>
        <v/>
      </c>
      <c r="O618" s="61" t="str">
        <f>IF(TArticle[[#This Row],[کد طرف حساب]]&gt;0,VLOOKUP(TArticle[[#This Row],[کد طرف حساب]],TContact[],7,FALSE)-SUMIF($M$2:M618,M618,$E$2:$E618),"")</f>
        <v/>
      </c>
      <c r="P618" s="27" t="str">
        <f>RIGHT(TArticle[[#This Row],[تاریخ]],2)</f>
        <v>29</v>
      </c>
      <c r="Q618" s="27">
        <f>VLOOKUP(TArticle[[#This Row],[تاریخ]],TDays[],16,FALSE)</f>
        <v>14</v>
      </c>
      <c r="R618" s="27" t="str">
        <f>RIGHT(LEFT(TArticle[[#This Row],[تاریخ]],7),2)</f>
        <v>03</v>
      </c>
      <c r="S618" s="27" t="str">
        <f>LEFT(TArticle[[#This Row],[تاریخ]],4)</f>
        <v>1403</v>
      </c>
      <c r="U618" s="21">
        <f>VLOOKUP(TArticle[[#This Row],[شناسه]],TAccount[],7,TRUE)</f>
        <v>0</v>
      </c>
      <c r="W618" s="21">
        <f>IF(AND(TArticle[[#This Row],[مبلغ]]&gt;0, TArticle[[#This Row],[کد وضعیت سند]]=1),TArticle[[#This Row],[مبلغ]],0)</f>
        <v>0</v>
      </c>
      <c r="X618" s="27">
        <f>IF(AND(TArticle[[#This Row],[مبلغ]]&lt;0,TArticle[[#This Row],[کد وضعیت سند]]=1),0-TArticle[[#This Row],[مبلغ]],0)</f>
        <v>0</v>
      </c>
      <c r="Y618" s="27">
        <v>2</v>
      </c>
      <c r="Z618" s="171" t="str">
        <f>IF(TArticle[[#This Row],[کد بانک]]&gt;0,VLOOKUP(TArticle[[#This Row],[کد بانک]],TBank[],2,FALSE),"")</f>
        <v>ملی جاری</v>
      </c>
      <c r="AA618">
        <f>IF(AND(TArticle[[#This Row],[مبلغ]]&lt;0,TArticle[[#This Row],[کد وضعیت سند]]=1),0-TArticle[[#This Row],[مبلغ]],0)</f>
        <v>0</v>
      </c>
      <c r="AB618">
        <f>IF(AND(TArticle[[#This Row],[مبلغ]]&gt;0, TArticle[[#This Row],[کد وضعیت سند]]=1),TArticle[[#This Row],[مبلغ]],0)</f>
        <v>0</v>
      </c>
      <c r="AC618" s="84">
        <f>IF(TArticle[[#This Row],[کد بانک]]&gt;0,VLOOKUP(TArticle[[#This Row],[کد بانک]],TBank[],9,FALSE)+SUMIF($Y$2:Y618,Y618,$E$2:$E618),"")</f>
        <v>337414</v>
      </c>
      <c r="AD618" s="1">
        <f>IFERROR(IF(INT(LEFT(TArticle[[#This Row],[شناسه]]))=3,IF(TArticle[[#This Row],[کد وضعیت سند]]=1,TArticle[مبلغ],0),0),0)</f>
        <v>0</v>
      </c>
      <c r="AE618" s="1">
        <f>IFERROR(IF(((TArticle[[#This Row],[شناسه]]))="4.1.1",IF(TArticle[[#This Row],[کد وضعیت سند]]=1,TArticle[مبلغ],0),0),0)</f>
        <v>0</v>
      </c>
      <c r="AF618" s="1">
        <f>IFERROR(IF(((TArticle[[#This Row],[شناسه]]))="4.1.2",IF(TArticle[[#This Row],[کد وضعیت سند]]=1,TArticle[مبلغ],0),0),0)</f>
        <v>0</v>
      </c>
      <c r="AG618" s="1">
        <f>IFERROR(IF(INT(LEFT(TArticle[[#This Row],[شناسه]]))=1,IF(TArticle[[#This Row],[کد وضعیت سند]]=1,TArticle[مبلغ],0),0),0)</f>
        <v>0</v>
      </c>
      <c r="AH618" s="1">
        <f>IFERROR(IF(INT(LEFT(TArticle[[#This Row],[شناسه]]))=2,IF(TArticle[[#This Row],[کد وضعیت سند]]=1,TArticle[مبلغ],0),0),0)</f>
        <v>0</v>
      </c>
      <c r="AI618" s="1">
        <f>IFERROR(IF((LEFT(TArticle[[#This Row],[شناسه]],3))="5.2",IF(TArticle[[#This Row],[کد وضعیت سند]]=1,TArticle[مبلغ],0),0),0)</f>
        <v>0</v>
      </c>
      <c r="AJ618" s="1">
        <f>IF(TArticle[[#This Row],[کد وضعیت سند]]=1,1,0)</f>
        <v>0</v>
      </c>
      <c r="AK618" s="1">
        <f>IF(AND(TArticle[[#This Row],[کد وضعیت سند]]&lt;&gt;1,TArticle[[#This Row],[مبلغ]]&lt;&gt;0),1,0)</f>
        <v>0</v>
      </c>
      <c r="AL618" s="51">
        <f>IF(TArticle[[#This Row],[کد بانک]]&gt;0,TArticle[[#This Row],[مانده بانک]]-VLOOKUP(TArticle[[#This Row],[کد بانک]],TBank[],7,FALSE),"")</f>
        <v>337414</v>
      </c>
      <c r="AM618" s="49" t="str">
        <f>LEFT(TArticle[[#This Row],[تاریخ]],7)</f>
        <v>1403-03</v>
      </c>
    </row>
    <row r="619" spans="1:39" x14ac:dyDescent="0.25">
      <c r="A619" s="24"/>
      <c r="B619" s="49" t="str">
        <f>VLOOKUP(TArticle[[#This Row],[شناسه]],TAccount[],2,TRUE)</f>
        <v>---</v>
      </c>
      <c r="C619" s="49" t="str">
        <f>VLOOKUP(TArticle[[#This Row],[تاریخ]],TDays[],7,FALSE)</f>
        <v>سه شنبه</v>
      </c>
      <c r="D619" s="21" t="s">
        <v>1316</v>
      </c>
      <c r="F619" s="1">
        <f>TArticle[[#This Row],[مبلغ]]+IFERROR(INT(F618),30181+3667+958)</f>
        <v>295762</v>
      </c>
      <c r="G619" s="49"/>
      <c r="L619" s="171" t="str">
        <f>IF(TArticle[[#This Row],[کد وضعیت سند]]&gt;0,VLOOKUP(TArticle[[#This Row],[کد وضعیت سند]],TDocState[],2,FALSE),"")</f>
        <v/>
      </c>
      <c r="N619" s="171" t="str">
        <f>IF(TArticle[[#This Row],[کد طرف حساب]]&gt;0,VLOOKUP(TArticle[[#This Row],[کد طرف حساب]],TContact[],2,FALSE),"")</f>
        <v/>
      </c>
      <c r="O619" s="51" t="str">
        <f>IF(TArticle[[#This Row],[کد طرف حساب]]&gt;0,VLOOKUP(TArticle[[#This Row],[کد طرف حساب]],TContact[],7,FALSE)-SUMIF($M$2:M619,M619,$E$2:$E619),"")</f>
        <v/>
      </c>
      <c r="P619" s="27" t="str">
        <f>RIGHT(TArticle[[#This Row],[تاریخ]],2)</f>
        <v>29</v>
      </c>
      <c r="Q619" s="27">
        <f>VLOOKUP(TArticle[[#This Row],[تاریخ]],TDays[],16,FALSE)</f>
        <v>14</v>
      </c>
      <c r="R619" s="27" t="str">
        <f>RIGHT(LEFT(TArticle[[#This Row],[تاریخ]],7),2)</f>
        <v>03</v>
      </c>
      <c r="S619" s="27" t="str">
        <f>LEFT(TArticle[[#This Row],[تاریخ]],4)</f>
        <v>1403</v>
      </c>
      <c r="U619" s="21">
        <f>VLOOKUP(TArticle[[#This Row],[شناسه]],TAccount[],7,TRUE)</f>
        <v>0</v>
      </c>
      <c r="W619" s="21">
        <f>IF(AND(TArticle[[#This Row],[مبلغ]]&gt;0, TArticle[[#This Row],[کد وضعیت سند]]=1),TArticle[[#This Row],[مبلغ]],0)</f>
        <v>0</v>
      </c>
      <c r="X619" s="27">
        <f>IF(AND(TArticle[[#This Row],[مبلغ]]&lt;0,TArticle[[#This Row],[کد وضعیت سند]]=1),0-TArticle[[#This Row],[مبلغ]],0)</f>
        <v>0</v>
      </c>
      <c r="Y619" s="27">
        <v>2</v>
      </c>
      <c r="Z619" s="171" t="str">
        <f>IF(TArticle[[#This Row],[کد بانک]]&gt;0,VLOOKUP(TArticle[[#This Row],[کد بانک]],TBank[],2,FALSE),"")</f>
        <v>ملی جاری</v>
      </c>
      <c r="AA619">
        <f>IF(AND(TArticle[[#This Row],[مبلغ]]&lt;0,TArticle[[#This Row],[کد وضعیت سند]]=1),0-TArticle[[#This Row],[مبلغ]],0)</f>
        <v>0</v>
      </c>
      <c r="AB619">
        <f>IF(AND(TArticle[[#This Row],[مبلغ]]&gt;0, TArticle[[#This Row],[کد وضعیت سند]]=1),TArticle[[#This Row],[مبلغ]],0)</f>
        <v>0</v>
      </c>
      <c r="AC619" s="84">
        <f>IF(TArticle[[#This Row],[کد بانک]]&gt;0,VLOOKUP(TArticle[[#This Row],[کد بانک]],TBank[],9,FALSE)+SUMIF($Y$2:Y619,Y619,$E$2:$E619),"")</f>
        <v>337414</v>
      </c>
      <c r="AD619" s="1">
        <f>IFERROR(IF(INT(LEFT(TArticle[[#This Row],[شناسه]]))=3,IF(TArticle[[#This Row],[کد وضعیت سند]]=1,TArticle[مبلغ],0),0),0)</f>
        <v>0</v>
      </c>
      <c r="AE619" s="1">
        <f>IFERROR(IF(((TArticle[[#This Row],[شناسه]]))="4.1.1",IF(TArticle[[#This Row],[کد وضعیت سند]]=1,TArticle[مبلغ],0),0),0)</f>
        <v>0</v>
      </c>
      <c r="AF619" s="1">
        <f>IFERROR(IF(((TArticle[[#This Row],[شناسه]]))="4.1.2",IF(TArticle[[#This Row],[کد وضعیت سند]]=1,TArticle[مبلغ],0),0),0)</f>
        <v>0</v>
      </c>
      <c r="AG619" s="1">
        <f>IFERROR(IF(INT(LEFT(TArticle[[#This Row],[شناسه]]))=1,IF(TArticle[[#This Row],[کد وضعیت سند]]=1,TArticle[مبلغ],0),0),0)</f>
        <v>0</v>
      </c>
      <c r="AH619" s="1">
        <f>IFERROR(IF(INT(LEFT(TArticle[[#This Row],[شناسه]]))=2,IF(TArticle[[#This Row],[کد وضعیت سند]]=1,TArticle[مبلغ],0),0),0)</f>
        <v>0</v>
      </c>
      <c r="AI619" s="1">
        <f>IFERROR(IF((LEFT(TArticle[[#This Row],[شناسه]],3))="5.2",IF(TArticle[[#This Row],[کد وضعیت سند]]=1,TArticle[مبلغ],0),0),0)</f>
        <v>0</v>
      </c>
      <c r="AJ619" s="1">
        <f>IF(TArticle[[#This Row],[کد وضعیت سند]]=1,1,0)</f>
        <v>0</v>
      </c>
      <c r="AK619" s="1">
        <f>IF(AND(TArticle[[#This Row],[کد وضعیت سند]]&lt;&gt;1,TArticle[[#This Row],[مبلغ]]&lt;&gt;0),1,0)</f>
        <v>0</v>
      </c>
      <c r="AL619" s="51">
        <f>IF(TArticle[[#This Row],[کد بانک]]&gt;0,TArticle[[#This Row],[مانده بانک]]-VLOOKUP(TArticle[[#This Row],[کد بانک]],TBank[],7,FALSE),"")</f>
        <v>337414</v>
      </c>
      <c r="AM619" s="49" t="str">
        <f>LEFT(TArticle[[#This Row],[تاریخ]],7)</f>
        <v>1403-03</v>
      </c>
    </row>
    <row r="620" spans="1:39" x14ac:dyDescent="0.25">
      <c r="A620" s="77"/>
      <c r="B620" s="49" t="str">
        <f>VLOOKUP(TArticle[[#This Row],[شناسه]],TAccount[],2,TRUE)</f>
        <v>---</v>
      </c>
      <c r="C620" s="49" t="str">
        <f>VLOOKUP(TArticle[[#This Row],[تاریخ]],TDays[],7,FALSE)</f>
        <v>سه شنبه</v>
      </c>
      <c r="D620" s="21" t="s">
        <v>1316</v>
      </c>
      <c r="F620" s="1">
        <f>TArticle[[#This Row],[مبلغ]]+IFERROR(INT(F619),30181+3667+958)</f>
        <v>295762</v>
      </c>
      <c r="G620" s="49"/>
      <c r="L620" s="171" t="str">
        <f>IF(TArticle[[#This Row],[کد وضعیت سند]]&gt;0,VLOOKUP(TArticle[[#This Row],[کد وضعیت سند]],TDocState[],2,FALSE),"")</f>
        <v/>
      </c>
      <c r="N620" s="171" t="str">
        <f>IF(TArticle[[#This Row],[کد طرف حساب]]&gt;0,VLOOKUP(TArticle[[#This Row],[کد طرف حساب]],TContact[],2,FALSE),"")</f>
        <v/>
      </c>
      <c r="O620" s="51" t="str">
        <f>IF(TArticle[[#This Row],[کد طرف حساب]]&gt;0,VLOOKUP(TArticle[[#This Row],[کد طرف حساب]],TContact[],7,FALSE)-SUMIF($M$2:M620,M620,$E$2:$E620),"")</f>
        <v/>
      </c>
      <c r="P620" s="21" t="str">
        <f>RIGHT(TArticle[[#This Row],[تاریخ]],2)</f>
        <v>29</v>
      </c>
      <c r="Q620" s="21">
        <f>VLOOKUP(TArticle[[#This Row],[تاریخ]],TDays[],16,FALSE)</f>
        <v>14</v>
      </c>
      <c r="R620" s="21" t="str">
        <f>RIGHT(LEFT(TArticle[[#This Row],[تاریخ]],7),2)</f>
        <v>03</v>
      </c>
      <c r="S620" s="21" t="str">
        <f>LEFT(TArticle[[#This Row],[تاریخ]],4)</f>
        <v>1403</v>
      </c>
      <c r="U620" s="21">
        <f>VLOOKUP(TArticle[[#This Row],[شناسه]],TAccount[],7,TRUE)</f>
        <v>0</v>
      </c>
      <c r="V620" s="28"/>
      <c r="W620" s="21">
        <f>IF(AND(TArticle[[#This Row],[مبلغ]]&gt;0, TArticle[[#This Row],[کد وضعیت سند]]=1),TArticle[[#This Row],[مبلغ]],0)</f>
        <v>0</v>
      </c>
      <c r="X620" s="21">
        <f>IF(AND(TArticle[[#This Row],[مبلغ]]&lt;0,TArticle[[#This Row],[کد وضعیت سند]]=1),0-TArticle[[#This Row],[مبلغ]],0)</f>
        <v>0</v>
      </c>
      <c r="Y620" s="27">
        <v>2</v>
      </c>
      <c r="Z620" s="171" t="str">
        <f>IF(TArticle[[#This Row],[کد بانک]]&gt;0,VLOOKUP(TArticle[[#This Row],[کد بانک]],TBank[],2,FALSE),"")</f>
        <v>ملی جاری</v>
      </c>
      <c r="AA620">
        <f>IF(AND(TArticle[[#This Row],[مبلغ]]&lt;0,TArticle[[#This Row],[کد وضعیت سند]]=1),0-TArticle[[#This Row],[مبلغ]],0)</f>
        <v>0</v>
      </c>
      <c r="AB620">
        <f>IF(AND(TArticle[[#This Row],[مبلغ]]&gt;0, TArticle[[#This Row],[کد وضعیت سند]]=1),TArticle[[#This Row],[مبلغ]],0)</f>
        <v>0</v>
      </c>
      <c r="AC620" s="84">
        <f>IF(TArticle[[#This Row],[کد بانک]]&gt;0,VLOOKUP(TArticle[[#This Row],[کد بانک]],TBank[],9,FALSE)+SUMIF($Y$2:Y620,Y620,$E$2:$E620),"")</f>
        <v>337414</v>
      </c>
      <c r="AD620" s="1">
        <f>IFERROR(IF(INT(LEFT(TArticle[[#This Row],[شناسه]]))=3,IF(TArticle[[#This Row],[کد وضعیت سند]]=1,TArticle[مبلغ],0),0),0)</f>
        <v>0</v>
      </c>
      <c r="AE620" s="1">
        <f>IFERROR(IF(((TArticle[[#This Row],[شناسه]]))="4.1.1",IF(TArticle[[#This Row],[کد وضعیت سند]]=1,TArticle[مبلغ],0),0),0)</f>
        <v>0</v>
      </c>
      <c r="AF620" s="1">
        <f>IFERROR(IF(((TArticle[[#This Row],[شناسه]]))="4.1.2",IF(TArticle[[#This Row],[کد وضعیت سند]]=1,TArticle[مبلغ],0),0),0)</f>
        <v>0</v>
      </c>
      <c r="AG620" s="1">
        <f>IFERROR(IF(INT(LEFT(TArticle[[#This Row],[شناسه]]))=1,IF(TArticle[[#This Row],[کد وضعیت سند]]=1,TArticle[مبلغ],0),0),0)</f>
        <v>0</v>
      </c>
      <c r="AH620" s="1">
        <f>IFERROR(IF(INT(LEFT(TArticle[[#This Row],[شناسه]]))=2,IF(TArticle[[#This Row],[کد وضعیت سند]]=1,TArticle[مبلغ],0),0),0)</f>
        <v>0</v>
      </c>
      <c r="AI620" s="1">
        <f>IFERROR(IF((LEFT(TArticle[[#This Row],[شناسه]],3))="5.2",IF(TArticle[[#This Row],[کد وضعیت سند]]=1,TArticle[مبلغ],0),0),0)</f>
        <v>0</v>
      </c>
      <c r="AJ620" s="1">
        <f>IF(TArticle[[#This Row],[کد وضعیت سند]]=1,1,0)</f>
        <v>0</v>
      </c>
      <c r="AK620" s="1">
        <f>IF(AND(TArticle[[#This Row],[کد وضعیت سند]]&lt;&gt;1,TArticle[[#This Row],[مبلغ]]&lt;&gt;0),1,0)</f>
        <v>0</v>
      </c>
      <c r="AL620" s="51">
        <f>IF(TArticle[[#This Row],[کد بانک]]&gt;0,TArticle[[#This Row],[مانده بانک]]-VLOOKUP(TArticle[[#This Row],[کد بانک]],TBank[],7,FALSE),"")</f>
        <v>337414</v>
      </c>
      <c r="AM620" s="58" t="str">
        <f>LEFT(TArticle[[#This Row],[تاریخ]],7)</f>
        <v>1403-03</v>
      </c>
    </row>
    <row r="621" spans="1:39" x14ac:dyDescent="0.25">
      <c r="A621" s="24"/>
      <c r="B621" s="49" t="str">
        <f>VLOOKUP(TArticle[[#This Row],[شناسه]],TAccount[],2,TRUE)</f>
        <v>---</v>
      </c>
      <c r="C621" s="49" t="str">
        <f>VLOOKUP(TArticle[[#This Row],[تاریخ]],TDays[],7,FALSE)</f>
        <v>سه شنبه</v>
      </c>
      <c r="D621" s="21" t="s">
        <v>1316</v>
      </c>
      <c r="F621" s="1">
        <f>TArticle[[#This Row],[مبلغ]]+IFERROR(INT(F620),30181+3667+958)</f>
        <v>295762</v>
      </c>
      <c r="G621" s="49"/>
      <c r="J621" s="51"/>
      <c r="K621" s="49"/>
      <c r="L621" s="171" t="str">
        <f>IF(TArticle[[#This Row],[کد وضعیت سند]]&gt;0,VLOOKUP(TArticle[[#This Row],[کد وضعیت سند]],TDocState[],2,FALSE),"")</f>
        <v/>
      </c>
      <c r="M621" s="67"/>
      <c r="N621" s="171" t="str">
        <f>IF(TArticle[[#This Row],[کد طرف حساب]]&gt;0,VLOOKUP(TArticle[[#This Row],[کد طرف حساب]],TContact[],2,FALSE),"")</f>
        <v/>
      </c>
      <c r="O621" s="60" t="str">
        <f>IF(TArticle[[#This Row],[کد طرف حساب]]&gt;0,VLOOKUP(TArticle[[#This Row],[کد طرف حساب]],TContact[],7,FALSE)-SUMIF($M$2:M621,M621,$E$2:$E621),"")</f>
        <v/>
      </c>
      <c r="P621" s="27" t="str">
        <f>RIGHT(TArticle[[#This Row],[تاریخ]],2)</f>
        <v>29</v>
      </c>
      <c r="Q621" s="27">
        <f>VLOOKUP(TArticle[[#This Row],[تاریخ]],TDays[],16,FALSE)</f>
        <v>14</v>
      </c>
      <c r="R621" s="27" t="str">
        <f>RIGHT(LEFT(TArticle[[#This Row],[تاریخ]],7),2)</f>
        <v>03</v>
      </c>
      <c r="S621" s="27" t="str">
        <f>LEFT(TArticle[[#This Row],[تاریخ]],4)</f>
        <v>1403</v>
      </c>
      <c r="U621" s="21">
        <f>VLOOKUP(TArticle[[#This Row],[شناسه]],TAccount[],7,TRUE)</f>
        <v>0</v>
      </c>
      <c r="W621" s="21">
        <f>IF(AND(TArticle[[#This Row],[مبلغ]]&gt;0, TArticle[[#This Row],[کد وضعیت سند]]=1),TArticle[[#This Row],[مبلغ]],0)</f>
        <v>0</v>
      </c>
      <c r="X621" s="27">
        <f>IF(AND(TArticle[[#This Row],[مبلغ]]&lt;0,TArticle[[#This Row],[کد وضعیت سند]]=1),0-TArticle[[#This Row],[مبلغ]],0)</f>
        <v>0</v>
      </c>
      <c r="Y621" s="27">
        <v>2</v>
      </c>
      <c r="Z621" s="171" t="str">
        <f>IF(TArticle[[#This Row],[کد بانک]]&gt;0,VLOOKUP(TArticle[[#This Row],[کد بانک]],TBank[],2,FALSE),"")</f>
        <v>ملی جاری</v>
      </c>
      <c r="AA621">
        <f>IF(AND(TArticle[[#This Row],[مبلغ]]&lt;0,TArticle[[#This Row],[کد وضعیت سند]]=1),0-TArticle[[#This Row],[مبلغ]],0)</f>
        <v>0</v>
      </c>
      <c r="AB621">
        <f>IF(AND(TArticle[[#This Row],[مبلغ]]&gt;0, TArticle[[#This Row],[کد وضعیت سند]]=1),TArticle[[#This Row],[مبلغ]],0)</f>
        <v>0</v>
      </c>
      <c r="AC621" s="92">
        <f>IF(TArticle[[#This Row],[کد بانک]]&gt;0,VLOOKUP(TArticle[[#This Row],[کد بانک]],TBank[],9,FALSE)+SUMIF($Y$2:Y621,Y621,$E$2:$E621),"")</f>
        <v>337414</v>
      </c>
      <c r="AD621" s="1">
        <f>IFERROR(IF(INT(LEFT(TArticle[[#This Row],[شناسه]]))=3,IF(TArticle[[#This Row],[کد وضعیت سند]]=1,TArticle[مبلغ],0),0),0)</f>
        <v>0</v>
      </c>
      <c r="AE621" s="1">
        <f>IFERROR(IF(((TArticle[[#This Row],[شناسه]]))="4.1.1",IF(TArticle[[#This Row],[کد وضعیت سند]]=1,TArticle[مبلغ],0),0),0)</f>
        <v>0</v>
      </c>
      <c r="AF621" s="1">
        <f>IFERROR(IF(((TArticle[[#This Row],[شناسه]]))="4.1.2",IF(TArticle[[#This Row],[کد وضعیت سند]]=1,TArticle[مبلغ],0),0),0)</f>
        <v>0</v>
      </c>
      <c r="AG621" s="1">
        <f>IFERROR(IF(INT(LEFT(TArticle[[#This Row],[شناسه]]))=1,IF(TArticle[[#This Row],[کد وضعیت سند]]=1,TArticle[مبلغ],0),0),0)</f>
        <v>0</v>
      </c>
      <c r="AH621" s="1">
        <f>IFERROR(IF(INT(LEFT(TArticle[[#This Row],[شناسه]]))=2,IF(TArticle[[#This Row],[کد وضعیت سند]]=1,TArticle[مبلغ],0),0),0)</f>
        <v>0</v>
      </c>
      <c r="AI621" s="1">
        <f>IFERROR(IF((LEFT(TArticle[[#This Row],[شناسه]],3))="5.2",IF(TArticle[[#This Row],[کد وضعیت سند]]=1,TArticle[مبلغ],0),0),0)</f>
        <v>0</v>
      </c>
      <c r="AJ621" s="1">
        <f>IF(TArticle[[#This Row],[کد وضعیت سند]]=1,1,0)</f>
        <v>0</v>
      </c>
      <c r="AK621" s="1">
        <f>IF(AND(TArticle[[#This Row],[کد وضعیت سند]]&lt;&gt;1,TArticle[[#This Row],[مبلغ]]&lt;&gt;0),1,0)</f>
        <v>0</v>
      </c>
      <c r="AL621" s="51">
        <f>IF(TArticle[[#This Row],[کد بانک]]&gt;0,TArticle[[#This Row],[مانده بانک]]-VLOOKUP(TArticle[[#This Row],[کد بانک]],TBank[],7,FALSE),"")</f>
        <v>337414</v>
      </c>
      <c r="AM621" s="58" t="str">
        <f>LEFT(TArticle[[#This Row],[تاریخ]],7)</f>
        <v>1403-03</v>
      </c>
    </row>
    <row r="622" spans="1:39" x14ac:dyDescent="0.25">
      <c r="A622" s="77"/>
      <c r="B622" s="49" t="str">
        <f>VLOOKUP(TArticle[[#This Row],[شناسه]],TAccount[],2,TRUE)</f>
        <v>---</v>
      </c>
      <c r="C622" s="49" t="str">
        <f>VLOOKUP(TArticle[[#This Row],[تاریخ]],TDays[],7,FALSE)</f>
        <v>سه شنبه</v>
      </c>
      <c r="D622" s="21" t="s">
        <v>1316</v>
      </c>
      <c r="F622" s="1">
        <f>TArticle[[#This Row],[مبلغ]]+IFERROR(INT(F621),30181+3667+958)</f>
        <v>295762</v>
      </c>
      <c r="G622" s="49"/>
      <c r="H622" s="64"/>
      <c r="J622" s="65"/>
      <c r="K622" s="64"/>
      <c r="L622" s="171" t="str">
        <f>IF(TArticle[[#This Row],[کد وضعیت سند]]&gt;0,VLOOKUP(TArticle[[#This Row],[کد وضعیت سند]],TDocState[],2,FALSE),"")</f>
        <v/>
      </c>
      <c r="M622" s="67"/>
      <c r="N622" s="171" t="str">
        <f>IF(TArticle[[#This Row],[کد طرف حساب]]&gt;0,VLOOKUP(TArticle[[#This Row],[کد طرف حساب]],TContact[],2,FALSE),"")</f>
        <v/>
      </c>
      <c r="O622" s="68" t="str">
        <f>IF(TArticle[[#This Row],[کد طرف حساب]]&gt;0,VLOOKUP(TArticle[[#This Row],[کد طرف حساب]],TContact[],7,FALSE)-SUMIF($M$2:M622,M622,$E$2:$E622),"")</f>
        <v/>
      </c>
      <c r="P622" s="67" t="str">
        <f>RIGHT(TArticle[[#This Row],[تاریخ]],2)</f>
        <v>29</v>
      </c>
      <c r="Q622" s="67">
        <f>VLOOKUP(TArticle[[#This Row],[تاریخ]],TDays[],16,FALSE)</f>
        <v>14</v>
      </c>
      <c r="R622" s="67" t="str">
        <f>RIGHT(LEFT(TArticle[[#This Row],[تاریخ]],7),2)</f>
        <v>03</v>
      </c>
      <c r="S622" s="67" t="str">
        <f>LEFT(TArticle[[#This Row],[تاریخ]],4)</f>
        <v>1403</v>
      </c>
      <c r="T622" s="64"/>
      <c r="U622" s="64">
        <f>VLOOKUP(TArticle[[#This Row],[شناسه]],TAccount[],7,TRUE)</f>
        <v>0</v>
      </c>
      <c r="V622" s="28"/>
      <c r="W622" s="64">
        <f>IF(AND(TArticle[[#This Row],[مبلغ]]&gt;0, TArticle[[#This Row],[کد وضعیت سند]]=1),TArticle[[#This Row],[مبلغ]],0)</f>
        <v>0</v>
      </c>
      <c r="X622" s="67">
        <f>IF(AND(TArticle[[#This Row],[مبلغ]]&lt;0,TArticle[[#This Row],[کد وضعیت سند]]=1),0-TArticle[[#This Row],[مبلغ]],0)</f>
        <v>0</v>
      </c>
      <c r="Y622" s="27">
        <v>2</v>
      </c>
      <c r="Z622" s="171" t="str">
        <f>IF(TArticle[[#This Row],[کد بانک]]&gt;0,VLOOKUP(TArticle[[#This Row],[کد بانک]],TBank[],2,FALSE),"")</f>
        <v>ملی جاری</v>
      </c>
      <c r="AA622">
        <f>IF(AND(TArticle[[#This Row],[مبلغ]]&lt;0,TArticle[[#This Row],[کد وضعیت سند]]=1),0-TArticle[[#This Row],[مبلغ]],0)</f>
        <v>0</v>
      </c>
      <c r="AB622">
        <f>IF(AND(TArticle[[#This Row],[مبلغ]]&gt;0, TArticle[[#This Row],[کد وضعیت سند]]=1),TArticle[[#This Row],[مبلغ]],0)</f>
        <v>0</v>
      </c>
      <c r="AC622" s="93">
        <f>IF(TArticle[[#This Row],[کد بانک]]&gt;0,VLOOKUP(TArticle[[#This Row],[کد بانک]],TBank[],9,FALSE)+SUMIF($Y$2:Y622,Y622,$E$2:$E622),"")</f>
        <v>337414</v>
      </c>
      <c r="AD622" s="1">
        <f>IFERROR(IF(INT(LEFT(TArticle[[#This Row],[شناسه]]))=3,IF(TArticle[[#This Row],[کد وضعیت سند]]=1,TArticle[مبلغ],0),0),0)</f>
        <v>0</v>
      </c>
      <c r="AE622" s="1">
        <f>IFERROR(IF(((TArticle[[#This Row],[شناسه]]))="4.1.1",IF(TArticle[[#This Row],[کد وضعیت سند]]=1,TArticle[مبلغ],0),0),0)</f>
        <v>0</v>
      </c>
      <c r="AF622" s="1">
        <f>IFERROR(IF(((TArticle[[#This Row],[شناسه]]))="4.1.2",IF(TArticle[[#This Row],[کد وضعیت سند]]=1,TArticle[مبلغ],0),0),0)</f>
        <v>0</v>
      </c>
      <c r="AG622" s="1">
        <f>IFERROR(IF(INT(LEFT(TArticle[[#This Row],[شناسه]]))=1,IF(TArticle[[#This Row],[کد وضعیت سند]]=1,TArticle[مبلغ],0),0),0)</f>
        <v>0</v>
      </c>
      <c r="AH622" s="1">
        <f>IFERROR(IF(INT(LEFT(TArticle[[#This Row],[شناسه]]))=2,IF(TArticle[[#This Row],[کد وضعیت سند]]=1,TArticle[مبلغ],0),0),0)</f>
        <v>0</v>
      </c>
      <c r="AI622" s="1">
        <f>IFERROR(IF((LEFT(TArticle[[#This Row],[شناسه]],3))="5.2",IF(TArticle[[#This Row],[کد وضعیت سند]]=1,TArticle[مبلغ],0),0),0)</f>
        <v>0</v>
      </c>
      <c r="AJ622" s="1">
        <f>IF(TArticle[[#This Row],[کد وضعیت سند]]=1,1,0)</f>
        <v>0</v>
      </c>
      <c r="AK622" s="1">
        <f>IF(AND(TArticle[[#This Row],[کد وضعیت سند]]&lt;&gt;1,TArticle[[#This Row],[مبلغ]]&lt;&gt;0),1,0)</f>
        <v>0</v>
      </c>
      <c r="AL622" s="78">
        <f>IF(TArticle[[#This Row],[کد بانک]]&gt;0,TArticle[[#This Row],[مانده بانک]]-VLOOKUP(TArticle[[#This Row],[کد بانک]],TBank[],7,FALSE),"")</f>
        <v>337414</v>
      </c>
      <c r="AM622" s="58" t="str">
        <f>LEFT(TArticle[[#This Row],[تاریخ]],7)</f>
        <v>1403-03</v>
      </c>
    </row>
    <row r="623" spans="1:39" x14ac:dyDescent="0.25">
      <c r="A623" s="24"/>
      <c r="B623" s="49" t="str">
        <f>VLOOKUP(TArticle[[#This Row],[شناسه]],TAccount[],2,TRUE)</f>
        <v>---</v>
      </c>
      <c r="C623" s="49" t="str">
        <f>VLOOKUP(TArticle[[#This Row],[تاریخ]],TDays[],7,FALSE)</f>
        <v>سه شنبه</v>
      </c>
      <c r="D623" s="21" t="s">
        <v>1316</v>
      </c>
      <c r="F623" s="1">
        <f>TArticle[[#This Row],[مبلغ]]+IFERROR(INT(F622),30181+3667+958)</f>
        <v>295762</v>
      </c>
      <c r="G623" s="49"/>
      <c r="H623" s="64"/>
      <c r="J623" s="51"/>
      <c r="K623" s="49"/>
      <c r="L623" s="171" t="str">
        <f>IF(TArticle[[#This Row],[کد وضعیت سند]]&gt;0,VLOOKUP(TArticle[[#This Row],[کد وضعیت سند]],TDocState[],2,FALSE),"")</f>
        <v/>
      </c>
      <c r="M623" s="67"/>
      <c r="N623" s="171" t="str">
        <f>IF(TArticle[[#This Row],[کد طرف حساب]]&gt;0,VLOOKUP(TArticle[[#This Row],[کد طرف حساب]],TContact[],2,FALSE),"")</f>
        <v/>
      </c>
      <c r="O623" s="60" t="str">
        <f>IF(TArticle[[#This Row],[کد طرف حساب]]&gt;0,VLOOKUP(TArticle[[#This Row],[کد طرف حساب]],TContact[],7,FALSE)-SUMIF($M$2:M623,M623,$E$2:$E623),"")</f>
        <v/>
      </c>
      <c r="P623" s="27" t="str">
        <f>RIGHT(TArticle[[#This Row],[تاریخ]],2)</f>
        <v>29</v>
      </c>
      <c r="Q623" s="27">
        <f>VLOOKUP(TArticle[[#This Row],[تاریخ]],TDays[],16,FALSE)</f>
        <v>14</v>
      </c>
      <c r="R623" s="27" t="str">
        <f>RIGHT(LEFT(TArticle[[#This Row],[تاریخ]],7),2)</f>
        <v>03</v>
      </c>
      <c r="S623" s="27" t="str">
        <f>LEFT(TArticle[[#This Row],[تاریخ]],4)</f>
        <v>1403</v>
      </c>
      <c r="U623" s="21">
        <f>VLOOKUP(TArticle[[#This Row],[شناسه]],TAccount[],7,TRUE)</f>
        <v>0</v>
      </c>
      <c r="W623" s="21">
        <f>IF(AND(TArticle[[#This Row],[مبلغ]]&gt;0, TArticle[[#This Row],[کد وضعیت سند]]=1),TArticle[[#This Row],[مبلغ]],0)</f>
        <v>0</v>
      </c>
      <c r="X623" s="27">
        <f>IF(AND(TArticle[[#This Row],[مبلغ]]&lt;0,TArticle[[#This Row],[کد وضعیت سند]]=1),0-TArticle[[#This Row],[مبلغ]],0)</f>
        <v>0</v>
      </c>
      <c r="Y623" s="27">
        <v>2</v>
      </c>
      <c r="Z623" s="171" t="str">
        <f>IF(TArticle[[#This Row],[کد بانک]]&gt;0,VLOOKUP(TArticle[[#This Row],[کد بانک]],TBank[],2,FALSE),"")</f>
        <v>ملی جاری</v>
      </c>
      <c r="AA623">
        <f>IF(AND(TArticle[[#This Row],[مبلغ]]&lt;0,TArticle[[#This Row],[کد وضعیت سند]]=1),0-TArticle[[#This Row],[مبلغ]],0)</f>
        <v>0</v>
      </c>
      <c r="AB623">
        <f>IF(AND(TArticle[[#This Row],[مبلغ]]&gt;0, TArticle[[#This Row],[کد وضعیت سند]]=1),TArticle[[#This Row],[مبلغ]],0)</f>
        <v>0</v>
      </c>
      <c r="AC623" s="92">
        <f>IF(TArticle[[#This Row],[کد بانک]]&gt;0,VLOOKUP(TArticle[[#This Row],[کد بانک]],TBank[],9,FALSE)+SUMIF($Y$2:Y623,Y623,$E$2:$E623),"")</f>
        <v>337414</v>
      </c>
      <c r="AD623" s="1">
        <f>IFERROR(IF(INT(LEFT(TArticle[[#This Row],[شناسه]]))=3,IF(TArticle[[#This Row],[کد وضعیت سند]]=1,TArticle[مبلغ],0),0),0)</f>
        <v>0</v>
      </c>
      <c r="AE623" s="1">
        <f>IFERROR(IF(((TArticle[[#This Row],[شناسه]]))="4.1.1",IF(TArticle[[#This Row],[کد وضعیت سند]]=1,TArticle[مبلغ],0),0),0)</f>
        <v>0</v>
      </c>
      <c r="AF623" s="1">
        <f>IFERROR(IF(((TArticle[[#This Row],[شناسه]]))="4.1.2",IF(TArticle[[#This Row],[کد وضعیت سند]]=1,TArticle[مبلغ],0),0),0)</f>
        <v>0</v>
      </c>
      <c r="AG623" s="1">
        <f>IFERROR(IF(INT(LEFT(TArticle[[#This Row],[شناسه]]))=1,IF(TArticle[[#This Row],[کد وضعیت سند]]=1,TArticle[مبلغ],0),0),0)</f>
        <v>0</v>
      </c>
      <c r="AH623" s="1">
        <f>IFERROR(IF(INT(LEFT(TArticle[[#This Row],[شناسه]]))=2,IF(TArticle[[#This Row],[کد وضعیت سند]]=1,TArticle[مبلغ],0),0),0)</f>
        <v>0</v>
      </c>
      <c r="AI623" s="1">
        <f>IFERROR(IF((LEFT(TArticle[[#This Row],[شناسه]],3))="5.2",IF(TArticle[[#This Row],[کد وضعیت سند]]=1,TArticle[مبلغ],0),0),0)</f>
        <v>0</v>
      </c>
      <c r="AJ623" s="1">
        <f>IF(TArticle[[#This Row],[کد وضعیت سند]]=1,1,0)</f>
        <v>0</v>
      </c>
      <c r="AK623" s="1">
        <f>IF(AND(TArticle[[#This Row],[کد وضعیت سند]]&lt;&gt;1,TArticle[[#This Row],[مبلغ]]&lt;&gt;0),1,0)</f>
        <v>0</v>
      </c>
      <c r="AL623" s="51">
        <f>IF(TArticle[[#This Row],[کد بانک]]&gt;0,TArticle[[#This Row],[مانده بانک]]-VLOOKUP(TArticle[[#This Row],[کد بانک]],TBank[],7,FALSE),"")</f>
        <v>337414</v>
      </c>
      <c r="AM623" s="58" t="str">
        <f>LEFT(TArticle[[#This Row],[تاریخ]],7)</f>
        <v>1403-03</v>
      </c>
    </row>
    <row r="624" spans="1:39" x14ac:dyDescent="0.25">
      <c r="A624" s="77"/>
      <c r="B624" s="49" t="str">
        <f>VLOOKUP(TArticle[[#This Row],[شناسه]],TAccount[],2,TRUE)</f>
        <v>---</v>
      </c>
      <c r="C624" s="49" t="str">
        <f>VLOOKUP(TArticle[[#This Row],[تاریخ]],TDays[],7,FALSE)</f>
        <v>سه شنبه</v>
      </c>
      <c r="D624" s="21" t="s">
        <v>1316</v>
      </c>
      <c r="F624" s="1">
        <f>TArticle[[#This Row],[مبلغ]]+IFERROR(INT(F623),30181+3667+958)</f>
        <v>295762</v>
      </c>
      <c r="G624" s="49"/>
      <c r="H624" s="64"/>
      <c r="J624" s="65"/>
      <c r="K624" s="64"/>
      <c r="L624" s="171" t="str">
        <f>IF(TArticle[[#This Row],[کد وضعیت سند]]&gt;0,VLOOKUP(TArticle[[#This Row],[کد وضعیت سند]],TDocState[],2,FALSE),"")</f>
        <v/>
      </c>
      <c r="M624" s="67"/>
      <c r="N624" s="171" t="str">
        <f>IF(TArticle[[#This Row],[کد طرف حساب]]&gt;0,VLOOKUP(TArticle[[#This Row],[کد طرف حساب]],TContact[],2,FALSE),"")</f>
        <v/>
      </c>
      <c r="O624" s="68" t="str">
        <f>IF(TArticle[[#This Row],[کد طرف حساب]]&gt;0,VLOOKUP(TArticle[[#This Row],[کد طرف حساب]],TContact[],7,FALSE)-SUMIF($M$2:M624,M624,$E$2:$E624),"")</f>
        <v/>
      </c>
      <c r="P624" s="67" t="str">
        <f>RIGHT(TArticle[[#This Row],[تاریخ]],2)</f>
        <v>29</v>
      </c>
      <c r="Q624" s="67">
        <f>VLOOKUP(TArticle[[#This Row],[تاریخ]],TDays[],16,FALSE)</f>
        <v>14</v>
      </c>
      <c r="R624" s="67" t="str">
        <f>RIGHT(LEFT(TArticle[[#This Row],[تاریخ]],7),2)</f>
        <v>03</v>
      </c>
      <c r="S624" s="67" t="str">
        <f>LEFT(TArticle[[#This Row],[تاریخ]],4)</f>
        <v>1403</v>
      </c>
      <c r="T624" s="64"/>
      <c r="U624" s="64">
        <f>VLOOKUP(TArticle[[#This Row],[شناسه]],TAccount[],7,TRUE)</f>
        <v>0</v>
      </c>
      <c r="V624" s="28"/>
      <c r="W624" s="64">
        <f>IF(AND(TArticle[[#This Row],[مبلغ]]&gt;0, TArticle[[#This Row],[کد وضعیت سند]]=1),TArticle[[#This Row],[مبلغ]],0)</f>
        <v>0</v>
      </c>
      <c r="X624" s="67">
        <f>IF(AND(TArticle[[#This Row],[مبلغ]]&lt;0,TArticle[[#This Row],[کد وضعیت سند]]=1),0-TArticle[[#This Row],[مبلغ]],0)</f>
        <v>0</v>
      </c>
      <c r="Y624" s="27">
        <v>2</v>
      </c>
      <c r="Z624" s="171" t="str">
        <f>IF(TArticle[[#This Row],[کد بانک]]&gt;0,VLOOKUP(TArticle[[#This Row],[کد بانک]],TBank[],2,FALSE),"")</f>
        <v>ملی جاری</v>
      </c>
      <c r="AA624">
        <f>IF(AND(TArticle[[#This Row],[مبلغ]]&lt;0,TArticle[[#This Row],[کد وضعیت سند]]=1),0-TArticle[[#This Row],[مبلغ]],0)</f>
        <v>0</v>
      </c>
      <c r="AB624">
        <f>IF(AND(TArticle[[#This Row],[مبلغ]]&gt;0, TArticle[[#This Row],[کد وضعیت سند]]=1),TArticle[[#This Row],[مبلغ]],0)</f>
        <v>0</v>
      </c>
      <c r="AC624" s="93">
        <f>IF(TArticle[[#This Row],[کد بانک]]&gt;0,VLOOKUP(TArticle[[#This Row],[کد بانک]],TBank[],9,FALSE)+SUMIF($Y$2:Y624,Y624,$E$2:$E624),"")</f>
        <v>337414</v>
      </c>
      <c r="AD624" s="1">
        <f>IFERROR(IF(INT(LEFT(TArticle[[#This Row],[شناسه]]))=3,IF(TArticle[[#This Row],[کد وضعیت سند]]=1,TArticle[مبلغ],0),0),0)</f>
        <v>0</v>
      </c>
      <c r="AE624" s="1">
        <f>IFERROR(IF(((TArticle[[#This Row],[شناسه]]))="4.1.1",IF(TArticle[[#This Row],[کد وضعیت سند]]=1,TArticle[مبلغ],0),0),0)</f>
        <v>0</v>
      </c>
      <c r="AF624" s="1">
        <f>IFERROR(IF(((TArticle[[#This Row],[شناسه]]))="4.1.2",IF(TArticle[[#This Row],[کد وضعیت سند]]=1,TArticle[مبلغ],0),0),0)</f>
        <v>0</v>
      </c>
      <c r="AG624" s="1">
        <f>IFERROR(IF(INT(LEFT(TArticle[[#This Row],[شناسه]]))=1,IF(TArticle[[#This Row],[کد وضعیت سند]]=1,TArticle[مبلغ],0),0),0)</f>
        <v>0</v>
      </c>
      <c r="AH624" s="1">
        <f>IFERROR(IF(INT(LEFT(TArticle[[#This Row],[شناسه]]))=2,IF(TArticle[[#This Row],[کد وضعیت سند]]=1,TArticle[مبلغ],0),0),0)</f>
        <v>0</v>
      </c>
      <c r="AI624" s="1">
        <f>IFERROR(IF((LEFT(TArticle[[#This Row],[شناسه]],3))="5.2",IF(TArticle[[#This Row],[کد وضعیت سند]]=1,TArticle[مبلغ],0),0),0)</f>
        <v>0</v>
      </c>
      <c r="AJ624" s="1">
        <f>IF(TArticle[[#This Row],[کد وضعیت سند]]=1,1,0)</f>
        <v>0</v>
      </c>
      <c r="AK624" s="1">
        <f>IF(AND(TArticle[[#This Row],[کد وضعیت سند]]&lt;&gt;1,TArticle[[#This Row],[مبلغ]]&lt;&gt;0),1,0)</f>
        <v>0</v>
      </c>
      <c r="AL624" s="78">
        <f>IF(TArticle[[#This Row],[کد بانک]]&gt;0,TArticle[[#This Row],[مانده بانک]]-VLOOKUP(TArticle[[#This Row],[کد بانک]],TBank[],7,FALSE),"")</f>
        <v>337414</v>
      </c>
      <c r="AM624" s="58" t="str">
        <f>LEFT(TArticle[[#This Row],[تاریخ]],7)</f>
        <v>1403-03</v>
      </c>
    </row>
    <row r="625" spans="1:39" x14ac:dyDescent="0.25">
      <c r="A625" s="24"/>
      <c r="B625" s="49" t="str">
        <f>VLOOKUP(TArticle[[#This Row],[شناسه]],TAccount[],2,TRUE)</f>
        <v>---</v>
      </c>
      <c r="C625" s="49" t="str">
        <f>VLOOKUP(TArticle[[#This Row],[تاریخ]],TDays[],7,FALSE)</f>
        <v>سه شنبه</v>
      </c>
      <c r="D625" s="21" t="s">
        <v>1316</v>
      </c>
      <c r="F625" s="1">
        <f>TArticle[[#This Row],[مبلغ]]+IFERROR(INT(F624),30181+3667+958)</f>
        <v>295762</v>
      </c>
      <c r="G625" s="49"/>
      <c r="H625" s="64"/>
      <c r="K625" s="49"/>
      <c r="L625" s="171" t="str">
        <f>IF(TArticle[[#This Row],[کد وضعیت سند]]&gt;0,VLOOKUP(TArticle[[#This Row],[کد وضعیت سند]],TDocState[],2,FALSE),"")</f>
        <v/>
      </c>
      <c r="M625" s="67"/>
      <c r="N625" s="171" t="str">
        <f>IF(TArticle[[#This Row],[کد طرف حساب]]&gt;0,VLOOKUP(TArticle[[#This Row],[کد طرف حساب]],TContact[],2,FALSE),"")</f>
        <v/>
      </c>
      <c r="O625" s="61" t="str">
        <f>IF(TArticle[[#This Row],[کد طرف حساب]]&gt;0,VLOOKUP(TArticle[[#This Row],[کد طرف حساب]],TContact[],7,FALSE)-SUMIF($M$2:M625,M625,$E$2:$E625),"")</f>
        <v/>
      </c>
      <c r="P625" s="27" t="str">
        <f>RIGHT(TArticle[[#This Row],[تاریخ]],2)</f>
        <v>29</v>
      </c>
      <c r="Q625" s="27">
        <f>VLOOKUP(TArticle[[#This Row],[تاریخ]],TDays[],16,FALSE)</f>
        <v>14</v>
      </c>
      <c r="R625" s="27" t="str">
        <f>RIGHT(LEFT(TArticle[[#This Row],[تاریخ]],7),2)</f>
        <v>03</v>
      </c>
      <c r="S625" s="27" t="str">
        <f>LEFT(TArticle[[#This Row],[تاریخ]],4)</f>
        <v>1403</v>
      </c>
      <c r="U625" s="21">
        <f>VLOOKUP(TArticle[[#This Row],[شناسه]],TAccount[],7,TRUE)</f>
        <v>0</v>
      </c>
      <c r="W625" s="21">
        <f>IF(AND(TArticle[[#This Row],[مبلغ]]&gt;0, TArticle[[#This Row],[کد وضعیت سند]]=1),TArticle[[#This Row],[مبلغ]],0)</f>
        <v>0</v>
      </c>
      <c r="X625" s="27">
        <f>IF(AND(TArticle[[#This Row],[مبلغ]]&lt;0,TArticle[[#This Row],[کد وضعیت سند]]=1),0-TArticle[[#This Row],[مبلغ]],0)</f>
        <v>0</v>
      </c>
      <c r="Y625" s="27">
        <v>2</v>
      </c>
      <c r="Z625" s="171" t="str">
        <f>IF(TArticle[[#This Row],[کد بانک]]&gt;0,VLOOKUP(TArticle[[#This Row],[کد بانک]],TBank[],2,FALSE),"")</f>
        <v>ملی جاری</v>
      </c>
      <c r="AA625">
        <f>IF(AND(TArticle[[#This Row],[مبلغ]]&lt;0,TArticle[[#This Row],[کد وضعیت سند]]=1),0-TArticle[[#This Row],[مبلغ]],0)</f>
        <v>0</v>
      </c>
      <c r="AB625">
        <f>IF(AND(TArticle[[#This Row],[مبلغ]]&gt;0, TArticle[[#This Row],[کد وضعیت سند]]=1),TArticle[[#This Row],[مبلغ]],0)</f>
        <v>0</v>
      </c>
      <c r="AC625" s="84">
        <f>IF(TArticle[[#This Row],[کد بانک]]&gt;0,VLOOKUP(TArticle[[#This Row],[کد بانک]],TBank[],9,FALSE)+SUMIF($Y$2:Y625,Y625,$E$2:$E625),"")</f>
        <v>337414</v>
      </c>
      <c r="AD625" s="1">
        <f>IFERROR(IF(INT(LEFT(TArticle[[#This Row],[شناسه]]))=3,IF(TArticle[[#This Row],[کد وضعیت سند]]=1,TArticle[مبلغ],0),0),0)</f>
        <v>0</v>
      </c>
      <c r="AE625" s="1">
        <f>IFERROR(IF(((TArticle[[#This Row],[شناسه]]))="4.1.1",IF(TArticle[[#This Row],[کد وضعیت سند]]=1,TArticle[مبلغ],0),0),0)</f>
        <v>0</v>
      </c>
      <c r="AF625" s="1">
        <f>IFERROR(IF(((TArticle[[#This Row],[شناسه]]))="4.1.2",IF(TArticle[[#This Row],[کد وضعیت سند]]=1,TArticle[مبلغ],0),0),0)</f>
        <v>0</v>
      </c>
      <c r="AG625" s="1">
        <f>IFERROR(IF(INT(LEFT(TArticle[[#This Row],[شناسه]]))=1,IF(TArticle[[#This Row],[کد وضعیت سند]]=1,TArticle[مبلغ],0),0),0)</f>
        <v>0</v>
      </c>
      <c r="AH625" s="1">
        <f>IFERROR(IF(INT(LEFT(TArticle[[#This Row],[شناسه]]))=2,IF(TArticle[[#This Row],[کد وضعیت سند]]=1,TArticle[مبلغ],0),0),0)</f>
        <v>0</v>
      </c>
      <c r="AI625" s="1">
        <f>IFERROR(IF((LEFT(TArticle[[#This Row],[شناسه]],3))="5.2",IF(TArticle[[#This Row],[کد وضعیت سند]]=1,TArticle[مبلغ],0),0),0)</f>
        <v>0</v>
      </c>
      <c r="AJ625" s="1">
        <f>IF(TArticle[[#This Row],[کد وضعیت سند]]=1,1,0)</f>
        <v>0</v>
      </c>
      <c r="AK625" s="1">
        <f>IF(AND(TArticle[[#This Row],[کد وضعیت سند]]&lt;&gt;1,TArticle[[#This Row],[مبلغ]]&lt;&gt;0),1,0)</f>
        <v>0</v>
      </c>
      <c r="AL625" s="51">
        <f>IF(TArticle[[#This Row],[کد بانک]]&gt;0,TArticle[[#This Row],[مانده بانک]]-VLOOKUP(TArticle[[#This Row],[کد بانک]],TBank[],7,FALSE),"")</f>
        <v>337414</v>
      </c>
      <c r="AM625" s="58" t="str">
        <f>LEFT(TArticle[[#This Row],[تاریخ]],7)</f>
        <v>1403-03</v>
      </c>
    </row>
    <row r="626" spans="1:39" x14ac:dyDescent="0.25">
      <c r="A626" s="24"/>
      <c r="B626" s="49" t="str">
        <f>VLOOKUP(TArticle[[#This Row],[شناسه]],TAccount[],2,TRUE)</f>
        <v>---</v>
      </c>
      <c r="C626" s="49" t="str">
        <f>VLOOKUP(TArticle[[#This Row],[تاریخ]],TDays[],7,FALSE)</f>
        <v>سه شنبه</v>
      </c>
      <c r="D626" s="21" t="s">
        <v>1316</v>
      </c>
      <c r="F626" s="1">
        <f>TArticle[[#This Row],[مبلغ]]+IFERROR(INT(F625),30181+3667+958)</f>
        <v>295762</v>
      </c>
      <c r="G626" s="49"/>
      <c r="L626" s="171" t="str">
        <f>IF(TArticle[[#This Row],[کد وضعیت سند]]&gt;0,VLOOKUP(TArticle[[#This Row],[کد وضعیت سند]],TDocState[],2,FALSE),"")</f>
        <v/>
      </c>
      <c r="N626" s="171" t="str">
        <f>IF(TArticle[[#This Row],[کد طرف حساب]]&gt;0,VLOOKUP(TArticle[[#This Row],[کد طرف حساب]],TContact[],2,FALSE),"")</f>
        <v/>
      </c>
      <c r="O626" s="61" t="str">
        <f>IF(TArticle[[#This Row],[کد طرف حساب]]&gt;0,VLOOKUP(TArticle[[#This Row],[کد طرف حساب]],TContact[],7,FALSE)-SUMIF($M$2:M626,M626,$E$2:$E626),"")</f>
        <v/>
      </c>
      <c r="P626" s="27" t="str">
        <f>RIGHT(TArticle[[#This Row],[تاریخ]],2)</f>
        <v>29</v>
      </c>
      <c r="Q626" s="27">
        <f>VLOOKUP(TArticle[[#This Row],[تاریخ]],TDays[],16,FALSE)</f>
        <v>14</v>
      </c>
      <c r="R626" s="27" t="str">
        <f>RIGHT(LEFT(TArticle[[#This Row],[تاریخ]],7),2)</f>
        <v>03</v>
      </c>
      <c r="S626" s="27" t="str">
        <f>LEFT(TArticle[[#This Row],[تاریخ]],4)</f>
        <v>1403</v>
      </c>
      <c r="U626" s="21">
        <f>VLOOKUP(TArticle[[#This Row],[شناسه]],TAccount[],7,TRUE)</f>
        <v>0</v>
      </c>
      <c r="W626" s="21">
        <f>IF(AND(TArticle[[#This Row],[مبلغ]]&gt;0, TArticle[[#This Row],[کد وضعیت سند]]=1),TArticle[[#This Row],[مبلغ]],0)</f>
        <v>0</v>
      </c>
      <c r="X626" s="27">
        <f>IF(AND(TArticle[[#This Row],[مبلغ]]&lt;0,TArticle[[#This Row],[کد وضعیت سند]]=1),0-TArticle[[#This Row],[مبلغ]],0)</f>
        <v>0</v>
      </c>
      <c r="Y626" s="27">
        <v>2</v>
      </c>
      <c r="Z626" s="171" t="str">
        <f>IF(TArticle[[#This Row],[کد بانک]]&gt;0,VLOOKUP(TArticle[[#This Row],[کد بانک]],TBank[],2,FALSE),"")</f>
        <v>ملی جاری</v>
      </c>
      <c r="AA626">
        <f>IF(AND(TArticle[[#This Row],[مبلغ]]&lt;0,TArticle[[#This Row],[کد وضعیت سند]]=1),0-TArticle[[#This Row],[مبلغ]],0)</f>
        <v>0</v>
      </c>
      <c r="AB626">
        <f>IF(AND(TArticle[[#This Row],[مبلغ]]&gt;0, TArticle[[#This Row],[کد وضعیت سند]]=1),TArticle[[#This Row],[مبلغ]],0)</f>
        <v>0</v>
      </c>
      <c r="AC626" s="84">
        <f>IF(TArticle[[#This Row],[کد بانک]]&gt;0,VLOOKUP(TArticle[[#This Row],[کد بانک]],TBank[],9,FALSE)+SUMIF($Y$2:Y626,Y626,$E$2:$E626),"")</f>
        <v>337414</v>
      </c>
      <c r="AD626" s="1">
        <f>IFERROR(IF(INT(LEFT(TArticle[[#This Row],[شناسه]]))=3,IF(TArticle[[#This Row],[کد وضعیت سند]]=1,TArticle[مبلغ],0),0),0)</f>
        <v>0</v>
      </c>
      <c r="AE626" s="1">
        <f>IFERROR(IF(((TArticle[[#This Row],[شناسه]]))="4.1.1",IF(TArticle[[#This Row],[کد وضعیت سند]]=1,TArticle[مبلغ],0),0),0)</f>
        <v>0</v>
      </c>
      <c r="AF626" s="1">
        <f>IFERROR(IF(((TArticle[[#This Row],[شناسه]]))="4.1.2",IF(TArticle[[#This Row],[کد وضعیت سند]]=1,TArticle[مبلغ],0),0),0)</f>
        <v>0</v>
      </c>
      <c r="AG626" s="1">
        <f>IFERROR(IF(INT(LEFT(TArticle[[#This Row],[شناسه]]))=1,IF(TArticle[[#This Row],[کد وضعیت سند]]=1,TArticle[مبلغ],0),0),0)</f>
        <v>0</v>
      </c>
      <c r="AH626" s="1">
        <f>IFERROR(IF(INT(LEFT(TArticle[[#This Row],[شناسه]]))=2,IF(TArticle[[#This Row],[کد وضعیت سند]]=1,TArticle[مبلغ],0),0),0)</f>
        <v>0</v>
      </c>
      <c r="AI626" s="1">
        <f>IFERROR(IF((LEFT(TArticle[[#This Row],[شناسه]],3))="5.2",IF(TArticle[[#This Row],[کد وضعیت سند]]=1,TArticle[مبلغ],0),0),0)</f>
        <v>0</v>
      </c>
      <c r="AJ626" s="1">
        <f>IF(TArticle[[#This Row],[کد وضعیت سند]]=1,1,0)</f>
        <v>0</v>
      </c>
      <c r="AK626" s="1">
        <f>IF(AND(TArticle[[#This Row],[کد وضعیت سند]]&lt;&gt;1,TArticle[[#This Row],[مبلغ]]&lt;&gt;0),1,0)</f>
        <v>0</v>
      </c>
      <c r="AL626" s="51">
        <f>IF(TArticle[[#This Row],[کد بانک]]&gt;0,TArticle[[#This Row],[مانده بانک]]-VLOOKUP(TArticle[[#This Row],[کد بانک]],TBank[],7,FALSE),"")</f>
        <v>337414</v>
      </c>
      <c r="AM626" s="49" t="str">
        <f>LEFT(TArticle[[#This Row],[تاریخ]],7)</f>
        <v>1403-03</v>
      </c>
    </row>
    <row r="627" spans="1:39" x14ac:dyDescent="0.25">
      <c r="A627" s="77"/>
      <c r="B627" s="49" t="str">
        <f>VLOOKUP(TArticle[[#This Row],[شناسه]],TAccount[],2,TRUE)</f>
        <v>---</v>
      </c>
      <c r="C627" s="49" t="str">
        <f>VLOOKUP(TArticle[[#This Row],[تاریخ]],TDays[],7,FALSE)</f>
        <v>سه شنبه</v>
      </c>
      <c r="D627" s="21" t="s">
        <v>1316</v>
      </c>
      <c r="F627" s="1">
        <f>TArticle[[#This Row],[مبلغ]]+IFERROR(INT(F626),30181+3667+958)</f>
        <v>295762</v>
      </c>
      <c r="G627" s="49"/>
      <c r="H627" s="64"/>
      <c r="J627" s="65"/>
      <c r="K627" s="64"/>
      <c r="L627" s="171" t="str">
        <f>IF(TArticle[[#This Row],[کد وضعیت سند]]&gt;0,VLOOKUP(TArticle[[#This Row],[کد وضعیت سند]],TDocState[],2,FALSE),"")</f>
        <v/>
      </c>
      <c r="M627" s="67"/>
      <c r="N627" s="171" t="str">
        <f>IF(TArticle[[#This Row],[کد طرف حساب]]&gt;0,VLOOKUP(TArticle[[#This Row],[کد طرف حساب]],TContact[],2,FALSE),"")</f>
        <v/>
      </c>
      <c r="O627" s="68" t="str">
        <f>IF(TArticle[[#This Row],[کد طرف حساب]]&gt;0,VLOOKUP(TArticle[[#This Row],[کد طرف حساب]],TContact[],7,FALSE)-SUMIF($M$2:M627,M627,$E$2:$E627),"")</f>
        <v/>
      </c>
      <c r="P627" s="67" t="str">
        <f>RIGHT(TArticle[[#This Row],[تاریخ]],2)</f>
        <v>29</v>
      </c>
      <c r="Q627" s="67">
        <f>VLOOKUP(TArticle[[#This Row],[تاریخ]],TDays[],16,FALSE)</f>
        <v>14</v>
      </c>
      <c r="R627" s="67" t="str">
        <f>RIGHT(LEFT(TArticle[[#This Row],[تاریخ]],7),2)</f>
        <v>03</v>
      </c>
      <c r="S627" s="67" t="str">
        <f>LEFT(TArticle[[#This Row],[تاریخ]],4)</f>
        <v>1403</v>
      </c>
      <c r="T627" s="64"/>
      <c r="U627" s="64">
        <f>VLOOKUP(TArticle[[#This Row],[شناسه]],TAccount[],7,TRUE)</f>
        <v>0</v>
      </c>
      <c r="V627" s="28"/>
      <c r="W627" s="64">
        <f>IF(AND(TArticle[[#This Row],[مبلغ]]&gt;0, TArticle[[#This Row],[کد وضعیت سند]]=1),TArticle[[#This Row],[مبلغ]],0)</f>
        <v>0</v>
      </c>
      <c r="X627" s="67">
        <f>IF(AND(TArticle[[#This Row],[مبلغ]]&lt;0,TArticle[[#This Row],[کد وضعیت سند]]=1),0-TArticle[[#This Row],[مبلغ]],0)</f>
        <v>0</v>
      </c>
      <c r="Y627" s="27">
        <v>2</v>
      </c>
      <c r="Z627" s="171" t="str">
        <f>IF(TArticle[[#This Row],[کد بانک]]&gt;0,VLOOKUP(TArticle[[#This Row],[کد بانک]],TBank[],2,FALSE),"")</f>
        <v>ملی جاری</v>
      </c>
      <c r="AA627">
        <f>IF(AND(TArticle[[#This Row],[مبلغ]]&lt;0,TArticle[[#This Row],[کد وضعیت سند]]=1),0-TArticle[[#This Row],[مبلغ]],0)</f>
        <v>0</v>
      </c>
      <c r="AB627">
        <f>IF(AND(TArticle[[#This Row],[مبلغ]]&gt;0, TArticle[[#This Row],[کد وضعیت سند]]=1),TArticle[[#This Row],[مبلغ]],0)</f>
        <v>0</v>
      </c>
      <c r="AC627" s="93">
        <f>IF(TArticle[[#This Row],[کد بانک]]&gt;0,VLOOKUP(TArticle[[#This Row],[کد بانک]],TBank[],9,FALSE)+SUMIF($Y$2:Y627,Y627,$E$2:$E627),"")</f>
        <v>337414</v>
      </c>
      <c r="AD627" s="1">
        <f>IFERROR(IF(INT(LEFT(TArticle[[#This Row],[شناسه]]))=3,IF(TArticle[[#This Row],[کد وضعیت سند]]=1,TArticle[مبلغ],0),0),0)</f>
        <v>0</v>
      </c>
      <c r="AE627" s="1">
        <f>IFERROR(IF(((TArticle[[#This Row],[شناسه]]))="4.1.1",IF(TArticle[[#This Row],[کد وضعیت سند]]=1,TArticle[مبلغ],0),0),0)</f>
        <v>0</v>
      </c>
      <c r="AF627" s="1">
        <f>IFERROR(IF(((TArticle[[#This Row],[شناسه]]))="4.1.2",IF(TArticle[[#This Row],[کد وضعیت سند]]=1,TArticle[مبلغ],0),0),0)</f>
        <v>0</v>
      </c>
      <c r="AG627" s="1">
        <f>IFERROR(IF(INT(LEFT(TArticle[[#This Row],[شناسه]]))=1,IF(TArticle[[#This Row],[کد وضعیت سند]]=1,TArticle[مبلغ],0),0),0)</f>
        <v>0</v>
      </c>
      <c r="AH627" s="1">
        <f>IFERROR(IF(INT(LEFT(TArticle[[#This Row],[شناسه]]))=2,IF(TArticle[[#This Row],[کد وضعیت سند]]=1,TArticle[مبلغ],0),0),0)</f>
        <v>0</v>
      </c>
      <c r="AI627" s="1">
        <f>IFERROR(IF((LEFT(TArticle[[#This Row],[شناسه]],3))="5.2",IF(TArticle[[#This Row],[کد وضعیت سند]]=1,TArticle[مبلغ],0),0),0)</f>
        <v>0</v>
      </c>
      <c r="AJ627" s="1">
        <f>IF(TArticle[[#This Row],[کد وضعیت سند]]=1,1,0)</f>
        <v>0</v>
      </c>
      <c r="AK627" s="1">
        <f>IF(AND(TArticle[[#This Row],[کد وضعیت سند]]&lt;&gt;1,TArticle[[#This Row],[مبلغ]]&lt;&gt;0),1,0)</f>
        <v>0</v>
      </c>
      <c r="AL627" s="78">
        <f>IF(TArticle[[#This Row],[کد بانک]]&gt;0,TArticle[[#This Row],[مانده بانک]]-VLOOKUP(TArticle[[#This Row],[کد بانک]],TBank[],7,FALSE),"")</f>
        <v>337414</v>
      </c>
      <c r="AM627" s="58" t="str">
        <f>LEFT(TArticle[[#This Row],[تاریخ]],7)</f>
        <v>1403-03</v>
      </c>
    </row>
    <row r="628" spans="1:39" x14ac:dyDescent="0.25">
      <c r="A628" s="24"/>
      <c r="B628" s="49" t="str">
        <f>VLOOKUP(TArticle[[#This Row],[شناسه]],TAccount[],2,TRUE)</f>
        <v>---</v>
      </c>
      <c r="C628" s="49" t="str">
        <f>VLOOKUP(TArticle[[#This Row],[تاریخ]],TDays[],7,FALSE)</f>
        <v>سه شنبه</v>
      </c>
      <c r="D628" s="21" t="s">
        <v>1316</v>
      </c>
      <c r="F628" s="1">
        <f>TArticle[[#This Row],[مبلغ]]+IFERROR(INT(F627),30181+3667+958)</f>
        <v>295762</v>
      </c>
      <c r="G628" s="49"/>
      <c r="H628" s="64"/>
      <c r="J628" s="51"/>
      <c r="K628" s="49"/>
      <c r="L628" s="171" t="str">
        <f>IF(TArticle[[#This Row],[کد وضعیت سند]]&gt;0,VLOOKUP(TArticle[[#This Row],[کد وضعیت سند]],TDocState[],2,FALSE),"")</f>
        <v/>
      </c>
      <c r="M628" s="67"/>
      <c r="N628" s="171" t="str">
        <f>IF(TArticle[[#This Row],[کد طرف حساب]]&gt;0,VLOOKUP(TArticle[[#This Row],[کد طرف حساب]],TContact[],2,FALSE),"")</f>
        <v/>
      </c>
      <c r="O628" s="60" t="str">
        <f>IF(TArticle[[#This Row],[کد طرف حساب]]&gt;0,VLOOKUP(TArticle[[#This Row],[کد طرف حساب]],TContact[],7,FALSE)-SUMIF($M$2:M628,M628,$E$2:$E628),"")</f>
        <v/>
      </c>
      <c r="P628" s="27" t="str">
        <f>RIGHT(TArticle[[#This Row],[تاریخ]],2)</f>
        <v>29</v>
      </c>
      <c r="Q628" s="27">
        <f>VLOOKUP(TArticle[[#This Row],[تاریخ]],TDays[],16,FALSE)</f>
        <v>14</v>
      </c>
      <c r="R628" s="27" t="str">
        <f>RIGHT(LEFT(TArticle[[#This Row],[تاریخ]],7),2)</f>
        <v>03</v>
      </c>
      <c r="S628" s="27" t="str">
        <f>LEFT(TArticle[[#This Row],[تاریخ]],4)</f>
        <v>1403</v>
      </c>
      <c r="U628" s="21">
        <f>VLOOKUP(TArticle[[#This Row],[شناسه]],TAccount[],7,TRUE)</f>
        <v>0</v>
      </c>
      <c r="W628" s="21">
        <f>IF(AND(TArticle[[#This Row],[مبلغ]]&gt;0, TArticle[[#This Row],[کد وضعیت سند]]=1),TArticle[[#This Row],[مبلغ]],0)</f>
        <v>0</v>
      </c>
      <c r="X628" s="27">
        <f>IF(AND(TArticle[[#This Row],[مبلغ]]&lt;0,TArticle[[#This Row],[کد وضعیت سند]]=1),0-TArticle[[#This Row],[مبلغ]],0)</f>
        <v>0</v>
      </c>
      <c r="Y628" s="27">
        <v>2</v>
      </c>
      <c r="Z628" s="171" t="str">
        <f>IF(TArticle[[#This Row],[کد بانک]]&gt;0,VLOOKUP(TArticle[[#This Row],[کد بانک]],TBank[],2,FALSE),"")</f>
        <v>ملی جاری</v>
      </c>
      <c r="AA628">
        <f>IF(AND(TArticle[[#This Row],[مبلغ]]&lt;0,TArticle[[#This Row],[کد وضعیت سند]]=1),0-TArticle[[#This Row],[مبلغ]],0)</f>
        <v>0</v>
      </c>
      <c r="AB628">
        <f>IF(AND(TArticle[[#This Row],[مبلغ]]&gt;0, TArticle[[#This Row],[کد وضعیت سند]]=1),TArticle[[#This Row],[مبلغ]],0)</f>
        <v>0</v>
      </c>
      <c r="AC628" s="92">
        <f>IF(TArticle[[#This Row],[کد بانک]]&gt;0,VLOOKUP(TArticle[[#This Row],[کد بانک]],TBank[],9,FALSE)+SUMIF($Y$2:Y628,Y628,$E$2:$E628),"")</f>
        <v>337414</v>
      </c>
      <c r="AD628" s="1">
        <f>IFERROR(IF(INT(LEFT(TArticle[[#This Row],[شناسه]]))=3,IF(TArticle[[#This Row],[کد وضعیت سند]]=1,TArticle[مبلغ],0),0),0)</f>
        <v>0</v>
      </c>
      <c r="AE628" s="1">
        <f>IFERROR(IF(((TArticle[[#This Row],[شناسه]]))="4.1.1",IF(TArticle[[#This Row],[کد وضعیت سند]]=1,TArticle[مبلغ],0),0),0)</f>
        <v>0</v>
      </c>
      <c r="AF628" s="1">
        <f>IFERROR(IF(((TArticle[[#This Row],[شناسه]]))="4.1.2",IF(TArticle[[#This Row],[کد وضعیت سند]]=1,TArticle[مبلغ],0),0),0)</f>
        <v>0</v>
      </c>
      <c r="AG628" s="1">
        <f>IFERROR(IF(INT(LEFT(TArticle[[#This Row],[شناسه]]))=1,IF(TArticle[[#This Row],[کد وضعیت سند]]=1,TArticle[مبلغ],0),0),0)</f>
        <v>0</v>
      </c>
      <c r="AH628" s="1">
        <f>IFERROR(IF(INT(LEFT(TArticle[[#This Row],[شناسه]]))=2,IF(TArticle[[#This Row],[کد وضعیت سند]]=1,TArticle[مبلغ],0),0),0)</f>
        <v>0</v>
      </c>
      <c r="AI628" s="1">
        <f>IFERROR(IF((LEFT(TArticle[[#This Row],[شناسه]],3))="5.2",IF(TArticle[[#This Row],[کد وضعیت سند]]=1,TArticle[مبلغ],0),0),0)</f>
        <v>0</v>
      </c>
      <c r="AJ628" s="1">
        <f>IF(TArticle[[#This Row],[کد وضعیت سند]]=1,1,0)</f>
        <v>0</v>
      </c>
      <c r="AK628" s="1">
        <f>IF(AND(TArticle[[#This Row],[کد وضعیت سند]]&lt;&gt;1,TArticle[[#This Row],[مبلغ]]&lt;&gt;0),1,0)</f>
        <v>0</v>
      </c>
      <c r="AL628" s="51">
        <f>IF(TArticle[[#This Row],[کد بانک]]&gt;0,TArticle[[#This Row],[مانده بانک]]-VLOOKUP(TArticle[[#This Row],[کد بانک]],TBank[],7,FALSE),"")</f>
        <v>337414</v>
      </c>
      <c r="AM628" s="58" t="str">
        <f>LEFT(TArticle[[#This Row],[تاریخ]],7)</f>
        <v>1403-03</v>
      </c>
    </row>
    <row r="629" spans="1:39" x14ac:dyDescent="0.25">
      <c r="A629" s="77"/>
      <c r="B629" s="49" t="str">
        <f>VLOOKUP(TArticle[[#This Row],[شناسه]],TAccount[],2,TRUE)</f>
        <v>---</v>
      </c>
      <c r="C629" s="49" t="str">
        <f>VLOOKUP(TArticle[[#This Row],[تاریخ]],TDays[],7,FALSE)</f>
        <v>سه شنبه</v>
      </c>
      <c r="D629" s="21" t="s">
        <v>1316</v>
      </c>
      <c r="F629" s="1">
        <f>TArticle[[#This Row],[مبلغ]]+IFERROR(INT(F628),30181+3667+958)</f>
        <v>295762</v>
      </c>
      <c r="G629" s="49"/>
      <c r="H629" s="64"/>
      <c r="J629" s="65"/>
      <c r="K629" s="64"/>
      <c r="L629" s="171" t="str">
        <f>IF(TArticle[[#This Row],[کد وضعیت سند]]&gt;0,VLOOKUP(TArticle[[#This Row],[کد وضعیت سند]],TDocState[],2,FALSE),"")</f>
        <v/>
      </c>
      <c r="M629" s="67"/>
      <c r="N629" s="171" t="str">
        <f>IF(TArticle[[#This Row],[کد طرف حساب]]&gt;0,VLOOKUP(TArticle[[#This Row],[کد طرف حساب]],TContact[],2,FALSE),"")</f>
        <v/>
      </c>
      <c r="O629" s="68" t="str">
        <f>IF(TArticle[[#This Row],[کد طرف حساب]]&gt;0,VLOOKUP(TArticle[[#This Row],[کد طرف حساب]],TContact[],7,FALSE)-SUMIF($M$2:M629,M629,$E$2:$E629),"")</f>
        <v/>
      </c>
      <c r="P629" s="67" t="str">
        <f>RIGHT(TArticle[[#This Row],[تاریخ]],2)</f>
        <v>29</v>
      </c>
      <c r="Q629" s="67">
        <f>VLOOKUP(TArticle[[#This Row],[تاریخ]],TDays[],16,FALSE)</f>
        <v>14</v>
      </c>
      <c r="R629" s="67" t="str">
        <f>RIGHT(LEFT(TArticle[[#This Row],[تاریخ]],7),2)</f>
        <v>03</v>
      </c>
      <c r="S629" s="67" t="str">
        <f>LEFT(TArticle[[#This Row],[تاریخ]],4)</f>
        <v>1403</v>
      </c>
      <c r="T629" s="64"/>
      <c r="U629" s="64">
        <f>VLOOKUP(TArticle[[#This Row],[شناسه]],TAccount[],7,TRUE)</f>
        <v>0</v>
      </c>
      <c r="V629" s="28"/>
      <c r="W629" s="64">
        <f>IF(AND(TArticle[[#This Row],[مبلغ]]&gt;0, TArticle[[#This Row],[کد وضعیت سند]]=1),TArticle[[#This Row],[مبلغ]],0)</f>
        <v>0</v>
      </c>
      <c r="X629" s="67">
        <f>IF(AND(TArticle[[#This Row],[مبلغ]]&lt;0,TArticle[[#This Row],[کد وضعیت سند]]=1),0-TArticle[[#This Row],[مبلغ]],0)</f>
        <v>0</v>
      </c>
      <c r="Y629" s="27">
        <v>2</v>
      </c>
      <c r="Z629" s="171" t="str">
        <f>IF(TArticle[[#This Row],[کد بانک]]&gt;0,VLOOKUP(TArticle[[#This Row],[کد بانک]],TBank[],2,FALSE),"")</f>
        <v>ملی جاری</v>
      </c>
      <c r="AA629">
        <f>IF(AND(TArticle[[#This Row],[مبلغ]]&lt;0,TArticle[[#This Row],[کد وضعیت سند]]=1),0-TArticle[[#This Row],[مبلغ]],0)</f>
        <v>0</v>
      </c>
      <c r="AB629">
        <f>IF(AND(TArticle[[#This Row],[مبلغ]]&gt;0, TArticle[[#This Row],[کد وضعیت سند]]=1),TArticle[[#This Row],[مبلغ]],0)</f>
        <v>0</v>
      </c>
      <c r="AC629" s="93">
        <f>IF(TArticle[[#This Row],[کد بانک]]&gt;0,VLOOKUP(TArticle[[#This Row],[کد بانک]],TBank[],9,FALSE)+SUMIF($Y$2:Y629,Y629,$E$2:$E629),"")</f>
        <v>337414</v>
      </c>
      <c r="AD629" s="1">
        <f>IFERROR(IF(INT(LEFT(TArticle[[#This Row],[شناسه]]))=3,IF(TArticle[[#This Row],[کد وضعیت سند]]=1,TArticle[مبلغ],0),0),0)</f>
        <v>0</v>
      </c>
      <c r="AE629" s="1">
        <f>IFERROR(IF(((TArticle[[#This Row],[شناسه]]))="4.1.1",IF(TArticle[[#This Row],[کد وضعیت سند]]=1,TArticle[مبلغ],0),0),0)</f>
        <v>0</v>
      </c>
      <c r="AF629" s="1">
        <f>IFERROR(IF(((TArticle[[#This Row],[شناسه]]))="4.1.2",IF(TArticle[[#This Row],[کد وضعیت سند]]=1,TArticle[مبلغ],0),0),0)</f>
        <v>0</v>
      </c>
      <c r="AG629" s="1">
        <f>IFERROR(IF(INT(LEFT(TArticle[[#This Row],[شناسه]]))=1,IF(TArticle[[#This Row],[کد وضعیت سند]]=1,TArticle[مبلغ],0),0),0)</f>
        <v>0</v>
      </c>
      <c r="AH629" s="1">
        <f>IFERROR(IF(INT(LEFT(TArticle[[#This Row],[شناسه]]))=2,IF(TArticle[[#This Row],[کد وضعیت سند]]=1,TArticle[مبلغ],0),0),0)</f>
        <v>0</v>
      </c>
      <c r="AI629" s="1">
        <f>IFERROR(IF((LEFT(TArticle[[#This Row],[شناسه]],3))="5.2",IF(TArticle[[#This Row],[کد وضعیت سند]]=1,TArticle[مبلغ],0),0),0)</f>
        <v>0</v>
      </c>
      <c r="AJ629" s="1">
        <f>IF(TArticle[[#This Row],[کد وضعیت سند]]=1,1,0)</f>
        <v>0</v>
      </c>
      <c r="AK629" s="1">
        <f>IF(AND(TArticle[[#This Row],[کد وضعیت سند]]&lt;&gt;1,TArticle[[#This Row],[مبلغ]]&lt;&gt;0),1,0)</f>
        <v>0</v>
      </c>
      <c r="AL629" s="78">
        <f>IF(TArticle[[#This Row],[کد بانک]]&gt;0,TArticle[[#This Row],[مانده بانک]]-VLOOKUP(TArticle[[#This Row],[کد بانک]],TBank[],7,FALSE),"")</f>
        <v>337414</v>
      </c>
      <c r="AM629" s="58" t="str">
        <f>LEFT(TArticle[[#This Row],[تاریخ]],7)</f>
        <v>1403-03</v>
      </c>
    </row>
    <row r="630" spans="1:39" x14ac:dyDescent="0.25">
      <c r="A630" s="24"/>
      <c r="B630" s="49" t="str">
        <f>VLOOKUP(TArticle[[#This Row],[شناسه]],TAccount[],2,TRUE)</f>
        <v>---</v>
      </c>
      <c r="C630" s="49" t="str">
        <f>VLOOKUP(TArticle[[#This Row],[تاریخ]],TDays[],7,FALSE)</f>
        <v>سه شنبه</v>
      </c>
      <c r="D630" s="21" t="s">
        <v>1316</v>
      </c>
      <c r="F630" s="1">
        <f>TArticle[[#This Row],[مبلغ]]+IFERROR(INT(F629),30181+3667+958)</f>
        <v>295762</v>
      </c>
      <c r="G630" s="49"/>
      <c r="H630" s="64"/>
      <c r="J630" s="51"/>
      <c r="K630" s="49"/>
      <c r="L630" s="171" t="str">
        <f>IF(TArticle[[#This Row],[کد وضعیت سند]]&gt;0,VLOOKUP(TArticle[[#This Row],[کد وضعیت سند]],TDocState[],2,FALSE),"")</f>
        <v/>
      </c>
      <c r="M630" s="67"/>
      <c r="N630" s="171" t="str">
        <f>IF(TArticle[[#This Row],[کد طرف حساب]]&gt;0,VLOOKUP(TArticle[[#This Row],[کد طرف حساب]],TContact[],2,FALSE),"")</f>
        <v/>
      </c>
      <c r="O630" s="60" t="str">
        <f>IF(TArticle[[#This Row],[کد طرف حساب]]&gt;0,VLOOKUP(TArticle[[#This Row],[کد طرف حساب]],TContact[],7,FALSE)-SUMIF($M$2:M630,M630,$E$2:$E630),"")</f>
        <v/>
      </c>
      <c r="P630" s="27" t="str">
        <f>RIGHT(TArticle[[#This Row],[تاریخ]],2)</f>
        <v>29</v>
      </c>
      <c r="Q630" s="27">
        <f>VLOOKUP(TArticle[[#This Row],[تاریخ]],TDays[],16,FALSE)</f>
        <v>14</v>
      </c>
      <c r="R630" s="27" t="str">
        <f>RIGHT(LEFT(TArticle[[#This Row],[تاریخ]],7),2)</f>
        <v>03</v>
      </c>
      <c r="S630" s="27" t="str">
        <f>LEFT(TArticle[[#This Row],[تاریخ]],4)</f>
        <v>1403</v>
      </c>
      <c r="U630" s="21">
        <f>VLOOKUP(TArticle[[#This Row],[شناسه]],TAccount[],7,TRUE)</f>
        <v>0</v>
      </c>
      <c r="W630" s="21">
        <f>IF(AND(TArticle[[#This Row],[مبلغ]]&gt;0, TArticle[[#This Row],[کد وضعیت سند]]=1),TArticle[[#This Row],[مبلغ]],0)</f>
        <v>0</v>
      </c>
      <c r="X630" s="27">
        <f>IF(AND(TArticle[[#This Row],[مبلغ]]&lt;0,TArticle[[#This Row],[کد وضعیت سند]]=1),0-TArticle[[#This Row],[مبلغ]],0)</f>
        <v>0</v>
      </c>
      <c r="Y630" s="27">
        <v>2</v>
      </c>
      <c r="Z630" s="171" t="str">
        <f>IF(TArticle[[#This Row],[کد بانک]]&gt;0,VLOOKUP(TArticle[[#This Row],[کد بانک]],TBank[],2,FALSE),"")</f>
        <v>ملی جاری</v>
      </c>
      <c r="AA630">
        <f>IF(AND(TArticle[[#This Row],[مبلغ]]&lt;0,TArticle[[#This Row],[کد وضعیت سند]]=1),0-TArticle[[#This Row],[مبلغ]],0)</f>
        <v>0</v>
      </c>
      <c r="AB630">
        <f>IF(AND(TArticle[[#This Row],[مبلغ]]&gt;0, TArticle[[#This Row],[کد وضعیت سند]]=1),TArticle[[#This Row],[مبلغ]],0)</f>
        <v>0</v>
      </c>
      <c r="AC630" s="92">
        <f>IF(TArticle[[#This Row],[کد بانک]]&gt;0,VLOOKUP(TArticle[[#This Row],[کد بانک]],TBank[],9,FALSE)+SUMIF($Y$2:Y630,Y630,$E$2:$E630),"")</f>
        <v>337414</v>
      </c>
      <c r="AD630" s="1">
        <f>IFERROR(IF(INT(LEFT(TArticle[[#This Row],[شناسه]]))=3,IF(TArticle[[#This Row],[کد وضعیت سند]]=1,TArticle[مبلغ],0),0),0)</f>
        <v>0</v>
      </c>
      <c r="AE630" s="1">
        <f>IFERROR(IF(((TArticle[[#This Row],[شناسه]]))="4.1.1",IF(TArticle[[#This Row],[کد وضعیت سند]]=1,TArticle[مبلغ],0),0),0)</f>
        <v>0</v>
      </c>
      <c r="AF630" s="1">
        <f>IFERROR(IF(((TArticle[[#This Row],[شناسه]]))="4.1.2",IF(TArticle[[#This Row],[کد وضعیت سند]]=1,TArticle[مبلغ],0),0),0)</f>
        <v>0</v>
      </c>
      <c r="AG630" s="1">
        <f>IFERROR(IF(INT(LEFT(TArticle[[#This Row],[شناسه]]))=1,IF(TArticle[[#This Row],[کد وضعیت سند]]=1,TArticle[مبلغ],0),0),0)</f>
        <v>0</v>
      </c>
      <c r="AH630" s="1">
        <f>IFERROR(IF(INT(LEFT(TArticle[[#This Row],[شناسه]]))=2,IF(TArticle[[#This Row],[کد وضعیت سند]]=1,TArticle[مبلغ],0),0),0)</f>
        <v>0</v>
      </c>
      <c r="AI630" s="1">
        <f>IFERROR(IF((LEFT(TArticle[[#This Row],[شناسه]],3))="5.2",IF(TArticle[[#This Row],[کد وضعیت سند]]=1,TArticle[مبلغ],0),0),0)</f>
        <v>0</v>
      </c>
      <c r="AJ630" s="1">
        <f>IF(TArticle[[#This Row],[کد وضعیت سند]]=1,1,0)</f>
        <v>0</v>
      </c>
      <c r="AK630" s="1">
        <f>IF(AND(TArticle[[#This Row],[کد وضعیت سند]]&lt;&gt;1,TArticle[[#This Row],[مبلغ]]&lt;&gt;0),1,0)</f>
        <v>0</v>
      </c>
      <c r="AL630" s="51">
        <f>IF(TArticle[[#This Row],[کد بانک]]&gt;0,TArticle[[#This Row],[مانده بانک]]-VLOOKUP(TArticle[[#This Row],[کد بانک]],TBank[],7,FALSE),"")</f>
        <v>337414</v>
      </c>
      <c r="AM630" s="58" t="str">
        <f>LEFT(TArticle[[#This Row],[تاریخ]],7)</f>
        <v>1403-03</v>
      </c>
    </row>
    <row r="631" spans="1:39" x14ac:dyDescent="0.25">
      <c r="A631" s="24"/>
      <c r="B631" s="49" t="str">
        <f>VLOOKUP(TArticle[[#This Row],[شناسه]],TAccount[],2,TRUE)</f>
        <v>---</v>
      </c>
      <c r="C631" s="49" t="str">
        <f>VLOOKUP(TArticle[[#This Row],[تاریخ]],TDays[],7,FALSE)</f>
        <v>سه شنبه</v>
      </c>
      <c r="D631" s="21" t="s">
        <v>1316</v>
      </c>
      <c r="F631" s="1">
        <f>TArticle[[#This Row],[مبلغ]]+IFERROR(INT(F630),30181+3667+958)</f>
        <v>295762</v>
      </c>
      <c r="G631" s="49"/>
      <c r="L631" s="171" t="str">
        <f>IF(TArticle[[#This Row],[کد وضعیت سند]]&gt;0,VLOOKUP(TArticle[[#This Row],[کد وضعیت سند]],TDocState[],2,FALSE),"")</f>
        <v/>
      </c>
      <c r="N631" s="171" t="str">
        <f>IF(TArticle[[#This Row],[کد طرف حساب]]&gt;0,VLOOKUP(TArticle[[#This Row],[کد طرف حساب]],TContact[],2,FALSE),"")</f>
        <v/>
      </c>
      <c r="O631" s="61" t="str">
        <f>IF(TArticle[[#This Row],[کد طرف حساب]]&gt;0,VLOOKUP(TArticle[[#This Row],[کد طرف حساب]],TContact[],7,FALSE)-SUMIF($M$2:M631,M631,$E$2:$E631),"")</f>
        <v/>
      </c>
      <c r="P631" s="27" t="str">
        <f>RIGHT(TArticle[[#This Row],[تاریخ]],2)</f>
        <v>29</v>
      </c>
      <c r="Q631" s="27">
        <f>VLOOKUP(TArticle[[#This Row],[تاریخ]],TDays[],16,FALSE)</f>
        <v>14</v>
      </c>
      <c r="R631" s="27" t="str">
        <f>RIGHT(LEFT(TArticle[[#This Row],[تاریخ]],7),2)</f>
        <v>03</v>
      </c>
      <c r="S631" s="27" t="str">
        <f>LEFT(TArticle[[#This Row],[تاریخ]],4)</f>
        <v>1403</v>
      </c>
      <c r="U631" s="21">
        <f>VLOOKUP(TArticle[[#This Row],[شناسه]],TAccount[],7,TRUE)</f>
        <v>0</v>
      </c>
      <c r="W631" s="21">
        <f>IF(AND(TArticle[[#This Row],[مبلغ]]&gt;0, TArticle[[#This Row],[کد وضعیت سند]]=1),TArticle[[#This Row],[مبلغ]],0)</f>
        <v>0</v>
      </c>
      <c r="X631" s="27">
        <f>IF(AND(TArticle[[#This Row],[مبلغ]]&lt;0,TArticle[[#This Row],[کد وضعیت سند]]=1),0-TArticle[[#This Row],[مبلغ]],0)</f>
        <v>0</v>
      </c>
      <c r="Y631" s="27">
        <v>2</v>
      </c>
      <c r="Z631" s="171" t="str">
        <f>IF(TArticle[[#This Row],[کد بانک]]&gt;0,VLOOKUP(TArticle[[#This Row],[کد بانک]],TBank[],2,FALSE),"")</f>
        <v>ملی جاری</v>
      </c>
      <c r="AA631">
        <f>IF(AND(TArticle[[#This Row],[مبلغ]]&lt;0,TArticle[[#This Row],[کد وضعیت سند]]=1),0-TArticle[[#This Row],[مبلغ]],0)</f>
        <v>0</v>
      </c>
      <c r="AB631">
        <f>IF(AND(TArticle[[#This Row],[مبلغ]]&gt;0, TArticle[[#This Row],[کد وضعیت سند]]=1),TArticle[[#This Row],[مبلغ]],0)</f>
        <v>0</v>
      </c>
      <c r="AC631" s="84">
        <f>IF(TArticle[[#This Row],[کد بانک]]&gt;0,VLOOKUP(TArticle[[#This Row],[کد بانک]],TBank[],9,FALSE)+SUMIF($Y$2:Y631,Y631,$E$2:$E631),"")</f>
        <v>337414</v>
      </c>
      <c r="AD631" s="1">
        <f>IFERROR(IF(INT(LEFT(TArticle[[#This Row],[شناسه]]))=3,IF(TArticle[[#This Row],[کد وضعیت سند]]=1,TArticle[مبلغ],0),0),0)</f>
        <v>0</v>
      </c>
      <c r="AE631" s="1">
        <f>IFERROR(IF(((TArticle[[#This Row],[شناسه]]))="4.1.1",IF(TArticle[[#This Row],[کد وضعیت سند]]=1,TArticle[مبلغ],0),0),0)</f>
        <v>0</v>
      </c>
      <c r="AF631" s="1">
        <f>IFERROR(IF(((TArticle[[#This Row],[شناسه]]))="4.1.2",IF(TArticle[[#This Row],[کد وضعیت سند]]=1,TArticle[مبلغ],0),0),0)</f>
        <v>0</v>
      </c>
      <c r="AG631" s="1">
        <f>IFERROR(IF(INT(LEFT(TArticle[[#This Row],[شناسه]]))=1,IF(TArticle[[#This Row],[کد وضعیت سند]]=1,TArticle[مبلغ],0),0),0)</f>
        <v>0</v>
      </c>
      <c r="AH631" s="1">
        <f>IFERROR(IF(INT(LEFT(TArticle[[#This Row],[شناسه]]))=2,IF(TArticle[[#This Row],[کد وضعیت سند]]=1,TArticle[مبلغ],0),0),0)</f>
        <v>0</v>
      </c>
      <c r="AI631" s="1">
        <f>IFERROR(IF((LEFT(TArticle[[#This Row],[شناسه]],3))="5.2",IF(TArticle[[#This Row],[کد وضعیت سند]]=1,TArticle[مبلغ],0),0),0)</f>
        <v>0</v>
      </c>
      <c r="AJ631" s="1">
        <f>IF(TArticle[[#This Row],[کد وضعیت سند]]=1,1,0)</f>
        <v>0</v>
      </c>
      <c r="AK631" s="1">
        <f>IF(AND(TArticle[[#This Row],[کد وضعیت سند]]&lt;&gt;1,TArticle[[#This Row],[مبلغ]]&lt;&gt;0),1,0)</f>
        <v>0</v>
      </c>
      <c r="AL631" s="51">
        <f>IF(TArticle[[#This Row],[کد بانک]]&gt;0,TArticle[[#This Row],[مانده بانک]]-VLOOKUP(TArticle[[#This Row],[کد بانک]],TBank[],7,FALSE),"")</f>
        <v>337414</v>
      </c>
      <c r="AM631" s="49" t="str">
        <f>LEFT(TArticle[[#This Row],[تاریخ]],7)</f>
        <v>1403-03</v>
      </c>
    </row>
    <row r="632" spans="1:39" x14ac:dyDescent="0.25">
      <c r="A632" s="24"/>
      <c r="B632" s="49" t="str">
        <f>VLOOKUP(TArticle[[#This Row],[شناسه]],TAccount[],2,TRUE)</f>
        <v>---</v>
      </c>
      <c r="C632" s="49" t="str">
        <f>VLOOKUP(TArticle[[#This Row],[تاریخ]],TDays[],7,FALSE)</f>
        <v>سه شنبه</v>
      </c>
      <c r="D632" s="21" t="s">
        <v>1316</v>
      </c>
      <c r="F632" s="1">
        <f>TArticle[[#This Row],[مبلغ]]+IFERROR(INT(F631),30181+3667+958)</f>
        <v>295762</v>
      </c>
      <c r="G632" s="49"/>
      <c r="L632" s="171" t="str">
        <f>IF(TArticle[[#This Row],[کد وضعیت سند]]&gt;0,VLOOKUP(TArticle[[#This Row],[کد وضعیت سند]],TDocState[],2,FALSE),"")</f>
        <v/>
      </c>
      <c r="N632" s="171" t="str">
        <f>IF(TArticle[[#This Row],[کد طرف حساب]]&gt;0,VLOOKUP(TArticle[[#This Row],[کد طرف حساب]],TContact[],2,FALSE),"")</f>
        <v/>
      </c>
      <c r="O632" s="61" t="str">
        <f>IF(TArticle[[#This Row],[کد طرف حساب]]&gt;0,VLOOKUP(TArticle[[#This Row],[کد طرف حساب]],TContact[],7,FALSE)-SUMIF($M$2:M632,M632,$E$2:$E632),"")</f>
        <v/>
      </c>
      <c r="P632" s="27" t="str">
        <f>RIGHT(TArticle[[#This Row],[تاریخ]],2)</f>
        <v>29</v>
      </c>
      <c r="Q632" s="27">
        <f>VLOOKUP(TArticle[[#This Row],[تاریخ]],TDays[],16,FALSE)</f>
        <v>14</v>
      </c>
      <c r="R632" s="27" t="str">
        <f>RIGHT(LEFT(TArticle[[#This Row],[تاریخ]],7),2)</f>
        <v>03</v>
      </c>
      <c r="S632" s="27" t="str">
        <f>LEFT(TArticle[[#This Row],[تاریخ]],4)</f>
        <v>1403</v>
      </c>
      <c r="U632" s="21">
        <f>VLOOKUP(TArticle[[#This Row],[شناسه]],TAccount[],7,TRUE)</f>
        <v>0</v>
      </c>
      <c r="W632" s="21">
        <f>IF(AND(TArticle[[#This Row],[مبلغ]]&gt;0, TArticle[[#This Row],[کد وضعیت سند]]=1),TArticle[[#This Row],[مبلغ]],0)</f>
        <v>0</v>
      </c>
      <c r="X632" s="27">
        <f>IF(AND(TArticle[[#This Row],[مبلغ]]&lt;0,TArticle[[#This Row],[کد وضعیت سند]]=1),0-TArticle[[#This Row],[مبلغ]],0)</f>
        <v>0</v>
      </c>
      <c r="Y632" s="27">
        <v>2</v>
      </c>
      <c r="Z632" s="171" t="str">
        <f>IF(TArticle[[#This Row],[کد بانک]]&gt;0,VLOOKUP(TArticle[[#This Row],[کد بانک]],TBank[],2,FALSE),"")</f>
        <v>ملی جاری</v>
      </c>
      <c r="AA632">
        <f>IF(AND(TArticle[[#This Row],[مبلغ]]&lt;0,TArticle[[#This Row],[کد وضعیت سند]]=1),0-TArticle[[#This Row],[مبلغ]],0)</f>
        <v>0</v>
      </c>
      <c r="AB632">
        <f>IF(AND(TArticle[[#This Row],[مبلغ]]&gt;0, TArticle[[#This Row],[کد وضعیت سند]]=1),TArticle[[#This Row],[مبلغ]],0)</f>
        <v>0</v>
      </c>
      <c r="AC632" s="84">
        <f>IF(TArticle[[#This Row],[کد بانک]]&gt;0,VLOOKUP(TArticle[[#This Row],[کد بانک]],TBank[],9,FALSE)+SUMIF($Y$2:Y632,Y632,$E$2:$E632),"")</f>
        <v>337414</v>
      </c>
      <c r="AD632" s="1">
        <f>IFERROR(IF(INT(LEFT(TArticle[[#This Row],[شناسه]]))=3,IF(TArticle[[#This Row],[کد وضعیت سند]]=1,TArticle[مبلغ],0),0),0)</f>
        <v>0</v>
      </c>
      <c r="AE632" s="1">
        <f>IFERROR(IF(((TArticle[[#This Row],[شناسه]]))="4.1.1",IF(TArticle[[#This Row],[کد وضعیت سند]]=1,TArticle[مبلغ],0),0),0)</f>
        <v>0</v>
      </c>
      <c r="AF632" s="1">
        <f>IFERROR(IF(((TArticle[[#This Row],[شناسه]]))="4.1.2",IF(TArticle[[#This Row],[کد وضعیت سند]]=1,TArticle[مبلغ],0),0),0)</f>
        <v>0</v>
      </c>
      <c r="AG632" s="1">
        <f>IFERROR(IF(INT(LEFT(TArticle[[#This Row],[شناسه]]))=1,IF(TArticle[[#This Row],[کد وضعیت سند]]=1,TArticle[مبلغ],0),0),0)</f>
        <v>0</v>
      </c>
      <c r="AH632" s="1">
        <f>IFERROR(IF(INT(LEFT(TArticle[[#This Row],[شناسه]]))=2,IF(TArticle[[#This Row],[کد وضعیت سند]]=1,TArticle[مبلغ],0),0),0)</f>
        <v>0</v>
      </c>
      <c r="AI632" s="1">
        <f>IFERROR(IF((LEFT(TArticle[[#This Row],[شناسه]],3))="5.2",IF(TArticle[[#This Row],[کد وضعیت سند]]=1,TArticle[مبلغ],0),0),0)</f>
        <v>0</v>
      </c>
      <c r="AJ632" s="1">
        <f>IF(TArticle[[#This Row],[کد وضعیت سند]]=1,1,0)</f>
        <v>0</v>
      </c>
      <c r="AK632" s="1">
        <f>IF(AND(TArticle[[#This Row],[کد وضعیت سند]]&lt;&gt;1,TArticle[[#This Row],[مبلغ]]&lt;&gt;0),1,0)</f>
        <v>0</v>
      </c>
      <c r="AL632" s="51">
        <f>IF(TArticle[[#This Row],[کد بانک]]&gt;0,TArticle[[#This Row],[مانده بانک]]-VLOOKUP(TArticle[[#This Row],[کد بانک]],TBank[],7,FALSE),"")</f>
        <v>337414</v>
      </c>
      <c r="AM632" s="49" t="str">
        <f>LEFT(TArticle[[#This Row],[تاریخ]],7)</f>
        <v>1403-03</v>
      </c>
    </row>
    <row r="633" spans="1:39" x14ac:dyDescent="0.25">
      <c r="A633" s="24"/>
      <c r="B633" s="49" t="str">
        <f>VLOOKUP(TArticle[[#This Row],[شناسه]],TAccount[],2,TRUE)</f>
        <v>---</v>
      </c>
      <c r="C633" s="49" t="str">
        <f>VLOOKUP(TArticle[[#This Row],[تاریخ]],TDays[],7,FALSE)</f>
        <v>سه شنبه</v>
      </c>
      <c r="D633" s="21" t="s">
        <v>1316</v>
      </c>
      <c r="F633" s="1">
        <f>TArticle[[#This Row],[مبلغ]]+IFERROR(INT(F632),30181+3667+958)</f>
        <v>295762</v>
      </c>
      <c r="G633" s="49"/>
      <c r="L633" s="171" t="str">
        <f>IF(TArticle[[#This Row],[کد وضعیت سند]]&gt;0,VLOOKUP(TArticle[[#This Row],[کد وضعیت سند]],TDocState[],2,FALSE),"")</f>
        <v/>
      </c>
      <c r="N633" s="171" t="str">
        <f>IF(TArticle[[#This Row],[کد طرف حساب]]&gt;0,VLOOKUP(TArticle[[#This Row],[کد طرف حساب]],TContact[],2,FALSE),"")</f>
        <v/>
      </c>
      <c r="O633" s="61" t="str">
        <f>IF(TArticle[[#This Row],[کد طرف حساب]]&gt;0,VLOOKUP(TArticle[[#This Row],[کد طرف حساب]],TContact[],7,FALSE)-SUMIF($M$2:M633,M633,$E$2:$E633),"")</f>
        <v/>
      </c>
      <c r="P633" s="27" t="str">
        <f>RIGHT(TArticle[[#This Row],[تاریخ]],2)</f>
        <v>29</v>
      </c>
      <c r="Q633" s="27">
        <f>VLOOKUP(TArticle[[#This Row],[تاریخ]],TDays[],16,FALSE)</f>
        <v>14</v>
      </c>
      <c r="R633" s="27" t="str">
        <f>RIGHT(LEFT(TArticle[[#This Row],[تاریخ]],7),2)</f>
        <v>03</v>
      </c>
      <c r="S633" s="27" t="str">
        <f>LEFT(TArticle[[#This Row],[تاریخ]],4)</f>
        <v>1403</v>
      </c>
      <c r="U633" s="21">
        <f>VLOOKUP(TArticle[[#This Row],[شناسه]],TAccount[],7,TRUE)</f>
        <v>0</v>
      </c>
      <c r="W633" s="21">
        <f>IF(AND(TArticle[[#This Row],[مبلغ]]&gt;0, TArticle[[#This Row],[کد وضعیت سند]]=1),TArticle[[#This Row],[مبلغ]],0)</f>
        <v>0</v>
      </c>
      <c r="X633" s="27">
        <f>IF(AND(TArticle[[#This Row],[مبلغ]]&lt;0,TArticle[[#This Row],[کد وضعیت سند]]=1),0-TArticle[[#This Row],[مبلغ]],0)</f>
        <v>0</v>
      </c>
      <c r="Y633" s="27">
        <v>2</v>
      </c>
      <c r="Z633" s="171" t="str">
        <f>IF(TArticle[[#This Row],[کد بانک]]&gt;0,VLOOKUP(TArticle[[#This Row],[کد بانک]],TBank[],2,FALSE),"")</f>
        <v>ملی جاری</v>
      </c>
      <c r="AA633">
        <f>IF(AND(TArticle[[#This Row],[مبلغ]]&lt;0,TArticle[[#This Row],[کد وضعیت سند]]=1),0-TArticle[[#This Row],[مبلغ]],0)</f>
        <v>0</v>
      </c>
      <c r="AB633">
        <f>IF(AND(TArticle[[#This Row],[مبلغ]]&gt;0, TArticle[[#This Row],[کد وضعیت سند]]=1),TArticle[[#This Row],[مبلغ]],0)</f>
        <v>0</v>
      </c>
      <c r="AC633" s="84">
        <f>IF(TArticle[[#This Row],[کد بانک]]&gt;0,VLOOKUP(TArticle[[#This Row],[کد بانک]],TBank[],9,FALSE)+SUMIF($Y$2:Y633,Y633,$E$2:$E633),"")</f>
        <v>337414</v>
      </c>
      <c r="AD633" s="1">
        <f>IFERROR(IF(INT(LEFT(TArticle[[#This Row],[شناسه]]))=3,IF(TArticle[[#This Row],[کد وضعیت سند]]=1,TArticle[مبلغ],0),0),0)</f>
        <v>0</v>
      </c>
      <c r="AE633" s="1">
        <f>IFERROR(IF(((TArticle[[#This Row],[شناسه]]))="4.1.1",IF(TArticle[[#This Row],[کد وضعیت سند]]=1,TArticle[مبلغ],0),0),0)</f>
        <v>0</v>
      </c>
      <c r="AF633" s="1">
        <f>IFERROR(IF(((TArticle[[#This Row],[شناسه]]))="4.1.2",IF(TArticle[[#This Row],[کد وضعیت سند]]=1,TArticle[مبلغ],0),0),0)</f>
        <v>0</v>
      </c>
      <c r="AG633" s="1">
        <f>IFERROR(IF(INT(LEFT(TArticle[[#This Row],[شناسه]]))=1,IF(TArticle[[#This Row],[کد وضعیت سند]]=1,TArticle[مبلغ],0),0),0)</f>
        <v>0</v>
      </c>
      <c r="AH633" s="1">
        <f>IFERROR(IF(INT(LEFT(TArticle[[#This Row],[شناسه]]))=2,IF(TArticle[[#This Row],[کد وضعیت سند]]=1,TArticle[مبلغ],0),0),0)</f>
        <v>0</v>
      </c>
      <c r="AI633" s="1">
        <f>IFERROR(IF((LEFT(TArticle[[#This Row],[شناسه]],3))="5.2",IF(TArticle[[#This Row],[کد وضعیت سند]]=1,TArticle[مبلغ],0),0),0)</f>
        <v>0</v>
      </c>
      <c r="AJ633" s="1">
        <f>IF(TArticle[[#This Row],[کد وضعیت سند]]=1,1,0)</f>
        <v>0</v>
      </c>
      <c r="AK633" s="1">
        <f>IF(AND(TArticle[[#This Row],[کد وضعیت سند]]&lt;&gt;1,TArticle[[#This Row],[مبلغ]]&lt;&gt;0),1,0)</f>
        <v>0</v>
      </c>
      <c r="AL633" s="51">
        <f>IF(TArticle[[#This Row],[کد بانک]]&gt;0,TArticle[[#This Row],[مانده بانک]]-VLOOKUP(TArticle[[#This Row],[کد بانک]],TBank[],7,FALSE),"")</f>
        <v>337414</v>
      </c>
      <c r="AM633" s="49" t="str">
        <f>LEFT(TArticle[[#This Row],[تاریخ]],7)</f>
        <v>1403-03</v>
      </c>
    </row>
    <row r="634" spans="1:39" x14ac:dyDescent="0.25">
      <c r="A634" s="24"/>
      <c r="B634" s="49" t="str">
        <f>VLOOKUP(TArticle[[#This Row],[شناسه]],TAccount[],2,TRUE)</f>
        <v>---</v>
      </c>
      <c r="C634" s="49" t="str">
        <f>VLOOKUP(TArticle[[#This Row],[تاریخ]],TDays[],7,FALSE)</f>
        <v>سه شنبه</v>
      </c>
      <c r="D634" s="21" t="s">
        <v>1316</v>
      </c>
      <c r="F634" s="1">
        <f>TArticle[[#This Row],[مبلغ]]+IFERROR(INT(F633),30181+3667+958)</f>
        <v>295762</v>
      </c>
      <c r="G634" s="49"/>
      <c r="L634" s="171" t="str">
        <f>IF(TArticle[[#This Row],[کد وضعیت سند]]&gt;0,VLOOKUP(TArticle[[#This Row],[کد وضعیت سند]],TDocState[],2,FALSE),"")</f>
        <v/>
      </c>
      <c r="N634" s="171" t="str">
        <f>IF(TArticle[[#This Row],[کد طرف حساب]]&gt;0,VLOOKUP(TArticle[[#This Row],[کد طرف حساب]],TContact[],2,FALSE),"")</f>
        <v/>
      </c>
      <c r="O634" s="61" t="str">
        <f>IF(TArticle[[#This Row],[کد طرف حساب]]&gt;0,VLOOKUP(TArticle[[#This Row],[کد طرف حساب]],TContact[],7,FALSE)-SUMIF($M$2:M634,M634,$E$2:$E634),"")</f>
        <v/>
      </c>
      <c r="P634" s="27" t="str">
        <f>RIGHT(TArticle[[#This Row],[تاریخ]],2)</f>
        <v>29</v>
      </c>
      <c r="Q634" s="27">
        <f>VLOOKUP(TArticle[[#This Row],[تاریخ]],TDays[],16,FALSE)</f>
        <v>14</v>
      </c>
      <c r="R634" s="27" t="str">
        <f>RIGHT(LEFT(TArticle[[#This Row],[تاریخ]],7),2)</f>
        <v>03</v>
      </c>
      <c r="S634" s="27" t="str">
        <f>LEFT(TArticle[[#This Row],[تاریخ]],4)</f>
        <v>1403</v>
      </c>
      <c r="U634" s="21">
        <f>VLOOKUP(TArticle[[#This Row],[شناسه]],TAccount[],7,TRUE)</f>
        <v>0</v>
      </c>
      <c r="W634" s="21">
        <f>IF(AND(TArticle[[#This Row],[مبلغ]]&gt;0, TArticle[[#This Row],[کد وضعیت سند]]=1),TArticle[[#This Row],[مبلغ]],0)</f>
        <v>0</v>
      </c>
      <c r="X634" s="27">
        <f>IF(AND(TArticle[[#This Row],[مبلغ]]&lt;0,TArticle[[#This Row],[کد وضعیت سند]]=1),0-TArticle[[#This Row],[مبلغ]],0)</f>
        <v>0</v>
      </c>
      <c r="Y634" s="27">
        <v>2</v>
      </c>
      <c r="Z634" s="171" t="str">
        <f>IF(TArticle[[#This Row],[کد بانک]]&gt;0,VLOOKUP(TArticle[[#This Row],[کد بانک]],TBank[],2,FALSE),"")</f>
        <v>ملی جاری</v>
      </c>
      <c r="AA634">
        <f>IF(AND(TArticle[[#This Row],[مبلغ]]&lt;0,TArticle[[#This Row],[کد وضعیت سند]]=1),0-TArticle[[#This Row],[مبلغ]],0)</f>
        <v>0</v>
      </c>
      <c r="AB634">
        <f>IF(AND(TArticle[[#This Row],[مبلغ]]&gt;0, TArticle[[#This Row],[کد وضعیت سند]]=1),TArticle[[#This Row],[مبلغ]],0)</f>
        <v>0</v>
      </c>
      <c r="AC634" s="84">
        <f>IF(TArticle[[#This Row],[کد بانک]]&gt;0,VLOOKUP(TArticle[[#This Row],[کد بانک]],TBank[],9,FALSE)+SUMIF($Y$2:Y634,Y634,$E$2:$E634),"")</f>
        <v>337414</v>
      </c>
      <c r="AD634" s="1">
        <f>IFERROR(IF(INT(LEFT(TArticle[[#This Row],[شناسه]]))=3,IF(TArticle[[#This Row],[کد وضعیت سند]]=1,TArticle[مبلغ],0),0),0)</f>
        <v>0</v>
      </c>
      <c r="AE634" s="1">
        <f>IFERROR(IF(((TArticle[[#This Row],[شناسه]]))="4.1.1",IF(TArticle[[#This Row],[کد وضعیت سند]]=1,TArticle[مبلغ],0),0),0)</f>
        <v>0</v>
      </c>
      <c r="AF634" s="1">
        <f>IFERROR(IF(((TArticle[[#This Row],[شناسه]]))="4.1.2",IF(TArticle[[#This Row],[کد وضعیت سند]]=1,TArticle[مبلغ],0),0),0)</f>
        <v>0</v>
      </c>
      <c r="AG634" s="1">
        <f>IFERROR(IF(INT(LEFT(TArticle[[#This Row],[شناسه]]))=1,IF(TArticle[[#This Row],[کد وضعیت سند]]=1,TArticle[مبلغ],0),0),0)</f>
        <v>0</v>
      </c>
      <c r="AH634" s="1">
        <f>IFERROR(IF(INT(LEFT(TArticle[[#This Row],[شناسه]]))=2,IF(TArticle[[#This Row],[کد وضعیت سند]]=1,TArticle[مبلغ],0),0),0)</f>
        <v>0</v>
      </c>
      <c r="AI634" s="1">
        <f>IFERROR(IF((LEFT(TArticle[[#This Row],[شناسه]],3))="5.2",IF(TArticle[[#This Row],[کد وضعیت سند]]=1,TArticle[مبلغ],0),0),0)</f>
        <v>0</v>
      </c>
      <c r="AJ634" s="1">
        <f>IF(TArticle[[#This Row],[کد وضعیت سند]]=1,1,0)</f>
        <v>0</v>
      </c>
      <c r="AK634" s="1">
        <f>IF(AND(TArticle[[#This Row],[کد وضعیت سند]]&lt;&gt;1,TArticle[[#This Row],[مبلغ]]&lt;&gt;0),1,0)</f>
        <v>0</v>
      </c>
      <c r="AL634" s="51">
        <f>IF(TArticle[[#This Row],[کد بانک]]&gt;0,TArticle[[#This Row],[مانده بانک]]-VLOOKUP(TArticle[[#This Row],[کد بانک]],TBank[],7,FALSE),"")</f>
        <v>337414</v>
      </c>
      <c r="AM634" s="49" t="str">
        <f>LEFT(TArticle[[#This Row],[تاریخ]],7)</f>
        <v>1403-03</v>
      </c>
    </row>
    <row r="635" spans="1:39" x14ac:dyDescent="0.25">
      <c r="A635" s="24"/>
      <c r="B635" s="49" t="str">
        <f>VLOOKUP(TArticle[[#This Row],[شناسه]],TAccount[],2,TRUE)</f>
        <v>---</v>
      </c>
      <c r="C635" s="49" t="str">
        <f>VLOOKUP(TArticle[[#This Row],[تاریخ]],TDays[],7,FALSE)</f>
        <v>سه شنبه</v>
      </c>
      <c r="D635" s="21" t="s">
        <v>1316</v>
      </c>
      <c r="F635" s="1">
        <f>TArticle[[#This Row],[مبلغ]]+IFERROR(INT(F634),30181+3667+958)</f>
        <v>295762</v>
      </c>
      <c r="G635" s="49"/>
      <c r="L635" s="171" t="str">
        <f>IF(TArticle[[#This Row],[کد وضعیت سند]]&gt;0,VLOOKUP(TArticle[[#This Row],[کد وضعیت سند]],TDocState[],2,FALSE),"")</f>
        <v/>
      </c>
      <c r="N635" s="171" t="str">
        <f>IF(TArticle[[#This Row],[کد طرف حساب]]&gt;0,VLOOKUP(TArticle[[#This Row],[کد طرف حساب]],TContact[],2,FALSE),"")</f>
        <v/>
      </c>
      <c r="O635" s="61" t="str">
        <f>IF(TArticle[[#This Row],[کد طرف حساب]]&gt;0,VLOOKUP(TArticle[[#This Row],[کد طرف حساب]],TContact[],7,FALSE)-SUMIF($M$2:M635,M635,$E$2:$E635),"")</f>
        <v/>
      </c>
      <c r="P635" s="27" t="str">
        <f>RIGHT(TArticle[[#This Row],[تاریخ]],2)</f>
        <v>29</v>
      </c>
      <c r="Q635" s="27">
        <f>VLOOKUP(TArticle[[#This Row],[تاریخ]],TDays[],16,FALSE)</f>
        <v>14</v>
      </c>
      <c r="R635" s="27" t="str">
        <f>RIGHT(LEFT(TArticle[[#This Row],[تاریخ]],7),2)</f>
        <v>03</v>
      </c>
      <c r="S635" s="27" t="str">
        <f>LEFT(TArticle[[#This Row],[تاریخ]],4)</f>
        <v>1403</v>
      </c>
      <c r="U635" s="21">
        <f>VLOOKUP(TArticle[[#This Row],[شناسه]],TAccount[],7,TRUE)</f>
        <v>0</v>
      </c>
      <c r="W635" s="21">
        <f>IF(AND(TArticle[[#This Row],[مبلغ]]&gt;0, TArticle[[#This Row],[کد وضعیت سند]]=1),TArticle[[#This Row],[مبلغ]],0)</f>
        <v>0</v>
      </c>
      <c r="X635" s="27">
        <f>IF(AND(TArticle[[#This Row],[مبلغ]]&lt;0,TArticle[[#This Row],[کد وضعیت سند]]=1),0-TArticle[[#This Row],[مبلغ]],0)</f>
        <v>0</v>
      </c>
      <c r="Y635" s="27">
        <v>2</v>
      </c>
      <c r="Z635" s="171" t="str">
        <f>IF(TArticle[[#This Row],[کد بانک]]&gt;0,VLOOKUP(TArticle[[#This Row],[کد بانک]],TBank[],2,FALSE),"")</f>
        <v>ملی جاری</v>
      </c>
      <c r="AA635">
        <f>IF(AND(TArticle[[#This Row],[مبلغ]]&lt;0,TArticle[[#This Row],[کد وضعیت سند]]=1),0-TArticle[[#This Row],[مبلغ]],0)</f>
        <v>0</v>
      </c>
      <c r="AB635">
        <f>IF(AND(TArticle[[#This Row],[مبلغ]]&gt;0, TArticle[[#This Row],[کد وضعیت سند]]=1),TArticle[[#This Row],[مبلغ]],0)</f>
        <v>0</v>
      </c>
      <c r="AC635" s="84">
        <f>IF(TArticle[[#This Row],[کد بانک]]&gt;0,VLOOKUP(TArticle[[#This Row],[کد بانک]],TBank[],9,FALSE)+SUMIF($Y$2:Y635,Y635,$E$2:$E635),"")</f>
        <v>337414</v>
      </c>
      <c r="AD635" s="1">
        <f>IFERROR(IF(INT(LEFT(TArticle[[#This Row],[شناسه]]))=3,IF(TArticle[[#This Row],[کد وضعیت سند]]=1,TArticle[مبلغ],0),0),0)</f>
        <v>0</v>
      </c>
      <c r="AE635" s="1">
        <f>IFERROR(IF(((TArticle[[#This Row],[شناسه]]))="4.1.1",IF(TArticle[[#This Row],[کد وضعیت سند]]=1,TArticle[مبلغ],0),0),0)</f>
        <v>0</v>
      </c>
      <c r="AF635" s="1">
        <f>IFERROR(IF(((TArticle[[#This Row],[شناسه]]))="4.1.2",IF(TArticle[[#This Row],[کد وضعیت سند]]=1,TArticle[مبلغ],0),0),0)</f>
        <v>0</v>
      </c>
      <c r="AG635" s="1">
        <f>IFERROR(IF(INT(LEFT(TArticle[[#This Row],[شناسه]]))=1,IF(TArticle[[#This Row],[کد وضعیت سند]]=1,TArticle[مبلغ],0),0),0)</f>
        <v>0</v>
      </c>
      <c r="AH635" s="1">
        <f>IFERROR(IF(INT(LEFT(TArticle[[#This Row],[شناسه]]))=2,IF(TArticle[[#This Row],[کد وضعیت سند]]=1,TArticle[مبلغ],0),0),0)</f>
        <v>0</v>
      </c>
      <c r="AI635" s="1">
        <f>IFERROR(IF((LEFT(TArticle[[#This Row],[شناسه]],3))="5.2",IF(TArticle[[#This Row],[کد وضعیت سند]]=1,TArticle[مبلغ],0),0),0)</f>
        <v>0</v>
      </c>
      <c r="AJ635" s="1">
        <f>IF(TArticle[[#This Row],[کد وضعیت سند]]=1,1,0)</f>
        <v>0</v>
      </c>
      <c r="AK635" s="1">
        <f>IF(AND(TArticle[[#This Row],[کد وضعیت سند]]&lt;&gt;1,TArticle[[#This Row],[مبلغ]]&lt;&gt;0),1,0)</f>
        <v>0</v>
      </c>
      <c r="AL635" s="51">
        <f>IF(TArticle[[#This Row],[کد بانک]]&gt;0,TArticle[[#This Row],[مانده بانک]]-VLOOKUP(TArticle[[#This Row],[کد بانک]],TBank[],7,FALSE),"")</f>
        <v>337414</v>
      </c>
      <c r="AM635" s="49" t="str">
        <f>LEFT(TArticle[[#This Row],[تاریخ]],7)</f>
        <v>1403-03</v>
      </c>
    </row>
    <row r="636" spans="1:39" x14ac:dyDescent="0.25">
      <c r="A636" s="24"/>
      <c r="B636" s="49" t="str">
        <f>VLOOKUP(TArticle[[#This Row],[شناسه]],TAccount[],2,TRUE)</f>
        <v>---</v>
      </c>
      <c r="C636" s="49" t="str">
        <f>VLOOKUP(TArticle[[#This Row],[تاریخ]],TDays[],7,FALSE)</f>
        <v>سه شنبه</v>
      </c>
      <c r="D636" s="21" t="s">
        <v>1316</v>
      </c>
      <c r="F636" s="1">
        <f>TArticle[[#This Row],[مبلغ]]+IFERROR(INT(F635),30181+3667+958)</f>
        <v>295762</v>
      </c>
      <c r="G636" s="49"/>
      <c r="L636" s="171" t="str">
        <f>IF(TArticle[[#This Row],[کد وضعیت سند]]&gt;0,VLOOKUP(TArticle[[#This Row],[کد وضعیت سند]],TDocState[],2,FALSE),"")</f>
        <v/>
      </c>
      <c r="N636" s="171" t="str">
        <f>IF(TArticle[[#This Row],[کد طرف حساب]]&gt;0,VLOOKUP(TArticle[[#This Row],[کد طرف حساب]],TContact[],2,FALSE),"")</f>
        <v/>
      </c>
      <c r="O636" s="61" t="str">
        <f>IF(TArticle[[#This Row],[کد طرف حساب]]&gt;0,VLOOKUP(TArticle[[#This Row],[کد طرف حساب]],TContact[],7,FALSE)-SUMIF($M$2:M636,M636,$E$2:$E636),"")</f>
        <v/>
      </c>
      <c r="P636" s="27" t="str">
        <f>RIGHT(TArticle[[#This Row],[تاریخ]],2)</f>
        <v>29</v>
      </c>
      <c r="Q636" s="27">
        <f>VLOOKUP(TArticle[[#This Row],[تاریخ]],TDays[],16,FALSE)</f>
        <v>14</v>
      </c>
      <c r="R636" s="27" t="str">
        <f>RIGHT(LEFT(TArticle[[#This Row],[تاریخ]],7),2)</f>
        <v>03</v>
      </c>
      <c r="S636" s="27" t="str">
        <f>LEFT(TArticle[[#This Row],[تاریخ]],4)</f>
        <v>1403</v>
      </c>
      <c r="U636" s="21">
        <f>VLOOKUP(TArticle[[#This Row],[شناسه]],TAccount[],7,TRUE)</f>
        <v>0</v>
      </c>
      <c r="W636" s="21">
        <f>IF(AND(TArticle[[#This Row],[مبلغ]]&gt;0, TArticle[[#This Row],[کد وضعیت سند]]=1),TArticle[[#This Row],[مبلغ]],0)</f>
        <v>0</v>
      </c>
      <c r="X636" s="27">
        <f>IF(AND(TArticle[[#This Row],[مبلغ]]&lt;0,TArticle[[#This Row],[کد وضعیت سند]]=1),0-TArticle[[#This Row],[مبلغ]],0)</f>
        <v>0</v>
      </c>
      <c r="Y636" s="27">
        <v>2</v>
      </c>
      <c r="Z636" s="171" t="str">
        <f>IF(TArticle[[#This Row],[کد بانک]]&gt;0,VLOOKUP(TArticle[[#This Row],[کد بانک]],TBank[],2,FALSE),"")</f>
        <v>ملی جاری</v>
      </c>
      <c r="AA636">
        <f>IF(AND(TArticle[[#This Row],[مبلغ]]&lt;0,TArticle[[#This Row],[کد وضعیت سند]]=1),0-TArticle[[#This Row],[مبلغ]],0)</f>
        <v>0</v>
      </c>
      <c r="AB636">
        <f>IF(AND(TArticle[[#This Row],[مبلغ]]&gt;0, TArticle[[#This Row],[کد وضعیت سند]]=1),TArticle[[#This Row],[مبلغ]],0)</f>
        <v>0</v>
      </c>
      <c r="AC636" s="84">
        <f>IF(TArticle[[#This Row],[کد بانک]]&gt;0,VLOOKUP(TArticle[[#This Row],[کد بانک]],TBank[],9,FALSE)+SUMIF($Y$2:Y636,Y636,$E$2:$E636),"")</f>
        <v>337414</v>
      </c>
      <c r="AD636" s="1">
        <f>IFERROR(IF(INT(LEFT(TArticle[[#This Row],[شناسه]]))=3,IF(TArticle[[#This Row],[کد وضعیت سند]]=1,TArticle[مبلغ],0),0),0)</f>
        <v>0</v>
      </c>
      <c r="AE636" s="1">
        <f>IFERROR(IF(((TArticle[[#This Row],[شناسه]]))="4.1.1",IF(TArticle[[#This Row],[کد وضعیت سند]]=1,TArticle[مبلغ],0),0),0)</f>
        <v>0</v>
      </c>
      <c r="AF636" s="1">
        <f>IFERROR(IF(((TArticle[[#This Row],[شناسه]]))="4.1.2",IF(TArticle[[#This Row],[کد وضعیت سند]]=1,TArticle[مبلغ],0),0),0)</f>
        <v>0</v>
      </c>
      <c r="AG636" s="1">
        <f>IFERROR(IF(INT(LEFT(TArticle[[#This Row],[شناسه]]))=1,IF(TArticle[[#This Row],[کد وضعیت سند]]=1,TArticle[مبلغ],0),0),0)</f>
        <v>0</v>
      </c>
      <c r="AH636" s="1">
        <f>IFERROR(IF(INT(LEFT(TArticle[[#This Row],[شناسه]]))=2,IF(TArticle[[#This Row],[کد وضعیت سند]]=1,TArticle[مبلغ],0),0),0)</f>
        <v>0</v>
      </c>
      <c r="AI636" s="1">
        <f>IFERROR(IF((LEFT(TArticle[[#This Row],[شناسه]],3))="5.2",IF(TArticle[[#This Row],[کد وضعیت سند]]=1,TArticle[مبلغ],0),0),0)</f>
        <v>0</v>
      </c>
      <c r="AJ636" s="1">
        <f>IF(TArticle[[#This Row],[کد وضعیت سند]]=1,1,0)</f>
        <v>0</v>
      </c>
      <c r="AK636" s="1">
        <f>IF(AND(TArticle[[#This Row],[کد وضعیت سند]]&lt;&gt;1,TArticle[[#This Row],[مبلغ]]&lt;&gt;0),1,0)</f>
        <v>0</v>
      </c>
      <c r="AL636" s="51">
        <f>IF(TArticle[[#This Row],[کد بانک]]&gt;0,TArticle[[#This Row],[مانده بانک]]-VLOOKUP(TArticle[[#This Row],[کد بانک]],TBank[],7,FALSE),"")</f>
        <v>337414</v>
      </c>
      <c r="AM636" s="49" t="str">
        <f>LEFT(TArticle[[#This Row],[تاریخ]],7)</f>
        <v>1403-03</v>
      </c>
    </row>
    <row r="637" spans="1:39" x14ac:dyDescent="0.25">
      <c r="A637" s="24"/>
      <c r="B637" s="49" t="str">
        <f>VLOOKUP(TArticle[[#This Row],[شناسه]],TAccount[],2,TRUE)</f>
        <v>---</v>
      </c>
      <c r="C637" s="49" t="str">
        <f>VLOOKUP(TArticle[[#This Row],[تاریخ]],TDays[],7,FALSE)</f>
        <v>سه شنبه</v>
      </c>
      <c r="D637" s="21" t="s">
        <v>1316</v>
      </c>
      <c r="F637" s="1">
        <f>TArticle[[#This Row],[مبلغ]]+IFERROR(INT(F636),30181+3667+958)</f>
        <v>295762</v>
      </c>
      <c r="G637" s="49"/>
      <c r="L637" s="171" t="str">
        <f>IF(TArticle[[#This Row],[کد وضعیت سند]]&gt;0,VLOOKUP(TArticle[[#This Row],[کد وضعیت سند]],TDocState[],2,FALSE),"")</f>
        <v/>
      </c>
      <c r="N637" s="171" t="str">
        <f>IF(TArticle[[#This Row],[کد طرف حساب]]&gt;0,VLOOKUP(TArticle[[#This Row],[کد طرف حساب]],TContact[],2,FALSE),"")</f>
        <v/>
      </c>
      <c r="O637" s="61" t="str">
        <f>IF(TArticle[[#This Row],[کد طرف حساب]]&gt;0,VLOOKUP(TArticle[[#This Row],[کد طرف حساب]],TContact[],7,FALSE)-SUMIF($M$2:M637,M637,$E$2:$E637),"")</f>
        <v/>
      </c>
      <c r="P637" s="27" t="str">
        <f>RIGHT(TArticle[[#This Row],[تاریخ]],2)</f>
        <v>29</v>
      </c>
      <c r="Q637" s="27">
        <f>VLOOKUP(TArticle[[#This Row],[تاریخ]],TDays[],16,FALSE)</f>
        <v>14</v>
      </c>
      <c r="R637" s="27" t="str">
        <f>RIGHT(LEFT(TArticle[[#This Row],[تاریخ]],7),2)</f>
        <v>03</v>
      </c>
      <c r="S637" s="27" t="str">
        <f>LEFT(TArticle[[#This Row],[تاریخ]],4)</f>
        <v>1403</v>
      </c>
      <c r="U637" s="21">
        <f>VLOOKUP(TArticle[[#This Row],[شناسه]],TAccount[],7,TRUE)</f>
        <v>0</v>
      </c>
      <c r="W637" s="21">
        <f>IF(AND(TArticle[[#This Row],[مبلغ]]&gt;0, TArticle[[#This Row],[کد وضعیت سند]]=1),TArticle[[#This Row],[مبلغ]],0)</f>
        <v>0</v>
      </c>
      <c r="X637" s="27">
        <f>IF(AND(TArticle[[#This Row],[مبلغ]]&lt;0,TArticle[[#This Row],[کد وضعیت سند]]=1),0-TArticle[[#This Row],[مبلغ]],0)</f>
        <v>0</v>
      </c>
      <c r="Y637" s="27">
        <v>2</v>
      </c>
      <c r="Z637" s="171" t="str">
        <f>IF(TArticle[[#This Row],[کد بانک]]&gt;0,VLOOKUP(TArticle[[#This Row],[کد بانک]],TBank[],2,FALSE),"")</f>
        <v>ملی جاری</v>
      </c>
      <c r="AA637">
        <f>IF(AND(TArticle[[#This Row],[مبلغ]]&lt;0,TArticle[[#This Row],[کد وضعیت سند]]=1),0-TArticle[[#This Row],[مبلغ]],0)</f>
        <v>0</v>
      </c>
      <c r="AB637">
        <f>IF(AND(TArticle[[#This Row],[مبلغ]]&gt;0, TArticle[[#This Row],[کد وضعیت سند]]=1),TArticle[[#This Row],[مبلغ]],0)</f>
        <v>0</v>
      </c>
      <c r="AC637" s="84">
        <f>IF(TArticle[[#This Row],[کد بانک]]&gt;0,VLOOKUP(TArticle[[#This Row],[کد بانک]],TBank[],9,FALSE)+SUMIF($Y$2:Y637,Y637,$E$2:$E637),"")</f>
        <v>337414</v>
      </c>
      <c r="AD637" s="1">
        <f>IFERROR(IF(INT(LEFT(TArticle[[#This Row],[شناسه]]))=3,IF(TArticle[[#This Row],[کد وضعیت سند]]=1,TArticle[مبلغ],0),0),0)</f>
        <v>0</v>
      </c>
      <c r="AE637" s="1">
        <f>IFERROR(IF(((TArticle[[#This Row],[شناسه]]))="4.1.1",IF(TArticle[[#This Row],[کد وضعیت سند]]=1,TArticle[مبلغ],0),0),0)</f>
        <v>0</v>
      </c>
      <c r="AF637" s="1">
        <f>IFERROR(IF(((TArticle[[#This Row],[شناسه]]))="4.1.2",IF(TArticle[[#This Row],[کد وضعیت سند]]=1,TArticle[مبلغ],0),0),0)</f>
        <v>0</v>
      </c>
      <c r="AG637" s="1">
        <f>IFERROR(IF(INT(LEFT(TArticle[[#This Row],[شناسه]]))=1,IF(TArticle[[#This Row],[کد وضعیت سند]]=1,TArticle[مبلغ],0),0),0)</f>
        <v>0</v>
      </c>
      <c r="AH637" s="1">
        <f>IFERROR(IF(INT(LEFT(TArticle[[#This Row],[شناسه]]))=2,IF(TArticle[[#This Row],[کد وضعیت سند]]=1,TArticle[مبلغ],0),0),0)</f>
        <v>0</v>
      </c>
      <c r="AI637" s="1">
        <f>IFERROR(IF((LEFT(TArticle[[#This Row],[شناسه]],3))="5.2",IF(TArticle[[#This Row],[کد وضعیت سند]]=1,TArticle[مبلغ],0),0),0)</f>
        <v>0</v>
      </c>
      <c r="AJ637" s="1">
        <f>IF(TArticle[[#This Row],[کد وضعیت سند]]=1,1,0)</f>
        <v>0</v>
      </c>
      <c r="AK637" s="1">
        <f>IF(AND(TArticle[[#This Row],[کد وضعیت سند]]&lt;&gt;1,TArticle[[#This Row],[مبلغ]]&lt;&gt;0),1,0)</f>
        <v>0</v>
      </c>
      <c r="AL637" s="51">
        <f>IF(TArticle[[#This Row],[کد بانک]]&gt;0,TArticle[[#This Row],[مانده بانک]]-VLOOKUP(TArticle[[#This Row],[کد بانک]],TBank[],7,FALSE),"")</f>
        <v>337414</v>
      </c>
      <c r="AM637" s="49" t="str">
        <f>LEFT(TArticle[[#This Row],[تاریخ]],7)</f>
        <v>1403-03</v>
      </c>
    </row>
    <row r="638" spans="1:39" x14ac:dyDescent="0.25">
      <c r="A638" s="24"/>
      <c r="B638" s="49" t="str">
        <f>VLOOKUP(TArticle[[#This Row],[شناسه]],TAccount[],2,TRUE)</f>
        <v>---</v>
      </c>
      <c r="C638" s="49" t="str">
        <f>VLOOKUP(TArticle[[#This Row],[تاریخ]],TDays[],7,FALSE)</f>
        <v>سه شنبه</v>
      </c>
      <c r="D638" s="21" t="s">
        <v>1316</v>
      </c>
      <c r="F638" s="1">
        <f>TArticle[[#This Row],[مبلغ]]+IFERROR(INT(F637),30181+3667+958)</f>
        <v>295762</v>
      </c>
      <c r="G638" s="49"/>
      <c r="L638" s="171" t="str">
        <f>IF(TArticle[[#This Row],[کد وضعیت سند]]&gt;0,VLOOKUP(TArticle[[#This Row],[کد وضعیت سند]],TDocState[],2,FALSE),"")</f>
        <v/>
      </c>
      <c r="N638" s="171" t="str">
        <f>IF(TArticle[[#This Row],[کد طرف حساب]]&gt;0,VLOOKUP(TArticle[[#This Row],[کد طرف حساب]],TContact[],2,FALSE),"")</f>
        <v/>
      </c>
      <c r="O638" s="61" t="str">
        <f>IF(TArticle[[#This Row],[کد طرف حساب]]&gt;0,VLOOKUP(TArticle[[#This Row],[کد طرف حساب]],TContact[],7,FALSE)-SUMIF($M$2:M638,M638,$E$2:$E638),"")</f>
        <v/>
      </c>
      <c r="P638" s="27" t="str">
        <f>RIGHT(TArticle[[#This Row],[تاریخ]],2)</f>
        <v>29</v>
      </c>
      <c r="Q638" s="27">
        <f>VLOOKUP(TArticle[[#This Row],[تاریخ]],TDays[],16,FALSE)</f>
        <v>14</v>
      </c>
      <c r="R638" s="27" t="str">
        <f>RIGHT(LEFT(TArticle[[#This Row],[تاریخ]],7),2)</f>
        <v>03</v>
      </c>
      <c r="S638" s="27" t="str">
        <f>LEFT(TArticle[[#This Row],[تاریخ]],4)</f>
        <v>1403</v>
      </c>
      <c r="U638" s="21">
        <f>VLOOKUP(TArticle[[#This Row],[شناسه]],TAccount[],7,TRUE)</f>
        <v>0</v>
      </c>
      <c r="W638" s="21">
        <f>IF(AND(TArticle[[#This Row],[مبلغ]]&gt;0, TArticle[[#This Row],[کد وضعیت سند]]=1),TArticle[[#This Row],[مبلغ]],0)</f>
        <v>0</v>
      </c>
      <c r="X638" s="27">
        <f>IF(AND(TArticle[[#This Row],[مبلغ]]&lt;0,TArticle[[#This Row],[کد وضعیت سند]]=1),0-TArticle[[#This Row],[مبلغ]],0)</f>
        <v>0</v>
      </c>
      <c r="Y638" s="27">
        <v>2</v>
      </c>
      <c r="Z638" s="171" t="str">
        <f>IF(TArticle[[#This Row],[کد بانک]]&gt;0,VLOOKUP(TArticle[[#This Row],[کد بانک]],TBank[],2,FALSE),"")</f>
        <v>ملی جاری</v>
      </c>
      <c r="AA638">
        <f>IF(AND(TArticle[[#This Row],[مبلغ]]&lt;0,TArticle[[#This Row],[کد وضعیت سند]]=1),0-TArticle[[#This Row],[مبلغ]],0)</f>
        <v>0</v>
      </c>
      <c r="AB638">
        <f>IF(AND(TArticle[[#This Row],[مبلغ]]&gt;0, TArticle[[#This Row],[کد وضعیت سند]]=1),TArticle[[#This Row],[مبلغ]],0)</f>
        <v>0</v>
      </c>
      <c r="AC638" s="84">
        <f>IF(TArticle[[#This Row],[کد بانک]]&gt;0,VLOOKUP(TArticle[[#This Row],[کد بانک]],TBank[],9,FALSE)+SUMIF($Y$2:Y638,Y638,$E$2:$E638),"")</f>
        <v>337414</v>
      </c>
      <c r="AD638" s="1">
        <f>IFERROR(IF(INT(LEFT(TArticle[[#This Row],[شناسه]]))=3,IF(TArticle[[#This Row],[کد وضعیت سند]]=1,TArticle[مبلغ],0),0),0)</f>
        <v>0</v>
      </c>
      <c r="AE638" s="1">
        <f>IFERROR(IF(((TArticle[[#This Row],[شناسه]]))="4.1.1",IF(TArticle[[#This Row],[کد وضعیت سند]]=1,TArticle[مبلغ],0),0),0)</f>
        <v>0</v>
      </c>
      <c r="AF638" s="1">
        <f>IFERROR(IF(((TArticle[[#This Row],[شناسه]]))="4.1.2",IF(TArticle[[#This Row],[کد وضعیت سند]]=1,TArticle[مبلغ],0),0),0)</f>
        <v>0</v>
      </c>
      <c r="AG638" s="1">
        <f>IFERROR(IF(INT(LEFT(TArticle[[#This Row],[شناسه]]))=1,IF(TArticle[[#This Row],[کد وضعیت سند]]=1,TArticle[مبلغ],0),0),0)</f>
        <v>0</v>
      </c>
      <c r="AH638" s="1">
        <f>IFERROR(IF(INT(LEFT(TArticle[[#This Row],[شناسه]]))=2,IF(TArticle[[#This Row],[کد وضعیت سند]]=1,TArticle[مبلغ],0),0),0)</f>
        <v>0</v>
      </c>
      <c r="AI638" s="1">
        <f>IFERROR(IF((LEFT(TArticle[[#This Row],[شناسه]],3))="5.2",IF(TArticle[[#This Row],[کد وضعیت سند]]=1,TArticle[مبلغ],0),0),0)</f>
        <v>0</v>
      </c>
      <c r="AJ638" s="1">
        <f>IF(TArticle[[#This Row],[کد وضعیت سند]]=1,1,0)</f>
        <v>0</v>
      </c>
      <c r="AK638" s="1">
        <f>IF(AND(TArticle[[#This Row],[کد وضعیت سند]]&lt;&gt;1,TArticle[[#This Row],[مبلغ]]&lt;&gt;0),1,0)</f>
        <v>0</v>
      </c>
      <c r="AL638" s="51">
        <f>IF(TArticle[[#This Row],[کد بانک]]&gt;0,TArticle[[#This Row],[مانده بانک]]-VLOOKUP(TArticle[[#This Row],[کد بانک]],TBank[],7,FALSE),"")</f>
        <v>337414</v>
      </c>
      <c r="AM638" s="49" t="str">
        <f>LEFT(TArticle[[#This Row],[تاریخ]],7)</f>
        <v>1403-03</v>
      </c>
    </row>
    <row r="639" spans="1:39" x14ac:dyDescent="0.25">
      <c r="A639" s="24"/>
      <c r="B639" s="49" t="str">
        <f>VLOOKUP(TArticle[[#This Row],[شناسه]],TAccount[],2,TRUE)</f>
        <v>---</v>
      </c>
      <c r="C639" s="49" t="str">
        <f>VLOOKUP(TArticle[[#This Row],[تاریخ]],TDays[],7,FALSE)</f>
        <v>سه شنبه</v>
      </c>
      <c r="D639" s="21" t="s">
        <v>1316</v>
      </c>
      <c r="F639" s="1">
        <f>TArticle[[#This Row],[مبلغ]]+IFERROR(INT(F638),30181+3667+958)</f>
        <v>295762</v>
      </c>
      <c r="G639" s="49"/>
      <c r="L639" s="171" t="str">
        <f>IF(TArticle[[#This Row],[کد وضعیت سند]]&gt;0,VLOOKUP(TArticle[[#This Row],[کد وضعیت سند]],TDocState[],2,FALSE),"")</f>
        <v/>
      </c>
      <c r="N639" s="171" t="str">
        <f>IF(TArticle[[#This Row],[کد طرف حساب]]&gt;0,VLOOKUP(TArticle[[#This Row],[کد طرف حساب]],TContact[],2,FALSE),"")</f>
        <v/>
      </c>
      <c r="O639" s="61" t="str">
        <f>IF(TArticle[[#This Row],[کد طرف حساب]]&gt;0,VLOOKUP(TArticle[[#This Row],[کد طرف حساب]],TContact[],7,FALSE)-SUMIF($M$2:M639,M639,$E$2:$E639),"")</f>
        <v/>
      </c>
      <c r="P639" s="27" t="str">
        <f>RIGHT(TArticle[[#This Row],[تاریخ]],2)</f>
        <v>29</v>
      </c>
      <c r="Q639" s="27">
        <f>VLOOKUP(TArticle[[#This Row],[تاریخ]],TDays[],16,FALSE)</f>
        <v>14</v>
      </c>
      <c r="R639" s="27" t="str">
        <f>RIGHT(LEFT(TArticle[[#This Row],[تاریخ]],7),2)</f>
        <v>03</v>
      </c>
      <c r="S639" s="27" t="str">
        <f>LEFT(TArticle[[#This Row],[تاریخ]],4)</f>
        <v>1403</v>
      </c>
      <c r="U639" s="21">
        <f>VLOOKUP(TArticle[[#This Row],[شناسه]],TAccount[],7,TRUE)</f>
        <v>0</v>
      </c>
      <c r="W639" s="21">
        <f>IF(AND(TArticle[[#This Row],[مبلغ]]&gt;0, TArticle[[#This Row],[کد وضعیت سند]]=1),TArticle[[#This Row],[مبلغ]],0)</f>
        <v>0</v>
      </c>
      <c r="X639" s="27">
        <f>IF(AND(TArticle[[#This Row],[مبلغ]]&lt;0,TArticle[[#This Row],[کد وضعیت سند]]=1),0-TArticle[[#This Row],[مبلغ]],0)</f>
        <v>0</v>
      </c>
      <c r="Y639" s="27">
        <v>2</v>
      </c>
      <c r="Z639" s="171" t="str">
        <f>IF(TArticle[[#This Row],[کد بانک]]&gt;0,VLOOKUP(TArticle[[#This Row],[کد بانک]],TBank[],2,FALSE),"")</f>
        <v>ملی جاری</v>
      </c>
      <c r="AA639">
        <f>IF(AND(TArticle[[#This Row],[مبلغ]]&lt;0,TArticle[[#This Row],[کد وضعیت سند]]=1),0-TArticle[[#This Row],[مبلغ]],0)</f>
        <v>0</v>
      </c>
      <c r="AB639">
        <f>IF(AND(TArticle[[#This Row],[مبلغ]]&gt;0, TArticle[[#This Row],[کد وضعیت سند]]=1),TArticle[[#This Row],[مبلغ]],0)</f>
        <v>0</v>
      </c>
      <c r="AC639" s="84">
        <f>IF(TArticle[[#This Row],[کد بانک]]&gt;0,VLOOKUP(TArticle[[#This Row],[کد بانک]],TBank[],9,FALSE)+SUMIF($Y$2:Y639,Y639,$E$2:$E639),"")</f>
        <v>337414</v>
      </c>
      <c r="AD639" s="1">
        <f>IFERROR(IF(INT(LEFT(TArticle[[#This Row],[شناسه]]))=3,IF(TArticle[[#This Row],[کد وضعیت سند]]=1,TArticle[مبلغ],0),0),0)</f>
        <v>0</v>
      </c>
      <c r="AE639" s="1">
        <f>IFERROR(IF(((TArticle[[#This Row],[شناسه]]))="4.1.1",IF(TArticle[[#This Row],[کد وضعیت سند]]=1,TArticle[مبلغ],0),0),0)</f>
        <v>0</v>
      </c>
      <c r="AF639" s="1">
        <f>IFERROR(IF(((TArticle[[#This Row],[شناسه]]))="4.1.2",IF(TArticle[[#This Row],[کد وضعیت سند]]=1,TArticle[مبلغ],0),0),0)</f>
        <v>0</v>
      </c>
      <c r="AG639" s="1">
        <f>IFERROR(IF(INT(LEFT(TArticle[[#This Row],[شناسه]]))=1,IF(TArticle[[#This Row],[کد وضعیت سند]]=1,TArticle[مبلغ],0),0),0)</f>
        <v>0</v>
      </c>
      <c r="AH639" s="1">
        <f>IFERROR(IF(INT(LEFT(TArticle[[#This Row],[شناسه]]))=2,IF(TArticle[[#This Row],[کد وضعیت سند]]=1,TArticle[مبلغ],0),0),0)</f>
        <v>0</v>
      </c>
      <c r="AI639" s="1">
        <f>IFERROR(IF((LEFT(TArticle[[#This Row],[شناسه]],3))="5.2",IF(TArticle[[#This Row],[کد وضعیت سند]]=1,TArticle[مبلغ],0),0),0)</f>
        <v>0</v>
      </c>
      <c r="AJ639" s="1">
        <f>IF(TArticle[[#This Row],[کد وضعیت سند]]=1,1,0)</f>
        <v>0</v>
      </c>
      <c r="AK639" s="1">
        <f>IF(AND(TArticle[[#This Row],[کد وضعیت سند]]&lt;&gt;1,TArticle[[#This Row],[مبلغ]]&lt;&gt;0),1,0)</f>
        <v>0</v>
      </c>
      <c r="AL639" s="51">
        <f>IF(TArticle[[#This Row],[کد بانک]]&gt;0,TArticle[[#This Row],[مانده بانک]]-VLOOKUP(TArticle[[#This Row],[کد بانک]],TBank[],7,FALSE),"")</f>
        <v>337414</v>
      </c>
      <c r="AM639" s="49" t="str">
        <f>LEFT(TArticle[[#This Row],[تاریخ]],7)</f>
        <v>1403-03</v>
      </c>
    </row>
    <row r="640" spans="1:39" x14ac:dyDescent="0.25">
      <c r="A640" s="24"/>
      <c r="B640" s="49" t="str">
        <f>VLOOKUP(TArticle[[#This Row],[شناسه]],TAccount[],2,TRUE)</f>
        <v>---</v>
      </c>
      <c r="C640" s="49" t="str">
        <f>VLOOKUP(TArticle[[#This Row],[تاریخ]],TDays[],7,FALSE)</f>
        <v>سه شنبه</v>
      </c>
      <c r="D640" s="21" t="s">
        <v>1316</v>
      </c>
      <c r="F640" s="1">
        <f>TArticle[[#This Row],[مبلغ]]+IFERROR(INT(F639),30181+3667+958)</f>
        <v>295762</v>
      </c>
      <c r="G640" s="49"/>
      <c r="L640" s="171" t="str">
        <f>IF(TArticle[[#This Row],[کد وضعیت سند]]&gt;0,VLOOKUP(TArticle[[#This Row],[کد وضعیت سند]],TDocState[],2,FALSE),"")</f>
        <v/>
      </c>
      <c r="N640" s="171" t="str">
        <f>IF(TArticle[[#This Row],[کد طرف حساب]]&gt;0,VLOOKUP(TArticle[[#This Row],[کد طرف حساب]],TContact[],2,FALSE),"")</f>
        <v/>
      </c>
      <c r="O640" s="61" t="str">
        <f>IF(TArticle[[#This Row],[کد طرف حساب]]&gt;0,VLOOKUP(TArticle[[#This Row],[کد طرف حساب]],TContact[],7,FALSE)-SUMIF($M$2:M640,M640,$E$2:$E640),"")</f>
        <v/>
      </c>
      <c r="P640" s="27" t="str">
        <f>RIGHT(TArticle[[#This Row],[تاریخ]],2)</f>
        <v>29</v>
      </c>
      <c r="Q640" s="27">
        <f>VLOOKUP(TArticle[[#This Row],[تاریخ]],TDays[],16,FALSE)</f>
        <v>14</v>
      </c>
      <c r="R640" s="27" t="str">
        <f>RIGHT(LEFT(TArticle[[#This Row],[تاریخ]],7),2)</f>
        <v>03</v>
      </c>
      <c r="S640" s="27" t="str">
        <f>LEFT(TArticle[[#This Row],[تاریخ]],4)</f>
        <v>1403</v>
      </c>
      <c r="U640" s="21">
        <f>VLOOKUP(TArticle[[#This Row],[شناسه]],TAccount[],7,TRUE)</f>
        <v>0</v>
      </c>
      <c r="W640" s="21">
        <f>IF(AND(TArticle[[#This Row],[مبلغ]]&gt;0, TArticle[[#This Row],[کد وضعیت سند]]=1),TArticle[[#This Row],[مبلغ]],0)</f>
        <v>0</v>
      </c>
      <c r="X640" s="27">
        <f>IF(AND(TArticle[[#This Row],[مبلغ]]&lt;0,TArticle[[#This Row],[کد وضعیت سند]]=1),0-TArticle[[#This Row],[مبلغ]],0)</f>
        <v>0</v>
      </c>
      <c r="Y640" s="27">
        <v>2</v>
      </c>
      <c r="Z640" s="171" t="str">
        <f>IF(TArticle[[#This Row],[کد بانک]]&gt;0,VLOOKUP(TArticle[[#This Row],[کد بانک]],TBank[],2,FALSE),"")</f>
        <v>ملی جاری</v>
      </c>
      <c r="AA640">
        <f>IF(AND(TArticle[[#This Row],[مبلغ]]&lt;0,TArticle[[#This Row],[کد وضعیت سند]]=1),0-TArticle[[#This Row],[مبلغ]],0)</f>
        <v>0</v>
      </c>
      <c r="AB640">
        <f>IF(AND(TArticle[[#This Row],[مبلغ]]&gt;0, TArticle[[#This Row],[کد وضعیت سند]]=1),TArticle[[#This Row],[مبلغ]],0)</f>
        <v>0</v>
      </c>
      <c r="AC640" s="84">
        <f>IF(TArticle[[#This Row],[کد بانک]]&gt;0,VLOOKUP(TArticle[[#This Row],[کد بانک]],TBank[],9,FALSE)+SUMIF($Y$2:Y640,Y640,$E$2:$E640),"")</f>
        <v>337414</v>
      </c>
      <c r="AD640" s="1">
        <f>IFERROR(IF(INT(LEFT(TArticle[[#This Row],[شناسه]]))=3,IF(TArticle[[#This Row],[کد وضعیت سند]]=1,TArticle[مبلغ],0),0),0)</f>
        <v>0</v>
      </c>
      <c r="AE640" s="1">
        <f>IFERROR(IF(((TArticle[[#This Row],[شناسه]]))="4.1.1",IF(TArticle[[#This Row],[کد وضعیت سند]]=1,TArticle[مبلغ],0),0),0)</f>
        <v>0</v>
      </c>
      <c r="AF640" s="1">
        <f>IFERROR(IF(((TArticle[[#This Row],[شناسه]]))="4.1.2",IF(TArticle[[#This Row],[کد وضعیت سند]]=1,TArticle[مبلغ],0),0),0)</f>
        <v>0</v>
      </c>
      <c r="AG640" s="1">
        <f>IFERROR(IF(INT(LEFT(TArticle[[#This Row],[شناسه]]))=1,IF(TArticle[[#This Row],[کد وضعیت سند]]=1,TArticle[مبلغ],0),0),0)</f>
        <v>0</v>
      </c>
      <c r="AH640" s="1">
        <f>IFERROR(IF(INT(LEFT(TArticle[[#This Row],[شناسه]]))=2,IF(TArticle[[#This Row],[کد وضعیت سند]]=1,TArticle[مبلغ],0),0),0)</f>
        <v>0</v>
      </c>
      <c r="AI640" s="1">
        <f>IFERROR(IF((LEFT(TArticle[[#This Row],[شناسه]],3))="5.2",IF(TArticle[[#This Row],[کد وضعیت سند]]=1,TArticle[مبلغ],0),0),0)</f>
        <v>0</v>
      </c>
      <c r="AJ640" s="1">
        <f>IF(TArticle[[#This Row],[کد وضعیت سند]]=1,1,0)</f>
        <v>0</v>
      </c>
      <c r="AK640" s="1">
        <f>IF(AND(TArticle[[#This Row],[کد وضعیت سند]]&lt;&gt;1,TArticle[[#This Row],[مبلغ]]&lt;&gt;0),1,0)</f>
        <v>0</v>
      </c>
      <c r="AL640" s="51">
        <f>IF(TArticle[[#This Row],[کد بانک]]&gt;0,TArticle[[#This Row],[مانده بانک]]-VLOOKUP(TArticle[[#This Row],[کد بانک]],TBank[],7,FALSE),"")</f>
        <v>337414</v>
      </c>
      <c r="AM640" s="49" t="str">
        <f>LEFT(TArticle[[#This Row],[تاریخ]],7)</f>
        <v>1403-03</v>
      </c>
    </row>
    <row r="641" spans="1:39" x14ac:dyDescent="0.25">
      <c r="A641" s="24"/>
      <c r="B641" s="49" t="str">
        <f>VLOOKUP(TArticle[[#This Row],[شناسه]],TAccount[],2,TRUE)</f>
        <v>---</v>
      </c>
      <c r="C641" s="49" t="str">
        <f>VLOOKUP(TArticle[[#This Row],[تاریخ]],TDays[],7,FALSE)</f>
        <v>سه شنبه</v>
      </c>
      <c r="D641" s="21" t="s">
        <v>1316</v>
      </c>
      <c r="F641" s="1">
        <f>TArticle[[#This Row],[مبلغ]]+IFERROR(INT(F640),30181+3667+958)</f>
        <v>295762</v>
      </c>
      <c r="G641" s="49"/>
      <c r="L641" s="171" t="str">
        <f>IF(TArticle[[#This Row],[کد وضعیت سند]]&gt;0,VLOOKUP(TArticle[[#This Row],[کد وضعیت سند]],TDocState[],2,FALSE),"")</f>
        <v/>
      </c>
      <c r="N641" s="171" t="str">
        <f>IF(TArticle[[#This Row],[کد طرف حساب]]&gt;0,VLOOKUP(TArticle[[#This Row],[کد طرف حساب]],TContact[],2,FALSE),"")</f>
        <v/>
      </c>
      <c r="O641" s="61" t="str">
        <f>IF(TArticle[[#This Row],[کد طرف حساب]]&gt;0,VLOOKUP(TArticle[[#This Row],[کد طرف حساب]],TContact[],7,FALSE)-SUMIF($M$2:M641,M641,$E$2:$E641),"")</f>
        <v/>
      </c>
      <c r="P641" s="27" t="str">
        <f>RIGHT(TArticle[[#This Row],[تاریخ]],2)</f>
        <v>29</v>
      </c>
      <c r="Q641" s="27">
        <f>VLOOKUP(TArticle[[#This Row],[تاریخ]],TDays[],16,FALSE)</f>
        <v>14</v>
      </c>
      <c r="R641" s="27" t="str">
        <f>RIGHT(LEFT(TArticle[[#This Row],[تاریخ]],7),2)</f>
        <v>03</v>
      </c>
      <c r="S641" s="27" t="str">
        <f>LEFT(TArticle[[#This Row],[تاریخ]],4)</f>
        <v>1403</v>
      </c>
      <c r="U641" s="21">
        <f>VLOOKUP(TArticle[[#This Row],[شناسه]],TAccount[],7,TRUE)</f>
        <v>0</v>
      </c>
      <c r="W641" s="21">
        <f>IF(AND(TArticle[[#This Row],[مبلغ]]&gt;0, TArticle[[#This Row],[کد وضعیت سند]]=1),TArticle[[#This Row],[مبلغ]],0)</f>
        <v>0</v>
      </c>
      <c r="X641" s="27">
        <f>IF(AND(TArticle[[#This Row],[مبلغ]]&lt;0,TArticle[[#This Row],[کد وضعیت سند]]=1),0-TArticle[[#This Row],[مبلغ]],0)</f>
        <v>0</v>
      </c>
      <c r="Y641" s="27">
        <v>2</v>
      </c>
      <c r="Z641" s="171" t="str">
        <f>IF(TArticle[[#This Row],[کد بانک]]&gt;0,VLOOKUP(TArticle[[#This Row],[کد بانک]],TBank[],2,FALSE),"")</f>
        <v>ملی جاری</v>
      </c>
      <c r="AA641">
        <f>IF(AND(TArticle[[#This Row],[مبلغ]]&lt;0,TArticle[[#This Row],[کد وضعیت سند]]=1),0-TArticle[[#This Row],[مبلغ]],0)</f>
        <v>0</v>
      </c>
      <c r="AB641">
        <f>IF(AND(TArticle[[#This Row],[مبلغ]]&gt;0, TArticle[[#This Row],[کد وضعیت سند]]=1),TArticle[[#This Row],[مبلغ]],0)</f>
        <v>0</v>
      </c>
      <c r="AC641" s="84">
        <f>IF(TArticle[[#This Row],[کد بانک]]&gt;0,VLOOKUP(TArticle[[#This Row],[کد بانک]],TBank[],9,FALSE)+SUMIF($Y$2:Y641,Y641,$E$2:$E641),"")</f>
        <v>337414</v>
      </c>
      <c r="AD641" s="1">
        <f>IFERROR(IF(INT(LEFT(TArticle[[#This Row],[شناسه]]))=3,IF(TArticle[[#This Row],[کد وضعیت سند]]=1,TArticle[مبلغ],0),0),0)</f>
        <v>0</v>
      </c>
      <c r="AE641" s="1">
        <f>IFERROR(IF(((TArticle[[#This Row],[شناسه]]))="4.1.1",IF(TArticle[[#This Row],[کد وضعیت سند]]=1,TArticle[مبلغ],0),0),0)</f>
        <v>0</v>
      </c>
      <c r="AF641" s="1">
        <f>IFERROR(IF(((TArticle[[#This Row],[شناسه]]))="4.1.2",IF(TArticle[[#This Row],[کد وضعیت سند]]=1,TArticle[مبلغ],0),0),0)</f>
        <v>0</v>
      </c>
      <c r="AG641" s="1">
        <f>IFERROR(IF(INT(LEFT(TArticle[[#This Row],[شناسه]]))=1,IF(TArticle[[#This Row],[کد وضعیت سند]]=1,TArticle[مبلغ],0),0),0)</f>
        <v>0</v>
      </c>
      <c r="AH641" s="1">
        <f>IFERROR(IF(INT(LEFT(TArticle[[#This Row],[شناسه]]))=2,IF(TArticle[[#This Row],[کد وضعیت سند]]=1,TArticle[مبلغ],0),0),0)</f>
        <v>0</v>
      </c>
      <c r="AI641" s="1">
        <f>IFERROR(IF((LEFT(TArticle[[#This Row],[شناسه]],3))="5.2",IF(TArticle[[#This Row],[کد وضعیت سند]]=1,TArticle[مبلغ],0),0),0)</f>
        <v>0</v>
      </c>
      <c r="AJ641" s="1">
        <f>IF(TArticle[[#This Row],[کد وضعیت سند]]=1,1,0)</f>
        <v>0</v>
      </c>
      <c r="AK641" s="1">
        <f>IF(AND(TArticle[[#This Row],[کد وضعیت سند]]&lt;&gt;1,TArticle[[#This Row],[مبلغ]]&lt;&gt;0),1,0)</f>
        <v>0</v>
      </c>
      <c r="AL641" s="51">
        <f>IF(TArticle[[#This Row],[کد بانک]]&gt;0,TArticle[[#This Row],[مانده بانک]]-VLOOKUP(TArticle[[#This Row],[کد بانک]],TBank[],7,FALSE),"")</f>
        <v>337414</v>
      </c>
      <c r="AM641" s="49" t="str">
        <f>LEFT(TArticle[[#This Row],[تاریخ]],7)</f>
        <v>1403-03</v>
      </c>
    </row>
    <row r="642" spans="1:39" x14ac:dyDescent="0.25">
      <c r="A642" s="24"/>
      <c r="B642" s="49" t="str">
        <f>VLOOKUP(TArticle[[#This Row],[شناسه]],TAccount[],2,TRUE)</f>
        <v>---</v>
      </c>
      <c r="C642" s="49" t="str">
        <f>VLOOKUP(TArticle[[#This Row],[تاریخ]],TDays[],7,FALSE)</f>
        <v>سه شنبه</v>
      </c>
      <c r="D642" s="21" t="s">
        <v>1316</v>
      </c>
      <c r="F642" s="1">
        <f>TArticle[[#This Row],[مبلغ]]+IFERROR(INT(F641),30181+3667+958)</f>
        <v>295762</v>
      </c>
      <c r="G642" s="49"/>
      <c r="L642" s="171" t="str">
        <f>IF(TArticle[[#This Row],[کد وضعیت سند]]&gt;0,VLOOKUP(TArticle[[#This Row],[کد وضعیت سند]],TDocState[],2,FALSE),"")</f>
        <v/>
      </c>
      <c r="N642" s="171" t="str">
        <f>IF(TArticle[[#This Row],[کد طرف حساب]]&gt;0,VLOOKUP(TArticle[[#This Row],[کد طرف حساب]],TContact[],2,FALSE),"")</f>
        <v/>
      </c>
      <c r="O642" s="61" t="str">
        <f>IF(TArticle[[#This Row],[کد طرف حساب]]&gt;0,VLOOKUP(TArticle[[#This Row],[کد طرف حساب]],TContact[],7,FALSE)-SUMIF($M$2:M642,M642,$E$2:$E642),"")</f>
        <v/>
      </c>
      <c r="P642" s="27" t="str">
        <f>RIGHT(TArticle[[#This Row],[تاریخ]],2)</f>
        <v>29</v>
      </c>
      <c r="Q642" s="27">
        <f>VLOOKUP(TArticle[[#This Row],[تاریخ]],TDays[],16,FALSE)</f>
        <v>14</v>
      </c>
      <c r="R642" s="27" t="str">
        <f>RIGHT(LEFT(TArticle[[#This Row],[تاریخ]],7),2)</f>
        <v>03</v>
      </c>
      <c r="S642" s="27" t="str">
        <f>LEFT(TArticle[[#This Row],[تاریخ]],4)</f>
        <v>1403</v>
      </c>
      <c r="U642" s="21">
        <f>VLOOKUP(TArticle[[#This Row],[شناسه]],TAccount[],7,TRUE)</f>
        <v>0</v>
      </c>
      <c r="W642" s="21">
        <f>IF(AND(TArticle[[#This Row],[مبلغ]]&gt;0, TArticle[[#This Row],[کد وضعیت سند]]=1),TArticle[[#This Row],[مبلغ]],0)</f>
        <v>0</v>
      </c>
      <c r="X642" s="27">
        <f>IF(AND(TArticle[[#This Row],[مبلغ]]&lt;0,TArticle[[#This Row],[کد وضعیت سند]]=1),0-TArticle[[#This Row],[مبلغ]],0)</f>
        <v>0</v>
      </c>
      <c r="Y642" s="27">
        <v>2</v>
      </c>
      <c r="Z642" s="171" t="str">
        <f>IF(TArticle[[#This Row],[کد بانک]]&gt;0,VLOOKUP(TArticle[[#This Row],[کد بانک]],TBank[],2,FALSE),"")</f>
        <v>ملی جاری</v>
      </c>
      <c r="AA642">
        <f>IF(AND(TArticle[[#This Row],[مبلغ]]&lt;0,TArticle[[#This Row],[کد وضعیت سند]]=1),0-TArticle[[#This Row],[مبلغ]],0)</f>
        <v>0</v>
      </c>
      <c r="AB642">
        <f>IF(AND(TArticle[[#This Row],[مبلغ]]&gt;0, TArticle[[#This Row],[کد وضعیت سند]]=1),TArticle[[#This Row],[مبلغ]],0)</f>
        <v>0</v>
      </c>
      <c r="AC642" s="84">
        <f>IF(TArticle[[#This Row],[کد بانک]]&gt;0,VLOOKUP(TArticle[[#This Row],[کد بانک]],TBank[],9,FALSE)+SUMIF($Y$2:Y642,Y642,$E$2:$E642),"")</f>
        <v>337414</v>
      </c>
      <c r="AD642" s="1">
        <f>IFERROR(IF(INT(LEFT(TArticle[[#This Row],[شناسه]]))=3,IF(TArticle[[#This Row],[کد وضعیت سند]]=1,TArticle[مبلغ],0),0),0)</f>
        <v>0</v>
      </c>
      <c r="AE642" s="1">
        <f>IFERROR(IF(((TArticle[[#This Row],[شناسه]]))="4.1.1",IF(TArticle[[#This Row],[کد وضعیت سند]]=1,TArticle[مبلغ],0),0),0)</f>
        <v>0</v>
      </c>
      <c r="AF642" s="1">
        <f>IFERROR(IF(((TArticle[[#This Row],[شناسه]]))="4.1.2",IF(TArticle[[#This Row],[کد وضعیت سند]]=1,TArticle[مبلغ],0),0),0)</f>
        <v>0</v>
      </c>
      <c r="AG642" s="1">
        <f>IFERROR(IF(INT(LEFT(TArticle[[#This Row],[شناسه]]))=1,IF(TArticle[[#This Row],[کد وضعیت سند]]=1,TArticle[مبلغ],0),0),0)</f>
        <v>0</v>
      </c>
      <c r="AH642" s="1">
        <f>IFERROR(IF(INT(LEFT(TArticle[[#This Row],[شناسه]]))=2,IF(TArticle[[#This Row],[کد وضعیت سند]]=1,TArticle[مبلغ],0),0),0)</f>
        <v>0</v>
      </c>
      <c r="AI642" s="1">
        <f>IFERROR(IF((LEFT(TArticle[[#This Row],[شناسه]],3))="5.2",IF(TArticle[[#This Row],[کد وضعیت سند]]=1,TArticle[مبلغ],0),0),0)</f>
        <v>0</v>
      </c>
      <c r="AJ642" s="1">
        <f>IF(TArticle[[#This Row],[کد وضعیت سند]]=1,1,0)</f>
        <v>0</v>
      </c>
      <c r="AK642" s="1">
        <f>IF(AND(TArticle[[#This Row],[کد وضعیت سند]]&lt;&gt;1,TArticle[[#This Row],[مبلغ]]&lt;&gt;0),1,0)</f>
        <v>0</v>
      </c>
      <c r="AL642" s="51">
        <f>IF(TArticle[[#This Row],[کد بانک]]&gt;0,TArticle[[#This Row],[مانده بانک]]-VLOOKUP(TArticle[[#This Row],[کد بانک]],TBank[],7,FALSE),"")</f>
        <v>337414</v>
      </c>
      <c r="AM642" s="49" t="str">
        <f>LEFT(TArticle[[#This Row],[تاریخ]],7)</f>
        <v>1403-03</v>
      </c>
    </row>
    <row r="643" spans="1:39" x14ac:dyDescent="0.25">
      <c r="A643" s="24"/>
      <c r="B643" s="49" t="str">
        <f>VLOOKUP(TArticle[[#This Row],[شناسه]],TAccount[],2,TRUE)</f>
        <v>---</v>
      </c>
      <c r="C643" s="49" t="str">
        <f>VLOOKUP(TArticle[[#This Row],[تاریخ]],TDays[],7,FALSE)</f>
        <v>سه شنبه</v>
      </c>
      <c r="D643" s="21" t="s">
        <v>1316</v>
      </c>
      <c r="F643" s="1">
        <f>TArticle[[#This Row],[مبلغ]]+IFERROR(INT(F642),30181+3667+958)</f>
        <v>295762</v>
      </c>
      <c r="G643" s="61"/>
      <c r="L643" s="171" t="str">
        <f>IF(TArticle[[#This Row],[کد وضعیت سند]]&gt;0,VLOOKUP(TArticle[[#This Row],[کد وضعیت سند]],TDocState[],2,FALSE),"")</f>
        <v/>
      </c>
      <c r="N643" s="171" t="str">
        <f>IF(TArticle[[#This Row],[کد طرف حساب]]&gt;0,VLOOKUP(TArticle[[#This Row],[کد طرف حساب]],TContact[],2,FALSE),"")</f>
        <v/>
      </c>
      <c r="O643" s="61" t="str">
        <f>IF(TArticle[[#This Row],[کد طرف حساب]]&gt;0,VLOOKUP(TArticle[[#This Row],[کد طرف حساب]],TContact[],7,FALSE)-SUMIF($M$2:M643,M643,$E$2:$E643),"")</f>
        <v/>
      </c>
      <c r="P643" s="27" t="str">
        <f>RIGHT(TArticle[[#This Row],[تاریخ]],2)</f>
        <v>29</v>
      </c>
      <c r="Q643" s="27">
        <f>VLOOKUP(TArticle[[#This Row],[تاریخ]],TDays[],16,FALSE)</f>
        <v>14</v>
      </c>
      <c r="R643" s="27" t="str">
        <f>RIGHT(LEFT(TArticle[[#This Row],[تاریخ]],7),2)</f>
        <v>03</v>
      </c>
      <c r="S643" s="27" t="str">
        <f>LEFT(TArticle[[#This Row],[تاریخ]],4)</f>
        <v>1403</v>
      </c>
      <c r="U643" s="21">
        <f>VLOOKUP(TArticle[[#This Row],[شناسه]],TAccount[],7,TRUE)</f>
        <v>0</v>
      </c>
      <c r="W643" s="21">
        <f>IF(AND(TArticle[[#This Row],[مبلغ]]&gt;0, TArticle[[#This Row],[کد وضعیت سند]]=1),TArticle[[#This Row],[مبلغ]],0)</f>
        <v>0</v>
      </c>
      <c r="X643" s="27">
        <f>IF(AND(TArticle[[#This Row],[مبلغ]]&lt;0,TArticle[[#This Row],[کد وضعیت سند]]=1),0-TArticle[[#This Row],[مبلغ]],0)</f>
        <v>0</v>
      </c>
      <c r="Y643" s="27">
        <v>2</v>
      </c>
      <c r="Z643" s="171" t="str">
        <f>IF(TArticle[[#This Row],[کد بانک]]&gt;0,VLOOKUP(TArticle[[#This Row],[کد بانک]],TBank[],2,FALSE),"")</f>
        <v>ملی جاری</v>
      </c>
      <c r="AA643">
        <f>IF(AND(TArticle[[#This Row],[مبلغ]]&lt;0,TArticle[[#This Row],[کد وضعیت سند]]=1),0-TArticle[[#This Row],[مبلغ]],0)</f>
        <v>0</v>
      </c>
      <c r="AB643">
        <f>IF(AND(TArticle[[#This Row],[مبلغ]]&gt;0, TArticle[[#This Row],[کد وضعیت سند]]=1),TArticle[[#This Row],[مبلغ]],0)</f>
        <v>0</v>
      </c>
      <c r="AC643" s="84">
        <f>IF(TArticle[[#This Row],[کد بانک]]&gt;0,VLOOKUP(TArticle[[#This Row],[کد بانک]],TBank[],9,FALSE)+SUMIF($Y$2:Y643,Y643,$E$2:$E643),"")</f>
        <v>337414</v>
      </c>
      <c r="AD643" s="1">
        <f>IFERROR(IF(INT(LEFT(TArticle[[#This Row],[شناسه]]))=3,IF(TArticle[[#This Row],[کد وضعیت سند]]=1,TArticle[مبلغ],0),0),0)</f>
        <v>0</v>
      </c>
      <c r="AE643" s="1">
        <f>IFERROR(IF(((TArticle[[#This Row],[شناسه]]))="4.1.1",IF(TArticle[[#This Row],[کد وضعیت سند]]=1,TArticle[مبلغ],0),0),0)</f>
        <v>0</v>
      </c>
      <c r="AF643" s="1">
        <f>IFERROR(IF(((TArticle[[#This Row],[شناسه]]))="4.1.2",IF(TArticle[[#This Row],[کد وضعیت سند]]=1,TArticle[مبلغ],0),0),0)</f>
        <v>0</v>
      </c>
      <c r="AG643" s="1">
        <f>IFERROR(IF(INT(LEFT(TArticle[[#This Row],[شناسه]]))=1,IF(TArticle[[#This Row],[کد وضعیت سند]]=1,TArticle[مبلغ],0),0),0)</f>
        <v>0</v>
      </c>
      <c r="AH643" s="1">
        <f>IFERROR(IF(INT(LEFT(TArticle[[#This Row],[شناسه]]))=2,IF(TArticle[[#This Row],[کد وضعیت سند]]=1,TArticle[مبلغ],0),0),0)</f>
        <v>0</v>
      </c>
      <c r="AI643" s="1">
        <f>IFERROR(IF((LEFT(TArticle[[#This Row],[شناسه]],3))="5.2",IF(TArticle[[#This Row],[کد وضعیت سند]]=1,TArticle[مبلغ],0),0),0)</f>
        <v>0</v>
      </c>
      <c r="AJ643" s="1">
        <f>IF(TArticle[[#This Row],[کد وضعیت سند]]=1,1,0)</f>
        <v>0</v>
      </c>
      <c r="AK643" s="1">
        <f>IF(AND(TArticle[[#This Row],[کد وضعیت سند]]&lt;&gt;1,TArticle[[#This Row],[مبلغ]]&lt;&gt;0),1,0)</f>
        <v>0</v>
      </c>
      <c r="AL643" s="51">
        <f>IF(TArticle[[#This Row],[کد بانک]]&gt;0,TArticle[[#This Row],[مانده بانک]]-VLOOKUP(TArticle[[#This Row],[کد بانک]],TBank[],7,FALSE),"")</f>
        <v>337414</v>
      </c>
      <c r="AM643" s="49" t="str">
        <f>LEFT(TArticle[[#This Row],[تاریخ]],7)</f>
        <v>1403-03</v>
      </c>
    </row>
    <row r="644" spans="1:39" x14ac:dyDescent="0.25">
      <c r="A644" s="24"/>
      <c r="B644" s="49" t="str">
        <f>VLOOKUP(TArticle[[#This Row],[شناسه]],TAccount[],2,TRUE)</f>
        <v>---</v>
      </c>
      <c r="C644" s="49" t="str">
        <f>VLOOKUP(TArticle[[#This Row],[تاریخ]],TDays[],7,FALSE)</f>
        <v>سه شنبه</v>
      </c>
      <c r="D644" s="21" t="s">
        <v>1316</v>
      </c>
      <c r="F644" s="1">
        <f>TArticle[[#This Row],[مبلغ]]+IFERROR(INT(F643),30181+3667+958)</f>
        <v>295762</v>
      </c>
      <c r="G644" s="166"/>
      <c r="L644" s="171" t="str">
        <f>IF(TArticle[[#This Row],[کد وضعیت سند]]&gt;0,VLOOKUP(TArticle[[#This Row],[کد وضعیت سند]],TDocState[],2,FALSE),"")</f>
        <v/>
      </c>
      <c r="N644" s="171" t="str">
        <f>IF(TArticle[[#This Row],[کد طرف حساب]]&gt;0,VLOOKUP(TArticle[[#This Row],[کد طرف حساب]],TContact[],2,FALSE),"")</f>
        <v/>
      </c>
      <c r="O644" s="61" t="str">
        <f>IF(TArticle[[#This Row],[کد طرف حساب]]&gt;0,VLOOKUP(TArticle[[#This Row],[کد طرف حساب]],TContact[],7,FALSE)-SUMIF($M$2:M644,M644,$E$2:$E644),"")</f>
        <v/>
      </c>
      <c r="P644" s="27" t="str">
        <f>RIGHT(TArticle[[#This Row],[تاریخ]],2)</f>
        <v>29</v>
      </c>
      <c r="Q644" s="27">
        <f>VLOOKUP(TArticle[[#This Row],[تاریخ]],TDays[],16,FALSE)</f>
        <v>14</v>
      </c>
      <c r="R644" s="27" t="str">
        <f>RIGHT(LEFT(TArticle[[#This Row],[تاریخ]],7),2)</f>
        <v>03</v>
      </c>
      <c r="S644" s="27" t="str">
        <f>LEFT(TArticle[[#This Row],[تاریخ]],4)</f>
        <v>1403</v>
      </c>
      <c r="U644" s="21">
        <f>VLOOKUP(TArticle[[#This Row],[شناسه]],TAccount[],7,TRUE)</f>
        <v>0</v>
      </c>
      <c r="W644" s="21">
        <f>IF(AND(TArticle[[#This Row],[مبلغ]]&gt;0, TArticle[[#This Row],[کد وضعیت سند]]=1),TArticle[[#This Row],[مبلغ]],0)</f>
        <v>0</v>
      </c>
      <c r="X644" s="27">
        <f>IF(AND(TArticle[[#This Row],[مبلغ]]&lt;0,TArticle[[#This Row],[کد وضعیت سند]]=1),0-TArticle[[#This Row],[مبلغ]],0)</f>
        <v>0</v>
      </c>
      <c r="Y644" s="27">
        <v>2</v>
      </c>
      <c r="Z644" s="171" t="str">
        <f>IF(TArticle[[#This Row],[کد بانک]]&gt;0,VLOOKUP(TArticle[[#This Row],[کد بانک]],TBank[],2,FALSE),"")</f>
        <v>ملی جاری</v>
      </c>
      <c r="AA644">
        <f>IF(AND(TArticle[[#This Row],[مبلغ]]&lt;0,TArticle[[#This Row],[کد وضعیت سند]]=1),0-TArticle[[#This Row],[مبلغ]],0)</f>
        <v>0</v>
      </c>
      <c r="AB644">
        <f>IF(AND(TArticle[[#This Row],[مبلغ]]&gt;0, TArticle[[#This Row],[کد وضعیت سند]]=1),TArticle[[#This Row],[مبلغ]],0)</f>
        <v>0</v>
      </c>
      <c r="AC644" s="84">
        <f>IF(TArticle[[#This Row],[کد بانک]]&gt;0,VLOOKUP(TArticle[[#This Row],[کد بانک]],TBank[],9,FALSE)+SUMIF($Y$2:Y644,Y644,$E$2:$E644),"")</f>
        <v>337414</v>
      </c>
      <c r="AD644" s="1">
        <f>IFERROR(IF(INT(LEFT(TArticle[[#This Row],[شناسه]]))=3,IF(TArticle[[#This Row],[کد وضعیت سند]]=1,TArticle[مبلغ],0),0),0)</f>
        <v>0</v>
      </c>
      <c r="AE644" s="1">
        <f>IFERROR(IF(((TArticle[[#This Row],[شناسه]]))="4.1.1",IF(TArticle[[#This Row],[کد وضعیت سند]]=1,TArticle[مبلغ],0),0),0)</f>
        <v>0</v>
      </c>
      <c r="AF644" s="1">
        <f>IFERROR(IF(((TArticle[[#This Row],[شناسه]]))="4.1.2",IF(TArticle[[#This Row],[کد وضعیت سند]]=1,TArticle[مبلغ],0),0),0)</f>
        <v>0</v>
      </c>
      <c r="AG644" s="1">
        <f>IFERROR(IF(INT(LEFT(TArticle[[#This Row],[شناسه]]))=1,IF(TArticle[[#This Row],[کد وضعیت سند]]=1,TArticle[مبلغ],0),0),0)</f>
        <v>0</v>
      </c>
      <c r="AH644" s="1">
        <f>IFERROR(IF(INT(LEFT(TArticle[[#This Row],[شناسه]]))=2,IF(TArticle[[#This Row],[کد وضعیت سند]]=1,TArticle[مبلغ],0),0),0)</f>
        <v>0</v>
      </c>
      <c r="AI644" s="1">
        <f>IFERROR(IF((LEFT(TArticle[[#This Row],[شناسه]],3))="5.2",IF(TArticle[[#This Row],[کد وضعیت سند]]=1,TArticle[مبلغ],0),0),0)</f>
        <v>0</v>
      </c>
      <c r="AJ644" s="1">
        <f>IF(TArticle[[#This Row],[کد وضعیت سند]]=1,1,0)</f>
        <v>0</v>
      </c>
      <c r="AK644" s="1">
        <f>IF(AND(TArticle[[#This Row],[کد وضعیت سند]]&lt;&gt;1,TArticle[[#This Row],[مبلغ]]&lt;&gt;0),1,0)</f>
        <v>0</v>
      </c>
      <c r="AL644" s="51">
        <f>IF(TArticle[[#This Row],[کد بانک]]&gt;0,TArticle[[#This Row],[مانده بانک]]-VLOOKUP(TArticle[[#This Row],[کد بانک]],TBank[],7,FALSE),"")</f>
        <v>337414</v>
      </c>
      <c r="AM644" s="49" t="str">
        <f>LEFT(TArticle[[#This Row],[تاریخ]],7)</f>
        <v>1403-03</v>
      </c>
    </row>
    <row r="645" spans="1:39" x14ac:dyDescent="0.25">
      <c r="A645" s="24"/>
      <c r="B645" s="49" t="str">
        <f>VLOOKUP(TArticle[[#This Row],[شناسه]],TAccount[],2,TRUE)</f>
        <v>---</v>
      </c>
      <c r="C645" s="49" t="str">
        <f>VLOOKUP(TArticle[[#This Row],[تاریخ]],TDays[],7,FALSE)</f>
        <v>سه شنبه</v>
      </c>
      <c r="D645" s="21" t="s">
        <v>1316</v>
      </c>
      <c r="F645" s="1">
        <f>TArticle[[#This Row],[مبلغ]]+IFERROR(INT(F644),30181+3667+958)</f>
        <v>295762</v>
      </c>
      <c r="G645" s="49"/>
      <c r="L645" s="171" t="str">
        <f>IF(TArticle[[#This Row],[کد وضعیت سند]]&gt;0,VLOOKUP(TArticle[[#This Row],[کد وضعیت سند]],TDocState[],2,FALSE),"")</f>
        <v/>
      </c>
      <c r="N645" s="171" t="str">
        <f>IF(TArticle[[#This Row],[کد طرف حساب]]&gt;0,VLOOKUP(TArticle[[#This Row],[کد طرف حساب]],TContact[],2,FALSE),"")</f>
        <v/>
      </c>
      <c r="O645" s="61" t="str">
        <f>IF(TArticle[[#This Row],[کد طرف حساب]]&gt;0,VLOOKUP(TArticle[[#This Row],[کد طرف حساب]],TContact[],7,FALSE)-SUMIF($M$2:M645,M645,$E$2:$E645),"")</f>
        <v/>
      </c>
      <c r="P645" s="27" t="str">
        <f>RIGHT(TArticle[[#This Row],[تاریخ]],2)</f>
        <v>29</v>
      </c>
      <c r="Q645" s="27">
        <f>VLOOKUP(TArticle[[#This Row],[تاریخ]],TDays[],16,FALSE)</f>
        <v>14</v>
      </c>
      <c r="R645" s="27" t="str">
        <f>RIGHT(LEFT(TArticle[[#This Row],[تاریخ]],7),2)</f>
        <v>03</v>
      </c>
      <c r="S645" s="27" t="str">
        <f>LEFT(TArticle[[#This Row],[تاریخ]],4)</f>
        <v>1403</v>
      </c>
      <c r="U645" s="21">
        <f>VLOOKUP(TArticle[[#This Row],[شناسه]],TAccount[],7,TRUE)</f>
        <v>0</v>
      </c>
      <c r="W645" s="21">
        <f>IF(AND(TArticle[[#This Row],[مبلغ]]&gt;0, TArticle[[#This Row],[کد وضعیت سند]]=1),TArticle[[#This Row],[مبلغ]],0)</f>
        <v>0</v>
      </c>
      <c r="X645" s="27">
        <f>IF(AND(TArticle[[#This Row],[مبلغ]]&lt;0,TArticle[[#This Row],[کد وضعیت سند]]=1),0-TArticle[[#This Row],[مبلغ]],0)</f>
        <v>0</v>
      </c>
      <c r="Y645" s="27">
        <v>2</v>
      </c>
      <c r="Z645" s="171" t="str">
        <f>IF(TArticle[[#This Row],[کد بانک]]&gt;0,VLOOKUP(TArticle[[#This Row],[کد بانک]],TBank[],2,FALSE),"")</f>
        <v>ملی جاری</v>
      </c>
      <c r="AA645">
        <f>IF(AND(TArticle[[#This Row],[مبلغ]]&lt;0,TArticle[[#This Row],[کد وضعیت سند]]=1),0-TArticle[[#This Row],[مبلغ]],0)</f>
        <v>0</v>
      </c>
      <c r="AB645">
        <f>IF(AND(TArticle[[#This Row],[مبلغ]]&gt;0, TArticle[[#This Row],[کد وضعیت سند]]=1),TArticle[[#This Row],[مبلغ]],0)</f>
        <v>0</v>
      </c>
      <c r="AC645" s="84">
        <f>IF(TArticle[[#This Row],[کد بانک]]&gt;0,VLOOKUP(TArticle[[#This Row],[کد بانک]],TBank[],9,FALSE)+SUMIF($Y$2:Y645,Y645,$E$2:$E645),"")</f>
        <v>337414</v>
      </c>
      <c r="AD645" s="1">
        <f>IFERROR(IF(INT(LEFT(TArticle[[#This Row],[شناسه]]))=3,IF(TArticle[[#This Row],[کد وضعیت سند]]=1,TArticle[مبلغ],0),0),0)</f>
        <v>0</v>
      </c>
      <c r="AE645" s="1">
        <f>IFERROR(IF(((TArticle[[#This Row],[شناسه]]))="4.1.1",IF(TArticle[[#This Row],[کد وضعیت سند]]=1,TArticle[مبلغ],0),0),0)</f>
        <v>0</v>
      </c>
      <c r="AF645" s="1">
        <f>IFERROR(IF(((TArticle[[#This Row],[شناسه]]))="4.1.2",IF(TArticle[[#This Row],[کد وضعیت سند]]=1,TArticle[مبلغ],0),0),0)</f>
        <v>0</v>
      </c>
      <c r="AG645" s="1">
        <f>IFERROR(IF(INT(LEFT(TArticle[[#This Row],[شناسه]]))=1,IF(TArticle[[#This Row],[کد وضعیت سند]]=1,TArticle[مبلغ],0),0),0)</f>
        <v>0</v>
      </c>
      <c r="AH645" s="1">
        <f>IFERROR(IF(INT(LEFT(TArticle[[#This Row],[شناسه]]))=2,IF(TArticle[[#This Row],[کد وضعیت سند]]=1,TArticle[مبلغ],0),0),0)</f>
        <v>0</v>
      </c>
      <c r="AI645" s="1">
        <f>IFERROR(IF((LEFT(TArticle[[#This Row],[شناسه]],3))="5.2",IF(TArticle[[#This Row],[کد وضعیت سند]]=1,TArticle[مبلغ],0),0),0)</f>
        <v>0</v>
      </c>
      <c r="AJ645" s="1">
        <f>IF(TArticle[[#This Row],[کد وضعیت سند]]=1,1,0)</f>
        <v>0</v>
      </c>
      <c r="AK645" s="1">
        <f>IF(AND(TArticle[[#This Row],[کد وضعیت سند]]&lt;&gt;1,TArticle[[#This Row],[مبلغ]]&lt;&gt;0),1,0)</f>
        <v>0</v>
      </c>
      <c r="AL645" s="51">
        <f>IF(TArticle[[#This Row],[کد بانک]]&gt;0,TArticle[[#This Row],[مانده بانک]]-VLOOKUP(TArticle[[#This Row],[کد بانک]],TBank[],7,FALSE),"")</f>
        <v>337414</v>
      </c>
      <c r="AM645" s="49" t="str">
        <f>LEFT(TArticle[[#This Row],[تاریخ]],7)</f>
        <v>1403-03</v>
      </c>
    </row>
    <row r="646" spans="1:39" x14ac:dyDescent="0.25">
      <c r="A646" s="24"/>
      <c r="B646" s="49" t="str">
        <f>VLOOKUP(TArticle[[#This Row],[شناسه]],TAccount[],2,TRUE)</f>
        <v>---</v>
      </c>
      <c r="C646" s="49" t="str">
        <f>VLOOKUP(TArticle[[#This Row],[تاریخ]],TDays[],7,FALSE)</f>
        <v>سه شنبه</v>
      </c>
      <c r="D646" s="21" t="s">
        <v>1316</v>
      </c>
      <c r="F646" s="1">
        <f>TArticle[[#This Row],[مبلغ]]+IFERROR(INT(F645),30181+3667+958)</f>
        <v>295762</v>
      </c>
      <c r="G646" s="49"/>
      <c r="L646" s="171" t="str">
        <f>IF(TArticle[[#This Row],[کد وضعیت سند]]&gt;0,VLOOKUP(TArticle[[#This Row],[کد وضعیت سند]],TDocState[],2,FALSE),"")</f>
        <v/>
      </c>
      <c r="N646" s="171" t="str">
        <f>IF(TArticle[[#This Row],[کد طرف حساب]]&gt;0,VLOOKUP(TArticle[[#This Row],[کد طرف حساب]],TContact[],2,FALSE),"")</f>
        <v/>
      </c>
      <c r="O646" s="61" t="str">
        <f>IF(TArticle[[#This Row],[کد طرف حساب]]&gt;0,VLOOKUP(TArticle[[#This Row],[کد طرف حساب]],TContact[],7,FALSE)-SUMIF($M$2:M646,M646,$E$2:$E646),"")</f>
        <v/>
      </c>
      <c r="P646" s="27" t="str">
        <f>RIGHT(TArticle[[#This Row],[تاریخ]],2)</f>
        <v>29</v>
      </c>
      <c r="Q646" s="27">
        <f>VLOOKUP(TArticle[[#This Row],[تاریخ]],TDays[],16,FALSE)</f>
        <v>14</v>
      </c>
      <c r="R646" s="27" t="str">
        <f>RIGHT(LEFT(TArticle[[#This Row],[تاریخ]],7),2)</f>
        <v>03</v>
      </c>
      <c r="S646" s="27" t="str">
        <f>LEFT(TArticle[[#This Row],[تاریخ]],4)</f>
        <v>1403</v>
      </c>
      <c r="U646" s="21">
        <f>VLOOKUP(TArticle[[#This Row],[شناسه]],TAccount[],7,TRUE)</f>
        <v>0</v>
      </c>
      <c r="W646" s="21">
        <f>IF(AND(TArticle[[#This Row],[مبلغ]]&gt;0, TArticle[[#This Row],[کد وضعیت سند]]=1),TArticle[[#This Row],[مبلغ]],0)</f>
        <v>0</v>
      </c>
      <c r="X646" s="27">
        <f>IF(AND(TArticle[[#This Row],[مبلغ]]&lt;0,TArticle[[#This Row],[کد وضعیت سند]]=1),0-TArticle[[#This Row],[مبلغ]],0)</f>
        <v>0</v>
      </c>
      <c r="Y646" s="27">
        <v>2</v>
      </c>
      <c r="Z646" s="171" t="str">
        <f>IF(TArticle[[#This Row],[کد بانک]]&gt;0,VLOOKUP(TArticle[[#This Row],[کد بانک]],TBank[],2,FALSE),"")</f>
        <v>ملی جاری</v>
      </c>
      <c r="AA646">
        <f>IF(AND(TArticle[[#This Row],[مبلغ]]&lt;0,TArticle[[#This Row],[کد وضعیت سند]]=1),0-TArticle[[#This Row],[مبلغ]],0)</f>
        <v>0</v>
      </c>
      <c r="AB646">
        <f>IF(AND(TArticle[[#This Row],[مبلغ]]&gt;0, TArticle[[#This Row],[کد وضعیت سند]]=1),TArticle[[#This Row],[مبلغ]],0)</f>
        <v>0</v>
      </c>
      <c r="AC646" s="84">
        <f>IF(TArticle[[#This Row],[کد بانک]]&gt;0,VLOOKUP(TArticle[[#This Row],[کد بانک]],TBank[],9,FALSE)+SUMIF($Y$2:Y646,Y646,$E$2:$E646),"")</f>
        <v>337414</v>
      </c>
      <c r="AD646" s="1">
        <f>IFERROR(IF(INT(LEFT(TArticle[[#This Row],[شناسه]]))=3,IF(TArticle[[#This Row],[کد وضعیت سند]]=1,TArticle[مبلغ],0),0),0)</f>
        <v>0</v>
      </c>
      <c r="AE646" s="1">
        <f>IFERROR(IF(((TArticle[[#This Row],[شناسه]]))="4.1.1",IF(TArticle[[#This Row],[کد وضعیت سند]]=1,TArticle[مبلغ],0),0),0)</f>
        <v>0</v>
      </c>
      <c r="AF646" s="1">
        <f>IFERROR(IF(((TArticle[[#This Row],[شناسه]]))="4.1.2",IF(TArticle[[#This Row],[کد وضعیت سند]]=1,TArticle[مبلغ],0),0),0)</f>
        <v>0</v>
      </c>
      <c r="AG646" s="1">
        <f>IFERROR(IF(INT(LEFT(TArticle[[#This Row],[شناسه]]))=1,IF(TArticle[[#This Row],[کد وضعیت سند]]=1,TArticle[مبلغ],0),0),0)</f>
        <v>0</v>
      </c>
      <c r="AH646" s="1">
        <f>IFERROR(IF(INT(LEFT(TArticle[[#This Row],[شناسه]]))=2,IF(TArticle[[#This Row],[کد وضعیت سند]]=1,TArticle[مبلغ],0),0),0)</f>
        <v>0</v>
      </c>
      <c r="AI646" s="1">
        <f>IFERROR(IF((LEFT(TArticle[[#This Row],[شناسه]],3))="5.2",IF(TArticle[[#This Row],[کد وضعیت سند]]=1,TArticle[مبلغ],0),0),0)</f>
        <v>0</v>
      </c>
      <c r="AJ646" s="1">
        <f>IF(TArticle[[#This Row],[کد وضعیت سند]]=1,1,0)</f>
        <v>0</v>
      </c>
      <c r="AK646" s="1">
        <f>IF(AND(TArticle[[#This Row],[کد وضعیت سند]]&lt;&gt;1,TArticle[[#This Row],[مبلغ]]&lt;&gt;0),1,0)</f>
        <v>0</v>
      </c>
      <c r="AL646" s="51">
        <f>IF(TArticle[[#This Row],[کد بانک]]&gt;0,TArticle[[#This Row],[مانده بانک]]-VLOOKUP(TArticle[[#This Row],[کد بانک]],TBank[],7,FALSE),"")</f>
        <v>337414</v>
      </c>
      <c r="AM646" s="49" t="str">
        <f>LEFT(TArticle[[#This Row],[تاریخ]],7)</f>
        <v>1403-03</v>
      </c>
    </row>
    <row r="647" spans="1:39" x14ac:dyDescent="0.25">
      <c r="A647" s="24"/>
      <c r="B647" s="49" t="str">
        <f>VLOOKUP(TArticle[[#This Row],[شناسه]],TAccount[],2,TRUE)</f>
        <v>---</v>
      </c>
      <c r="C647" s="49" t="str">
        <f>VLOOKUP(TArticle[[#This Row],[تاریخ]],TDays[],7,FALSE)</f>
        <v>سه شنبه</v>
      </c>
      <c r="D647" s="21" t="s">
        <v>1316</v>
      </c>
      <c r="F647" s="1">
        <f>TArticle[[#This Row],[مبلغ]]+IFERROR(INT(F646),30181+3667+958)</f>
        <v>295762</v>
      </c>
      <c r="G647" s="49"/>
      <c r="J647" s="51"/>
      <c r="K647" s="49"/>
      <c r="L647" s="171" t="str">
        <f>IF(TArticle[[#This Row],[کد وضعیت سند]]&gt;0,VLOOKUP(TArticle[[#This Row],[کد وضعیت سند]],TDocState[],2,FALSE),"")</f>
        <v/>
      </c>
      <c r="N647" s="171" t="str">
        <f>IF(TArticle[[#This Row],[کد طرف حساب]]&gt;0,VLOOKUP(TArticle[[#This Row],[کد طرف حساب]],TContact[],2,FALSE),"")</f>
        <v/>
      </c>
      <c r="O647" s="60" t="str">
        <f>IF(TArticle[[#This Row],[کد طرف حساب]]&gt;0,VLOOKUP(TArticle[[#This Row],[کد طرف حساب]],TContact[],7,FALSE)-SUMIF($M$2:M647,M647,$E$2:$E647),"")</f>
        <v/>
      </c>
      <c r="P647" s="27" t="str">
        <f>RIGHT(TArticle[[#This Row],[تاریخ]],2)</f>
        <v>29</v>
      </c>
      <c r="Q647" s="27">
        <f>VLOOKUP(TArticle[[#This Row],[تاریخ]],TDays[],16,FALSE)</f>
        <v>14</v>
      </c>
      <c r="R647" s="27" t="str">
        <f>RIGHT(LEFT(TArticle[[#This Row],[تاریخ]],7),2)</f>
        <v>03</v>
      </c>
      <c r="S647" s="27" t="str">
        <f>LEFT(TArticle[[#This Row],[تاریخ]],4)</f>
        <v>1403</v>
      </c>
      <c r="U647" s="21">
        <f>VLOOKUP(TArticle[[#This Row],[شناسه]],TAccount[],7,TRUE)</f>
        <v>0</v>
      </c>
      <c r="W647" s="21">
        <f>IF(AND(TArticle[[#This Row],[مبلغ]]&gt;0, TArticle[[#This Row],[کد وضعیت سند]]=1),TArticle[[#This Row],[مبلغ]],0)</f>
        <v>0</v>
      </c>
      <c r="X647" s="27">
        <f>IF(AND(TArticle[[#This Row],[مبلغ]]&lt;0,TArticle[[#This Row],[کد وضعیت سند]]=1),0-TArticle[[#This Row],[مبلغ]],0)</f>
        <v>0</v>
      </c>
      <c r="Y647" s="27">
        <v>2</v>
      </c>
      <c r="Z647" s="171" t="str">
        <f>IF(TArticle[[#This Row],[کد بانک]]&gt;0,VLOOKUP(TArticle[[#This Row],[کد بانک]],TBank[],2,FALSE),"")</f>
        <v>ملی جاری</v>
      </c>
      <c r="AA647">
        <f>IF(AND(TArticle[[#This Row],[مبلغ]]&lt;0,TArticle[[#This Row],[کد وضعیت سند]]=1),0-TArticle[[#This Row],[مبلغ]],0)</f>
        <v>0</v>
      </c>
      <c r="AB647">
        <f>IF(AND(TArticle[[#This Row],[مبلغ]]&gt;0, TArticle[[#This Row],[کد وضعیت سند]]=1),TArticle[[#This Row],[مبلغ]],0)</f>
        <v>0</v>
      </c>
      <c r="AC647" s="92">
        <f>IF(TArticle[[#This Row],[کد بانک]]&gt;0,VLOOKUP(TArticle[[#This Row],[کد بانک]],TBank[],9,FALSE)+SUMIF($Y$2:Y647,Y647,$E$2:$E647),"")</f>
        <v>337414</v>
      </c>
      <c r="AD647" s="1">
        <f>IFERROR(IF(INT(LEFT(TArticle[[#This Row],[شناسه]]))=3,IF(TArticle[[#This Row],[کد وضعیت سند]]=1,TArticle[مبلغ],0),0),0)</f>
        <v>0</v>
      </c>
      <c r="AE647" s="1">
        <f>IFERROR(IF(((TArticle[[#This Row],[شناسه]]))="4.1.1",IF(TArticle[[#This Row],[کد وضعیت سند]]=1,TArticle[مبلغ],0),0),0)</f>
        <v>0</v>
      </c>
      <c r="AF647" s="1">
        <f>IFERROR(IF(((TArticle[[#This Row],[شناسه]]))="4.1.2",IF(TArticle[[#This Row],[کد وضعیت سند]]=1,TArticle[مبلغ],0),0),0)</f>
        <v>0</v>
      </c>
      <c r="AG647" s="1">
        <f>IFERROR(IF(INT(LEFT(TArticle[[#This Row],[شناسه]]))=1,IF(TArticle[[#This Row],[کد وضعیت سند]]=1,TArticle[مبلغ],0),0),0)</f>
        <v>0</v>
      </c>
      <c r="AH647" s="1">
        <f>IFERROR(IF(INT(LEFT(TArticle[[#This Row],[شناسه]]))=2,IF(TArticle[[#This Row],[کد وضعیت سند]]=1,TArticle[مبلغ],0),0),0)</f>
        <v>0</v>
      </c>
      <c r="AI647" s="1">
        <f>IFERROR(IF((LEFT(TArticle[[#This Row],[شناسه]],3))="5.2",IF(TArticle[[#This Row],[کد وضعیت سند]]=1,TArticle[مبلغ],0),0),0)</f>
        <v>0</v>
      </c>
      <c r="AJ647" s="1">
        <f>IF(TArticle[[#This Row],[کد وضعیت سند]]=1,1,0)</f>
        <v>0</v>
      </c>
      <c r="AK647" s="1">
        <f>IF(AND(TArticle[[#This Row],[کد وضعیت سند]]&lt;&gt;1,TArticle[[#This Row],[مبلغ]]&lt;&gt;0),1,0)</f>
        <v>0</v>
      </c>
      <c r="AL647" s="51">
        <f>IF(TArticle[[#This Row],[کد بانک]]&gt;0,TArticle[[#This Row],[مانده بانک]]-VLOOKUP(TArticle[[#This Row],[کد بانک]],TBank[],7,FALSE),"")</f>
        <v>337414</v>
      </c>
      <c r="AM647" s="58" t="str">
        <f>LEFT(TArticle[[#This Row],[تاریخ]],7)</f>
        <v>1403-03</v>
      </c>
    </row>
    <row r="648" spans="1:39" x14ac:dyDescent="0.25">
      <c r="A648" s="24"/>
      <c r="B648" s="49" t="str">
        <f>VLOOKUP(TArticle[[#This Row],[شناسه]],TAccount[],2,TRUE)</f>
        <v>---</v>
      </c>
      <c r="C648" s="49" t="str">
        <f>VLOOKUP(TArticle[[#This Row],[تاریخ]],TDays[],7,FALSE)</f>
        <v>سه شنبه</v>
      </c>
      <c r="D648" s="21" t="s">
        <v>1316</v>
      </c>
      <c r="F648" s="1">
        <f>TArticle[[#This Row],[مبلغ]]+IFERROR(INT(F647),30181+3667+958)</f>
        <v>295762</v>
      </c>
      <c r="G648" s="49"/>
      <c r="J648" s="51"/>
      <c r="K648" s="49"/>
      <c r="L648" s="171" t="str">
        <f>IF(TArticle[[#This Row],[کد وضعیت سند]]&gt;0,VLOOKUP(TArticle[[#This Row],[کد وضعیت سند]],TDocState[],2,FALSE),"")</f>
        <v/>
      </c>
      <c r="N648" s="171" t="str">
        <f>IF(TArticle[[#This Row],[کد طرف حساب]]&gt;0,VLOOKUP(TArticle[[#This Row],[کد طرف حساب]],TContact[],2,FALSE),"")</f>
        <v/>
      </c>
      <c r="O648" s="60" t="str">
        <f>IF(TArticle[[#This Row],[کد طرف حساب]]&gt;0,VLOOKUP(TArticle[[#This Row],[کد طرف حساب]],TContact[],7,FALSE)-SUMIF($M$2:M648,M648,$E$2:$E648),"")</f>
        <v/>
      </c>
      <c r="P648" s="27" t="str">
        <f>RIGHT(TArticle[[#This Row],[تاریخ]],2)</f>
        <v>29</v>
      </c>
      <c r="Q648" s="27">
        <f>VLOOKUP(TArticle[[#This Row],[تاریخ]],TDays[],16,FALSE)</f>
        <v>14</v>
      </c>
      <c r="R648" s="27" t="str">
        <f>RIGHT(LEFT(TArticle[[#This Row],[تاریخ]],7),2)</f>
        <v>03</v>
      </c>
      <c r="S648" s="27" t="str">
        <f>LEFT(TArticle[[#This Row],[تاریخ]],4)</f>
        <v>1403</v>
      </c>
      <c r="U648" s="21">
        <f>VLOOKUP(TArticle[[#This Row],[شناسه]],TAccount[],7,TRUE)</f>
        <v>0</v>
      </c>
      <c r="W648" s="21">
        <f>IF(AND(TArticle[[#This Row],[مبلغ]]&gt;0, TArticle[[#This Row],[کد وضعیت سند]]=1),TArticle[[#This Row],[مبلغ]],0)</f>
        <v>0</v>
      </c>
      <c r="X648" s="27">
        <f>IF(AND(TArticle[[#This Row],[مبلغ]]&lt;0,TArticle[[#This Row],[کد وضعیت سند]]=1),0-TArticle[[#This Row],[مبلغ]],0)</f>
        <v>0</v>
      </c>
      <c r="Y648" s="27">
        <v>2</v>
      </c>
      <c r="Z648" s="171" t="str">
        <f>IF(TArticle[[#This Row],[کد بانک]]&gt;0,VLOOKUP(TArticle[[#This Row],[کد بانک]],TBank[],2,FALSE),"")</f>
        <v>ملی جاری</v>
      </c>
      <c r="AA648">
        <f>IF(AND(TArticle[[#This Row],[مبلغ]]&lt;0,TArticle[[#This Row],[کد وضعیت سند]]=1),0-TArticle[[#This Row],[مبلغ]],0)</f>
        <v>0</v>
      </c>
      <c r="AB648">
        <f>IF(AND(TArticle[[#This Row],[مبلغ]]&gt;0, TArticle[[#This Row],[کد وضعیت سند]]=1),TArticle[[#This Row],[مبلغ]],0)</f>
        <v>0</v>
      </c>
      <c r="AC648" s="93">
        <f>IF(TArticle[[#This Row],[کد بانک]]&gt;0,VLOOKUP(TArticle[[#This Row],[کد بانک]],TBank[],9,FALSE)+SUMIF($Y$2:Y648,Y648,$E$2:$E648),"")</f>
        <v>337414</v>
      </c>
      <c r="AD648" s="1">
        <f>IFERROR(IF(INT(LEFT(TArticle[[#This Row],[شناسه]]))=3,IF(TArticle[[#This Row],[کد وضعیت سند]]=1,TArticle[مبلغ],0),0),0)</f>
        <v>0</v>
      </c>
      <c r="AE648" s="1">
        <f>IFERROR(IF(((TArticle[[#This Row],[شناسه]]))="4.1.1",IF(TArticle[[#This Row],[کد وضعیت سند]]=1,TArticle[مبلغ],0),0),0)</f>
        <v>0</v>
      </c>
      <c r="AF648" s="1">
        <f>IFERROR(IF(((TArticle[[#This Row],[شناسه]]))="4.1.2",IF(TArticle[[#This Row],[کد وضعیت سند]]=1,TArticle[مبلغ],0),0),0)</f>
        <v>0</v>
      </c>
      <c r="AG648" s="1">
        <f>IFERROR(IF(INT(LEFT(TArticle[[#This Row],[شناسه]]))=1,IF(TArticle[[#This Row],[کد وضعیت سند]]=1,TArticle[مبلغ],0),0),0)</f>
        <v>0</v>
      </c>
      <c r="AH648" s="1">
        <f>IFERROR(IF(INT(LEFT(TArticle[[#This Row],[شناسه]]))=2,IF(TArticle[[#This Row],[کد وضعیت سند]]=1,TArticle[مبلغ],0),0),0)</f>
        <v>0</v>
      </c>
      <c r="AI648" s="1">
        <f>IFERROR(IF((LEFT(TArticle[[#This Row],[شناسه]],3))="5.2",IF(TArticle[[#This Row],[کد وضعیت سند]]=1,TArticle[مبلغ],0),0),0)</f>
        <v>0</v>
      </c>
      <c r="AJ648" s="1">
        <f>IF(TArticle[[#This Row],[کد وضعیت سند]]=1,1,0)</f>
        <v>0</v>
      </c>
      <c r="AK648" s="1">
        <f>IF(AND(TArticle[[#This Row],[کد وضعیت سند]]&lt;&gt;1,TArticle[[#This Row],[مبلغ]]&lt;&gt;0),1,0)</f>
        <v>0</v>
      </c>
      <c r="AL648" s="51">
        <f>IF(TArticle[[#This Row],[کد بانک]]&gt;0,TArticle[[#This Row],[مانده بانک]]-VLOOKUP(TArticle[[#This Row],[کد بانک]],TBank[],7,FALSE),"")</f>
        <v>337414</v>
      </c>
      <c r="AM648" s="58" t="str">
        <f>LEFT(TArticle[[#This Row],[تاریخ]],7)</f>
        <v>1403-03</v>
      </c>
    </row>
    <row r="649" spans="1:39" x14ac:dyDescent="0.25">
      <c r="A649" s="24"/>
      <c r="B649" s="49" t="str">
        <f>VLOOKUP(TArticle[[#This Row],[شناسه]],TAccount[],2,TRUE)</f>
        <v>---</v>
      </c>
      <c r="C649" s="49" t="str">
        <f>VLOOKUP(TArticle[[#This Row],[تاریخ]],TDays[],7,FALSE)</f>
        <v>سه شنبه</v>
      </c>
      <c r="D649" s="21" t="s">
        <v>1316</v>
      </c>
      <c r="F649" s="1">
        <f>TArticle[[#This Row],[مبلغ]]+IFERROR(INT(F648),30181+3667+958)</f>
        <v>295762</v>
      </c>
      <c r="G649" s="49"/>
      <c r="L649" s="171" t="str">
        <f>IF(TArticle[[#This Row],[کد وضعیت سند]]&gt;0,VLOOKUP(TArticle[[#This Row],[کد وضعیت سند]],TDocState[],2,FALSE),"")</f>
        <v/>
      </c>
      <c r="N649" s="171" t="str">
        <f>IF(TArticle[[#This Row],[کد طرف حساب]]&gt;0,VLOOKUP(TArticle[[#This Row],[کد طرف حساب]],TContact[],2,FALSE),"")</f>
        <v/>
      </c>
      <c r="O649" s="61" t="str">
        <f>IF(TArticle[[#This Row],[کد طرف حساب]]&gt;0,VLOOKUP(TArticle[[#This Row],[کد طرف حساب]],TContact[],7,FALSE)-SUMIF($M$2:M649,M649,$E$2:$E649),"")</f>
        <v/>
      </c>
      <c r="P649" s="27" t="str">
        <f>RIGHT(TArticle[[#This Row],[تاریخ]],2)</f>
        <v>29</v>
      </c>
      <c r="Q649" s="27">
        <f>VLOOKUP(TArticle[[#This Row],[تاریخ]],TDays[],16,FALSE)</f>
        <v>14</v>
      </c>
      <c r="R649" s="27" t="str">
        <f>RIGHT(LEFT(TArticle[[#This Row],[تاریخ]],7),2)</f>
        <v>03</v>
      </c>
      <c r="S649" s="27" t="str">
        <f>LEFT(TArticle[[#This Row],[تاریخ]],4)</f>
        <v>1403</v>
      </c>
      <c r="U649" s="21">
        <f>VLOOKUP(TArticle[[#This Row],[شناسه]],TAccount[],7,TRUE)</f>
        <v>0</v>
      </c>
      <c r="W649" s="21">
        <f>IF(AND(TArticle[[#This Row],[مبلغ]]&gt;0, TArticle[[#This Row],[کد وضعیت سند]]=1),TArticle[[#This Row],[مبلغ]],0)</f>
        <v>0</v>
      </c>
      <c r="X649" s="27">
        <f>IF(AND(TArticle[[#This Row],[مبلغ]]&lt;0,TArticle[[#This Row],[کد وضعیت سند]]=1),0-TArticle[[#This Row],[مبلغ]],0)</f>
        <v>0</v>
      </c>
      <c r="Y649" s="27">
        <v>2</v>
      </c>
      <c r="Z649" s="171" t="str">
        <f>IF(TArticle[[#This Row],[کد بانک]]&gt;0,VLOOKUP(TArticle[[#This Row],[کد بانک]],TBank[],2,FALSE),"")</f>
        <v>ملی جاری</v>
      </c>
      <c r="AA649">
        <f>IF(AND(TArticle[[#This Row],[مبلغ]]&lt;0,TArticle[[#This Row],[کد وضعیت سند]]=1),0-TArticle[[#This Row],[مبلغ]],0)</f>
        <v>0</v>
      </c>
      <c r="AB649">
        <f>IF(AND(TArticle[[#This Row],[مبلغ]]&gt;0, TArticle[[#This Row],[کد وضعیت سند]]=1),TArticle[[#This Row],[مبلغ]],0)</f>
        <v>0</v>
      </c>
      <c r="AC649" s="84">
        <f>IF(TArticle[[#This Row],[کد بانک]]&gt;0,VLOOKUP(TArticle[[#This Row],[کد بانک]],TBank[],9,FALSE)+SUMIF($Y$2:Y649,Y649,$E$2:$E649),"")</f>
        <v>337414</v>
      </c>
      <c r="AD649" s="1">
        <f>IFERROR(IF(INT(LEFT(TArticle[[#This Row],[شناسه]]))=3,IF(TArticle[[#This Row],[کد وضعیت سند]]=1,TArticle[مبلغ],0),0),0)</f>
        <v>0</v>
      </c>
      <c r="AE649" s="1">
        <f>IFERROR(IF(((TArticle[[#This Row],[شناسه]]))="4.1.1",IF(TArticle[[#This Row],[کد وضعیت سند]]=1,TArticle[مبلغ],0),0),0)</f>
        <v>0</v>
      </c>
      <c r="AF649" s="1">
        <f>IFERROR(IF(((TArticle[[#This Row],[شناسه]]))="4.1.2",IF(TArticle[[#This Row],[کد وضعیت سند]]=1,TArticle[مبلغ],0),0),0)</f>
        <v>0</v>
      </c>
      <c r="AG649" s="1">
        <f>IFERROR(IF(INT(LEFT(TArticle[[#This Row],[شناسه]]))=1,IF(TArticle[[#This Row],[کد وضعیت سند]]=1,TArticle[مبلغ],0),0),0)</f>
        <v>0</v>
      </c>
      <c r="AH649" s="1">
        <f>IFERROR(IF(INT(LEFT(TArticle[[#This Row],[شناسه]]))=2,IF(TArticle[[#This Row],[کد وضعیت سند]]=1,TArticle[مبلغ],0),0),0)</f>
        <v>0</v>
      </c>
      <c r="AI649" s="1">
        <f>IFERROR(IF((LEFT(TArticle[[#This Row],[شناسه]],3))="5.2",IF(TArticle[[#This Row],[کد وضعیت سند]]=1,TArticle[مبلغ],0),0),0)</f>
        <v>0</v>
      </c>
      <c r="AJ649" s="1">
        <f>IF(TArticle[[#This Row],[کد وضعیت سند]]=1,1,0)</f>
        <v>0</v>
      </c>
      <c r="AK649" s="1">
        <f>IF(AND(TArticle[[#This Row],[کد وضعیت سند]]&lt;&gt;1,TArticle[[#This Row],[مبلغ]]&lt;&gt;0),1,0)</f>
        <v>0</v>
      </c>
      <c r="AL649" s="51">
        <f>IF(TArticle[[#This Row],[کد بانک]]&gt;0,TArticle[[#This Row],[مانده بانک]]-VLOOKUP(TArticle[[#This Row],[کد بانک]],TBank[],7,FALSE),"")</f>
        <v>337414</v>
      </c>
      <c r="AM649" s="49" t="str">
        <f>LEFT(TArticle[[#This Row],[تاریخ]],7)</f>
        <v>1403-03</v>
      </c>
    </row>
    <row r="650" spans="1:39" x14ac:dyDescent="0.25">
      <c r="A650" s="24"/>
      <c r="B650" s="49" t="str">
        <f>VLOOKUP(TArticle[[#This Row],[شناسه]],TAccount[],2,TRUE)</f>
        <v>---</v>
      </c>
      <c r="C650" s="49" t="str">
        <f>VLOOKUP(TArticle[[#This Row],[تاریخ]],TDays[],7,FALSE)</f>
        <v>سه شنبه</v>
      </c>
      <c r="D650" s="21" t="s">
        <v>1316</v>
      </c>
      <c r="F650" s="1">
        <f>TArticle[[#This Row],[مبلغ]]+IFERROR(INT(F649),30181+3667+958)</f>
        <v>295762</v>
      </c>
      <c r="G650" s="49"/>
      <c r="L650" s="171" t="str">
        <f>IF(TArticle[[#This Row],[کد وضعیت سند]]&gt;0,VLOOKUP(TArticle[[#This Row],[کد وضعیت سند]],TDocState[],2,FALSE),"")</f>
        <v/>
      </c>
      <c r="N650" s="171" t="str">
        <f>IF(TArticle[[#This Row],[کد طرف حساب]]&gt;0,VLOOKUP(TArticle[[#This Row],[کد طرف حساب]],TContact[],2,FALSE),"")</f>
        <v/>
      </c>
      <c r="O650" s="61" t="str">
        <f>IF(TArticle[[#This Row],[کد طرف حساب]]&gt;0,VLOOKUP(TArticle[[#This Row],[کد طرف حساب]],TContact[],7,FALSE)-SUMIF($M$2:M650,M650,$E$2:$E650),"")</f>
        <v/>
      </c>
      <c r="P650" s="27" t="str">
        <f>RIGHT(TArticle[[#This Row],[تاریخ]],2)</f>
        <v>29</v>
      </c>
      <c r="Q650" s="27">
        <f>VLOOKUP(TArticle[[#This Row],[تاریخ]],TDays[],16,FALSE)</f>
        <v>14</v>
      </c>
      <c r="R650" s="27" t="str">
        <f>RIGHT(LEFT(TArticle[[#This Row],[تاریخ]],7),2)</f>
        <v>03</v>
      </c>
      <c r="S650" s="27" t="str">
        <f>LEFT(TArticle[[#This Row],[تاریخ]],4)</f>
        <v>1403</v>
      </c>
      <c r="U650" s="21">
        <f>VLOOKUP(TArticle[[#This Row],[شناسه]],TAccount[],7,TRUE)</f>
        <v>0</v>
      </c>
      <c r="W650" s="21">
        <f>IF(AND(TArticle[[#This Row],[مبلغ]]&gt;0, TArticle[[#This Row],[کد وضعیت سند]]=1),TArticle[[#This Row],[مبلغ]],0)</f>
        <v>0</v>
      </c>
      <c r="X650" s="27">
        <f>IF(AND(TArticle[[#This Row],[مبلغ]]&lt;0,TArticle[[#This Row],[کد وضعیت سند]]=1),0-TArticle[[#This Row],[مبلغ]],0)</f>
        <v>0</v>
      </c>
      <c r="Y650" s="27">
        <v>2</v>
      </c>
      <c r="Z650" s="171" t="str">
        <f>IF(TArticle[[#This Row],[کد بانک]]&gt;0,VLOOKUP(TArticle[[#This Row],[کد بانک]],TBank[],2,FALSE),"")</f>
        <v>ملی جاری</v>
      </c>
      <c r="AA650">
        <f>IF(AND(TArticle[[#This Row],[مبلغ]]&lt;0,TArticle[[#This Row],[کد وضعیت سند]]=1),0-TArticle[[#This Row],[مبلغ]],0)</f>
        <v>0</v>
      </c>
      <c r="AB650">
        <f>IF(AND(TArticle[[#This Row],[مبلغ]]&gt;0, TArticle[[#This Row],[کد وضعیت سند]]=1),TArticle[[#This Row],[مبلغ]],0)</f>
        <v>0</v>
      </c>
      <c r="AC650" s="84">
        <f>IF(TArticle[[#This Row],[کد بانک]]&gt;0,VLOOKUP(TArticle[[#This Row],[کد بانک]],TBank[],9,FALSE)+SUMIF($Y$2:Y650,Y650,$E$2:$E650),"")</f>
        <v>337414</v>
      </c>
      <c r="AD650" s="1">
        <f>IFERROR(IF(INT(LEFT(TArticle[[#This Row],[شناسه]]))=3,IF(TArticle[[#This Row],[کد وضعیت سند]]=1,TArticle[مبلغ],0),0),0)</f>
        <v>0</v>
      </c>
      <c r="AE650" s="1">
        <f>IFERROR(IF(((TArticle[[#This Row],[شناسه]]))="4.1.1",IF(TArticle[[#This Row],[کد وضعیت سند]]=1,TArticle[مبلغ],0),0),0)</f>
        <v>0</v>
      </c>
      <c r="AF650" s="1">
        <f>IFERROR(IF(((TArticle[[#This Row],[شناسه]]))="4.1.2",IF(TArticle[[#This Row],[کد وضعیت سند]]=1,TArticle[مبلغ],0),0),0)</f>
        <v>0</v>
      </c>
      <c r="AG650" s="1">
        <f>IFERROR(IF(INT(LEFT(TArticle[[#This Row],[شناسه]]))=1,IF(TArticle[[#This Row],[کد وضعیت سند]]=1,TArticle[مبلغ],0),0),0)</f>
        <v>0</v>
      </c>
      <c r="AH650" s="1">
        <f>IFERROR(IF(INT(LEFT(TArticle[[#This Row],[شناسه]]))=2,IF(TArticle[[#This Row],[کد وضعیت سند]]=1,TArticle[مبلغ],0),0),0)</f>
        <v>0</v>
      </c>
      <c r="AI650" s="1">
        <f>IFERROR(IF((LEFT(TArticle[[#This Row],[شناسه]],3))="5.2",IF(TArticle[[#This Row],[کد وضعیت سند]]=1,TArticle[مبلغ],0),0),0)</f>
        <v>0</v>
      </c>
      <c r="AJ650" s="1">
        <f>IF(TArticle[[#This Row],[کد وضعیت سند]]=1,1,0)</f>
        <v>0</v>
      </c>
      <c r="AK650" s="1">
        <f>IF(AND(TArticle[[#This Row],[کد وضعیت سند]]&lt;&gt;1,TArticle[[#This Row],[مبلغ]]&lt;&gt;0),1,0)</f>
        <v>0</v>
      </c>
      <c r="AL650" s="51">
        <f>IF(TArticle[[#This Row],[کد بانک]]&gt;0,TArticle[[#This Row],[مانده بانک]]-VLOOKUP(TArticle[[#This Row],[کد بانک]],TBank[],7,FALSE),"")</f>
        <v>337414</v>
      </c>
      <c r="AM650" s="49" t="str">
        <f>LEFT(TArticle[[#This Row],[تاریخ]],7)</f>
        <v>1403-03</v>
      </c>
    </row>
    <row r="651" spans="1:39" x14ac:dyDescent="0.25">
      <c r="A651" s="24"/>
      <c r="B651" s="49" t="str">
        <f>VLOOKUP(TArticle[[#This Row],[شناسه]],TAccount[],2,TRUE)</f>
        <v>---</v>
      </c>
      <c r="C651" s="49" t="str">
        <f>VLOOKUP(TArticle[[#This Row],[تاریخ]],TDays[],7,FALSE)</f>
        <v>سه شنبه</v>
      </c>
      <c r="D651" s="21" t="s">
        <v>1316</v>
      </c>
      <c r="F651" s="1">
        <f>TArticle[[#This Row],[مبلغ]]+IFERROR(INT(F650),30181+3667+958)</f>
        <v>295762</v>
      </c>
      <c r="G651" s="49"/>
      <c r="L651" s="171" t="str">
        <f>IF(TArticle[[#This Row],[کد وضعیت سند]]&gt;0,VLOOKUP(TArticle[[#This Row],[کد وضعیت سند]],TDocState[],2,FALSE),"")</f>
        <v/>
      </c>
      <c r="N651" s="171" t="str">
        <f>IF(TArticle[[#This Row],[کد طرف حساب]]&gt;0,VLOOKUP(TArticle[[#This Row],[کد طرف حساب]],TContact[],2,FALSE),"")</f>
        <v/>
      </c>
      <c r="O651" s="61" t="str">
        <f>IF(TArticle[[#This Row],[کد طرف حساب]]&gt;0,VLOOKUP(TArticle[[#This Row],[کد طرف حساب]],TContact[],7,FALSE)-SUMIF($M$2:M651,M651,$E$2:$E651),"")</f>
        <v/>
      </c>
      <c r="P651" s="27" t="str">
        <f>RIGHT(TArticle[[#This Row],[تاریخ]],2)</f>
        <v>29</v>
      </c>
      <c r="Q651" s="27">
        <f>VLOOKUP(TArticle[[#This Row],[تاریخ]],TDays[],16,FALSE)</f>
        <v>14</v>
      </c>
      <c r="R651" s="27" t="str">
        <f>RIGHT(LEFT(TArticle[[#This Row],[تاریخ]],7),2)</f>
        <v>03</v>
      </c>
      <c r="S651" s="27" t="str">
        <f>LEFT(TArticle[[#This Row],[تاریخ]],4)</f>
        <v>1403</v>
      </c>
      <c r="U651" s="21">
        <f>VLOOKUP(TArticle[[#This Row],[شناسه]],TAccount[],7,TRUE)</f>
        <v>0</v>
      </c>
      <c r="W651" s="21">
        <f>IF(AND(TArticle[[#This Row],[مبلغ]]&gt;0, TArticle[[#This Row],[کد وضعیت سند]]=1),TArticle[[#This Row],[مبلغ]],0)</f>
        <v>0</v>
      </c>
      <c r="X651" s="27">
        <f>IF(AND(TArticle[[#This Row],[مبلغ]]&lt;0,TArticle[[#This Row],[کد وضعیت سند]]=1),0-TArticle[[#This Row],[مبلغ]],0)</f>
        <v>0</v>
      </c>
      <c r="Y651" s="27">
        <v>2</v>
      </c>
      <c r="Z651" s="171" t="str">
        <f>IF(TArticle[[#This Row],[کد بانک]]&gt;0,VLOOKUP(TArticle[[#This Row],[کد بانک]],TBank[],2,FALSE),"")</f>
        <v>ملی جاری</v>
      </c>
      <c r="AA651">
        <f>IF(AND(TArticle[[#This Row],[مبلغ]]&lt;0,TArticle[[#This Row],[کد وضعیت سند]]=1),0-TArticle[[#This Row],[مبلغ]],0)</f>
        <v>0</v>
      </c>
      <c r="AB651">
        <f>IF(AND(TArticle[[#This Row],[مبلغ]]&gt;0, TArticle[[#This Row],[کد وضعیت سند]]=1),TArticle[[#This Row],[مبلغ]],0)</f>
        <v>0</v>
      </c>
      <c r="AC651" s="84">
        <f>IF(TArticle[[#This Row],[کد بانک]]&gt;0,VLOOKUP(TArticle[[#This Row],[کد بانک]],TBank[],9,FALSE)+SUMIF($Y$2:Y651,Y651,$E$2:$E651),"")</f>
        <v>337414</v>
      </c>
      <c r="AD651" s="1">
        <f>IFERROR(IF(INT(LEFT(TArticle[[#This Row],[شناسه]]))=3,IF(TArticle[[#This Row],[کد وضعیت سند]]=1,TArticle[مبلغ],0),0),0)</f>
        <v>0</v>
      </c>
      <c r="AE651" s="1">
        <f>IFERROR(IF(((TArticle[[#This Row],[شناسه]]))="4.1.1",IF(TArticle[[#This Row],[کد وضعیت سند]]=1,TArticle[مبلغ],0),0),0)</f>
        <v>0</v>
      </c>
      <c r="AF651" s="1">
        <f>IFERROR(IF(((TArticle[[#This Row],[شناسه]]))="4.1.2",IF(TArticle[[#This Row],[کد وضعیت سند]]=1,TArticle[مبلغ],0),0),0)</f>
        <v>0</v>
      </c>
      <c r="AG651" s="1">
        <f>IFERROR(IF(INT(LEFT(TArticle[[#This Row],[شناسه]]))=1,IF(TArticle[[#This Row],[کد وضعیت سند]]=1,TArticle[مبلغ],0),0),0)</f>
        <v>0</v>
      </c>
      <c r="AH651" s="1">
        <f>IFERROR(IF(INT(LEFT(TArticle[[#This Row],[شناسه]]))=2,IF(TArticle[[#This Row],[کد وضعیت سند]]=1,TArticle[مبلغ],0),0),0)</f>
        <v>0</v>
      </c>
      <c r="AI651" s="1">
        <f>IFERROR(IF((LEFT(TArticle[[#This Row],[شناسه]],3))="5.2",IF(TArticle[[#This Row],[کد وضعیت سند]]=1,TArticle[مبلغ],0),0),0)</f>
        <v>0</v>
      </c>
      <c r="AJ651" s="1">
        <f>IF(TArticle[[#This Row],[کد وضعیت سند]]=1,1,0)</f>
        <v>0</v>
      </c>
      <c r="AK651" s="1">
        <f>IF(AND(TArticle[[#This Row],[کد وضعیت سند]]&lt;&gt;1,TArticle[[#This Row],[مبلغ]]&lt;&gt;0),1,0)</f>
        <v>0</v>
      </c>
      <c r="AL651" s="51">
        <f>IF(TArticle[[#This Row],[کد بانک]]&gt;0,TArticle[[#This Row],[مانده بانک]]-VLOOKUP(TArticle[[#This Row],[کد بانک]],TBank[],7,FALSE),"")</f>
        <v>337414</v>
      </c>
      <c r="AM651" s="49" t="str">
        <f>LEFT(TArticle[[#This Row],[تاریخ]],7)</f>
        <v>1403-03</v>
      </c>
    </row>
    <row r="652" spans="1:39" x14ac:dyDescent="0.25">
      <c r="A652" s="24"/>
      <c r="B652" s="49" t="str">
        <f>VLOOKUP(TArticle[[#This Row],[شناسه]],TAccount[],2,TRUE)</f>
        <v>---</v>
      </c>
      <c r="C652" s="49" t="str">
        <f>VLOOKUP(TArticle[[#This Row],[تاریخ]],TDays[],7,FALSE)</f>
        <v>سه شنبه</v>
      </c>
      <c r="D652" s="21" t="s">
        <v>1316</v>
      </c>
      <c r="F652" s="1">
        <f>TArticle[[#This Row],[مبلغ]]+IFERROR(INT(F651),30181+3667+958)</f>
        <v>295762</v>
      </c>
      <c r="G652" s="49"/>
      <c r="L652" s="171" t="str">
        <f>IF(TArticle[[#This Row],[کد وضعیت سند]]&gt;0,VLOOKUP(TArticle[[#This Row],[کد وضعیت سند]],TDocState[],2,FALSE),"")</f>
        <v/>
      </c>
      <c r="N652" s="171" t="str">
        <f>IF(TArticle[[#This Row],[کد طرف حساب]]&gt;0,VLOOKUP(TArticle[[#This Row],[کد طرف حساب]],TContact[],2,FALSE),"")</f>
        <v/>
      </c>
      <c r="O652" s="61" t="str">
        <f>IF(TArticle[[#This Row],[کد طرف حساب]]&gt;0,VLOOKUP(TArticle[[#This Row],[کد طرف حساب]],TContact[],7,FALSE)-SUMIF($M$2:M652,M652,$E$2:$E652),"")</f>
        <v/>
      </c>
      <c r="P652" s="27" t="str">
        <f>RIGHT(TArticle[[#This Row],[تاریخ]],2)</f>
        <v>29</v>
      </c>
      <c r="Q652" s="27">
        <f>VLOOKUP(TArticle[[#This Row],[تاریخ]],TDays[],16,FALSE)</f>
        <v>14</v>
      </c>
      <c r="R652" s="27" t="str">
        <f>RIGHT(LEFT(TArticle[[#This Row],[تاریخ]],7),2)</f>
        <v>03</v>
      </c>
      <c r="S652" s="27" t="str">
        <f>LEFT(TArticle[[#This Row],[تاریخ]],4)</f>
        <v>1403</v>
      </c>
      <c r="U652" s="21">
        <f>VLOOKUP(TArticle[[#This Row],[شناسه]],TAccount[],7,TRUE)</f>
        <v>0</v>
      </c>
      <c r="W652" s="21">
        <f>IF(AND(TArticle[[#This Row],[مبلغ]]&gt;0, TArticle[[#This Row],[کد وضعیت سند]]=1),TArticle[[#This Row],[مبلغ]],0)</f>
        <v>0</v>
      </c>
      <c r="X652" s="27">
        <f>IF(AND(TArticle[[#This Row],[مبلغ]]&lt;0,TArticle[[#This Row],[کد وضعیت سند]]=1),0-TArticle[[#This Row],[مبلغ]],0)</f>
        <v>0</v>
      </c>
      <c r="Y652" s="27">
        <v>2</v>
      </c>
      <c r="Z652" s="171" t="str">
        <f>IF(TArticle[[#This Row],[کد بانک]]&gt;0,VLOOKUP(TArticle[[#This Row],[کد بانک]],TBank[],2,FALSE),"")</f>
        <v>ملی جاری</v>
      </c>
      <c r="AA652">
        <f>IF(AND(TArticle[[#This Row],[مبلغ]]&lt;0,TArticle[[#This Row],[کد وضعیت سند]]=1),0-TArticle[[#This Row],[مبلغ]],0)</f>
        <v>0</v>
      </c>
      <c r="AB652">
        <f>IF(AND(TArticle[[#This Row],[مبلغ]]&gt;0, TArticle[[#This Row],[کد وضعیت سند]]=1),TArticle[[#This Row],[مبلغ]],0)</f>
        <v>0</v>
      </c>
      <c r="AC652" s="84">
        <f>IF(TArticle[[#This Row],[کد بانک]]&gt;0,VLOOKUP(TArticle[[#This Row],[کد بانک]],TBank[],9,FALSE)+SUMIF($Y$2:Y652,Y652,$E$2:$E652),"")</f>
        <v>337414</v>
      </c>
      <c r="AD652" s="1">
        <f>IFERROR(IF(INT(LEFT(TArticle[[#This Row],[شناسه]]))=3,IF(TArticle[[#This Row],[کد وضعیت سند]]=1,TArticle[مبلغ],0),0),0)</f>
        <v>0</v>
      </c>
      <c r="AE652" s="1">
        <f>IFERROR(IF(((TArticle[[#This Row],[شناسه]]))="4.1.1",IF(TArticle[[#This Row],[کد وضعیت سند]]=1,TArticle[مبلغ],0),0),0)</f>
        <v>0</v>
      </c>
      <c r="AF652" s="1">
        <f>IFERROR(IF(((TArticle[[#This Row],[شناسه]]))="4.1.2",IF(TArticle[[#This Row],[کد وضعیت سند]]=1,TArticle[مبلغ],0),0),0)</f>
        <v>0</v>
      </c>
      <c r="AG652" s="1">
        <f>IFERROR(IF(INT(LEFT(TArticle[[#This Row],[شناسه]]))=1,IF(TArticle[[#This Row],[کد وضعیت سند]]=1,TArticle[مبلغ],0),0),0)</f>
        <v>0</v>
      </c>
      <c r="AH652" s="1">
        <f>IFERROR(IF(INT(LEFT(TArticle[[#This Row],[شناسه]]))=2,IF(TArticle[[#This Row],[کد وضعیت سند]]=1,TArticle[مبلغ],0),0),0)</f>
        <v>0</v>
      </c>
      <c r="AI652" s="1">
        <f>IFERROR(IF((LEFT(TArticle[[#This Row],[شناسه]],3))="5.2",IF(TArticle[[#This Row],[کد وضعیت سند]]=1,TArticle[مبلغ],0),0),0)</f>
        <v>0</v>
      </c>
      <c r="AJ652" s="1">
        <f>IF(TArticle[[#This Row],[کد وضعیت سند]]=1,1,0)</f>
        <v>0</v>
      </c>
      <c r="AK652" s="1">
        <f>IF(AND(TArticle[[#This Row],[کد وضعیت سند]]&lt;&gt;1,TArticle[[#This Row],[مبلغ]]&lt;&gt;0),1,0)</f>
        <v>0</v>
      </c>
      <c r="AL652" s="51">
        <f>IF(TArticle[[#This Row],[کد بانک]]&gt;0,TArticle[[#This Row],[مانده بانک]]-VLOOKUP(TArticle[[#This Row],[کد بانک]],TBank[],7,FALSE),"")</f>
        <v>337414</v>
      </c>
      <c r="AM652" s="49" t="str">
        <f>LEFT(TArticle[[#This Row],[تاریخ]],7)</f>
        <v>1403-03</v>
      </c>
    </row>
    <row r="653" spans="1:39" x14ac:dyDescent="0.25">
      <c r="A653" s="24"/>
      <c r="B653" s="49" t="str">
        <f>VLOOKUP(TArticle[[#This Row],[شناسه]],TAccount[],2,TRUE)</f>
        <v>---</v>
      </c>
      <c r="C653" s="49" t="str">
        <f>VLOOKUP(TArticle[[#This Row],[تاریخ]],TDays[],7,FALSE)</f>
        <v>سه شنبه</v>
      </c>
      <c r="D653" s="21" t="s">
        <v>1316</v>
      </c>
      <c r="F653" s="1">
        <f>TArticle[[#This Row],[مبلغ]]+IFERROR(INT(F652),30181+3667+958)</f>
        <v>295762</v>
      </c>
      <c r="G653" s="49"/>
      <c r="H653" s="64"/>
      <c r="J653" s="65"/>
      <c r="K653" s="64"/>
      <c r="L653" s="171" t="str">
        <f>IF(TArticle[[#This Row],[کد وضعیت سند]]&gt;0,VLOOKUP(TArticle[[#This Row],[کد وضعیت سند]],TDocState[],2,FALSE),"")</f>
        <v/>
      </c>
      <c r="M653" s="67"/>
      <c r="N653" s="171" t="str">
        <f>IF(TArticle[[#This Row],[کد طرف حساب]]&gt;0,VLOOKUP(TArticle[[#This Row],[کد طرف حساب]],TContact[],2,FALSE),"")</f>
        <v/>
      </c>
      <c r="O653" s="68" t="str">
        <f>IF(TArticle[[#This Row],[کد طرف حساب]]&gt;0,VLOOKUP(TArticle[[#This Row],[کد طرف حساب]],TContact[],7,FALSE)-SUMIF($M$2:M653,M653,$E$2:$E653),"")</f>
        <v/>
      </c>
      <c r="P653" s="67" t="str">
        <f>RIGHT(TArticle[[#This Row],[تاریخ]],2)</f>
        <v>29</v>
      </c>
      <c r="Q653" s="67">
        <f>VLOOKUP(TArticle[[#This Row],[تاریخ]],TDays[],16,FALSE)</f>
        <v>14</v>
      </c>
      <c r="R653" s="67" t="str">
        <f>RIGHT(LEFT(TArticle[[#This Row],[تاریخ]],7),2)</f>
        <v>03</v>
      </c>
      <c r="S653" s="67" t="str">
        <f>LEFT(TArticle[[#This Row],[تاریخ]],4)</f>
        <v>1403</v>
      </c>
      <c r="T653" s="64"/>
      <c r="U653" s="64">
        <f>VLOOKUP(TArticle[[#This Row],[شناسه]],TAccount[],7,TRUE)</f>
        <v>0</v>
      </c>
      <c r="V653" s="64"/>
      <c r="W653" s="64">
        <f>IF(AND(TArticle[[#This Row],[مبلغ]]&gt;0, TArticle[[#This Row],[کد وضعیت سند]]=1),TArticle[[#This Row],[مبلغ]],0)</f>
        <v>0</v>
      </c>
      <c r="X653" s="67">
        <f>IF(AND(TArticle[[#This Row],[مبلغ]]&lt;0,TArticle[[#This Row],[کد وضعیت سند]]=1),0-TArticle[[#This Row],[مبلغ]],0)</f>
        <v>0</v>
      </c>
      <c r="Y653" s="27">
        <v>2</v>
      </c>
      <c r="Z653" s="171" t="str">
        <f>IF(TArticle[[#This Row],[کد بانک]]&gt;0,VLOOKUP(TArticle[[#This Row],[کد بانک]],TBank[],2,FALSE),"")</f>
        <v>ملی جاری</v>
      </c>
      <c r="AA653">
        <f>IF(AND(TArticle[[#This Row],[مبلغ]]&lt;0,TArticle[[#This Row],[کد وضعیت سند]]=1),0-TArticle[[#This Row],[مبلغ]],0)</f>
        <v>0</v>
      </c>
      <c r="AB653">
        <f>IF(AND(TArticle[[#This Row],[مبلغ]]&gt;0, TArticle[[#This Row],[کد وضعیت سند]]=1),TArticle[[#This Row],[مبلغ]],0)</f>
        <v>0</v>
      </c>
      <c r="AC653" s="93">
        <f>IF(TArticle[[#This Row],[کد بانک]]&gt;0,VLOOKUP(TArticle[[#This Row],[کد بانک]],TBank[],9,FALSE)+SUMIF($Y$2:Y653,Y653,$E$2:$E653),"")</f>
        <v>337414</v>
      </c>
      <c r="AD653" s="1">
        <f>IFERROR(IF(INT(LEFT(TArticle[[#This Row],[شناسه]]))=3,IF(TArticle[[#This Row],[کد وضعیت سند]]=1,TArticle[مبلغ],0),0),0)</f>
        <v>0</v>
      </c>
      <c r="AE653" s="1">
        <f>IFERROR(IF(((TArticle[[#This Row],[شناسه]]))="4.1.1",IF(TArticle[[#This Row],[کد وضعیت سند]]=1,TArticle[مبلغ],0),0),0)</f>
        <v>0</v>
      </c>
      <c r="AF653" s="1">
        <f>IFERROR(IF(((TArticle[[#This Row],[شناسه]]))="4.1.2",IF(TArticle[[#This Row],[کد وضعیت سند]]=1,TArticle[مبلغ],0),0),0)</f>
        <v>0</v>
      </c>
      <c r="AG653" s="1">
        <f>IFERROR(IF(INT(LEFT(TArticle[[#This Row],[شناسه]]))=1,IF(TArticle[[#This Row],[کد وضعیت سند]]=1,TArticle[مبلغ],0),0),0)</f>
        <v>0</v>
      </c>
      <c r="AH653" s="1">
        <f>IFERROR(IF(INT(LEFT(TArticle[[#This Row],[شناسه]]))=2,IF(TArticle[[#This Row],[کد وضعیت سند]]=1,TArticle[مبلغ],0),0),0)</f>
        <v>0</v>
      </c>
      <c r="AI653" s="1">
        <f>IFERROR(IF((LEFT(TArticle[[#This Row],[شناسه]],3))="5.2",IF(TArticle[[#This Row],[کد وضعیت سند]]=1,TArticle[مبلغ],0),0),0)</f>
        <v>0</v>
      </c>
      <c r="AJ653" s="1">
        <f>IF(TArticle[[#This Row],[کد وضعیت سند]]=1,1,0)</f>
        <v>0</v>
      </c>
      <c r="AK653" s="1">
        <f>IF(AND(TArticle[[#This Row],[کد وضعیت سند]]&lt;&gt;1,TArticle[[#This Row],[مبلغ]]&lt;&gt;0),1,0)</f>
        <v>0</v>
      </c>
      <c r="AL653" s="78">
        <f>IF(TArticle[[#This Row],[کد بانک]]&gt;0,TArticle[[#This Row],[مانده بانک]]-VLOOKUP(TArticle[[#This Row],[کد بانک]],TBank[],7,FALSE),"")</f>
        <v>337414</v>
      </c>
      <c r="AM653" s="58" t="str">
        <f>LEFT(TArticle[[#This Row],[تاریخ]],7)</f>
        <v>1403-03</v>
      </c>
    </row>
    <row r="654" spans="1:39" x14ac:dyDescent="0.25">
      <c r="A654" s="24"/>
      <c r="B654" s="49" t="str">
        <f>VLOOKUP(TArticle[[#This Row],[شناسه]],TAccount[],2,TRUE)</f>
        <v>---</v>
      </c>
      <c r="C654" s="49" t="str">
        <f>VLOOKUP(TArticle[[#This Row],[تاریخ]],TDays[],7,FALSE)</f>
        <v>سه شنبه</v>
      </c>
      <c r="D654" s="21" t="s">
        <v>1316</v>
      </c>
      <c r="F654" s="1">
        <f>TArticle[[#This Row],[مبلغ]]+IFERROR(INT(F653),30181+3667+958)</f>
        <v>295762</v>
      </c>
      <c r="G654" s="49"/>
      <c r="L654" s="171" t="str">
        <f>IF(TArticle[[#This Row],[کد وضعیت سند]]&gt;0,VLOOKUP(TArticle[[#This Row],[کد وضعیت سند]],TDocState[],2,FALSE),"")</f>
        <v/>
      </c>
      <c r="N654" s="171" t="str">
        <f>IF(TArticle[[#This Row],[کد طرف حساب]]&gt;0,VLOOKUP(TArticle[[#This Row],[کد طرف حساب]],TContact[],2,FALSE),"")</f>
        <v/>
      </c>
      <c r="O654" s="61" t="str">
        <f>IF(TArticle[[#This Row],[کد طرف حساب]]&gt;0,VLOOKUP(TArticle[[#This Row],[کد طرف حساب]],TContact[],7,FALSE)-SUMIF($M$2:M654,M654,$E$2:$E654),"")</f>
        <v/>
      </c>
      <c r="P654" s="27" t="str">
        <f>RIGHT(TArticle[[#This Row],[تاریخ]],2)</f>
        <v>29</v>
      </c>
      <c r="Q654" s="27">
        <f>VLOOKUP(TArticle[[#This Row],[تاریخ]],TDays[],16,FALSE)</f>
        <v>14</v>
      </c>
      <c r="R654" s="27" t="str">
        <f>RIGHT(LEFT(TArticle[[#This Row],[تاریخ]],7),2)</f>
        <v>03</v>
      </c>
      <c r="S654" s="27" t="str">
        <f>LEFT(TArticle[[#This Row],[تاریخ]],4)</f>
        <v>1403</v>
      </c>
      <c r="U654" s="21">
        <f>VLOOKUP(TArticle[[#This Row],[شناسه]],TAccount[],7,TRUE)</f>
        <v>0</v>
      </c>
      <c r="W654" s="21">
        <f>IF(AND(TArticle[[#This Row],[مبلغ]]&gt;0, TArticle[[#This Row],[کد وضعیت سند]]=1),TArticle[[#This Row],[مبلغ]],0)</f>
        <v>0</v>
      </c>
      <c r="X654" s="27">
        <f>IF(AND(TArticle[[#This Row],[مبلغ]]&lt;0,TArticle[[#This Row],[کد وضعیت سند]]=1),0-TArticle[[#This Row],[مبلغ]],0)</f>
        <v>0</v>
      </c>
      <c r="Y654" s="27">
        <v>2</v>
      </c>
      <c r="Z654" s="171" t="str">
        <f>IF(TArticle[[#This Row],[کد بانک]]&gt;0,VLOOKUP(TArticle[[#This Row],[کد بانک]],TBank[],2,FALSE),"")</f>
        <v>ملی جاری</v>
      </c>
      <c r="AA654">
        <f>IF(AND(TArticle[[#This Row],[مبلغ]]&lt;0,TArticle[[#This Row],[کد وضعیت سند]]=1),0-TArticle[[#This Row],[مبلغ]],0)</f>
        <v>0</v>
      </c>
      <c r="AB654">
        <f>IF(AND(TArticle[[#This Row],[مبلغ]]&gt;0, TArticle[[#This Row],[کد وضعیت سند]]=1),TArticle[[#This Row],[مبلغ]],0)</f>
        <v>0</v>
      </c>
      <c r="AC654" s="84">
        <f>IF(TArticle[[#This Row],[کد بانک]]&gt;0,VLOOKUP(TArticle[[#This Row],[کد بانک]],TBank[],9,FALSE)+SUMIF($Y$2:Y654,Y654,$E$2:$E654),"")</f>
        <v>337414</v>
      </c>
      <c r="AD654" s="1">
        <f>IFERROR(IF(INT(LEFT(TArticle[[#This Row],[شناسه]]))=3,IF(TArticle[[#This Row],[کد وضعیت سند]]=1,TArticle[مبلغ],0),0),0)</f>
        <v>0</v>
      </c>
      <c r="AE654" s="1">
        <f>IFERROR(IF(((TArticle[[#This Row],[شناسه]]))="4.1.1",IF(TArticle[[#This Row],[کد وضعیت سند]]=1,TArticle[مبلغ],0),0),0)</f>
        <v>0</v>
      </c>
      <c r="AF654" s="1">
        <f>IFERROR(IF(((TArticle[[#This Row],[شناسه]]))="4.1.2",IF(TArticle[[#This Row],[کد وضعیت سند]]=1,TArticle[مبلغ],0),0),0)</f>
        <v>0</v>
      </c>
      <c r="AG654" s="1">
        <f>IFERROR(IF(INT(LEFT(TArticle[[#This Row],[شناسه]]))=1,IF(TArticle[[#This Row],[کد وضعیت سند]]=1,TArticle[مبلغ],0),0),0)</f>
        <v>0</v>
      </c>
      <c r="AH654" s="1">
        <f>IFERROR(IF(INT(LEFT(TArticle[[#This Row],[شناسه]]))=2,IF(TArticle[[#This Row],[کد وضعیت سند]]=1,TArticle[مبلغ],0),0),0)</f>
        <v>0</v>
      </c>
      <c r="AI654" s="1">
        <f>IFERROR(IF((LEFT(TArticle[[#This Row],[شناسه]],3))="5.2",IF(TArticle[[#This Row],[کد وضعیت سند]]=1,TArticle[مبلغ],0),0),0)</f>
        <v>0</v>
      </c>
      <c r="AJ654" s="1">
        <f>IF(TArticle[[#This Row],[کد وضعیت سند]]=1,1,0)</f>
        <v>0</v>
      </c>
      <c r="AK654" s="1">
        <f>IF(AND(TArticle[[#This Row],[کد وضعیت سند]]&lt;&gt;1,TArticle[[#This Row],[مبلغ]]&lt;&gt;0),1,0)</f>
        <v>0</v>
      </c>
      <c r="AL654" s="51">
        <f>IF(TArticle[[#This Row],[کد بانک]]&gt;0,TArticle[[#This Row],[مانده بانک]]-VLOOKUP(TArticle[[#This Row],[کد بانک]],TBank[],7,FALSE),"")</f>
        <v>337414</v>
      </c>
      <c r="AM654" s="49" t="str">
        <f>LEFT(TArticle[[#This Row],[تاریخ]],7)</f>
        <v>1403-03</v>
      </c>
    </row>
    <row r="655" spans="1:39" x14ac:dyDescent="0.25">
      <c r="A655" s="24"/>
      <c r="B655" s="49" t="str">
        <f>VLOOKUP(TArticle[[#This Row],[شناسه]],TAccount[],2,TRUE)</f>
        <v>---</v>
      </c>
      <c r="C655" s="49" t="str">
        <f>VLOOKUP(TArticle[[#This Row],[تاریخ]],TDays[],7,FALSE)</f>
        <v>سه شنبه</v>
      </c>
      <c r="D655" s="21" t="s">
        <v>1316</v>
      </c>
      <c r="F655" s="1">
        <f>TArticle[[#This Row],[مبلغ]]+IFERROR(INT(F654),30181+3667+958)</f>
        <v>295762</v>
      </c>
      <c r="G655" s="49"/>
      <c r="L655" s="171" t="str">
        <f>IF(TArticle[[#This Row],[کد وضعیت سند]]&gt;0,VLOOKUP(TArticle[[#This Row],[کد وضعیت سند]],TDocState[],2,FALSE),"")</f>
        <v/>
      </c>
      <c r="N655" s="171" t="str">
        <f>IF(TArticle[[#This Row],[کد طرف حساب]]&gt;0,VLOOKUP(TArticle[[#This Row],[کد طرف حساب]],TContact[],2,FALSE),"")</f>
        <v/>
      </c>
      <c r="O655" s="61" t="str">
        <f>IF(TArticle[[#This Row],[کد طرف حساب]]&gt;0,VLOOKUP(TArticle[[#This Row],[کد طرف حساب]],TContact[],7,FALSE)-SUMIF($M$2:M655,M655,$E$2:$E655),"")</f>
        <v/>
      </c>
      <c r="P655" s="27" t="str">
        <f>RIGHT(TArticle[[#This Row],[تاریخ]],2)</f>
        <v>29</v>
      </c>
      <c r="Q655" s="27">
        <f>VLOOKUP(TArticle[[#This Row],[تاریخ]],TDays[],16,FALSE)</f>
        <v>14</v>
      </c>
      <c r="R655" s="27" t="str">
        <f>RIGHT(LEFT(TArticle[[#This Row],[تاریخ]],7),2)</f>
        <v>03</v>
      </c>
      <c r="S655" s="27" t="str">
        <f>LEFT(TArticle[[#This Row],[تاریخ]],4)</f>
        <v>1403</v>
      </c>
      <c r="U655" s="21">
        <f>VLOOKUP(TArticle[[#This Row],[شناسه]],TAccount[],7,TRUE)</f>
        <v>0</v>
      </c>
      <c r="W655" s="21">
        <f>IF(AND(TArticle[[#This Row],[مبلغ]]&gt;0, TArticle[[#This Row],[کد وضعیت سند]]=1),TArticle[[#This Row],[مبلغ]],0)</f>
        <v>0</v>
      </c>
      <c r="X655" s="27">
        <f>IF(AND(TArticle[[#This Row],[مبلغ]]&lt;0,TArticle[[#This Row],[کد وضعیت سند]]=1),0-TArticle[[#This Row],[مبلغ]],0)</f>
        <v>0</v>
      </c>
      <c r="Y655" s="27">
        <v>2</v>
      </c>
      <c r="Z655" s="171" t="str">
        <f>IF(TArticle[[#This Row],[کد بانک]]&gt;0,VLOOKUP(TArticle[[#This Row],[کد بانک]],TBank[],2,FALSE),"")</f>
        <v>ملی جاری</v>
      </c>
      <c r="AA655">
        <f>IF(AND(TArticle[[#This Row],[مبلغ]]&lt;0,TArticle[[#This Row],[کد وضعیت سند]]=1),0-TArticle[[#This Row],[مبلغ]],0)</f>
        <v>0</v>
      </c>
      <c r="AB655">
        <f>IF(AND(TArticle[[#This Row],[مبلغ]]&gt;0, TArticle[[#This Row],[کد وضعیت سند]]=1),TArticle[[#This Row],[مبلغ]],0)</f>
        <v>0</v>
      </c>
      <c r="AC655" s="84">
        <f>IF(TArticle[[#This Row],[کد بانک]]&gt;0,VLOOKUP(TArticle[[#This Row],[کد بانک]],TBank[],9,FALSE)+SUMIF($Y$2:Y655,Y655,$E$2:$E655),"")</f>
        <v>337414</v>
      </c>
      <c r="AD655" s="1">
        <f>IFERROR(IF(INT(LEFT(TArticle[[#This Row],[شناسه]]))=3,IF(TArticle[[#This Row],[کد وضعیت سند]]=1,TArticle[مبلغ],0),0),0)</f>
        <v>0</v>
      </c>
      <c r="AE655" s="1">
        <f>IFERROR(IF(((TArticle[[#This Row],[شناسه]]))="4.1.1",IF(TArticle[[#This Row],[کد وضعیت سند]]=1,TArticle[مبلغ],0),0),0)</f>
        <v>0</v>
      </c>
      <c r="AF655" s="1">
        <f>IFERROR(IF(((TArticle[[#This Row],[شناسه]]))="4.1.2",IF(TArticle[[#This Row],[کد وضعیت سند]]=1,TArticle[مبلغ],0),0),0)</f>
        <v>0</v>
      </c>
      <c r="AG655" s="1">
        <f>IFERROR(IF(INT(LEFT(TArticle[[#This Row],[شناسه]]))=1,IF(TArticle[[#This Row],[کد وضعیت سند]]=1,TArticle[مبلغ],0),0),0)</f>
        <v>0</v>
      </c>
      <c r="AH655" s="1">
        <f>IFERROR(IF(INT(LEFT(TArticle[[#This Row],[شناسه]]))=2,IF(TArticle[[#This Row],[کد وضعیت سند]]=1,TArticle[مبلغ],0),0),0)</f>
        <v>0</v>
      </c>
      <c r="AI655" s="1">
        <f>IFERROR(IF((LEFT(TArticle[[#This Row],[شناسه]],3))="5.2",IF(TArticle[[#This Row],[کد وضعیت سند]]=1,TArticle[مبلغ],0),0),0)</f>
        <v>0</v>
      </c>
      <c r="AJ655" s="1">
        <f>IF(TArticle[[#This Row],[کد وضعیت سند]]=1,1,0)</f>
        <v>0</v>
      </c>
      <c r="AK655" s="1">
        <f>IF(AND(TArticle[[#This Row],[کد وضعیت سند]]&lt;&gt;1,TArticle[[#This Row],[مبلغ]]&lt;&gt;0),1,0)</f>
        <v>0</v>
      </c>
      <c r="AL655" s="51">
        <f>IF(TArticle[[#This Row],[کد بانک]]&gt;0,TArticle[[#This Row],[مانده بانک]]-VLOOKUP(TArticle[[#This Row],[کد بانک]],TBank[],7,FALSE),"")</f>
        <v>337414</v>
      </c>
      <c r="AM655" s="49" t="str">
        <f>LEFT(TArticle[[#This Row],[تاریخ]],7)</f>
        <v>1403-03</v>
      </c>
    </row>
    <row r="656" spans="1:39" x14ac:dyDescent="0.25">
      <c r="A656" s="24"/>
      <c r="B656" s="49" t="str">
        <f>VLOOKUP(TArticle[[#This Row],[شناسه]],TAccount[],2,TRUE)</f>
        <v>---</v>
      </c>
      <c r="C656" s="49" t="str">
        <f>VLOOKUP(TArticle[[#This Row],[تاریخ]],TDays[],7,FALSE)</f>
        <v>سه شنبه</v>
      </c>
      <c r="D656" s="21" t="s">
        <v>1316</v>
      </c>
      <c r="F656" s="1">
        <f>TArticle[[#This Row],[مبلغ]]+IFERROR(INT(F655),30181+3667+958)</f>
        <v>295762</v>
      </c>
      <c r="G656" s="49"/>
      <c r="L656" s="171" t="str">
        <f>IF(TArticle[[#This Row],[کد وضعیت سند]]&gt;0,VLOOKUP(TArticle[[#This Row],[کد وضعیت سند]],TDocState[],2,FALSE),"")</f>
        <v/>
      </c>
      <c r="N656" s="171" t="str">
        <f>IF(TArticle[[#This Row],[کد طرف حساب]]&gt;0,VLOOKUP(TArticle[[#This Row],[کد طرف حساب]],TContact[],2,FALSE),"")</f>
        <v/>
      </c>
      <c r="O656" s="61" t="str">
        <f>IF(TArticle[[#This Row],[کد طرف حساب]]&gt;0,VLOOKUP(TArticle[[#This Row],[کد طرف حساب]],TContact[],7,FALSE)-SUMIF($M$2:M656,M656,$E$2:$E656),"")</f>
        <v/>
      </c>
      <c r="P656" s="27" t="str">
        <f>RIGHT(TArticle[[#This Row],[تاریخ]],2)</f>
        <v>29</v>
      </c>
      <c r="Q656" s="27">
        <f>VLOOKUP(TArticle[[#This Row],[تاریخ]],TDays[],16,FALSE)</f>
        <v>14</v>
      </c>
      <c r="R656" s="27" t="str">
        <f>RIGHT(LEFT(TArticle[[#This Row],[تاریخ]],7),2)</f>
        <v>03</v>
      </c>
      <c r="S656" s="27" t="str">
        <f>LEFT(TArticle[[#This Row],[تاریخ]],4)</f>
        <v>1403</v>
      </c>
      <c r="U656" s="21">
        <f>VLOOKUP(TArticle[[#This Row],[شناسه]],TAccount[],7,TRUE)</f>
        <v>0</v>
      </c>
      <c r="W656" s="21">
        <f>IF(AND(TArticle[[#This Row],[مبلغ]]&gt;0, TArticle[[#This Row],[کد وضعیت سند]]=1),TArticle[[#This Row],[مبلغ]],0)</f>
        <v>0</v>
      </c>
      <c r="X656" s="27">
        <f>IF(AND(TArticle[[#This Row],[مبلغ]]&lt;0,TArticle[[#This Row],[کد وضعیت سند]]=1),0-TArticle[[#This Row],[مبلغ]],0)</f>
        <v>0</v>
      </c>
      <c r="Y656" s="27">
        <v>2</v>
      </c>
      <c r="Z656" s="171" t="str">
        <f>IF(TArticle[[#This Row],[کد بانک]]&gt;0,VLOOKUP(TArticle[[#This Row],[کد بانک]],TBank[],2,FALSE),"")</f>
        <v>ملی جاری</v>
      </c>
      <c r="AA656">
        <f>IF(AND(TArticle[[#This Row],[مبلغ]]&lt;0,TArticle[[#This Row],[کد وضعیت سند]]=1),0-TArticle[[#This Row],[مبلغ]],0)</f>
        <v>0</v>
      </c>
      <c r="AB656">
        <f>IF(AND(TArticle[[#This Row],[مبلغ]]&gt;0, TArticle[[#This Row],[کد وضعیت سند]]=1),TArticle[[#This Row],[مبلغ]],0)</f>
        <v>0</v>
      </c>
      <c r="AC656" s="84">
        <f>IF(TArticle[[#This Row],[کد بانک]]&gt;0,VLOOKUP(TArticle[[#This Row],[کد بانک]],TBank[],9,FALSE)+SUMIF($Y$2:Y656,Y656,$E$2:$E656),"")</f>
        <v>337414</v>
      </c>
      <c r="AD656" s="1">
        <f>IFERROR(IF(INT(LEFT(TArticle[[#This Row],[شناسه]]))=3,IF(TArticle[[#This Row],[کد وضعیت سند]]=1,TArticle[مبلغ],0),0),0)</f>
        <v>0</v>
      </c>
      <c r="AE656" s="1">
        <f>IFERROR(IF(((TArticle[[#This Row],[شناسه]]))="4.1.1",IF(TArticle[[#This Row],[کد وضعیت سند]]=1,TArticle[مبلغ],0),0),0)</f>
        <v>0</v>
      </c>
      <c r="AF656" s="1">
        <f>IFERROR(IF(((TArticle[[#This Row],[شناسه]]))="4.1.2",IF(TArticle[[#This Row],[کد وضعیت سند]]=1,TArticle[مبلغ],0),0),0)</f>
        <v>0</v>
      </c>
      <c r="AG656" s="1">
        <f>IFERROR(IF(INT(LEFT(TArticle[[#This Row],[شناسه]]))=1,IF(TArticle[[#This Row],[کد وضعیت سند]]=1,TArticle[مبلغ],0),0),0)</f>
        <v>0</v>
      </c>
      <c r="AH656" s="1">
        <f>IFERROR(IF(INT(LEFT(TArticle[[#This Row],[شناسه]]))=2,IF(TArticle[[#This Row],[کد وضعیت سند]]=1,TArticle[مبلغ],0),0),0)</f>
        <v>0</v>
      </c>
      <c r="AI656" s="1">
        <f>IFERROR(IF((LEFT(TArticle[[#This Row],[شناسه]],3))="5.2",IF(TArticle[[#This Row],[کد وضعیت سند]]=1,TArticle[مبلغ],0),0),0)</f>
        <v>0</v>
      </c>
      <c r="AJ656" s="1">
        <f>IF(TArticle[[#This Row],[کد وضعیت سند]]=1,1,0)</f>
        <v>0</v>
      </c>
      <c r="AK656" s="1">
        <f>IF(AND(TArticle[[#This Row],[کد وضعیت سند]]&lt;&gt;1,TArticle[[#This Row],[مبلغ]]&lt;&gt;0),1,0)</f>
        <v>0</v>
      </c>
      <c r="AL656" s="51">
        <f>IF(TArticle[[#This Row],[کد بانک]]&gt;0,TArticle[[#This Row],[مانده بانک]]-VLOOKUP(TArticle[[#This Row],[کد بانک]],TBank[],7,FALSE),"")</f>
        <v>337414</v>
      </c>
      <c r="AM656" s="49" t="str">
        <f>LEFT(TArticle[[#This Row],[تاریخ]],7)</f>
        <v>1403-03</v>
      </c>
    </row>
    <row r="657" spans="1:39" x14ac:dyDescent="0.25">
      <c r="A657" s="24"/>
      <c r="B657" s="49" t="str">
        <f>VLOOKUP(TArticle[[#This Row],[شناسه]],TAccount[],2,TRUE)</f>
        <v>---</v>
      </c>
      <c r="C657" s="49" t="str">
        <f>VLOOKUP(TArticle[[#This Row],[تاریخ]],TDays[],7,FALSE)</f>
        <v>سه شنبه</v>
      </c>
      <c r="D657" s="21" t="s">
        <v>1316</v>
      </c>
      <c r="F657" s="1">
        <f>TArticle[[#This Row],[مبلغ]]+IFERROR(INT(F656),30181+3667+958)</f>
        <v>295762</v>
      </c>
      <c r="G657" s="49"/>
      <c r="H657" s="64"/>
      <c r="J657" s="65"/>
      <c r="K657" s="64"/>
      <c r="L657" s="171" t="str">
        <f>IF(TArticle[[#This Row],[کد وضعیت سند]]&gt;0,VLOOKUP(TArticle[[#This Row],[کد وضعیت سند]],TDocState[],2,FALSE),"")</f>
        <v/>
      </c>
      <c r="M657" s="67"/>
      <c r="N657" s="171" t="str">
        <f>IF(TArticle[[#This Row],[کد طرف حساب]]&gt;0,VLOOKUP(TArticle[[#This Row],[کد طرف حساب]],TContact[],2,FALSE),"")</f>
        <v/>
      </c>
      <c r="O657" s="68" t="str">
        <f>IF(TArticle[[#This Row],[کد طرف حساب]]&gt;0,VLOOKUP(TArticle[[#This Row],[کد طرف حساب]],TContact[],7,FALSE)-SUMIF($M$2:M657,M657,$E$2:$E657),"")</f>
        <v/>
      </c>
      <c r="P657" s="67" t="str">
        <f>RIGHT(TArticle[[#This Row],[تاریخ]],2)</f>
        <v>29</v>
      </c>
      <c r="Q657" s="67">
        <f>VLOOKUP(TArticle[[#This Row],[تاریخ]],TDays[],16,FALSE)</f>
        <v>14</v>
      </c>
      <c r="R657" s="67" t="str">
        <f>RIGHT(LEFT(TArticle[[#This Row],[تاریخ]],7),2)</f>
        <v>03</v>
      </c>
      <c r="S657" s="67" t="str">
        <f>LEFT(TArticle[[#This Row],[تاریخ]],4)</f>
        <v>1403</v>
      </c>
      <c r="T657" s="64"/>
      <c r="U657" s="64">
        <f>VLOOKUP(TArticle[[#This Row],[شناسه]],TAccount[],7,TRUE)</f>
        <v>0</v>
      </c>
      <c r="V657" s="64"/>
      <c r="W657" s="64">
        <f>IF(AND(TArticle[[#This Row],[مبلغ]]&gt;0, TArticle[[#This Row],[کد وضعیت سند]]=1),TArticle[[#This Row],[مبلغ]],0)</f>
        <v>0</v>
      </c>
      <c r="X657" s="67">
        <f>IF(AND(TArticle[[#This Row],[مبلغ]]&lt;0,TArticle[[#This Row],[کد وضعیت سند]]=1),0-TArticle[[#This Row],[مبلغ]],0)</f>
        <v>0</v>
      </c>
      <c r="Y657" s="27">
        <v>2</v>
      </c>
      <c r="Z657" s="171" t="str">
        <f>IF(TArticle[[#This Row],[کد بانک]]&gt;0,VLOOKUP(TArticle[[#This Row],[کد بانک]],TBank[],2,FALSE),"")</f>
        <v>ملی جاری</v>
      </c>
      <c r="AA657">
        <f>IF(AND(TArticle[[#This Row],[مبلغ]]&lt;0,TArticle[[#This Row],[کد وضعیت سند]]=1),0-TArticle[[#This Row],[مبلغ]],0)</f>
        <v>0</v>
      </c>
      <c r="AB657">
        <f>IF(AND(TArticle[[#This Row],[مبلغ]]&gt;0, TArticle[[#This Row],[کد وضعیت سند]]=1),TArticle[[#This Row],[مبلغ]],0)</f>
        <v>0</v>
      </c>
      <c r="AC657" s="93">
        <f>IF(TArticle[[#This Row],[کد بانک]]&gt;0,VLOOKUP(TArticle[[#This Row],[کد بانک]],TBank[],9,FALSE)+SUMIF($Y$2:Y657,Y657,$E$2:$E657),"")</f>
        <v>337414</v>
      </c>
      <c r="AD657" s="1">
        <f>IFERROR(IF(INT(LEFT(TArticle[[#This Row],[شناسه]]))=3,IF(TArticle[[#This Row],[کد وضعیت سند]]=1,TArticle[مبلغ],0),0),0)</f>
        <v>0</v>
      </c>
      <c r="AE657" s="1">
        <f>IFERROR(IF(((TArticle[[#This Row],[شناسه]]))="4.1.1",IF(TArticle[[#This Row],[کد وضعیت سند]]=1,TArticle[مبلغ],0),0),0)</f>
        <v>0</v>
      </c>
      <c r="AF657" s="1">
        <f>IFERROR(IF(((TArticle[[#This Row],[شناسه]]))="4.1.2",IF(TArticle[[#This Row],[کد وضعیت سند]]=1,TArticle[مبلغ],0),0),0)</f>
        <v>0</v>
      </c>
      <c r="AG657" s="1">
        <f>IFERROR(IF(INT(LEFT(TArticle[[#This Row],[شناسه]]))=1,IF(TArticle[[#This Row],[کد وضعیت سند]]=1,TArticle[مبلغ],0),0),0)</f>
        <v>0</v>
      </c>
      <c r="AH657" s="1">
        <f>IFERROR(IF(INT(LEFT(TArticle[[#This Row],[شناسه]]))=2,IF(TArticle[[#This Row],[کد وضعیت سند]]=1,TArticle[مبلغ],0),0),0)</f>
        <v>0</v>
      </c>
      <c r="AI657" s="1">
        <f>IFERROR(IF((LEFT(TArticle[[#This Row],[شناسه]],3))="5.2",IF(TArticle[[#This Row],[کد وضعیت سند]]=1,TArticle[مبلغ],0),0),0)</f>
        <v>0</v>
      </c>
      <c r="AJ657" s="1">
        <f>IF(TArticle[[#This Row],[کد وضعیت سند]]=1,1,0)</f>
        <v>0</v>
      </c>
      <c r="AK657" s="1">
        <f>IF(AND(TArticle[[#This Row],[کد وضعیت سند]]&lt;&gt;1,TArticle[[#This Row],[مبلغ]]&lt;&gt;0),1,0)</f>
        <v>0</v>
      </c>
      <c r="AL657" s="78">
        <f>IF(TArticle[[#This Row],[کد بانک]]&gt;0,TArticle[[#This Row],[مانده بانک]]-VLOOKUP(TArticle[[#This Row],[کد بانک]],TBank[],7,FALSE),"")</f>
        <v>337414</v>
      </c>
      <c r="AM657" s="58" t="str">
        <f>LEFT(TArticle[[#This Row],[تاریخ]],7)</f>
        <v>1403-03</v>
      </c>
    </row>
    <row r="658" spans="1:39" x14ac:dyDescent="0.25">
      <c r="A658" s="24"/>
      <c r="B658" s="49" t="str">
        <f>VLOOKUP(TArticle[[#This Row],[شناسه]],TAccount[],2,TRUE)</f>
        <v>---</v>
      </c>
      <c r="C658" s="49" t="str">
        <f>VLOOKUP(TArticle[[#This Row],[تاریخ]],TDays[],7,FALSE)</f>
        <v>سه شنبه</v>
      </c>
      <c r="D658" s="21" t="s">
        <v>1316</v>
      </c>
      <c r="F658" s="1">
        <f>TArticle[[#This Row],[مبلغ]]+IFERROR(INT(F657),30181+3667+958)</f>
        <v>295762</v>
      </c>
      <c r="G658" s="49"/>
      <c r="L658" s="171" t="str">
        <f>IF(TArticle[[#This Row],[کد وضعیت سند]]&gt;0,VLOOKUP(TArticle[[#This Row],[کد وضعیت سند]],TDocState[],2,FALSE),"")</f>
        <v/>
      </c>
      <c r="N658" s="171" t="str">
        <f>IF(TArticle[[#This Row],[کد طرف حساب]]&gt;0,VLOOKUP(TArticle[[#This Row],[کد طرف حساب]],TContact[],2,FALSE),"")</f>
        <v/>
      </c>
      <c r="O658" s="61" t="str">
        <f>IF(TArticle[[#This Row],[کد طرف حساب]]&gt;0,VLOOKUP(TArticle[[#This Row],[کد طرف حساب]],TContact[],7,FALSE)-SUMIF($M$2:M658,M658,$E$2:$E658),"")</f>
        <v/>
      </c>
      <c r="P658" s="27" t="str">
        <f>RIGHT(TArticle[[#This Row],[تاریخ]],2)</f>
        <v>29</v>
      </c>
      <c r="Q658" s="27">
        <f>VLOOKUP(TArticle[[#This Row],[تاریخ]],TDays[],16,FALSE)</f>
        <v>14</v>
      </c>
      <c r="R658" s="27" t="str">
        <f>RIGHT(LEFT(TArticle[[#This Row],[تاریخ]],7),2)</f>
        <v>03</v>
      </c>
      <c r="S658" s="27" t="str">
        <f>LEFT(TArticle[[#This Row],[تاریخ]],4)</f>
        <v>1403</v>
      </c>
      <c r="U658" s="21">
        <f>VLOOKUP(TArticle[[#This Row],[شناسه]],TAccount[],7,TRUE)</f>
        <v>0</v>
      </c>
      <c r="W658" s="21">
        <f>IF(AND(TArticle[[#This Row],[مبلغ]]&gt;0, TArticle[[#This Row],[کد وضعیت سند]]=1),TArticle[[#This Row],[مبلغ]],0)</f>
        <v>0</v>
      </c>
      <c r="X658" s="27">
        <f>IF(AND(TArticle[[#This Row],[مبلغ]]&lt;0,TArticle[[#This Row],[کد وضعیت سند]]=1),0-TArticle[[#This Row],[مبلغ]],0)</f>
        <v>0</v>
      </c>
      <c r="Y658" s="27">
        <v>2</v>
      </c>
      <c r="Z658" s="171" t="str">
        <f>IF(TArticle[[#This Row],[کد بانک]]&gt;0,VLOOKUP(TArticle[[#This Row],[کد بانک]],TBank[],2,FALSE),"")</f>
        <v>ملی جاری</v>
      </c>
      <c r="AA658">
        <f>IF(AND(TArticle[[#This Row],[مبلغ]]&lt;0,TArticle[[#This Row],[کد وضعیت سند]]=1),0-TArticle[[#This Row],[مبلغ]],0)</f>
        <v>0</v>
      </c>
      <c r="AB658">
        <f>IF(AND(TArticle[[#This Row],[مبلغ]]&gt;0, TArticle[[#This Row],[کد وضعیت سند]]=1),TArticle[[#This Row],[مبلغ]],0)</f>
        <v>0</v>
      </c>
      <c r="AC658" s="84">
        <f>IF(TArticle[[#This Row],[کد بانک]]&gt;0,VLOOKUP(TArticle[[#This Row],[کد بانک]],TBank[],9,FALSE)+SUMIF($Y$2:Y658,Y658,$E$2:$E658),"")</f>
        <v>337414</v>
      </c>
      <c r="AD658" s="1">
        <f>IFERROR(IF(INT(LEFT(TArticle[[#This Row],[شناسه]]))=3,IF(TArticle[[#This Row],[کد وضعیت سند]]=1,TArticle[مبلغ],0),0),0)</f>
        <v>0</v>
      </c>
      <c r="AE658" s="1">
        <f>IFERROR(IF(((TArticle[[#This Row],[شناسه]]))="4.1.1",IF(TArticle[[#This Row],[کد وضعیت سند]]=1,TArticle[مبلغ],0),0),0)</f>
        <v>0</v>
      </c>
      <c r="AF658" s="1">
        <f>IFERROR(IF(((TArticle[[#This Row],[شناسه]]))="4.1.2",IF(TArticle[[#This Row],[کد وضعیت سند]]=1,TArticle[مبلغ],0),0),0)</f>
        <v>0</v>
      </c>
      <c r="AG658" s="1">
        <f>IFERROR(IF(INT(LEFT(TArticle[[#This Row],[شناسه]]))=1,IF(TArticle[[#This Row],[کد وضعیت سند]]=1,TArticle[مبلغ],0),0),0)</f>
        <v>0</v>
      </c>
      <c r="AH658" s="1">
        <f>IFERROR(IF(INT(LEFT(TArticle[[#This Row],[شناسه]]))=2,IF(TArticle[[#This Row],[کد وضعیت سند]]=1,TArticle[مبلغ],0),0),0)</f>
        <v>0</v>
      </c>
      <c r="AI658" s="1">
        <f>IFERROR(IF((LEFT(TArticle[[#This Row],[شناسه]],3))="5.2",IF(TArticle[[#This Row],[کد وضعیت سند]]=1,TArticle[مبلغ],0),0),0)</f>
        <v>0</v>
      </c>
      <c r="AJ658" s="1">
        <f>IF(TArticle[[#This Row],[کد وضعیت سند]]=1,1,0)</f>
        <v>0</v>
      </c>
      <c r="AK658" s="1">
        <f>IF(AND(TArticle[[#This Row],[کد وضعیت سند]]&lt;&gt;1,TArticle[[#This Row],[مبلغ]]&lt;&gt;0),1,0)</f>
        <v>0</v>
      </c>
      <c r="AL658" s="51">
        <f>IF(TArticle[[#This Row],[کد بانک]]&gt;0,TArticle[[#This Row],[مانده بانک]]-VLOOKUP(TArticle[[#This Row],[کد بانک]],TBank[],7,FALSE),"")</f>
        <v>337414</v>
      </c>
      <c r="AM658" s="49" t="str">
        <f>LEFT(TArticle[[#This Row],[تاریخ]],7)</f>
        <v>1403-03</v>
      </c>
    </row>
    <row r="659" spans="1:39" x14ac:dyDescent="0.25">
      <c r="A659" s="24"/>
      <c r="B659" s="49" t="str">
        <f>VLOOKUP(TArticle[[#This Row],[شناسه]],TAccount[],2,TRUE)</f>
        <v>---</v>
      </c>
      <c r="C659" s="49" t="str">
        <f>VLOOKUP(TArticle[[#This Row],[تاریخ]],TDays[],7,FALSE)</f>
        <v>سه شنبه</v>
      </c>
      <c r="D659" s="21" t="s">
        <v>1316</v>
      </c>
      <c r="F659" s="1">
        <f>TArticle[[#This Row],[مبلغ]]+IFERROR(INT(F658),30181+3667+958)</f>
        <v>295762</v>
      </c>
      <c r="G659" s="49"/>
      <c r="L659" s="171" t="str">
        <f>IF(TArticle[[#This Row],[کد وضعیت سند]]&gt;0,VLOOKUP(TArticle[[#This Row],[کد وضعیت سند]],TDocState[],2,FALSE),"")</f>
        <v/>
      </c>
      <c r="N659" s="171" t="str">
        <f>IF(TArticle[[#This Row],[کد طرف حساب]]&gt;0,VLOOKUP(TArticle[[#This Row],[کد طرف حساب]],TContact[],2,FALSE),"")</f>
        <v/>
      </c>
      <c r="O659" s="61" t="str">
        <f>IF(TArticle[[#This Row],[کد طرف حساب]]&gt;0,VLOOKUP(TArticle[[#This Row],[کد طرف حساب]],TContact[],7,FALSE)-SUMIF($M$2:M659,M659,$E$2:$E659),"")</f>
        <v/>
      </c>
      <c r="P659" s="27" t="str">
        <f>RIGHT(TArticle[[#This Row],[تاریخ]],2)</f>
        <v>29</v>
      </c>
      <c r="Q659" s="27">
        <f>VLOOKUP(TArticle[[#This Row],[تاریخ]],TDays[],16,FALSE)</f>
        <v>14</v>
      </c>
      <c r="R659" s="27" t="str">
        <f>RIGHT(LEFT(TArticle[[#This Row],[تاریخ]],7),2)</f>
        <v>03</v>
      </c>
      <c r="S659" s="27" t="str">
        <f>LEFT(TArticle[[#This Row],[تاریخ]],4)</f>
        <v>1403</v>
      </c>
      <c r="U659" s="21">
        <f>VLOOKUP(TArticle[[#This Row],[شناسه]],TAccount[],7,TRUE)</f>
        <v>0</v>
      </c>
      <c r="W659" s="21">
        <f>IF(AND(TArticle[[#This Row],[مبلغ]]&gt;0, TArticle[[#This Row],[کد وضعیت سند]]=1),TArticle[[#This Row],[مبلغ]],0)</f>
        <v>0</v>
      </c>
      <c r="X659" s="27">
        <f>IF(AND(TArticle[[#This Row],[مبلغ]]&lt;0,TArticle[[#This Row],[کد وضعیت سند]]=1),0-TArticle[[#This Row],[مبلغ]],0)</f>
        <v>0</v>
      </c>
      <c r="Y659" s="27">
        <v>2</v>
      </c>
      <c r="Z659" s="171" t="str">
        <f>IF(TArticle[[#This Row],[کد بانک]]&gt;0,VLOOKUP(TArticle[[#This Row],[کد بانک]],TBank[],2,FALSE),"")</f>
        <v>ملی جاری</v>
      </c>
      <c r="AA659">
        <f>IF(AND(TArticle[[#This Row],[مبلغ]]&lt;0,TArticle[[#This Row],[کد وضعیت سند]]=1),0-TArticle[[#This Row],[مبلغ]],0)</f>
        <v>0</v>
      </c>
      <c r="AB659">
        <f>IF(AND(TArticle[[#This Row],[مبلغ]]&gt;0, TArticle[[#This Row],[کد وضعیت سند]]=1),TArticle[[#This Row],[مبلغ]],0)</f>
        <v>0</v>
      </c>
      <c r="AC659" s="84">
        <f>IF(TArticle[[#This Row],[کد بانک]]&gt;0,VLOOKUP(TArticle[[#This Row],[کد بانک]],TBank[],9,FALSE)+SUMIF($Y$2:Y659,Y659,$E$2:$E659),"")</f>
        <v>337414</v>
      </c>
      <c r="AD659" s="1">
        <f>IFERROR(IF(INT(LEFT(TArticle[[#This Row],[شناسه]]))=3,IF(TArticle[[#This Row],[کد وضعیت سند]]=1,TArticle[مبلغ],0),0),0)</f>
        <v>0</v>
      </c>
      <c r="AE659" s="1">
        <f>IFERROR(IF(((TArticle[[#This Row],[شناسه]]))="4.1.1",IF(TArticle[[#This Row],[کد وضعیت سند]]=1,TArticle[مبلغ],0),0),0)</f>
        <v>0</v>
      </c>
      <c r="AF659" s="1">
        <f>IFERROR(IF(((TArticle[[#This Row],[شناسه]]))="4.1.2",IF(TArticle[[#This Row],[کد وضعیت سند]]=1,TArticle[مبلغ],0),0),0)</f>
        <v>0</v>
      </c>
      <c r="AG659" s="1">
        <f>IFERROR(IF(INT(LEFT(TArticle[[#This Row],[شناسه]]))=1,IF(TArticle[[#This Row],[کد وضعیت سند]]=1,TArticle[مبلغ],0),0),0)</f>
        <v>0</v>
      </c>
      <c r="AH659" s="1">
        <f>IFERROR(IF(INT(LEFT(TArticle[[#This Row],[شناسه]]))=2,IF(TArticle[[#This Row],[کد وضعیت سند]]=1,TArticle[مبلغ],0),0),0)</f>
        <v>0</v>
      </c>
      <c r="AI659" s="1">
        <f>IFERROR(IF((LEFT(TArticle[[#This Row],[شناسه]],3))="5.2",IF(TArticle[[#This Row],[کد وضعیت سند]]=1,TArticle[مبلغ],0),0),0)</f>
        <v>0</v>
      </c>
      <c r="AJ659" s="1">
        <f>IF(TArticle[[#This Row],[کد وضعیت سند]]=1,1,0)</f>
        <v>0</v>
      </c>
      <c r="AK659" s="1">
        <f>IF(AND(TArticle[[#This Row],[کد وضعیت سند]]&lt;&gt;1,TArticle[[#This Row],[مبلغ]]&lt;&gt;0),1,0)</f>
        <v>0</v>
      </c>
      <c r="AL659" s="51">
        <f>IF(TArticle[[#This Row],[کد بانک]]&gt;0,TArticle[[#This Row],[مانده بانک]]-VLOOKUP(TArticle[[#This Row],[کد بانک]],TBank[],7,FALSE),"")</f>
        <v>337414</v>
      </c>
      <c r="AM659" s="49" t="str">
        <f>LEFT(TArticle[[#This Row],[تاریخ]],7)</f>
        <v>1403-03</v>
      </c>
    </row>
    <row r="660" spans="1:39" x14ac:dyDescent="0.25">
      <c r="A660" s="24"/>
      <c r="B660" s="49" t="str">
        <f>VLOOKUP(TArticle[[#This Row],[شناسه]],TAccount[],2,TRUE)</f>
        <v>---</v>
      </c>
      <c r="C660" s="49" t="str">
        <f>VLOOKUP(TArticle[[#This Row],[تاریخ]],TDays[],7,FALSE)</f>
        <v>سه شنبه</v>
      </c>
      <c r="D660" s="21" t="s">
        <v>1316</v>
      </c>
      <c r="F660" s="1">
        <f>TArticle[[#This Row],[مبلغ]]+IFERROR(INT(F659),30181+3667+958)</f>
        <v>295762</v>
      </c>
      <c r="G660" s="49"/>
      <c r="L660" s="171" t="str">
        <f>IF(TArticle[[#This Row],[کد وضعیت سند]]&gt;0,VLOOKUP(TArticle[[#This Row],[کد وضعیت سند]],TDocState[],2,FALSE),"")</f>
        <v/>
      </c>
      <c r="N660" s="171" t="str">
        <f>IF(TArticle[[#This Row],[کد طرف حساب]]&gt;0,VLOOKUP(TArticle[[#This Row],[کد طرف حساب]],TContact[],2,FALSE),"")</f>
        <v/>
      </c>
      <c r="O660" s="61" t="str">
        <f>IF(TArticle[[#This Row],[کد طرف حساب]]&gt;0,VLOOKUP(TArticle[[#This Row],[کد طرف حساب]],TContact[],7,FALSE)-SUMIF($M$2:M660,M660,$E$2:$E660),"")</f>
        <v/>
      </c>
      <c r="P660" s="27" t="str">
        <f>RIGHT(TArticle[[#This Row],[تاریخ]],2)</f>
        <v>29</v>
      </c>
      <c r="Q660" s="27">
        <f>VLOOKUP(TArticle[[#This Row],[تاریخ]],TDays[],16,FALSE)</f>
        <v>14</v>
      </c>
      <c r="R660" s="27" t="str">
        <f>RIGHT(LEFT(TArticle[[#This Row],[تاریخ]],7),2)</f>
        <v>03</v>
      </c>
      <c r="S660" s="27" t="str">
        <f>LEFT(TArticle[[#This Row],[تاریخ]],4)</f>
        <v>1403</v>
      </c>
      <c r="U660" s="21">
        <f>VLOOKUP(TArticle[[#This Row],[شناسه]],TAccount[],7,TRUE)</f>
        <v>0</v>
      </c>
      <c r="W660" s="21">
        <f>IF(AND(TArticle[[#This Row],[مبلغ]]&gt;0, TArticle[[#This Row],[کد وضعیت سند]]=1),TArticle[[#This Row],[مبلغ]],0)</f>
        <v>0</v>
      </c>
      <c r="X660" s="27">
        <f>IF(AND(TArticle[[#This Row],[مبلغ]]&lt;0,TArticle[[#This Row],[کد وضعیت سند]]=1),0-TArticle[[#This Row],[مبلغ]],0)</f>
        <v>0</v>
      </c>
      <c r="Y660" s="27">
        <v>2</v>
      </c>
      <c r="Z660" s="171" t="str">
        <f>IF(TArticle[[#This Row],[کد بانک]]&gt;0,VLOOKUP(TArticle[[#This Row],[کد بانک]],TBank[],2,FALSE),"")</f>
        <v>ملی جاری</v>
      </c>
      <c r="AA660">
        <f>IF(AND(TArticle[[#This Row],[مبلغ]]&lt;0,TArticle[[#This Row],[کد وضعیت سند]]=1),0-TArticle[[#This Row],[مبلغ]],0)</f>
        <v>0</v>
      </c>
      <c r="AB660">
        <f>IF(AND(TArticle[[#This Row],[مبلغ]]&gt;0, TArticle[[#This Row],[کد وضعیت سند]]=1),TArticle[[#This Row],[مبلغ]],0)</f>
        <v>0</v>
      </c>
      <c r="AC660" s="84">
        <f>IF(TArticle[[#This Row],[کد بانک]]&gt;0,VLOOKUP(TArticle[[#This Row],[کد بانک]],TBank[],9,FALSE)+SUMIF($Y$2:Y660,Y660,$E$2:$E660),"")</f>
        <v>337414</v>
      </c>
      <c r="AD660" s="1">
        <f>IFERROR(IF(INT(LEFT(TArticle[[#This Row],[شناسه]]))=3,IF(TArticle[[#This Row],[کد وضعیت سند]]=1,TArticle[مبلغ],0),0),0)</f>
        <v>0</v>
      </c>
      <c r="AE660" s="1">
        <f>IFERROR(IF(((TArticle[[#This Row],[شناسه]]))="4.1.1",IF(TArticle[[#This Row],[کد وضعیت سند]]=1,TArticle[مبلغ],0),0),0)</f>
        <v>0</v>
      </c>
      <c r="AF660" s="1">
        <f>IFERROR(IF(((TArticle[[#This Row],[شناسه]]))="4.1.2",IF(TArticle[[#This Row],[کد وضعیت سند]]=1,TArticle[مبلغ],0),0),0)</f>
        <v>0</v>
      </c>
      <c r="AG660" s="1">
        <f>IFERROR(IF(INT(LEFT(TArticle[[#This Row],[شناسه]]))=1,IF(TArticle[[#This Row],[کد وضعیت سند]]=1,TArticle[مبلغ],0),0),0)</f>
        <v>0</v>
      </c>
      <c r="AH660" s="1">
        <f>IFERROR(IF(INT(LEFT(TArticle[[#This Row],[شناسه]]))=2,IF(TArticle[[#This Row],[کد وضعیت سند]]=1,TArticle[مبلغ],0),0),0)</f>
        <v>0</v>
      </c>
      <c r="AI660" s="1">
        <f>IFERROR(IF((LEFT(TArticle[[#This Row],[شناسه]],3))="5.2",IF(TArticle[[#This Row],[کد وضعیت سند]]=1,TArticle[مبلغ],0),0),0)</f>
        <v>0</v>
      </c>
      <c r="AJ660" s="1">
        <f>IF(TArticle[[#This Row],[کد وضعیت سند]]=1,1,0)</f>
        <v>0</v>
      </c>
      <c r="AK660" s="1">
        <f>IF(AND(TArticle[[#This Row],[کد وضعیت سند]]&lt;&gt;1,TArticle[[#This Row],[مبلغ]]&lt;&gt;0),1,0)</f>
        <v>0</v>
      </c>
      <c r="AL660" s="51">
        <f>IF(TArticle[[#This Row],[کد بانک]]&gt;0,TArticle[[#This Row],[مانده بانک]]-VLOOKUP(TArticle[[#This Row],[کد بانک]],TBank[],7,FALSE),"")</f>
        <v>337414</v>
      </c>
      <c r="AM660" s="49" t="str">
        <f>LEFT(TArticle[[#This Row],[تاریخ]],7)</f>
        <v>1403-03</v>
      </c>
    </row>
    <row r="661" spans="1:39" x14ac:dyDescent="0.25">
      <c r="A661" s="24"/>
      <c r="B661" s="49" t="str">
        <f>VLOOKUP(TArticle[[#This Row],[شناسه]],TAccount[],2,TRUE)</f>
        <v>---</v>
      </c>
      <c r="C661" s="49" t="str">
        <f>VLOOKUP(TArticle[[#This Row],[تاریخ]],TDays[],7,FALSE)</f>
        <v>سه شنبه</v>
      </c>
      <c r="D661" s="21" t="s">
        <v>1316</v>
      </c>
      <c r="F661" s="1">
        <f>TArticle[[#This Row],[مبلغ]]+IFERROR(INT(F660),30181+3667+958)</f>
        <v>295762</v>
      </c>
      <c r="G661" s="49"/>
      <c r="L661" s="171" t="str">
        <f>IF(TArticle[[#This Row],[کد وضعیت سند]]&gt;0,VLOOKUP(TArticle[[#This Row],[کد وضعیت سند]],TDocState[],2,FALSE),"")</f>
        <v/>
      </c>
      <c r="N661" s="171" t="str">
        <f>IF(TArticle[[#This Row],[کد طرف حساب]]&gt;0,VLOOKUP(TArticle[[#This Row],[کد طرف حساب]],TContact[],2,FALSE),"")</f>
        <v/>
      </c>
      <c r="O661" s="61" t="str">
        <f>IF(TArticle[[#This Row],[کد طرف حساب]]&gt;0,VLOOKUP(TArticle[[#This Row],[کد طرف حساب]],TContact[],7,FALSE)-SUMIF($M$2:M661,M661,$E$2:$E661),"")</f>
        <v/>
      </c>
      <c r="P661" s="27" t="str">
        <f>RIGHT(TArticle[[#This Row],[تاریخ]],2)</f>
        <v>29</v>
      </c>
      <c r="Q661" s="27">
        <f>VLOOKUP(TArticle[[#This Row],[تاریخ]],TDays[],16,FALSE)</f>
        <v>14</v>
      </c>
      <c r="R661" s="27" t="str">
        <f>RIGHT(LEFT(TArticle[[#This Row],[تاریخ]],7),2)</f>
        <v>03</v>
      </c>
      <c r="S661" s="27" t="str">
        <f>LEFT(TArticle[[#This Row],[تاریخ]],4)</f>
        <v>1403</v>
      </c>
      <c r="U661" s="21">
        <f>VLOOKUP(TArticle[[#This Row],[شناسه]],TAccount[],7,TRUE)</f>
        <v>0</v>
      </c>
      <c r="W661" s="21">
        <f>IF(AND(TArticle[[#This Row],[مبلغ]]&gt;0, TArticle[[#This Row],[کد وضعیت سند]]=1),TArticle[[#This Row],[مبلغ]],0)</f>
        <v>0</v>
      </c>
      <c r="X661" s="27">
        <f>IF(AND(TArticle[[#This Row],[مبلغ]]&lt;0,TArticle[[#This Row],[کد وضعیت سند]]=1),0-TArticle[[#This Row],[مبلغ]],0)</f>
        <v>0</v>
      </c>
      <c r="Y661" s="27">
        <v>2</v>
      </c>
      <c r="Z661" s="171" t="str">
        <f>IF(TArticle[[#This Row],[کد بانک]]&gt;0,VLOOKUP(TArticle[[#This Row],[کد بانک]],TBank[],2,FALSE),"")</f>
        <v>ملی جاری</v>
      </c>
      <c r="AA661">
        <f>IF(AND(TArticle[[#This Row],[مبلغ]]&lt;0,TArticle[[#This Row],[کد وضعیت سند]]=1),0-TArticle[[#This Row],[مبلغ]],0)</f>
        <v>0</v>
      </c>
      <c r="AB661">
        <f>IF(AND(TArticle[[#This Row],[مبلغ]]&gt;0, TArticle[[#This Row],[کد وضعیت سند]]=1),TArticle[[#This Row],[مبلغ]],0)</f>
        <v>0</v>
      </c>
      <c r="AC661" s="84">
        <f>IF(TArticle[[#This Row],[کد بانک]]&gt;0,VLOOKUP(TArticle[[#This Row],[کد بانک]],TBank[],9,FALSE)+SUMIF($Y$2:Y661,Y661,$E$2:$E661),"")</f>
        <v>337414</v>
      </c>
      <c r="AD661" s="1">
        <f>IFERROR(IF(INT(LEFT(TArticle[[#This Row],[شناسه]]))=3,IF(TArticle[[#This Row],[کد وضعیت سند]]=1,TArticle[مبلغ],0),0),0)</f>
        <v>0</v>
      </c>
      <c r="AE661" s="1">
        <f>IFERROR(IF(((TArticle[[#This Row],[شناسه]]))="4.1.1",IF(TArticle[[#This Row],[کد وضعیت سند]]=1,TArticle[مبلغ],0),0),0)</f>
        <v>0</v>
      </c>
      <c r="AF661" s="1">
        <f>IFERROR(IF(((TArticle[[#This Row],[شناسه]]))="4.1.2",IF(TArticle[[#This Row],[کد وضعیت سند]]=1,TArticle[مبلغ],0),0),0)</f>
        <v>0</v>
      </c>
      <c r="AG661" s="1">
        <f>IFERROR(IF(INT(LEFT(TArticle[[#This Row],[شناسه]]))=1,IF(TArticle[[#This Row],[کد وضعیت سند]]=1,TArticle[مبلغ],0),0),0)</f>
        <v>0</v>
      </c>
      <c r="AH661" s="1">
        <f>IFERROR(IF(INT(LEFT(TArticle[[#This Row],[شناسه]]))=2,IF(TArticle[[#This Row],[کد وضعیت سند]]=1,TArticle[مبلغ],0),0),0)</f>
        <v>0</v>
      </c>
      <c r="AI661" s="1">
        <f>IFERROR(IF((LEFT(TArticle[[#This Row],[شناسه]],3))="5.2",IF(TArticle[[#This Row],[کد وضعیت سند]]=1,TArticle[مبلغ],0),0),0)</f>
        <v>0</v>
      </c>
      <c r="AJ661" s="1">
        <f>IF(TArticle[[#This Row],[کد وضعیت سند]]=1,1,0)</f>
        <v>0</v>
      </c>
      <c r="AK661" s="1">
        <f>IF(AND(TArticle[[#This Row],[کد وضعیت سند]]&lt;&gt;1,TArticle[[#This Row],[مبلغ]]&lt;&gt;0),1,0)</f>
        <v>0</v>
      </c>
      <c r="AL661" s="51">
        <f>IF(TArticle[[#This Row],[کد بانک]]&gt;0,TArticle[[#This Row],[مانده بانک]]-VLOOKUP(TArticle[[#This Row],[کد بانک]],TBank[],7,FALSE),"")</f>
        <v>337414</v>
      </c>
      <c r="AM661" s="49" t="str">
        <f>LEFT(TArticle[[#This Row],[تاریخ]],7)</f>
        <v>1403-03</v>
      </c>
    </row>
    <row r="662" spans="1:39" x14ac:dyDescent="0.25">
      <c r="A662" s="24"/>
      <c r="B662" s="49" t="str">
        <f>VLOOKUP(TArticle[[#This Row],[شناسه]],TAccount[],2,TRUE)</f>
        <v>---</v>
      </c>
      <c r="C662" s="49" t="str">
        <f>VLOOKUP(TArticle[[#This Row],[تاریخ]],TDays[],7,FALSE)</f>
        <v>سه شنبه</v>
      </c>
      <c r="D662" s="21" t="s">
        <v>1316</v>
      </c>
      <c r="F662" s="1">
        <f>TArticle[[#This Row],[مبلغ]]+IFERROR(INT(F661),30181+3667+958)</f>
        <v>295762</v>
      </c>
      <c r="G662" s="49"/>
      <c r="L662" s="171" t="str">
        <f>IF(TArticle[[#This Row],[کد وضعیت سند]]&gt;0,VLOOKUP(TArticle[[#This Row],[کد وضعیت سند]],TDocState[],2,FALSE),"")</f>
        <v/>
      </c>
      <c r="N662" s="171" t="str">
        <f>IF(TArticle[[#This Row],[کد طرف حساب]]&gt;0,VLOOKUP(TArticle[[#This Row],[کد طرف حساب]],TContact[],2,FALSE),"")</f>
        <v/>
      </c>
      <c r="O662" s="61" t="str">
        <f>IF(TArticle[[#This Row],[کد طرف حساب]]&gt;0,VLOOKUP(TArticle[[#This Row],[کد طرف حساب]],TContact[],7,FALSE)-SUMIF($M$2:M662,M662,$E$2:$E662),"")</f>
        <v/>
      </c>
      <c r="P662" s="27" t="str">
        <f>RIGHT(TArticle[[#This Row],[تاریخ]],2)</f>
        <v>29</v>
      </c>
      <c r="Q662" s="27">
        <f>VLOOKUP(TArticle[[#This Row],[تاریخ]],TDays[],16,FALSE)</f>
        <v>14</v>
      </c>
      <c r="R662" s="27" t="str">
        <f>RIGHT(LEFT(TArticle[[#This Row],[تاریخ]],7),2)</f>
        <v>03</v>
      </c>
      <c r="S662" s="27" t="str">
        <f>LEFT(TArticle[[#This Row],[تاریخ]],4)</f>
        <v>1403</v>
      </c>
      <c r="U662" s="21">
        <f>VLOOKUP(TArticle[[#This Row],[شناسه]],TAccount[],7,TRUE)</f>
        <v>0</v>
      </c>
      <c r="W662" s="21">
        <f>IF(AND(TArticle[[#This Row],[مبلغ]]&gt;0, TArticle[[#This Row],[کد وضعیت سند]]=1),TArticle[[#This Row],[مبلغ]],0)</f>
        <v>0</v>
      </c>
      <c r="X662" s="27">
        <f>IF(AND(TArticle[[#This Row],[مبلغ]]&lt;0,TArticle[[#This Row],[کد وضعیت سند]]=1),0-TArticle[[#This Row],[مبلغ]],0)</f>
        <v>0</v>
      </c>
      <c r="Y662" s="27">
        <v>2</v>
      </c>
      <c r="Z662" s="171" t="str">
        <f>IF(TArticle[[#This Row],[کد بانک]]&gt;0,VLOOKUP(TArticle[[#This Row],[کد بانک]],TBank[],2,FALSE),"")</f>
        <v>ملی جاری</v>
      </c>
      <c r="AA662">
        <f>IF(AND(TArticle[[#This Row],[مبلغ]]&lt;0,TArticle[[#This Row],[کد وضعیت سند]]=1),0-TArticle[[#This Row],[مبلغ]],0)</f>
        <v>0</v>
      </c>
      <c r="AB662">
        <f>IF(AND(TArticle[[#This Row],[مبلغ]]&gt;0, TArticle[[#This Row],[کد وضعیت سند]]=1),TArticle[[#This Row],[مبلغ]],0)</f>
        <v>0</v>
      </c>
      <c r="AC662" s="84">
        <f>IF(TArticle[[#This Row],[کد بانک]]&gt;0,VLOOKUP(TArticle[[#This Row],[کد بانک]],TBank[],9,FALSE)+SUMIF($Y$2:Y662,Y662,$E$2:$E662),"")</f>
        <v>337414</v>
      </c>
      <c r="AD662" s="1">
        <f>IFERROR(IF(INT(LEFT(TArticle[[#This Row],[شناسه]]))=3,IF(TArticle[[#This Row],[کد وضعیت سند]]=1,TArticle[مبلغ],0),0),0)</f>
        <v>0</v>
      </c>
      <c r="AE662" s="1">
        <f>IFERROR(IF(((TArticle[[#This Row],[شناسه]]))="4.1.1",IF(TArticle[[#This Row],[کد وضعیت سند]]=1,TArticle[مبلغ],0),0),0)</f>
        <v>0</v>
      </c>
      <c r="AF662" s="1">
        <f>IFERROR(IF(((TArticle[[#This Row],[شناسه]]))="4.1.2",IF(TArticle[[#This Row],[کد وضعیت سند]]=1,TArticle[مبلغ],0),0),0)</f>
        <v>0</v>
      </c>
      <c r="AG662" s="1">
        <f>IFERROR(IF(INT(LEFT(TArticle[[#This Row],[شناسه]]))=1,IF(TArticle[[#This Row],[کد وضعیت سند]]=1,TArticle[مبلغ],0),0),0)</f>
        <v>0</v>
      </c>
      <c r="AH662" s="1">
        <f>IFERROR(IF(INT(LEFT(TArticle[[#This Row],[شناسه]]))=2,IF(TArticle[[#This Row],[کد وضعیت سند]]=1,TArticle[مبلغ],0),0),0)</f>
        <v>0</v>
      </c>
      <c r="AI662" s="1">
        <f>IFERROR(IF((LEFT(TArticle[[#This Row],[شناسه]],3))="5.2",IF(TArticle[[#This Row],[کد وضعیت سند]]=1,TArticle[مبلغ],0),0),0)</f>
        <v>0</v>
      </c>
      <c r="AJ662" s="1">
        <f>IF(TArticle[[#This Row],[کد وضعیت سند]]=1,1,0)</f>
        <v>0</v>
      </c>
      <c r="AK662" s="1">
        <f>IF(AND(TArticle[[#This Row],[کد وضعیت سند]]&lt;&gt;1,TArticle[[#This Row],[مبلغ]]&lt;&gt;0),1,0)</f>
        <v>0</v>
      </c>
      <c r="AL662" s="51">
        <f>IF(TArticle[[#This Row],[کد بانک]]&gt;0,TArticle[[#This Row],[مانده بانک]]-VLOOKUP(TArticle[[#This Row],[کد بانک]],TBank[],7,FALSE),"")</f>
        <v>337414</v>
      </c>
      <c r="AM662" s="49" t="str">
        <f>LEFT(TArticle[[#This Row],[تاریخ]],7)</f>
        <v>1403-03</v>
      </c>
    </row>
    <row r="663" spans="1:39" x14ac:dyDescent="0.25">
      <c r="A663" s="24" t="s">
        <v>43</v>
      </c>
      <c r="B663" s="49" t="str">
        <f>VLOOKUP(TArticle[[#This Row],[شناسه]],TAccount[],2,TRUE)</f>
        <v>حقوق</v>
      </c>
      <c r="C663" s="49" t="str">
        <f>VLOOKUP(TArticle[[#This Row],[تاریخ]],TDays[],7,FALSE)</f>
        <v>جمعه</v>
      </c>
      <c r="D663" s="21" t="s">
        <v>1319</v>
      </c>
      <c r="E663" s="1">
        <v>42000</v>
      </c>
      <c r="F663" s="1">
        <f>TArticle[[#This Row],[مبلغ]]+IFERROR(INT(F662),30181+3667+958)</f>
        <v>337762</v>
      </c>
      <c r="G663" s="49"/>
      <c r="H663" s="64"/>
      <c r="J663" s="65"/>
      <c r="K663" s="64">
        <v>2</v>
      </c>
      <c r="L663" s="171" t="str">
        <f>IF(TArticle[[#This Row],[کد وضعیت سند]]&gt;0,VLOOKUP(TArticle[[#This Row],[کد وضعیت سند]],TDocState[],2,FALSE),"")</f>
        <v>قطعی</v>
      </c>
      <c r="M663" s="67"/>
      <c r="N663" s="171" t="str">
        <f>IF(TArticle[[#This Row],[کد طرف حساب]]&gt;0,VLOOKUP(TArticle[[#This Row],[کد طرف حساب]],TContact[],2,FALSE),"")</f>
        <v/>
      </c>
      <c r="O663" s="68" t="str">
        <f>IF(TArticle[[#This Row],[کد طرف حساب]]&gt;0,VLOOKUP(TArticle[[#This Row],[کد طرف حساب]],TContact[],7,FALSE)-SUMIF($M$2:M663,M663,$E$2:$E663),"")</f>
        <v/>
      </c>
      <c r="P663" s="67" t="str">
        <f>RIGHT(TArticle[[#This Row],[تاریخ]],2)</f>
        <v>01</v>
      </c>
      <c r="Q663" s="67">
        <f>VLOOKUP(TArticle[[#This Row],[تاریخ]],TDays[],16,FALSE)</f>
        <v>14</v>
      </c>
      <c r="R663" s="67" t="str">
        <f>RIGHT(LEFT(TArticle[[#This Row],[تاریخ]],7),2)</f>
        <v>04</v>
      </c>
      <c r="S663" s="67" t="str">
        <f>LEFT(TArticle[[#This Row],[تاریخ]],4)</f>
        <v>1403</v>
      </c>
      <c r="T663" s="64"/>
      <c r="U663" s="64">
        <f>VLOOKUP(TArticle[[#This Row],[شناسه]],TAccount[],7,TRUE)</f>
        <v>416023</v>
      </c>
      <c r="V663" s="64"/>
      <c r="W663" s="64">
        <f>IF(AND(TArticle[[#This Row],[مبلغ]]&gt;0, TArticle[[#This Row],[کد وضعیت سند]]=1),TArticle[[#This Row],[مبلغ]],0)</f>
        <v>0</v>
      </c>
      <c r="X663" s="67">
        <f>IF(AND(TArticle[[#This Row],[مبلغ]]&lt;0,TArticle[[#This Row],[کد وضعیت سند]]=1),0-TArticle[[#This Row],[مبلغ]],0)</f>
        <v>0</v>
      </c>
      <c r="Y663" s="27">
        <v>2</v>
      </c>
      <c r="Z663" s="171" t="str">
        <f>IF(TArticle[[#This Row],[کد بانک]]&gt;0,VLOOKUP(TArticle[[#This Row],[کد بانک]],TBank[],2,FALSE),"")</f>
        <v>ملی جاری</v>
      </c>
      <c r="AA663">
        <f>IF(AND(TArticle[[#This Row],[مبلغ]]&lt;0,TArticle[[#This Row],[کد وضعیت سند]]=1),0-TArticle[[#This Row],[مبلغ]],0)</f>
        <v>0</v>
      </c>
      <c r="AB663">
        <f>IF(AND(TArticle[[#This Row],[مبلغ]]&gt;0, TArticle[[#This Row],[کد وضعیت سند]]=1),TArticle[[#This Row],[مبلغ]],0)</f>
        <v>0</v>
      </c>
      <c r="AC663" s="93">
        <f>IF(TArticle[[#This Row],[کد بانک]]&gt;0,VLOOKUP(TArticle[[#This Row],[کد بانک]],TBank[],9,FALSE)+SUMIF($Y$2:Y663,Y663,$E$2:$E663),"")</f>
        <v>379414</v>
      </c>
      <c r="AD663" s="1">
        <f>IFERROR(IF(INT(LEFT(TArticle[[#This Row],[شناسه]]))=3,IF(TArticle[[#This Row],[کد وضعیت سند]]=1,TArticle[مبلغ],0),0),0)</f>
        <v>0</v>
      </c>
      <c r="AE663" s="1">
        <f>IFERROR(IF(((TArticle[[#This Row],[شناسه]]))="4.1.1",IF(TArticle[[#This Row],[کد وضعیت سند]]=1,TArticle[مبلغ],0),0),0)</f>
        <v>0</v>
      </c>
      <c r="AF663" s="1">
        <f>IFERROR(IF(((TArticle[[#This Row],[شناسه]]))="4.1.2",IF(TArticle[[#This Row],[کد وضعیت سند]]=1,TArticle[مبلغ],0),0),0)</f>
        <v>0</v>
      </c>
      <c r="AG663" s="1">
        <f>IFERROR(IF(INT(LEFT(TArticle[[#This Row],[شناسه]]))=1,IF(TArticle[[#This Row],[کد وضعیت سند]]=1,TArticle[مبلغ],0),0),0)</f>
        <v>0</v>
      </c>
      <c r="AH663" s="1">
        <f>IFERROR(IF(INT(LEFT(TArticle[[#This Row],[شناسه]]))=2,IF(TArticle[[#This Row],[کد وضعیت سند]]=1,TArticle[مبلغ],0),0),0)</f>
        <v>0</v>
      </c>
      <c r="AI663" s="1">
        <f>IFERROR(IF((LEFT(TArticle[[#This Row],[شناسه]],3))="5.2",IF(TArticle[[#This Row],[کد وضعیت سند]]=1,TArticle[مبلغ],0),0),0)</f>
        <v>0</v>
      </c>
      <c r="AJ663" s="1">
        <f>IF(TArticle[[#This Row],[کد وضعیت سند]]=1,1,0)</f>
        <v>0</v>
      </c>
      <c r="AK663" s="1">
        <f>IF(AND(TArticle[[#This Row],[کد وضعیت سند]]&lt;&gt;1,TArticle[[#This Row],[مبلغ]]&lt;&gt;0),1,0)</f>
        <v>1</v>
      </c>
      <c r="AL663" s="78">
        <f>IF(TArticle[[#This Row],[کد بانک]]&gt;0,TArticle[[#This Row],[مانده بانک]]-VLOOKUP(TArticle[[#This Row],[کد بانک]],TBank[],7,FALSE),"")</f>
        <v>379414</v>
      </c>
      <c r="AM663" s="69" t="str">
        <f>LEFT(TArticle[[#This Row],[تاریخ]],7)</f>
        <v>1403-04</v>
      </c>
    </row>
    <row r="664" spans="1:39" x14ac:dyDescent="0.25">
      <c r="A664" s="24" t="s">
        <v>1608</v>
      </c>
      <c r="B664" s="49" t="str">
        <f>VLOOKUP(TArticle[[#This Row],[شناسه]],TAccount[],2,TRUE)</f>
        <v>بن کارت</v>
      </c>
      <c r="C664" s="49" t="str">
        <f>VLOOKUP(TArticle[[#This Row],[تاریخ]],TDays[],7,FALSE)</f>
        <v>جمعه</v>
      </c>
      <c r="D664" s="21" t="s">
        <v>1319</v>
      </c>
      <c r="E664" s="1">
        <v>3000</v>
      </c>
      <c r="F664" s="1">
        <f>TArticle[[#This Row],[مبلغ]]+IFERROR(INT(F663),30181+3667+958)</f>
        <v>340762</v>
      </c>
      <c r="G664" s="49"/>
      <c r="K664" s="64">
        <v>2</v>
      </c>
      <c r="L664" s="171" t="str">
        <f>IF(TArticle[[#This Row],[کد وضعیت سند]]&gt;0,VLOOKUP(TArticle[[#This Row],[کد وضعیت سند]],TDocState[],2,FALSE),"")</f>
        <v>قطعی</v>
      </c>
      <c r="N664" s="171" t="str">
        <f>IF(TArticle[[#This Row],[کد طرف حساب]]&gt;0,VLOOKUP(TArticle[[#This Row],[کد طرف حساب]],TContact[],2,FALSE),"")</f>
        <v/>
      </c>
      <c r="O664" s="61" t="str">
        <f>IF(TArticle[[#This Row],[کد طرف حساب]]&gt;0,VLOOKUP(TArticle[[#This Row],[کد طرف حساب]],TContact[],7,FALSE)-SUMIF($M$2:M664,M664,$E$2:$E664),"")</f>
        <v/>
      </c>
      <c r="P664" s="27" t="str">
        <f>RIGHT(TArticle[[#This Row],[تاریخ]],2)</f>
        <v>01</v>
      </c>
      <c r="Q664" s="27">
        <f>VLOOKUP(TArticle[[#This Row],[تاریخ]],TDays[],16,FALSE)</f>
        <v>14</v>
      </c>
      <c r="R664" s="27" t="str">
        <f>RIGHT(LEFT(TArticle[[#This Row],[تاریخ]],7),2)</f>
        <v>04</v>
      </c>
      <c r="S664" s="27" t="str">
        <f>LEFT(TArticle[[#This Row],[تاریخ]],4)</f>
        <v>1403</v>
      </c>
      <c r="U664" s="21">
        <f>VLOOKUP(TArticle[[#This Row],[شناسه]],TAccount[],7,TRUE)</f>
        <v>3000</v>
      </c>
      <c r="V664" s="28"/>
      <c r="W664" s="21">
        <f>IF(AND(TArticle[[#This Row],[مبلغ]]&gt;0, TArticle[[#This Row],[کد وضعیت سند]]=1),TArticle[[#This Row],[مبلغ]],0)</f>
        <v>0</v>
      </c>
      <c r="X664" s="27">
        <f>IF(AND(TArticle[[#This Row],[مبلغ]]&lt;0,TArticle[[#This Row],[کد وضعیت سند]]=1),0-TArticle[[#This Row],[مبلغ]],0)</f>
        <v>0</v>
      </c>
      <c r="Y664" s="27">
        <v>2</v>
      </c>
      <c r="Z664" s="171" t="str">
        <f>IF(TArticle[[#This Row],[کد بانک]]&gt;0,VLOOKUP(TArticle[[#This Row],[کد بانک]],TBank[],2,FALSE),"")</f>
        <v>ملی جاری</v>
      </c>
      <c r="AA664">
        <f>IF(AND(TArticle[[#This Row],[مبلغ]]&lt;0,TArticle[[#This Row],[کد وضعیت سند]]=1),0-TArticle[[#This Row],[مبلغ]],0)</f>
        <v>0</v>
      </c>
      <c r="AB664">
        <f>IF(AND(TArticle[[#This Row],[مبلغ]]&gt;0, TArticle[[#This Row],[کد وضعیت سند]]=1),TArticle[[#This Row],[مبلغ]],0)</f>
        <v>0</v>
      </c>
      <c r="AC664" s="84">
        <f>IF(TArticle[[#This Row],[کد بانک]]&gt;0,VLOOKUP(TArticle[[#This Row],[کد بانک]],TBank[],9,FALSE)+SUMIF($Y$2:Y664,Y664,$E$2:$E664),"")</f>
        <v>382414</v>
      </c>
      <c r="AD664" s="1">
        <f>IFERROR(IF(INT(LEFT(TArticle[[#This Row],[شناسه]]))=3,IF(TArticle[[#This Row],[کد وضعیت سند]]=1,TArticle[مبلغ],0),0),0)</f>
        <v>0</v>
      </c>
      <c r="AE664" s="1">
        <f>IFERROR(IF(((TArticle[[#This Row],[شناسه]]))="4.1.1",IF(TArticle[[#This Row],[کد وضعیت سند]]=1,TArticle[مبلغ],0),0),0)</f>
        <v>0</v>
      </c>
      <c r="AF664" s="1">
        <f>IFERROR(IF(((TArticle[[#This Row],[شناسه]]))="4.1.2",IF(TArticle[[#This Row],[کد وضعیت سند]]=1,TArticle[مبلغ],0),0),0)</f>
        <v>0</v>
      </c>
      <c r="AG664" s="1">
        <f>IFERROR(IF(INT(LEFT(TArticle[[#This Row],[شناسه]]))=1,IF(TArticle[[#This Row],[کد وضعیت سند]]=1,TArticle[مبلغ],0),0),0)</f>
        <v>0</v>
      </c>
      <c r="AH664" s="1">
        <f>IFERROR(IF(INT(LEFT(TArticle[[#This Row],[شناسه]]))=2,IF(TArticle[[#This Row],[کد وضعیت سند]]=1,TArticle[مبلغ],0),0),0)</f>
        <v>0</v>
      </c>
      <c r="AI664" s="1">
        <f>IFERROR(IF((LEFT(TArticle[[#This Row],[شناسه]],3))="5.2",IF(TArticle[[#This Row],[کد وضعیت سند]]=1,TArticle[مبلغ],0),0),0)</f>
        <v>0</v>
      </c>
      <c r="AJ664" s="1">
        <f>IF(TArticle[[#This Row],[کد وضعیت سند]]=1,1,0)</f>
        <v>0</v>
      </c>
      <c r="AK664" s="1">
        <f>IF(AND(TArticle[[#This Row],[کد وضعیت سند]]&lt;&gt;1,TArticle[[#This Row],[مبلغ]]&lt;&gt;0),1,0)</f>
        <v>1</v>
      </c>
      <c r="AL664" s="51">
        <f>IF(TArticle[[#This Row],[کد بانک]]&gt;0,TArticle[[#This Row],[مانده بانک]]-VLOOKUP(TArticle[[#This Row],[کد بانک]],TBank[],7,FALSE),"")</f>
        <v>382414</v>
      </c>
      <c r="AM664" s="58" t="str">
        <f>LEFT(TArticle[[#This Row],[تاریخ]],7)</f>
        <v>1403-04</v>
      </c>
    </row>
    <row r="665" spans="1:39" x14ac:dyDescent="0.25">
      <c r="A665" s="24" t="s">
        <v>1110</v>
      </c>
      <c r="B665" s="49" t="str">
        <f>VLOOKUP(TArticle[[#This Row],[شناسه]],TAccount[],2,TRUE)</f>
        <v>قسط وام بانکی</v>
      </c>
      <c r="C665" s="49" t="str">
        <f>VLOOKUP(TArticle[[#This Row],[تاریخ]],TDays[],7,FALSE)</f>
        <v>یکشنبه</v>
      </c>
      <c r="D665" s="21" t="s">
        <v>1321</v>
      </c>
      <c r="E665" s="1">
        <v>-1224</v>
      </c>
      <c r="F665" s="1">
        <f>TArticle[[#This Row],[مبلغ]]+IFERROR(INT(F664),30181+3667+958)</f>
        <v>339538</v>
      </c>
      <c r="G665" s="49"/>
      <c r="H665" s="21">
        <v>10</v>
      </c>
      <c r="K665" s="64">
        <v>2</v>
      </c>
      <c r="L665" s="171" t="str">
        <f>IF(TArticle[[#This Row],[کد وضعیت سند]]&gt;0,VLOOKUP(TArticle[[#This Row],[کد وضعیت سند]],TDocState[],2,FALSE),"")</f>
        <v>قطعی</v>
      </c>
      <c r="M665" s="27">
        <v>115</v>
      </c>
      <c r="N665" s="171" t="str">
        <f>IF(TArticle[[#This Row],[کد طرف حساب]]&gt;0,VLOOKUP(TArticle[[#This Row],[کد طرف حساب]],TContact[],2,FALSE),"")</f>
        <v>وام فرزند مهر</v>
      </c>
      <c r="O665" s="51">
        <f>IF(TArticle[[#This Row],[کد طرف حساب]]&gt;0,VLOOKUP(TArticle[[#This Row],[کد طرف حساب]],TContact[],7,FALSE)-SUMIF($M$2:M665,M665,$E$2:$E665),"")</f>
        <v>-48984</v>
      </c>
      <c r="P665" s="27" t="str">
        <f>RIGHT(TArticle[[#This Row],[تاریخ]],2)</f>
        <v>03</v>
      </c>
      <c r="Q665" s="27">
        <f>VLOOKUP(TArticle[[#This Row],[تاریخ]],TDays[],16,FALSE)</f>
        <v>14</v>
      </c>
      <c r="R665" s="27" t="str">
        <f>RIGHT(LEFT(TArticle[[#This Row],[تاریخ]],7),2)</f>
        <v>04</v>
      </c>
      <c r="S665" s="27" t="str">
        <f>LEFT(TArticle[[#This Row],[تاریخ]],4)</f>
        <v>1403</v>
      </c>
      <c r="U665" s="21">
        <f>VLOOKUP(TArticle[[#This Row],[شناسه]],TAccount[],7,TRUE)</f>
        <v>81652</v>
      </c>
      <c r="V665" s="28"/>
      <c r="W665" s="21">
        <f>IF(AND(TArticle[[#This Row],[مبلغ]]&gt;0, TArticle[[#This Row],[کد وضعیت سند]]=1),TArticle[[#This Row],[مبلغ]],0)</f>
        <v>0</v>
      </c>
      <c r="X665" s="21">
        <f>IF(AND(TArticle[[#This Row],[مبلغ]]&lt;0,TArticle[[#This Row],[کد وضعیت سند]]=1),0-TArticle[[#This Row],[مبلغ]],0)</f>
        <v>0</v>
      </c>
      <c r="Y665" s="27">
        <v>2</v>
      </c>
      <c r="Z665" s="171" t="str">
        <f>IF(TArticle[[#This Row],[کد بانک]]&gt;0,VLOOKUP(TArticle[[#This Row],[کد بانک]],TBank[],2,FALSE),"")</f>
        <v>ملی جاری</v>
      </c>
      <c r="AA665">
        <f>IF(AND(TArticle[[#This Row],[مبلغ]]&lt;0,TArticle[[#This Row],[کد وضعیت سند]]=1),0-TArticle[[#This Row],[مبلغ]],0)</f>
        <v>0</v>
      </c>
      <c r="AB665">
        <f>IF(AND(TArticle[[#This Row],[مبلغ]]&gt;0, TArticle[[#This Row],[کد وضعیت سند]]=1),TArticle[[#This Row],[مبلغ]],0)</f>
        <v>0</v>
      </c>
      <c r="AC665" s="84">
        <f>IF(TArticle[[#This Row],[کد بانک]]&gt;0,VLOOKUP(TArticle[[#This Row],[کد بانک]],TBank[],9,FALSE)+SUMIF($Y$2:Y665,Y665,$E$2:$E665),"")</f>
        <v>381190</v>
      </c>
      <c r="AD665" s="1">
        <f>IFERROR(IF(INT(LEFT(TArticle[[#This Row],[شناسه]]))=3,IF(TArticle[[#This Row],[کد وضعیت سند]]=1,TArticle[مبلغ],0),0),0)</f>
        <v>0</v>
      </c>
      <c r="AE665" s="1">
        <f>IFERROR(IF(((TArticle[[#This Row],[شناسه]]))="4.1.1",IF(TArticle[[#This Row],[کد وضعیت سند]]=1,TArticle[مبلغ],0),0),0)</f>
        <v>0</v>
      </c>
      <c r="AF665" s="1">
        <f>IFERROR(IF(((TArticle[[#This Row],[شناسه]]))="4.1.2",IF(TArticle[[#This Row],[کد وضعیت سند]]=1,TArticle[مبلغ],0),0),0)</f>
        <v>0</v>
      </c>
      <c r="AG665" s="1">
        <f>IFERROR(IF(INT(LEFT(TArticle[[#This Row],[شناسه]]))=1,IF(TArticle[[#This Row],[کد وضعیت سند]]=1,TArticle[مبلغ],0),0),0)</f>
        <v>0</v>
      </c>
      <c r="AH665" s="1">
        <f>IFERROR(IF(INT(LEFT(TArticle[[#This Row],[شناسه]]))=2,IF(TArticle[[#This Row],[کد وضعیت سند]]=1,TArticle[مبلغ],0),0),0)</f>
        <v>0</v>
      </c>
      <c r="AI665" s="1">
        <f>IFERROR(IF((LEFT(TArticle[[#This Row],[شناسه]],3))="5.2",IF(TArticle[[#This Row],[کد وضعیت سند]]=1,TArticle[مبلغ],0),0),0)</f>
        <v>0</v>
      </c>
      <c r="AJ665" s="1">
        <f>IF(TArticle[[#This Row],[کد وضعیت سند]]=1,1,0)</f>
        <v>0</v>
      </c>
      <c r="AK665" s="1">
        <f>IF(AND(TArticle[[#This Row],[کد وضعیت سند]]&lt;&gt;1,TArticle[[#This Row],[مبلغ]]&lt;&gt;0),1,0)</f>
        <v>1</v>
      </c>
      <c r="AL665" s="51">
        <f>IF(TArticle[[#This Row],[کد بانک]]&gt;0,TArticle[[#This Row],[مانده بانک]]-VLOOKUP(TArticle[[#This Row],[کد بانک]],TBank[],7,FALSE),"")</f>
        <v>381190</v>
      </c>
      <c r="AM665" s="58" t="str">
        <f>LEFT(TArticle[[#This Row],[تاریخ]],7)</f>
        <v>1403-04</v>
      </c>
    </row>
    <row r="666" spans="1:39" x14ac:dyDescent="0.25">
      <c r="A666" s="24" t="s">
        <v>1110</v>
      </c>
      <c r="B666" s="49" t="str">
        <f>VLOOKUP(TArticle[[#This Row],[شناسه]],TAccount[],2,TRUE)</f>
        <v>قسط وام بانکی</v>
      </c>
      <c r="C666" s="49" t="str">
        <f>VLOOKUP(TArticle[[#This Row],[تاریخ]],TDays[],7,FALSE)</f>
        <v>دوشنبه</v>
      </c>
      <c r="D666" s="21" t="s">
        <v>1322</v>
      </c>
      <c r="E666" s="1">
        <v>-532</v>
      </c>
      <c r="F666" s="1">
        <f>TArticle[[#This Row],[مبلغ]]+IFERROR(INT(F665),30181+3667+958)</f>
        <v>339006</v>
      </c>
      <c r="G666" s="49"/>
      <c r="H666" s="21">
        <v>16</v>
      </c>
      <c r="J666" s="65"/>
      <c r="K666" s="64">
        <v>2</v>
      </c>
      <c r="L666" s="171" t="str">
        <f>IF(TArticle[[#This Row],[کد وضعیت سند]]&gt;0,VLOOKUP(TArticle[[#This Row],[کد وضعیت سند]],TDocState[],2,FALSE),"")</f>
        <v>قطعی</v>
      </c>
      <c r="M666" s="67">
        <v>116</v>
      </c>
      <c r="N666" s="171" t="str">
        <f>IF(TArticle[[#This Row],[کد طرف حساب]]&gt;0,VLOOKUP(TArticle[[#This Row],[کد طرف حساب]],TContact[],2,FALSE),"")</f>
        <v>وام امتیازی مهر</v>
      </c>
      <c r="O666" s="68">
        <f>IF(TArticle[[#This Row],[کد طرف حساب]]&gt;0,VLOOKUP(TArticle[[#This Row],[کد طرف حساب]],TContact[],7,FALSE)-SUMIF($M$2:M666,M666,$E$2:$E666),"")</f>
        <v>-4252</v>
      </c>
      <c r="P666" s="67" t="str">
        <f>RIGHT(TArticle[[#This Row],[تاریخ]],2)</f>
        <v>04</v>
      </c>
      <c r="Q666" s="67">
        <f>VLOOKUP(TArticle[[#This Row],[تاریخ]],TDays[],16,FALSE)</f>
        <v>15</v>
      </c>
      <c r="R666" s="67" t="str">
        <f>RIGHT(LEFT(TArticle[[#This Row],[تاریخ]],7),2)</f>
        <v>04</v>
      </c>
      <c r="S666" s="67" t="str">
        <f>LEFT(TArticle[[#This Row],[تاریخ]],4)</f>
        <v>1403</v>
      </c>
      <c r="T666" s="64"/>
      <c r="U666" s="64">
        <f>VLOOKUP(TArticle[[#This Row],[شناسه]],TAccount[],7,TRUE)</f>
        <v>81652</v>
      </c>
      <c r="V666" s="64"/>
      <c r="W666" s="64">
        <f>IF(AND(TArticle[[#This Row],[مبلغ]]&gt;0, TArticle[[#This Row],[کد وضعیت سند]]=1),TArticle[[#This Row],[مبلغ]],0)</f>
        <v>0</v>
      </c>
      <c r="X666" s="67">
        <f>IF(AND(TArticle[[#This Row],[مبلغ]]&lt;0,TArticle[[#This Row],[کد وضعیت سند]]=1),0-TArticle[[#This Row],[مبلغ]],0)</f>
        <v>0</v>
      </c>
      <c r="Y666" s="27">
        <v>2</v>
      </c>
      <c r="Z666" s="171" t="str">
        <f>IF(TArticle[[#This Row],[کد بانک]]&gt;0,VLOOKUP(TArticle[[#This Row],[کد بانک]],TBank[],2,FALSE),"")</f>
        <v>ملی جاری</v>
      </c>
      <c r="AA666">
        <f>IF(AND(TArticle[[#This Row],[مبلغ]]&lt;0,TArticle[[#This Row],[کد وضعیت سند]]=1),0-TArticle[[#This Row],[مبلغ]],0)</f>
        <v>0</v>
      </c>
      <c r="AB666">
        <f>IF(AND(TArticle[[#This Row],[مبلغ]]&gt;0, TArticle[[#This Row],[کد وضعیت سند]]=1),TArticle[[#This Row],[مبلغ]],0)</f>
        <v>0</v>
      </c>
      <c r="AC666" s="93">
        <f>IF(TArticle[[#This Row],[کد بانک]]&gt;0,VLOOKUP(TArticle[[#This Row],[کد بانک]],TBank[],9,FALSE)+SUMIF($Y$2:Y666,Y666,$E$2:$E666),"")</f>
        <v>380658</v>
      </c>
      <c r="AD666" s="1">
        <f>IFERROR(IF(INT(LEFT(TArticle[[#This Row],[شناسه]]))=3,IF(TArticle[[#This Row],[کد وضعیت سند]]=1,TArticle[مبلغ],0),0),0)</f>
        <v>0</v>
      </c>
      <c r="AE666" s="1">
        <f>IFERROR(IF(((TArticle[[#This Row],[شناسه]]))="4.1.1",IF(TArticle[[#This Row],[کد وضعیت سند]]=1,TArticle[مبلغ],0),0),0)</f>
        <v>0</v>
      </c>
      <c r="AF666" s="1">
        <f>IFERROR(IF(((TArticle[[#This Row],[شناسه]]))="4.1.2",IF(TArticle[[#This Row],[کد وضعیت سند]]=1,TArticle[مبلغ],0),0),0)</f>
        <v>0</v>
      </c>
      <c r="AG666" s="1">
        <f>IFERROR(IF(INT(LEFT(TArticle[[#This Row],[شناسه]]))=1,IF(TArticle[[#This Row],[کد وضعیت سند]]=1,TArticle[مبلغ],0),0),0)</f>
        <v>0</v>
      </c>
      <c r="AH666" s="1">
        <f>IFERROR(IF(INT(LEFT(TArticle[[#This Row],[شناسه]]))=2,IF(TArticle[[#This Row],[کد وضعیت سند]]=1,TArticle[مبلغ],0),0),0)</f>
        <v>0</v>
      </c>
      <c r="AI666" s="1">
        <f>IFERROR(IF((LEFT(TArticle[[#This Row],[شناسه]],3))="5.2",IF(TArticle[[#This Row],[کد وضعیت سند]]=1,TArticle[مبلغ],0),0),0)</f>
        <v>0</v>
      </c>
      <c r="AJ666" s="1">
        <f>IF(TArticle[[#This Row],[کد وضعیت سند]]=1,1,0)</f>
        <v>0</v>
      </c>
      <c r="AK666" s="1">
        <f>IF(AND(TArticle[[#This Row],[کد وضعیت سند]]&lt;&gt;1,TArticle[[#This Row],[مبلغ]]&lt;&gt;0),1,0)</f>
        <v>1</v>
      </c>
      <c r="AL666" s="78">
        <f>IF(TArticle[[#This Row],[کد بانک]]&gt;0,TArticle[[#This Row],[مانده بانک]]-VLOOKUP(TArticle[[#This Row],[کد بانک]],TBank[],7,FALSE),"")</f>
        <v>380658</v>
      </c>
      <c r="AM666" s="69" t="str">
        <f>LEFT(TArticle[[#This Row],[تاریخ]],7)</f>
        <v>1403-04</v>
      </c>
    </row>
    <row r="667" spans="1:39" x14ac:dyDescent="0.25">
      <c r="A667" s="24" t="s">
        <v>1110</v>
      </c>
      <c r="B667" s="49" t="str">
        <f>VLOOKUP(TArticle[[#This Row],[شناسه]],TAccount[],2,TRUE)</f>
        <v>قسط وام بانکی</v>
      </c>
      <c r="C667" s="49" t="str">
        <f>VLOOKUP(TArticle[[#This Row],[تاریخ]],TDays[],7,FALSE)</f>
        <v>شنبه</v>
      </c>
      <c r="D667" s="21" t="s">
        <v>1327</v>
      </c>
      <c r="E667" s="1">
        <f>'طرف حساب'!$J$29</f>
        <v>-3616</v>
      </c>
      <c r="F667" s="1">
        <f>TArticle[[#This Row],[مبلغ]]+IFERROR(INT(F666),30181+3667+958)</f>
        <v>335390</v>
      </c>
      <c r="G667" s="49"/>
      <c r="H667" s="21">
        <v>17</v>
      </c>
      <c r="J667" s="51"/>
      <c r="K667" s="64">
        <v>2</v>
      </c>
      <c r="L667" s="171" t="str">
        <f>IF(TArticle[[#This Row],[کد وضعیت سند]]&gt;0,VLOOKUP(TArticle[[#This Row],[کد وضعیت سند]],TDocState[],2,FALSE),"")</f>
        <v>قطعی</v>
      </c>
      <c r="M667" s="67">
        <v>114</v>
      </c>
      <c r="N667" s="171" t="str">
        <f>IF(TArticle[[#This Row],[کد طرف حساب]]&gt;0,VLOOKUP(TArticle[[#This Row],[کد طرف حساب]],TContact[],2,FALSE),"")</f>
        <v>وام کارت ملی ف</v>
      </c>
      <c r="O667" s="60">
        <f>IF(TArticle[[#This Row],[کد طرف حساب]]&gt;0,VLOOKUP(TArticle[[#This Row],[کد طرف حساب]],TContact[],7,FALSE)-SUMIF($M$2:M667,M667,$E$2:$E667),"")</f>
        <v>-69986</v>
      </c>
      <c r="P667" s="27" t="str">
        <f>RIGHT(TArticle[[#This Row],[تاریخ]],2)</f>
        <v>09</v>
      </c>
      <c r="Q667" s="27">
        <f>VLOOKUP(TArticle[[#This Row],[تاریخ]],TDays[],16,FALSE)</f>
        <v>15</v>
      </c>
      <c r="R667" s="27" t="str">
        <f>RIGHT(LEFT(TArticle[[#This Row],[تاریخ]],7),2)</f>
        <v>04</v>
      </c>
      <c r="S667" s="27" t="str">
        <f>LEFT(TArticle[[#This Row],[تاریخ]],4)</f>
        <v>1403</v>
      </c>
      <c r="U667" s="21">
        <f>VLOOKUP(TArticle[[#This Row],[شناسه]],TAccount[],7,TRUE)</f>
        <v>81652</v>
      </c>
      <c r="W667" s="21">
        <f>IF(AND(TArticle[[#This Row],[مبلغ]]&gt;0, TArticle[[#This Row],[کد وضعیت سند]]=1),TArticle[[#This Row],[مبلغ]],0)</f>
        <v>0</v>
      </c>
      <c r="X667" s="27">
        <f>IF(AND(TArticle[[#This Row],[مبلغ]]&lt;0,TArticle[[#This Row],[کد وضعیت سند]]=1),0-TArticle[[#This Row],[مبلغ]],0)</f>
        <v>0</v>
      </c>
      <c r="Y667" s="27">
        <v>2</v>
      </c>
      <c r="Z667" s="171" t="str">
        <f>IF(TArticle[[#This Row],[کد بانک]]&gt;0,VLOOKUP(TArticle[[#This Row],[کد بانک]],TBank[],2,FALSE),"")</f>
        <v>ملی جاری</v>
      </c>
      <c r="AA667">
        <f>IF(AND(TArticle[[#This Row],[مبلغ]]&lt;0,TArticle[[#This Row],[کد وضعیت سند]]=1),0-TArticle[[#This Row],[مبلغ]],0)</f>
        <v>0</v>
      </c>
      <c r="AB667">
        <f>IF(AND(TArticle[[#This Row],[مبلغ]]&gt;0, TArticle[[#This Row],[کد وضعیت سند]]=1),TArticle[[#This Row],[مبلغ]],0)</f>
        <v>0</v>
      </c>
      <c r="AC667" s="92">
        <f>IF(TArticle[[#This Row],[کد بانک]]&gt;0,VLOOKUP(TArticle[[#This Row],[کد بانک]],TBank[],9,FALSE)+SUMIF($Y$2:Y667,Y667,$E$2:$E667),"")</f>
        <v>377042</v>
      </c>
      <c r="AD667" s="1">
        <f>IFERROR(IF(INT(LEFT(TArticle[[#This Row],[شناسه]]))=3,IF(TArticle[[#This Row],[کد وضعیت سند]]=1,TArticle[مبلغ],0),0),0)</f>
        <v>0</v>
      </c>
      <c r="AE667" s="1">
        <f>IFERROR(IF(((TArticle[[#This Row],[شناسه]]))="4.1.1",IF(TArticle[[#This Row],[کد وضعیت سند]]=1,TArticle[مبلغ],0),0),0)</f>
        <v>0</v>
      </c>
      <c r="AF667" s="1">
        <f>IFERROR(IF(((TArticle[[#This Row],[شناسه]]))="4.1.2",IF(TArticle[[#This Row],[کد وضعیت سند]]=1,TArticle[مبلغ],0),0),0)</f>
        <v>0</v>
      </c>
      <c r="AG667" s="1">
        <f>IFERROR(IF(INT(LEFT(TArticle[[#This Row],[شناسه]]))=1,IF(TArticle[[#This Row],[کد وضعیت سند]]=1,TArticle[مبلغ],0),0),0)</f>
        <v>0</v>
      </c>
      <c r="AH667" s="1">
        <f>IFERROR(IF(INT(LEFT(TArticle[[#This Row],[شناسه]]))=2,IF(TArticle[[#This Row],[کد وضعیت سند]]=1,TArticle[مبلغ],0),0),0)</f>
        <v>0</v>
      </c>
      <c r="AI667" s="1">
        <f>IFERROR(IF((LEFT(TArticle[[#This Row],[شناسه]],3))="5.2",IF(TArticle[[#This Row],[کد وضعیت سند]]=1,TArticle[مبلغ],0),0),0)</f>
        <v>0</v>
      </c>
      <c r="AJ667" s="1">
        <f>IF(TArticle[[#This Row],[کد وضعیت سند]]=1,1,0)</f>
        <v>0</v>
      </c>
      <c r="AK667" s="1">
        <f>IF(AND(TArticle[[#This Row],[کد وضعیت سند]]&lt;&gt;1,TArticle[[#This Row],[مبلغ]]&lt;&gt;0),1,0)</f>
        <v>1</v>
      </c>
      <c r="AL667" s="51">
        <f>IF(TArticle[[#This Row],[کد بانک]]&gt;0,TArticle[[#This Row],[مانده بانک]]-VLOOKUP(TArticle[[#This Row],[کد بانک]],TBank[],7,FALSE),"")</f>
        <v>377042</v>
      </c>
      <c r="AM667" s="58" t="str">
        <f>LEFT(TArticle[[#This Row],[تاریخ]],7)</f>
        <v>1403-04</v>
      </c>
    </row>
    <row r="668" spans="1:39" x14ac:dyDescent="0.25">
      <c r="A668" s="24" t="s">
        <v>1013</v>
      </c>
      <c r="B668" s="49" t="str">
        <f>VLOOKUP(TArticle[[#This Row],[شناسه]],TAccount[],2,TRUE)</f>
        <v>یارانه</v>
      </c>
      <c r="C668" s="49" t="str">
        <f>VLOOKUP(TArticle[[#This Row],[تاریخ]],TDays[],7,FALSE)</f>
        <v>چهارشنبه</v>
      </c>
      <c r="D668" s="21" t="s">
        <v>1338</v>
      </c>
      <c r="E668" s="1">
        <v>1500</v>
      </c>
      <c r="F668" s="1">
        <f>TArticle[[#This Row],[مبلغ]]+IFERROR(INT(F667),30181+3667+958)</f>
        <v>336890</v>
      </c>
      <c r="G668" s="49"/>
      <c r="H668" s="64"/>
      <c r="J668" s="65"/>
      <c r="K668" s="64">
        <v>2</v>
      </c>
      <c r="L668" s="171" t="str">
        <f>IF(TArticle[[#This Row],[کد وضعیت سند]]&gt;0,VLOOKUP(TArticle[[#This Row],[کد وضعیت سند]],TDocState[],2,FALSE),"")</f>
        <v>قطعی</v>
      </c>
      <c r="M668" s="67"/>
      <c r="N668" s="171" t="str">
        <f>IF(TArticle[[#This Row],[کد طرف حساب]]&gt;0,VLOOKUP(TArticle[[#This Row],[کد طرف حساب]],TContact[],2,FALSE),"")</f>
        <v/>
      </c>
      <c r="O668" s="68" t="str">
        <f>IF(TArticle[[#This Row],[کد طرف حساب]]&gt;0,VLOOKUP(TArticle[[#This Row],[کد طرف حساب]],TContact[],7,FALSE)-SUMIF($M$2:M668,M668,$E$2:$E668),"")</f>
        <v/>
      </c>
      <c r="P668" s="67" t="str">
        <f>RIGHT(TArticle[[#This Row],[تاریخ]],2)</f>
        <v>20</v>
      </c>
      <c r="Q668" s="67">
        <f>VLOOKUP(TArticle[[#This Row],[تاریخ]],TDays[],16,FALSE)</f>
        <v>17</v>
      </c>
      <c r="R668" s="67" t="str">
        <f>RIGHT(LEFT(TArticle[[#This Row],[تاریخ]],7),2)</f>
        <v>04</v>
      </c>
      <c r="S668" s="67" t="str">
        <f>LEFT(TArticle[[#This Row],[تاریخ]],4)</f>
        <v>1403</v>
      </c>
      <c r="T668" s="64"/>
      <c r="U668" s="64">
        <f>VLOOKUP(TArticle[[#This Row],[شناسه]],TAccount[],7,TRUE)</f>
        <v>12565</v>
      </c>
      <c r="V668" s="64"/>
      <c r="W668" s="64">
        <f>IF(AND(TArticle[[#This Row],[مبلغ]]&gt;0, TArticle[[#This Row],[کد وضعیت سند]]=1),TArticle[[#This Row],[مبلغ]],0)</f>
        <v>0</v>
      </c>
      <c r="X668" s="67">
        <f>IF(AND(TArticle[[#This Row],[مبلغ]]&lt;0,TArticle[[#This Row],[کد وضعیت سند]]=1),0-TArticle[[#This Row],[مبلغ]],0)</f>
        <v>0</v>
      </c>
      <c r="Y668" s="27">
        <v>2</v>
      </c>
      <c r="Z668" s="171" t="str">
        <f>IF(TArticle[[#This Row],[کد بانک]]&gt;0,VLOOKUP(TArticle[[#This Row],[کد بانک]],TBank[],2,FALSE),"")</f>
        <v>ملی جاری</v>
      </c>
      <c r="AA668">
        <f>IF(AND(TArticle[[#This Row],[مبلغ]]&lt;0,TArticle[[#This Row],[کد وضعیت سند]]=1),0-TArticle[[#This Row],[مبلغ]],0)</f>
        <v>0</v>
      </c>
      <c r="AB668">
        <f>IF(AND(TArticle[[#This Row],[مبلغ]]&gt;0, TArticle[[#This Row],[کد وضعیت سند]]=1),TArticle[[#This Row],[مبلغ]],0)</f>
        <v>0</v>
      </c>
      <c r="AC668" s="93">
        <f>IF(TArticle[[#This Row],[کد بانک]]&gt;0,VLOOKUP(TArticle[[#This Row],[کد بانک]],TBank[],9,FALSE)+SUMIF($Y$2:Y668,Y668,$E$2:$E668),"")</f>
        <v>378542</v>
      </c>
      <c r="AD668" s="1">
        <f>IFERROR(IF(INT(LEFT(TArticle[[#This Row],[شناسه]]))=3,IF(TArticle[[#This Row],[کد وضعیت سند]]=1,TArticle[مبلغ],0),0),0)</f>
        <v>0</v>
      </c>
      <c r="AE668" s="1">
        <f>IFERROR(IF(((TArticle[[#This Row],[شناسه]]))="4.1.1",IF(TArticle[[#This Row],[کد وضعیت سند]]=1,TArticle[مبلغ],0),0),0)</f>
        <v>0</v>
      </c>
      <c r="AF668" s="1">
        <f>IFERROR(IF(((TArticle[[#This Row],[شناسه]]))="4.1.2",IF(TArticle[[#This Row],[کد وضعیت سند]]=1,TArticle[مبلغ],0),0),0)</f>
        <v>0</v>
      </c>
      <c r="AG668" s="1">
        <f>IFERROR(IF(INT(LEFT(TArticle[[#This Row],[شناسه]]))=1,IF(TArticle[[#This Row],[کد وضعیت سند]]=1,TArticle[مبلغ],0),0),0)</f>
        <v>0</v>
      </c>
      <c r="AH668" s="1">
        <f>IFERROR(IF(INT(LEFT(TArticle[[#This Row],[شناسه]]))=2,IF(TArticle[[#This Row],[کد وضعیت سند]]=1,TArticle[مبلغ],0),0),0)</f>
        <v>0</v>
      </c>
      <c r="AI668" s="1">
        <f>IFERROR(IF((LEFT(TArticle[[#This Row],[شناسه]],3))="5.2",IF(TArticle[[#This Row],[کد وضعیت سند]]=1,TArticle[مبلغ],0),0),0)</f>
        <v>0</v>
      </c>
      <c r="AJ668" s="1">
        <f>IF(TArticle[[#This Row],[کد وضعیت سند]]=1,1,0)</f>
        <v>0</v>
      </c>
      <c r="AK668" s="1">
        <f>IF(AND(TArticle[[#This Row],[کد وضعیت سند]]&lt;&gt;1,TArticle[[#This Row],[مبلغ]]&lt;&gt;0),1,0)</f>
        <v>1</v>
      </c>
      <c r="AL668" s="78">
        <f>IF(TArticle[[#This Row],[کد بانک]]&gt;0,TArticle[[#This Row],[مانده بانک]]-VLOOKUP(TArticle[[#This Row],[کد بانک]],TBank[],7,FALSE),"")</f>
        <v>378542</v>
      </c>
      <c r="AM668" s="69" t="str">
        <f>LEFT(TArticle[[#This Row],[تاریخ]],7)</f>
        <v>1403-04</v>
      </c>
    </row>
    <row r="669" spans="1:39" x14ac:dyDescent="0.25">
      <c r="A669" s="24" t="s">
        <v>43</v>
      </c>
      <c r="B669" s="49" t="str">
        <f>VLOOKUP(TArticle[[#This Row],[شناسه]],TAccount[],2,TRUE)</f>
        <v>حقوق</v>
      </c>
      <c r="C669" s="49" t="str">
        <f>VLOOKUP(TArticle[[#This Row],[تاریخ]],TDays[],7,FALSE)</f>
        <v>دوشنبه</v>
      </c>
      <c r="D669" s="21" t="s">
        <v>1350</v>
      </c>
      <c r="E669" s="1">
        <v>42000</v>
      </c>
      <c r="F669" s="1">
        <f>TArticle[[#This Row],[مبلغ]]+IFERROR(INT(F668),30181+3667+958)</f>
        <v>378890</v>
      </c>
      <c r="G669" s="49"/>
      <c r="H669" s="64"/>
      <c r="J669" s="65"/>
      <c r="K669" s="64">
        <v>2</v>
      </c>
      <c r="L669" s="171" t="str">
        <f>IF(TArticle[[#This Row],[کد وضعیت سند]]&gt;0,VLOOKUP(TArticle[[#This Row],[کد وضعیت سند]],TDocState[],2,FALSE),"")</f>
        <v>قطعی</v>
      </c>
      <c r="M669" s="67"/>
      <c r="N669" s="171" t="str">
        <f>IF(TArticle[[#This Row],[کد طرف حساب]]&gt;0,VLOOKUP(TArticle[[#This Row],[کد طرف حساب]],TContact[],2,FALSE),"")</f>
        <v/>
      </c>
      <c r="O669" s="68" t="str">
        <f>IF(TArticle[[#This Row],[کد طرف حساب]]&gt;0,VLOOKUP(TArticle[[#This Row],[کد طرف حساب]],TContact[],7,FALSE)-SUMIF($M$2:M669,M669,$E$2:$E669),"")</f>
        <v/>
      </c>
      <c r="P669" s="67" t="str">
        <f>RIGHT(TArticle[[#This Row],[تاریخ]],2)</f>
        <v>01</v>
      </c>
      <c r="Q669" s="67">
        <f>VLOOKUP(TArticle[[#This Row],[تاریخ]],TDays[],16,FALSE)</f>
        <v>19</v>
      </c>
      <c r="R669" s="67" t="str">
        <f>RIGHT(LEFT(TArticle[[#This Row],[تاریخ]],7),2)</f>
        <v>05</v>
      </c>
      <c r="S669" s="67" t="str">
        <f>LEFT(TArticle[[#This Row],[تاریخ]],4)</f>
        <v>1403</v>
      </c>
      <c r="T669" s="64"/>
      <c r="U669" s="64">
        <f>VLOOKUP(TArticle[[#This Row],[شناسه]],TAccount[],7,TRUE)</f>
        <v>416023</v>
      </c>
      <c r="V669" s="64"/>
      <c r="W669" s="64">
        <f>IF(AND(TArticle[[#This Row],[مبلغ]]&gt;0, TArticle[[#This Row],[کد وضعیت سند]]=1),TArticle[[#This Row],[مبلغ]],0)</f>
        <v>0</v>
      </c>
      <c r="X669" s="67">
        <f>IF(AND(TArticle[[#This Row],[مبلغ]]&lt;0,TArticle[[#This Row],[کد وضعیت سند]]=1),0-TArticle[[#This Row],[مبلغ]],0)</f>
        <v>0</v>
      </c>
      <c r="Y669" s="27">
        <v>2</v>
      </c>
      <c r="Z669" s="171" t="str">
        <f>IF(TArticle[[#This Row],[کد بانک]]&gt;0,VLOOKUP(TArticle[[#This Row],[کد بانک]],TBank[],2,FALSE),"")</f>
        <v>ملی جاری</v>
      </c>
      <c r="AA669">
        <f>IF(AND(TArticle[[#This Row],[مبلغ]]&lt;0,TArticle[[#This Row],[کد وضعیت سند]]=1),0-TArticle[[#This Row],[مبلغ]],0)</f>
        <v>0</v>
      </c>
      <c r="AB669">
        <f>IF(AND(TArticle[[#This Row],[مبلغ]]&gt;0, TArticle[[#This Row],[کد وضعیت سند]]=1),TArticle[[#This Row],[مبلغ]],0)</f>
        <v>0</v>
      </c>
      <c r="AC669" s="93">
        <f>IF(TArticle[[#This Row],[کد بانک]]&gt;0,VLOOKUP(TArticle[[#This Row],[کد بانک]],TBank[],9,FALSE)+SUMIF($Y$2:Y669,Y669,$E$2:$E669),"")</f>
        <v>420542</v>
      </c>
      <c r="AD669" s="1">
        <f>IFERROR(IF(INT(LEFT(TArticle[[#This Row],[شناسه]]))=3,IF(TArticle[[#This Row],[کد وضعیت سند]]=1,TArticle[مبلغ],0),0),0)</f>
        <v>0</v>
      </c>
      <c r="AE669" s="1">
        <f>IFERROR(IF(((TArticle[[#This Row],[شناسه]]))="4.1.1",IF(TArticle[[#This Row],[کد وضعیت سند]]=1,TArticle[مبلغ],0),0),0)</f>
        <v>0</v>
      </c>
      <c r="AF669" s="1">
        <f>IFERROR(IF(((TArticle[[#This Row],[شناسه]]))="4.1.2",IF(TArticle[[#This Row],[کد وضعیت سند]]=1,TArticle[مبلغ],0),0),0)</f>
        <v>0</v>
      </c>
      <c r="AG669" s="1">
        <f>IFERROR(IF(INT(LEFT(TArticle[[#This Row],[شناسه]]))=1,IF(TArticle[[#This Row],[کد وضعیت سند]]=1,TArticle[مبلغ],0),0),0)</f>
        <v>0</v>
      </c>
      <c r="AH669" s="1">
        <f>IFERROR(IF(INT(LEFT(TArticle[[#This Row],[شناسه]]))=2,IF(TArticle[[#This Row],[کد وضعیت سند]]=1,TArticle[مبلغ],0),0),0)</f>
        <v>0</v>
      </c>
      <c r="AI669" s="1">
        <f>IFERROR(IF((LEFT(TArticle[[#This Row],[شناسه]],3))="5.2",IF(TArticle[[#This Row],[کد وضعیت سند]]=1,TArticle[مبلغ],0),0),0)</f>
        <v>0</v>
      </c>
      <c r="AJ669" s="1">
        <f>IF(TArticle[[#This Row],[کد وضعیت سند]]=1,1,0)</f>
        <v>0</v>
      </c>
      <c r="AK669" s="1">
        <f>IF(AND(TArticle[[#This Row],[کد وضعیت سند]]&lt;&gt;1,TArticle[[#This Row],[مبلغ]]&lt;&gt;0),1,0)</f>
        <v>1</v>
      </c>
      <c r="AL669" s="78">
        <f>IF(TArticle[[#This Row],[کد بانک]]&gt;0,TArticle[[#This Row],[مانده بانک]]-VLOOKUP(TArticle[[#This Row],[کد بانک]],TBank[],7,FALSE),"")</f>
        <v>420542</v>
      </c>
      <c r="AM669" s="69" t="str">
        <f>LEFT(TArticle[[#This Row],[تاریخ]],7)</f>
        <v>1403-05</v>
      </c>
    </row>
    <row r="670" spans="1:39" x14ac:dyDescent="0.25">
      <c r="A670" s="24" t="s">
        <v>1608</v>
      </c>
      <c r="B670" s="49" t="str">
        <f>VLOOKUP(TArticle[[#This Row],[شناسه]],TAccount[],2,TRUE)</f>
        <v>بن کارت</v>
      </c>
      <c r="C670" s="49" t="str">
        <f>VLOOKUP(TArticle[[#This Row],[تاریخ]],TDays[],7,FALSE)</f>
        <v>دوشنبه</v>
      </c>
      <c r="D670" s="21" t="s">
        <v>1350</v>
      </c>
      <c r="E670" s="1">
        <v>3000</v>
      </c>
      <c r="F670" s="1">
        <f>TArticle[[#This Row],[مبلغ]]+IFERROR(INT(F669),30181+3667+958)</f>
        <v>381890</v>
      </c>
      <c r="G670" s="49"/>
      <c r="J670" s="65"/>
      <c r="K670" s="64">
        <v>2</v>
      </c>
      <c r="L670" s="171" t="str">
        <f>IF(TArticle[[#This Row],[کد وضعیت سند]]&gt;0,VLOOKUP(TArticle[[#This Row],[کد وضعیت سند]],TDocState[],2,FALSE),"")</f>
        <v>قطعی</v>
      </c>
      <c r="M670" s="67"/>
      <c r="N670" s="171" t="str">
        <f>IF(TArticle[[#This Row],[کد طرف حساب]]&gt;0,VLOOKUP(TArticle[[#This Row],[کد طرف حساب]],TContact[],2,FALSE),"")</f>
        <v/>
      </c>
      <c r="O670" s="68" t="str">
        <f>IF(TArticle[[#This Row],[کد طرف حساب]]&gt;0,VLOOKUP(TArticle[[#This Row],[کد طرف حساب]],TContact[],7,FALSE)-SUMIF($M$2:M670,M670,$E$2:$E670),"")</f>
        <v/>
      </c>
      <c r="P670" s="67" t="str">
        <f>RIGHT(TArticle[[#This Row],[تاریخ]],2)</f>
        <v>01</v>
      </c>
      <c r="Q670" s="67">
        <f>VLOOKUP(TArticle[[#This Row],[تاریخ]],TDays[],16,FALSE)</f>
        <v>19</v>
      </c>
      <c r="R670" s="67" t="str">
        <f>RIGHT(LEFT(TArticle[[#This Row],[تاریخ]],7),2)</f>
        <v>05</v>
      </c>
      <c r="S670" s="67" t="str">
        <f>LEFT(TArticle[[#This Row],[تاریخ]],4)</f>
        <v>1403</v>
      </c>
      <c r="T670" s="64"/>
      <c r="U670" s="64">
        <f>VLOOKUP(TArticle[[#This Row],[شناسه]],TAccount[],7,TRUE)</f>
        <v>3000</v>
      </c>
      <c r="V670" s="28"/>
      <c r="W670" s="64">
        <f>IF(AND(TArticle[[#This Row],[مبلغ]]&gt;0, TArticle[[#This Row],[کد وضعیت سند]]=1),TArticle[[#This Row],[مبلغ]],0)</f>
        <v>0</v>
      </c>
      <c r="X670" s="67">
        <f>IF(AND(TArticle[[#This Row],[مبلغ]]&lt;0,TArticle[[#This Row],[کد وضعیت سند]]=1),0-TArticle[[#This Row],[مبلغ]],0)</f>
        <v>0</v>
      </c>
      <c r="Y670" s="27">
        <v>2</v>
      </c>
      <c r="Z670" s="171" t="str">
        <f>IF(TArticle[[#This Row],[کد بانک]]&gt;0,VLOOKUP(TArticle[[#This Row],[کد بانک]],TBank[],2,FALSE),"")</f>
        <v>ملی جاری</v>
      </c>
      <c r="AA670">
        <f>IF(AND(TArticle[[#This Row],[مبلغ]]&lt;0,TArticle[[#This Row],[کد وضعیت سند]]=1),0-TArticle[[#This Row],[مبلغ]],0)</f>
        <v>0</v>
      </c>
      <c r="AB670">
        <f>IF(AND(TArticle[[#This Row],[مبلغ]]&gt;0, TArticle[[#This Row],[کد وضعیت سند]]=1),TArticle[[#This Row],[مبلغ]],0)</f>
        <v>0</v>
      </c>
      <c r="AC670" s="93">
        <f>IF(TArticle[[#This Row],[کد بانک]]&gt;0,VLOOKUP(TArticle[[#This Row],[کد بانک]],TBank[],9,FALSE)+SUMIF($Y$2:Y670,Y670,$E$2:$E670),"")</f>
        <v>423542</v>
      </c>
      <c r="AD670" s="1">
        <f>IFERROR(IF(INT(LEFT(TArticle[[#This Row],[شناسه]]))=3,IF(TArticle[[#This Row],[کد وضعیت سند]]=1,TArticle[مبلغ],0),0),0)</f>
        <v>0</v>
      </c>
      <c r="AE670" s="1">
        <f>IFERROR(IF(((TArticle[[#This Row],[شناسه]]))="4.1.1",IF(TArticle[[#This Row],[کد وضعیت سند]]=1,TArticle[مبلغ],0),0),0)</f>
        <v>0</v>
      </c>
      <c r="AF670" s="1">
        <f>IFERROR(IF(((TArticle[[#This Row],[شناسه]]))="4.1.2",IF(TArticle[[#This Row],[کد وضعیت سند]]=1,TArticle[مبلغ],0),0),0)</f>
        <v>0</v>
      </c>
      <c r="AG670" s="1">
        <f>IFERROR(IF(INT(LEFT(TArticle[[#This Row],[شناسه]]))=1,IF(TArticle[[#This Row],[کد وضعیت سند]]=1,TArticle[مبلغ],0),0),0)</f>
        <v>0</v>
      </c>
      <c r="AH670" s="1">
        <f>IFERROR(IF(INT(LEFT(TArticle[[#This Row],[شناسه]]))=2,IF(TArticle[[#This Row],[کد وضعیت سند]]=1,TArticle[مبلغ],0),0),0)</f>
        <v>0</v>
      </c>
      <c r="AI670" s="1">
        <f>IFERROR(IF((LEFT(TArticle[[#This Row],[شناسه]],3))="5.2",IF(TArticle[[#This Row],[کد وضعیت سند]]=1,TArticle[مبلغ],0),0),0)</f>
        <v>0</v>
      </c>
      <c r="AJ670" s="1">
        <f>IF(TArticle[[#This Row],[کد وضعیت سند]]=1,1,0)</f>
        <v>0</v>
      </c>
      <c r="AK670" s="1">
        <f>IF(AND(TArticle[[#This Row],[کد وضعیت سند]]&lt;&gt;1,TArticle[[#This Row],[مبلغ]]&lt;&gt;0),1,0)</f>
        <v>1</v>
      </c>
      <c r="AL670" s="78">
        <f>IF(TArticle[[#This Row],[کد بانک]]&gt;0,TArticle[[#This Row],[مانده بانک]]-VLOOKUP(TArticle[[#This Row],[کد بانک]],TBank[],7,FALSE),"")</f>
        <v>423542</v>
      </c>
      <c r="AM670" s="69" t="str">
        <f>LEFT(TArticle[[#This Row],[تاریخ]],7)</f>
        <v>1403-05</v>
      </c>
    </row>
    <row r="671" spans="1:39" x14ac:dyDescent="0.25">
      <c r="A671" s="24" t="s">
        <v>1110</v>
      </c>
      <c r="B671" s="49" t="str">
        <f>VLOOKUP(TArticle[[#This Row],[شناسه]],TAccount[],2,TRUE)</f>
        <v>قسط وام بانکی</v>
      </c>
      <c r="C671" s="49" t="str">
        <f>VLOOKUP(TArticle[[#This Row],[تاریخ]],TDays[],7,FALSE)</f>
        <v>چهارشنبه</v>
      </c>
      <c r="D671" s="21" t="s">
        <v>1352</v>
      </c>
      <c r="E671" s="1">
        <v>-1224</v>
      </c>
      <c r="F671" s="1">
        <f>TArticle[[#This Row],[مبلغ]]+IFERROR(INT(F670),30181+3667+958)</f>
        <v>380666</v>
      </c>
      <c r="G671" s="49"/>
      <c r="H671" s="21">
        <v>11</v>
      </c>
      <c r="J671" s="51"/>
      <c r="K671" s="64">
        <v>2</v>
      </c>
      <c r="L671" s="171" t="str">
        <f>IF(TArticle[[#This Row],[کد وضعیت سند]]&gt;0,VLOOKUP(TArticle[[#This Row],[کد وضعیت سند]],TDocState[],2,FALSE),"")</f>
        <v>قطعی</v>
      </c>
      <c r="M671" s="27">
        <v>115</v>
      </c>
      <c r="N671" s="171" t="str">
        <f>IF(TArticle[[#This Row],[کد طرف حساب]]&gt;0,VLOOKUP(TArticle[[#This Row],[کد طرف حساب]],TContact[],2,FALSE),"")</f>
        <v>وام فرزند مهر</v>
      </c>
      <c r="O671" s="60">
        <f>IF(TArticle[[#This Row],[کد طرف حساب]]&gt;0,VLOOKUP(TArticle[[#This Row],[کد طرف حساب]],TContact[],7,FALSE)-SUMIF($M$2:M671,M671,$E$2:$E671),"")</f>
        <v>-47760</v>
      </c>
      <c r="P671" s="27" t="str">
        <f>RIGHT(TArticle[[#This Row],[تاریخ]],2)</f>
        <v>03</v>
      </c>
      <c r="Q671" s="27">
        <f>VLOOKUP(TArticle[[#This Row],[تاریخ]],TDays[],16,FALSE)</f>
        <v>19</v>
      </c>
      <c r="R671" s="27" t="str">
        <f>RIGHT(LEFT(TArticle[[#This Row],[تاریخ]],7),2)</f>
        <v>05</v>
      </c>
      <c r="S671" s="27" t="str">
        <f>LEFT(TArticle[[#This Row],[تاریخ]],4)</f>
        <v>1403</v>
      </c>
      <c r="U671" s="21">
        <f>VLOOKUP(TArticle[[#This Row],[شناسه]],TAccount[],7,TRUE)</f>
        <v>81652</v>
      </c>
      <c r="W671" s="21">
        <f>IF(AND(TArticle[[#This Row],[مبلغ]]&gt;0, TArticle[[#This Row],[کد وضعیت سند]]=1),TArticle[[#This Row],[مبلغ]],0)</f>
        <v>0</v>
      </c>
      <c r="X671" s="27">
        <f>IF(AND(TArticle[[#This Row],[مبلغ]]&lt;0,TArticle[[#This Row],[کد وضعیت سند]]=1),0-TArticle[[#This Row],[مبلغ]],0)</f>
        <v>0</v>
      </c>
      <c r="Y671" s="27">
        <v>2</v>
      </c>
      <c r="Z671" s="171" t="str">
        <f>IF(TArticle[[#This Row],[کد بانک]]&gt;0,VLOOKUP(TArticle[[#This Row],[کد بانک]],TBank[],2,FALSE),"")</f>
        <v>ملی جاری</v>
      </c>
      <c r="AA671">
        <f>IF(AND(TArticle[[#This Row],[مبلغ]]&lt;0,TArticle[[#This Row],[کد وضعیت سند]]=1),0-TArticle[[#This Row],[مبلغ]],0)</f>
        <v>0</v>
      </c>
      <c r="AB671">
        <f>IF(AND(TArticle[[#This Row],[مبلغ]]&gt;0, TArticle[[#This Row],[کد وضعیت سند]]=1),TArticle[[#This Row],[مبلغ]],0)</f>
        <v>0</v>
      </c>
      <c r="AC671" s="92">
        <f>IF(TArticle[[#This Row],[کد بانک]]&gt;0,VLOOKUP(TArticle[[#This Row],[کد بانک]],TBank[],9,FALSE)+SUMIF($Y$2:Y671,Y671,$E$2:$E671),"")</f>
        <v>422318</v>
      </c>
      <c r="AD671" s="1">
        <f>IFERROR(IF(INT(LEFT(TArticle[[#This Row],[شناسه]]))=3,IF(TArticle[[#This Row],[کد وضعیت سند]]=1,TArticle[مبلغ],0),0),0)</f>
        <v>0</v>
      </c>
      <c r="AE671" s="1">
        <f>IFERROR(IF(((TArticle[[#This Row],[شناسه]]))="4.1.1",IF(TArticle[[#This Row],[کد وضعیت سند]]=1,TArticle[مبلغ],0),0),0)</f>
        <v>0</v>
      </c>
      <c r="AF671" s="1">
        <f>IFERROR(IF(((TArticle[[#This Row],[شناسه]]))="4.1.2",IF(TArticle[[#This Row],[کد وضعیت سند]]=1,TArticle[مبلغ],0),0),0)</f>
        <v>0</v>
      </c>
      <c r="AG671" s="1">
        <f>IFERROR(IF(INT(LEFT(TArticle[[#This Row],[شناسه]]))=1,IF(TArticle[[#This Row],[کد وضعیت سند]]=1,TArticle[مبلغ],0),0),0)</f>
        <v>0</v>
      </c>
      <c r="AH671" s="1">
        <f>IFERROR(IF(INT(LEFT(TArticle[[#This Row],[شناسه]]))=2,IF(TArticle[[#This Row],[کد وضعیت سند]]=1,TArticle[مبلغ],0),0),0)</f>
        <v>0</v>
      </c>
      <c r="AI671" s="1">
        <f>IFERROR(IF((LEFT(TArticle[[#This Row],[شناسه]],3))="5.2",IF(TArticle[[#This Row],[کد وضعیت سند]]=1,TArticle[مبلغ],0),0),0)</f>
        <v>0</v>
      </c>
      <c r="AJ671" s="1">
        <f>IF(TArticle[[#This Row],[کد وضعیت سند]]=1,1,0)</f>
        <v>0</v>
      </c>
      <c r="AK671" s="1">
        <f>IF(AND(TArticle[[#This Row],[کد وضعیت سند]]&lt;&gt;1,TArticle[[#This Row],[مبلغ]]&lt;&gt;0),1,0)</f>
        <v>1</v>
      </c>
      <c r="AL671" s="51">
        <f>IF(TArticle[[#This Row],[کد بانک]]&gt;0,TArticle[[#This Row],[مانده بانک]]-VLOOKUP(TArticle[[#This Row],[کد بانک]],TBank[],7,FALSE),"")</f>
        <v>422318</v>
      </c>
      <c r="AM671" s="58" t="str">
        <f>LEFT(TArticle[[#This Row],[تاریخ]],7)</f>
        <v>1403-05</v>
      </c>
    </row>
    <row r="672" spans="1:39" x14ac:dyDescent="0.25">
      <c r="A672" s="24" t="s">
        <v>1110</v>
      </c>
      <c r="B672" s="49" t="str">
        <f>VLOOKUP(TArticle[[#This Row],[شناسه]],TAccount[],2,TRUE)</f>
        <v>قسط وام بانکی</v>
      </c>
      <c r="C672" s="49" t="str">
        <f>VLOOKUP(TArticle[[#This Row],[تاریخ]],TDays[],7,FALSE)</f>
        <v>پنجشنبه</v>
      </c>
      <c r="D672" s="21" t="s">
        <v>1353</v>
      </c>
      <c r="E672" s="1">
        <v>-532</v>
      </c>
      <c r="F672" s="1">
        <f>TArticle[[#This Row],[مبلغ]]+IFERROR(INT(F671),30181+3667+958)</f>
        <v>380134</v>
      </c>
      <c r="G672" s="49"/>
      <c r="H672" s="21">
        <v>17</v>
      </c>
      <c r="J672" s="51"/>
      <c r="K672" s="64">
        <v>2</v>
      </c>
      <c r="L672" s="171" t="str">
        <f>IF(TArticle[[#This Row],[کد وضعیت سند]]&gt;0,VLOOKUP(TArticle[[#This Row],[کد وضعیت سند]],TDocState[],2,FALSE),"")</f>
        <v>قطعی</v>
      </c>
      <c r="M672" s="67">
        <v>116</v>
      </c>
      <c r="N672" s="171" t="str">
        <f>IF(TArticle[[#This Row],[کد طرف حساب]]&gt;0,VLOOKUP(TArticle[[#This Row],[کد طرف حساب]],TContact[],2,FALSE),"")</f>
        <v>وام امتیازی مهر</v>
      </c>
      <c r="O672" s="61">
        <f>IF(TArticle[[#This Row],[کد طرف حساب]]&gt;0,VLOOKUP(TArticle[[#This Row],[کد طرف حساب]],TContact[],7,FALSE)-SUMIF($M$2:M672,M672,$E$2:$E672),"")</f>
        <v>-3720</v>
      </c>
      <c r="P672" s="27" t="str">
        <f>RIGHT(TArticle[[#This Row],[تاریخ]],2)</f>
        <v>04</v>
      </c>
      <c r="Q672" s="27">
        <f>VLOOKUP(TArticle[[#This Row],[تاریخ]],TDays[],16,FALSE)</f>
        <v>19</v>
      </c>
      <c r="R672" s="27" t="str">
        <f>RIGHT(LEFT(TArticle[[#This Row],[تاریخ]],7),2)</f>
        <v>05</v>
      </c>
      <c r="S672" s="27" t="str">
        <f>LEFT(TArticle[[#This Row],[تاریخ]],4)</f>
        <v>1403</v>
      </c>
      <c r="U672" s="21">
        <f>VLOOKUP(TArticle[[#This Row],[شناسه]],TAccount[],7,TRUE)</f>
        <v>81652</v>
      </c>
      <c r="W672" s="21">
        <f>IF(AND(TArticle[[#This Row],[مبلغ]]&gt;0, TArticle[[#This Row],[کد وضعیت سند]]=1),TArticle[[#This Row],[مبلغ]],0)</f>
        <v>0</v>
      </c>
      <c r="X672" s="27">
        <f>IF(AND(TArticle[[#This Row],[مبلغ]]&lt;0,TArticle[[#This Row],[کد وضعیت سند]]=1),0-TArticle[[#This Row],[مبلغ]],0)</f>
        <v>0</v>
      </c>
      <c r="Y672" s="27">
        <v>2</v>
      </c>
      <c r="Z672" s="171" t="str">
        <f>IF(TArticle[[#This Row],[کد بانک]]&gt;0,VLOOKUP(TArticle[[#This Row],[کد بانک]],TBank[],2,FALSE),"")</f>
        <v>ملی جاری</v>
      </c>
      <c r="AA672">
        <f>IF(AND(TArticle[[#This Row],[مبلغ]]&lt;0,TArticle[[#This Row],[کد وضعیت سند]]=1),0-TArticle[[#This Row],[مبلغ]],0)</f>
        <v>0</v>
      </c>
      <c r="AB672">
        <f>IF(AND(TArticle[[#This Row],[مبلغ]]&gt;0, TArticle[[#This Row],[کد وضعیت سند]]=1),TArticle[[#This Row],[مبلغ]],0)</f>
        <v>0</v>
      </c>
      <c r="AC672" s="92">
        <f>IF(TArticle[[#This Row],[کد بانک]]&gt;0,VLOOKUP(TArticle[[#This Row],[کد بانک]],TBank[],9,FALSE)+SUMIF($Y$2:Y672,Y672,$E$2:$E672),"")</f>
        <v>421786</v>
      </c>
      <c r="AD672" s="1">
        <f>IFERROR(IF(INT(LEFT(TArticle[[#This Row],[شناسه]]))=3,IF(TArticle[[#This Row],[کد وضعیت سند]]=1,TArticle[مبلغ],0),0),0)</f>
        <v>0</v>
      </c>
      <c r="AE672" s="1">
        <f>IFERROR(IF(((TArticle[[#This Row],[شناسه]]))="4.1.1",IF(TArticle[[#This Row],[کد وضعیت سند]]=1,TArticle[مبلغ],0),0),0)</f>
        <v>0</v>
      </c>
      <c r="AF672" s="1">
        <f>IFERROR(IF(((TArticle[[#This Row],[شناسه]]))="4.1.2",IF(TArticle[[#This Row],[کد وضعیت سند]]=1,TArticle[مبلغ],0),0),0)</f>
        <v>0</v>
      </c>
      <c r="AG672" s="1">
        <f>IFERROR(IF(INT(LEFT(TArticle[[#This Row],[شناسه]]))=1,IF(TArticle[[#This Row],[کد وضعیت سند]]=1,TArticle[مبلغ],0),0),0)</f>
        <v>0</v>
      </c>
      <c r="AH672" s="1">
        <f>IFERROR(IF(INT(LEFT(TArticle[[#This Row],[شناسه]]))=2,IF(TArticle[[#This Row],[کد وضعیت سند]]=1,TArticle[مبلغ],0),0),0)</f>
        <v>0</v>
      </c>
      <c r="AI672" s="1">
        <f>IFERROR(IF((LEFT(TArticle[[#This Row],[شناسه]],3))="5.2",IF(TArticle[[#This Row],[کد وضعیت سند]]=1,TArticle[مبلغ],0),0),0)</f>
        <v>0</v>
      </c>
      <c r="AJ672" s="1">
        <f>IF(TArticle[[#This Row],[کد وضعیت سند]]=1,1,0)</f>
        <v>0</v>
      </c>
      <c r="AK672" s="1">
        <f>IF(AND(TArticle[[#This Row],[کد وضعیت سند]]&lt;&gt;1,TArticle[[#This Row],[مبلغ]]&lt;&gt;0),1,0)</f>
        <v>1</v>
      </c>
      <c r="AL672" s="51">
        <f>IF(TArticle[[#This Row],[کد بانک]]&gt;0,TArticle[[#This Row],[مانده بانک]]-VLOOKUP(TArticle[[#This Row],[کد بانک]],TBank[],7,FALSE),"")</f>
        <v>421786</v>
      </c>
      <c r="AM672" s="58" t="str">
        <f>LEFT(TArticle[[#This Row],[تاریخ]],7)</f>
        <v>1403-05</v>
      </c>
    </row>
    <row r="673" spans="1:39" x14ac:dyDescent="0.25">
      <c r="A673" s="24" t="s">
        <v>1110</v>
      </c>
      <c r="B673" s="49" t="str">
        <f>VLOOKUP(TArticle[[#This Row],[شناسه]],TAccount[],2,TRUE)</f>
        <v>قسط وام بانکی</v>
      </c>
      <c r="C673" s="49" t="str">
        <f>VLOOKUP(TArticle[[#This Row],[تاریخ]],TDays[],7,FALSE)</f>
        <v>سه شنبه</v>
      </c>
      <c r="D673" s="21" t="s">
        <v>1358</v>
      </c>
      <c r="E673" s="1">
        <f>'طرف حساب'!$J$29</f>
        <v>-3616</v>
      </c>
      <c r="F673" s="1">
        <f>TArticle[[#This Row],[مبلغ]]+IFERROR(INT(F672),30181+3667+958)</f>
        <v>376518</v>
      </c>
      <c r="G673" s="49"/>
      <c r="H673" s="21">
        <v>18</v>
      </c>
      <c r="J673" s="51"/>
      <c r="K673" s="64">
        <v>2</v>
      </c>
      <c r="L673" s="171" t="str">
        <f>IF(TArticle[[#This Row],[کد وضعیت سند]]&gt;0,VLOOKUP(TArticle[[#This Row],[کد وضعیت سند]],TDocState[],2,FALSE),"")</f>
        <v>قطعی</v>
      </c>
      <c r="M673" s="67">
        <v>114</v>
      </c>
      <c r="N673" s="171" t="str">
        <f>IF(TArticle[[#This Row],[کد طرف حساب]]&gt;0,VLOOKUP(TArticle[[#This Row],[کد طرف حساب]],TContact[],2,FALSE),"")</f>
        <v>وام کارت ملی ف</v>
      </c>
      <c r="O673" s="60">
        <f>IF(TArticle[[#This Row],[کد طرف حساب]]&gt;0,VLOOKUP(TArticle[[#This Row],[کد طرف حساب]],TContact[],7,FALSE)-SUMIF($M$2:M673,M673,$E$2:$E673),"")</f>
        <v>-66370</v>
      </c>
      <c r="P673" s="27" t="str">
        <f>RIGHT(TArticle[[#This Row],[تاریخ]],2)</f>
        <v>09</v>
      </c>
      <c r="Q673" s="27">
        <f>VLOOKUP(TArticle[[#This Row],[تاریخ]],TDays[],16,FALSE)</f>
        <v>20</v>
      </c>
      <c r="R673" s="27" t="str">
        <f>RIGHT(LEFT(TArticle[[#This Row],[تاریخ]],7),2)</f>
        <v>05</v>
      </c>
      <c r="S673" s="27" t="str">
        <f>LEFT(TArticle[[#This Row],[تاریخ]],4)</f>
        <v>1403</v>
      </c>
      <c r="U673" s="21">
        <f>VLOOKUP(TArticle[[#This Row],[شناسه]],TAccount[],7,TRUE)</f>
        <v>81652</v>
      </c>
      <c r="W673" s="21">
        <f>IF(AND(TArticle[[#This Row],[مبلغ]]&gt;0, TArticle[[#This Row],[کد وضعیت سند]]=1),TArticle[[#This Row],[مبلغ]],0)</f>
        <v>0</v>
      </c>
      <c r="X673" s="27">
        <f>IF(AND(TArticle[[#This Row],[مبلغ]]&lt;0,TArticle[[#This Row],[کد وضعیت سند]]=1),0-TArticle[[#This Row],[مبلغ]],0)</f>
        <v>0</v>
      </c>
      <c r="Y673" s="27">
        <v>2</v>
      </c>
      <c r="Z673" s="171" t="str">
        <f>IF(TArticle[[#This Row],[کد بانک]]&gt;0,VLOOKUP(TArticle[[#This Row],[کد بانک]],TBank[],2,FALSE),"")</f>
        <v>ملی جاری</v>
      </c>
      <c r="AA673">
        <f>IF(AND(TArticle[[#This Row],[مبلغ]]&lt;0,TArticle[[#This Row],[کد وضعیت سند]]=1),0-TArticle[[#This Row],[مبلغ]],0)</f>
        <v>0</v>
      </c>
      <c r="AB673">
        <f>IF(AND(TArticle[[#This Row],[مبلغ]]&gt;0, TArticle[[#This Row],[کد وضعیت سند]]=1),TArticle[[#This Row],[مبلغ]],0)</f>
        <v>0</v>
      </c>
      <c r="AC673" s="92">
        <f>IF(TArticle[[#This Row],[کد بانک]]&gt;0,VLOOKUP(TArticle[[#This Row],[کد بانک]],TBank[],9,FALSE)+SUMIF($Y$2:Y673,Y673,$E$2:$E673),"")</f>
        <v>418170</v>
      </c>
      <c r="AD673" s="1">
        <f>IFERROR(IF(INT(LEFT(TArticle[[#This Row],[شناسه]]))=3,IF(TArticle[[#This Row],[کد وضعیت سند]]=1,TArticle[مبلغ],0),0),0)</f>
        <v>0</v>
      </c>
      <c r="AE673" s="1">
        <f>IFERROR(IF(((TArticle[[#This Row],[شناسه]]))="4.1.1",IF(TArticle[[#This Row],[کد وضعیت سند]]=1,TArticle[مبلغ],0),0),0)</f>
        <v>0</v>
      </c>
      <c r="AF673" s="1">
        <f>IFERROR(IF(((TArticle[[#This Row],[شناسه]]))="4.1.2",IF(TArticle[[#This Row],[کد وضعیت سند]]=1,TArticle[مبلغ],0),0),0)</f>
        <v>0</v>
      </c>
      <c r="AG673" s="1">
        <f>IFERROR(IF(INT(LEFT(TArticle[[#This Row],[شناسه]]))=1,IF(TArticle[[#This Row],[کد وضعیت سند]]=1,TArticle[مبلغ],0),0),0)</f>
        <v>0</v>
      </c>
      <c r="AH673" s="1">
        <f>IFERROR(IF(INT(LEFT(TArticle[[#This Row],[شناسه]]))=2,IF(TArticle[[#This Row],[کد وضعیت سند]]=1,TArticle[مبلغ],0),0),0)</f>
        <v>0</v>
      </c>
      <c r="AI673" s="1">
        <f>IFERROR(IF((LEFT(TArticle[[#This Row],[شناسه]],3))="5.2",IF(TArticle[[#This Row],[کد وضعیت سند]]=1,TArticle[مبلغ],0),0),0)</f>
        <v>0</v>
      </c>
      <c r="AJ673" s="1">
        <f>IF(TArticle[[#This Row],[کد وضعیت سند]]=1,1,0)</f>
        <v>0</v>
      </c>
      <c r="AK673" s="1">
        <f>IF(AND(TArticle[[#This Row],[کد وضعیت سند]]&lt;&gt;1,TArticle[[#This Row],[مبلغ]]&lt;&gt;0),1,0)</f>
        <v>1</v>
      </c>
      <c r="AL673" s="51">
        <f>IF(TArticle[[#This Row],[کد بانک]]&gt;0,TArticle[[#This Row],[مانده بانک]]-VLOOKUP(TArticle[[#This Row],[کد بانک]],TBank[],7,FALSE),"")</f>
        <v>418170</v>
      </c>
      <c r="AM673" s="58" t="str">
        <f>LEFT(TArticle[[#This Row],[تاریخ]],7)</f>
        <v>1403-05</v>
      </c>
    </row>
    <row r="674" spans="1:39" x14ac:dyDescent="0.25">
      <c r="A674" s="24" t="s">
        <v>1013</v>
      </c>
      <c r="B674" s="49" t="str">
        <f>VLOOKUP(TArticle[[#This Row],[شناسه]],TAccount[],2,TRUE)</f>
        <v>یارانه</v>
      </c>
      <c r="C674" s="49" t="str">
        <f>VLOOKUP(TArticle[[#This Row],[تاریخ]],TDays[],7,FALSE)</f>
        <v>شنبه</v>
      </c>
      <c r="D674" s="21" t="s">
        <v>1369</v>
      </c>
      <c r="E674" s="1">
        <v>1500</v>
      </c>
      <c r="F674" s="1">
        <f>TArticle[[#This Row],[مبلغ]]+IFERROR(INT(F673),30181+3667+958)</f>
        <v>378018</v>
      </c>
      <c r="G674" s="49"/>
      <c r="H674" s="64"/>
      <c r="J674" s="51"/>
      <c r="K674" s="64">
        <v>2</v>
      </c>
      <c r="L674" s="171" t="str">
        <f>IF(TArticle[[#This Row],[کد وضعیت سند]]&gt;0,VLOOKUP(TArticle[[#This Row],[کد وضعیت سند]],TDocState[],2,FALSE),"")</f>
        <v>قطعی</v>
      </c>
      <c r="M674" s="67"/>
      <c r="N674" s="171" t="str">
        <f>IF(TArticle[[#This Row],[کد طرف حساب]]&gt;0,VLOOKUP(TArticle[[#This Row],[کد طرف حساب]],TContact[],2,FALSE),"")</f>
        <v/>
      </c>
      <c r="O674" s="68" t="str">
        <f>IF(TArticle[[#This Row],[کد طرف حساب]]&gt;0,VLOOKUP(TArticle[[#This Row],[کد طرف حساب]],TContact[],7,FALSE)-SUMIF($M$2:M674,M674,$E$2:$E674),"")</f>
        <v/>
      </c>
      <c r="P674" s="67" t="str">
        <f>RIGHT(TArticle[[#This Row],[تاریخ]],2)</f>
        <v>20</v>
      </c>
      <c r="Q674" s="67">
        <f>VLOOKUP(TArticle[[#This Row],[تاریخ]],TDays[],16,FALSE)</f>
        <v>21</v>
      </c>
      <c r="R674" s="67" t="str">
        <f>RIGHT(LEFT(TArticle[[#This Row],[تاریخ]],7),2)</f>
        <v>05</v>
      </c>
      <c r="S674" s="67" t="str">
        <f>LEFT(TArticle[[#This Row],[تاریخ]],4)</f>
        <v>1403</v>
      </c>
      <c r="T674" s="64"/>
      <c r="U674" s="64">
        <f>VLOOKUP(TArticle[[#This Row],[شناسه]],TAccount[],7,TRUE)</f>
        <v>12565</v>
      </c>
      <c r="V674" s="64"/>
      <c r="W674" s="64">
        <f>IF(AND(TArticle[[#This Row],[مبلغ]]&gt;0, TArticle[[#This Row],[کد وضعیت سند]]=1),TArticle[[#This Row],[مبلغ]],0)</f>
        <v>0</v>
      </c>
      <c r="X674" s="67">
        <f>IF(AND(TArticle[[#This Row],[مبلغ]]&lt;0,TArticle[[#This Row],[کد وضعیت سند]]=1),0-TArticle[[#This Row],[مبلغ]],0)</f>
        <v>0</v>
      </c>
      <c r="Y674" s="27">
        <v>2</v>
      </c>
      <c r="Z674" s="171" t="str">
        <f>IF(TArticle[[#This Row],[کد بانک]]&gt;0,VLOOKUP(TArticle[[#This Row],[کد بانک]],TBank[],2,FALSE),"")</f>
        <v>ملی جاری</v>
      </c>
      <c r="AA674">
        <f>IF(AND(TArticle[[#This Row],[مبلغ]]&lt;0,TArticle[[#This Row],[کد وضعیت سند]]=1),0-TArticle[[#This Row],[مبلغ]],0)</f>
        <v>0</v>
      </c>
      <c r="AB674">
        <f>IF(AND(TArticle[[#This Row],[مبلغ]]&gt;0, TArticle[[#This Row],[کد وضعیت سند]]=1),TArticle[[#This Row],[مبلغ]],0)</f>
        <v>0</v>
      </c>
      <c r="AC674" s="93">
        <f>IF(TArticle[[#This Row],[کد بانک]]&gt;0,VLOOKUP(TArticle[[#This Row],[کد بانک]],TBank[],9,FALSE)+SUMIF($Y$2:Y674,Y674,$E$2:$E674),"")</f>
        <v>419670</v>
      </c>
      <c r="AD674" s="1">
        <f>IFERROR(IF(INT(LEFT(TArticle[[#This Row],[شناسه]]))=3,IF(TArticle[[#This Row],[کد وضعیت سند]]=1,TArticle[مبلغ],0),0),0)</f>
        <v>0</v>
      </c>
      <c r="AE674" s="1">
        <f>IFERROR(IF(((TArticle[[#This Row],[شناسه]]))="4.1.1",IF(TArticle[[#This Row],[کد وضعیت سند]]=1,TArticle[مبلغ],0),0),0)</f>
        <v>0</v>
      </c>
      <c r="AF674" s="1">
        <f>IFERROR(IF(((TArticle[[#This Row],[شناسه]]))="4.1.2",IF(TArticle[[#This Row],[کد وضعیت سند]]=1,TArticle[مبلغ],0),0),0)</f>
        <v>0</v>
      </c>
      <c r="AG674" s="1">
        <f>IFERROR(IF(INT(LEFT(TArticle[[#This Row],[شناسه]]))=1,IF(TArticle[[#This Row],[کد وضعیت سند]]=1,TArticle[مبلغ],0),0),0)</f>
        <v>0</v>
      </c>
      <c r="AH674" s="1">
        <f>IFERROR(IF(INT(LEFT(TArticle[[#This Row],[شناسه]]))=2,IF(TArticle[[#This Row],[کد وضعیت سند]]=1,TArticle[مبلغ],0),0),0)</f>
        <v>0</v>
      </c>
      <c r="AI674" s="1">
        <f>IFERROR(IF((LEFT(TArticle[[#This Row],[شناسه]],3))="5.2",IF(TArticle[[#This Row],[کد وضعیت سند]]=1,TArticle[مبلغ],0),0),0)</f>
        <v>0</v>
      </c>
      <c r="AJ674" s="1">
        <f>IF(TArticle[[#This Row],[کد وضعیت سند]]=1,1,0)</f>
        <v>0</v>
      </c>
      <c r="AK674" s="1">
        <f>IF(AND(TArticle[[#This Row],[کد وضعیت سند]]&lt;&gt;1,TArticle[[#This Row],[مبلغ]]&lt;&gt;0),1,0)</f>
        <v>1</v>
      </c>
      <c r="AL674" s="78">
        <f>IF(TArticle[[#This Row],[کد بانک]]&gt;0,TArticle[[#This Row],[مانده بانک]]-VLOOKUP(TArticle[[#This Row],[کد بانک]],TBank[],7,FALSE),"")</f>
        <v>419670</v>
      </c>
      <c r="AM674" s="69" t="str">
        <f>LEFT(TArticle[[#This Row],[تاریخ]],7)</f>
        <v>1403-05</v>
      </c>
    </row>
    <row r="675" spans="1:39" x14ac:dyDescent="0.25">
      <c r="A675" s="24" t="s">
        <v>43</v>
      </c>
      <c r="B675" s="49" t="str">
        <f>VLOOKUP(TArticle[[#This Row],[شناسه]],TAccount[],2,TRUE)</f>
        <v>حقوق</v>
      </c>
      <c r="C675" s="49" t="str">
        <f>VLOOKUP(TArticle[[#This Row],[تاریخ]],TDays[],7,FALSE)</f>
        <v>پنجشنبه</v>
      </c>
      <c r="D675" s="21" t="s">
        <v>1381</v>
      </c>
      <c r="E675" s="1">
        <v>42000</v>
      </c>
      <c r="F675" s="1">
        <f>TArticle[[#This Row],[مبلغ]]+IFERROR(INT(F674),30181+3667+958)</f>
        <v>420018</v>
      </c>
      <c r="G675" s="49"/>
      <c r="H675" s="64"/>
      <c r="J675" s="65"/>
      <c r="K675" s="64">
        <v>2</v>
      </c>
      <c r="L675" s="171" t="str">
        <f>IF(TArticle[[#This Row],[کد وضعیت سند]]&gt;0,VLOOKUP(TArticle[[#This Row],[کد وضعیت سند]],TDocState[],2,FALSE),"")</f>
        <v>قطعی</v>
      </c>
      <c r="M675" s="67"/>
      <c r="N675" s="171" t="str">
        <f>IF(TArticle[[#This Row],[کد طرف حساب]]&gt;0,VLOOKUP(TArticle[[#This Row],[کد طرف حساب]],TContact[],2,FALSE),"")</f>
        <v/>
      </c>
      <c r="O675" s="68" t="str">
        <f>IF(TArticle[[#This Row],[کد طرف حساب]]&gt;0,VLOOKUP(TArticle[[#This Row],[کد طرف حساب]],TContact[],7,FALSE)-SUMIF($M$2:M675,M675,$E$2:$E675),"")</f>
        <v/>
      </c>
      <c r="P675" s="67" t="str">
        <f>RIGHT(TArticle[[#This Row],[تاریخ]],2)</f>
        <v>01</v>
      </c>
      <c r="Q675" s="67">
        <f>VLOOKUP(TArticle[[#This Row],[تاریخ]],TDays[],16,FALSE)</f>
        <v>23</v>
      </c>
      <c r="R675" s="67" t="str">
        <f>RIGHT(LEFT(TArticle[[#This Row],[تاریخ]],7),2)</f>
        <v>06</v>
      </c>
      <c r="S675" s="67" t="str">
        <f>LEFT(TArticle[[#This Row],[تاریخ]],4)</f>
        <v>1403</v>
      </c>
      <c r="T675" s="64"/>
      <c r="U675" s="64">
        <f>VLOOKUP(TArticle[[#This Row],[شناسه]],TAccount[],7,TRUE)</f>
        <v>416023</v>
      </c>
      <c r="V675" s="64"/>
      <c r="W675" s="64">
        <f>IF(AND(TArticle[[#This Row],[مبلغ]]&gt;0, TArticle[[#This Row],[کد وضعیت سند]]=1),TArticle[[#This Row],[مبلغ]],0)</f>
        <v>0</v>
      </c>
      <c r="X675" s="67">
        <f>IF(AND(TArticle[[#This Row],[مبلغ]]&lt;0,TArticle[[#This Row],[کد وضعیت سند]]=1),0-TArticle[[#This Row],[مبلغ]],0)</f>
        <v>0</v>
      </c>
      <c r="Y675" s="27">
        <v>2</v>
      </c>
      <c r="Z675" s="171" t="str">
        <f>IF(TArticle[[#This Row],[کد بانک]]&gt;0,VLOOKUP(TArticle[[#This Row],[کد بانک]],TBank[],2,FALSE),"")</f>
        <v>ملی جاری</v>
      </c>
      <c r="AA675">
        <f>IF(AND(TArticle[[#This Row],[مبلغ]]&lt;0,TArticle[[#This Row],[کد وضعیت سند]]=1),0-TArticle[[#This Row],[مبلغ]],0)</f>
        <v>0</v>
      </c>
      <c r="AB675">
        <f>IF(AND(TArticle[[#This Row],[مبلغ]]&gt;0, TArticle[[#This Row],[کد وضعیت سند]]=1),TArticle[[#This Row],[مبلغ]],0)</f>
        <v>0</v>
      </c>
      <c r="AC675" s="93">
        <f>IF(TArticle[[#This Row],[کد بانک]]&gt;0,VLOOKUP(TArticle[[#This Row],[کد بانک]],TBank[],9,FALSE)+SUMIF($Y$2:Y675,Y675,$E$2:$E675),"")</f>
        <v>461670</v>
      </c>
      <c r="AD675" s="1">
        <f>IFERROR(IF(INT(LEFT(TArticle[[#This Row],[شناسه]]))=3,IF(TArticle[[#This Row],[کد وضعیت سند]]=1,TArticle[مبلغ],0),0),0)</f>
        <v>0</v>
      </c>
      <c r="AE675" s="1">
        <f>IFERROR(IF(((TArticle[[#This Row],[شناسه]]))="4.1.1",IF(TArticle[[#This Row],[کد وضعیت سند]]=1,TArticle[مبلغ],0),0),0)</f>
        <v>0</v>
      </c>
      <c r="AF675" s="1">
        <f>IFERROR(IF(((TArticle[[#This Row],[شناسه]]))="4.1.2",IF(TArticle[[#This Row],[کد وضعیت سند]]=1,TArticle[مبلغ],0),0),0)</f>
        <v>0</v>
      </c>
      <c r="AG675" s="1">
        <f>IFERROR(IF(INT(LEFT(TArticle[[#This Row],[شناسه]]))=1,IF(TArticle[[#This Row],[کد وضعیت سند]]=1,TArticle[مبلغ],0),0),0)</f>
        <v>0</v>
      </c>
      <c r="AH675" s="1">
        <f>IFERROR(IF(INT(LEFT(TArticle[[#This Row],[شناسه]]))=2,IF(TArticle[[#This Row],[کد وضعیت سند]]=1,TArticle[مبلغ],0),0),0)</f>
        <v>0</v>
      </c>
      <c r="AI675" s="1">
        <f>IFERROR(IF((LEFT(TArticle[[#This Row],[شناسه]],3))="5.2",IF(TArticle[[#This Row],[کد وضعیت سند]]=1,TArticle[مبلغ],0),0),0)</f>
        <v>0</v>
      </c>
      <c r="AJ675" s="1">
        <f>IF(TArticle[[#This Row],[کد وضعیت سند]]=1,1,0)</f>
        <v>0</v>
      </c>
      <c r="AK675" s="1">
        <f>IF(AND(TArticle[[#This Row],[کد وضعیت سند]]&lt;&gt;1,TArticle[[#This Row],[مبلغ]]&lt;&gt;0),1,0)</f>
        <v>1</v>
      </c>
      <c r="AL675" s="78">
        <f>IF(TArticle[[#This Row],[کد بانک]]&gt;0,TArticle[[#This Row],[مانده بانک]]-VLOOKUP(TArticle[[#This Row],[کد بانک]],TBank[],7,FALSE),"")</f>
        <v>461670</v>
      </c>
      <c r="AM675" s="69" t="str">
        <f>LEFT(TArticle[[#This Row],[تاریخ]],7)</f>
        <v>1403-06</v>
      </c>
    </row>
    <row r="676" spans="1:39" x14ac:dyDescent="0.25">
      <c r="A676" s="24" t="s">
        <v>1608</v>
      </c>
      <c r="B676" s="49" t="str">
        <f>VLOOKUP(TArticle[[#This Row],[شناسه]],TAccount[],2,TRUE)</f>
        <v>بن کارت</v>
      </c>
      <c r="C676" s="49" t="str">
        <f>VLOOKUP(TArticle[[#This Row],[تاریخ]],TDays[],7,FALSE)</f>
        <v>پنجشنبه</v>
      </c>
      <c r="D676" s="21" t="s">
        <v>1381</v>
      </c>
      <c r="E676" s="1">
        <v>3000</v>
      </c>
      <c r="F676" s="1">
        <f>TArticle[[#This Row],[مبلغ]]+IFERROR(INT(F675),30181+3667+958)</f>
        <v>423018</v>
      </c>
      <c r="G676" s="49"/>
      <c r="J676" s="51"/>
      <c r="K676" s="64">
        <v>2</v>
      </c>
      <c r="L676" s="171" t="str">
        <f>IF(TArticle[[#This Row],[کد وضعیت سند]]&gt;0,VLOOKUP(TArticle[[#This Row],[کد وضعیت سند]],TDocState[],2,FALSE),"")</f>
        <v>قطعی</v>
      </c>
      <c r="N676" s="171" t="str">
        <f>IF(TArticle[[#This Row],[کد طرف حساب]]&gt;0,VLOOKUP(TArticle[[#This Row],[کد طرف حساب]],TContact[],2,FALSE),"")</f>
        <v/>
      </c>
      <c r="O676" s="60" t="str">
        <f>IF(TArticle[[#This Row],[کد طرف حساب]]&gt;0,VLOOKUP(TArticle[[#This Row],[کد طرف حساب]],TContact[],7,FALSE)-SUMIF($M$2:M676,M676,$E$2:$E676),"")</f>
        <v/>
      </c>
      <c r="P676" s="27" t="str">
        <f>RIGHT(TArticle[[#This Row],[تاریخ]],2)</f>
        <v>01</v>
      </c>
      <c r="Q676" s="27">
        <f>VLOOKUP(TArticle[[#This Row],[تاریخ]],TDays[],16,FALSE)</f>
        <v>23</v>
      </c>
      <c r="R676" s="27" t="str">
        <f>RIGHT(LEFT(TArticle[[#This Row],[تاریخ]],7),2)</f>
        <v>06</v>
      </c>
      <c r="S676" s="27" t="str">
        <f>LEFT(TArticle[[#This Row],[تاریخ]],4)</f>
        <v>1403</v>
      </c>
      <c r="U676" s="21">
        <f>VLOOKUP(TArticle[[#This Row],[شناسه]],TAccount[],7,TRUE)</f>
        <v>3000</v>
      </c>
      <c r="V676" s="28"/>
      <c r="W676" s="21">
        <f>IF(AND(TArticle[[#This Row],[مبلغ]]&gt;0, TArticle[[#This Row],[کد وضعیت سند]]=1),TArticle[[#This Row],[مبلغ]],0)</f>
        <v>0</v>
      </c>
      <c r="X676" s="27">
        <f>IF(AND(TArticle[[#This Row],[مبلغ]]&lt;0,TArticle[[#This Row],[کد وضعیت سند]]=1),0-TArticle[[#This Row],[مبلغ]],0)</f>
        <v>0</v>
      </c>
      <c r="Y676" s="27">
        <v>2</v>
      </c>
      <c r="Z676" s="171" t="str">
        <f>IF(TArticle[[#This Row],[کد بانک]]&gt;0,VLOOKUP(TArticle[[#This Row],[کد بانک]],TBank[],2,FALSE),"")</f>
        <v>ملی جاری</v>
      </c>
      <c r="AA676">
        <f>IF(AND(TArticle[[#This Row],[مبلغ]]&lt;0,TArticle[[#This Row],[کد وضعیت سند]]=1),0-TArticle[[#This Row],[مبلغ]],0)</f>
        <v>0</v>
      </c>
      <c r="AB676">
        <f>IF(AND(TArticle[[#This Row],[مبلغ]]&gt;0, TArticle[[#This Row],[کد وضعیت سند]]=1),TArticle[[#This Row],[مبلغ]],0)</f>
        <v>0</v>
      </c>
      <c r="AC676" s="92">
        <f>IF(TArticle[[#This Row],[کد بانک]]&gt;0,VLOOKUP(TArticle[[#This Row],[کد بانک]],TBank[],9,FALSE)+SUMIF($Y$2:Y676,Y676,$E$2:$E676),"")</f>
        <v>464670</v>
      </c>
      <c r="AD676" s="1">
        <f>IFERROR(IF(INT(LEFT(TArticle[[#This Row],[شناسه]]))=3,IF(TArticle[[#This Row],[کد وضعیت سند]]=1,TArticle[مبلغ],0),0),0)</f>
        <v>0</v>
      </c>
      <c r="AE676" s="1">
        <f>IFERROR(IF(((TArticle[[#This Row],[شناسه]]))="4.1.1",IF(TArticle[[#This Row],[کد وضعیت سند]]=1,TArticle[مبلغ],0),0),0)</f>
        <v>0</v>
      </c>
      <c r="AF676" s="1">
        <f>IFERROR(IF(((TArticle[[#This Row],[شناسه]]))="4.1.2",IF(TArticle[[#This Row],[کد وضعیت سند]]=1,TArticle[مبلغ],0),0),0)</f>
        <v>0</v>
      </c>
      <c r="AG676" s="1">
        <f>IFERROR(IF(INT(LEFT(TArticle[[#This Row],[شناسه]]))=1,IF(TArticle[[#This Row],[کد وضعیت سند]]=1,TArticle[مبلغ],0),0),0)</f>
        <v>0</v>
      </c>
      <c r="AH676" s="1">
        <f>IFERROR(IF(INT(LEFT(TArticle[[#This Row],[شناسه]]))=2,IF(TArticle[[#This Row],[کد وضعیت سند]]=1,TArticle[مبلغ],0),0),0)</f>
        <v>0</v>
      </c>
      <c r="AI676" s="1">
        <f>IFERROR(IF((LEFT(TArticle[[#This Row],[شناسه]],3))="5.2",IF(TArticle[[#This Row],[کد وضعیت سند]]=1,TArticle[مبلغ],0),0),0)</f>
        <v>0</v>
      </c>
      <c r="AJ676" s="1">
        <f>IF(TArticle[[#This Row],[کد وضعیت سند]]=1,1,0)</f>
        <v>0</v>
      </c>
      <c r="AK676" s="1">
        <f>IF(AND(TArticle[[#This Row],[کد وضعیت سند]]&lt;&gt;1,TArticle[[#This Row],[مبلغ]]&lt;&gt;0),1,0)</f>
        <v>1</v>
      </c>
      <c r="AL676" s="51">
        <f>IF(TArticle[[#This Row],[کد بانک]]&gt;0,TArticle[[#This Row],[مانده بانک]]-VLOOKUP(TArticle[[#This Row],[کد بانک]],TBank[],7,FALSE),"")</f>
        <v>464670</v>
      </c>
      <c r="AM676" s="58" t="str">
        <f>LEFT(TArticle[[#This Row],[تاریخ]],7)</f>
        <v>1403-06</v>
      </c>
    </row>
    <row r="677" spans="1:39" x14ac:dyDescent="0.25">
      <c r="A677" s="24" t="s">
        <v>1110</v>
      </c>
      <c r="B677" s="49" t="str">
        <f>VLOOKUP(TArticle[[#This Row],[شناسه]],TAccount[],2,TRUE)</f>
        <v>قسط وام بانکی</v>
      </c>
      <c r="C677" s="49" t="str">
        <f>VLOOKUP(TArticle[[#This Row],[تاریخ]],TDays[],7,FALSE)</f>
        <v>شنبه</v>
      </c>
      <c r="D677" s="21" t="s">
        <v>1383</v>
      </c>
      <c r="E677" s="1">
        <v>-1224</v>
      </c>
      <c r="F677" s="1">
        <f>TArticle[[#This Row],[مبلغ]]+IFERROR(INT(F676),30181+3667+958)</f>
        <v>421794</v>
      </c>
      <c r="G677" s="49"/>
      <c r="H677" s="21">
        <v>12</v>
      </c>
      <c r="K677" s="64">
        <v>2</v>
      </c>
      <c r="L677" s="171" t="str">
        <f>IF(TArticle[[#This Row],[کد وضعیت سند]]&gt;0,VLOOKUP(TArticle[[#This Row],[کد وضعیت سند]],TDocState[],2,FALSE),"")</f>
        <v>قطعی</v>
      </c>
      <c r="M677" s="27">
        <v>115</v>
      </c>
      <c r="N677" s="171" t="str">
        <f>IF(TArticle[[#This Row],[کد طرف حساب]]&gt;0,VLOOKUP(TArticle[[#This Row],[کد طرف حساب]],TContact[],2,FALSE),"")</f>
        <v>وام فرزند مهر</v>
      </c>
      <c r="O677" s="51">
        <f>IF(TArticle[[#This Row],[کد طرف حساب]]&gt;0,VLOOKUP(TArticle[[#This Row],[کد طرف حساب]],TContact[],7,FALSE)-SUMIF($M$2:M677,M677,$E$2:$E677),"")</f>
        <v>-46536</v>
      </c>
      <c r="P677" s="27" t="str">
        <f>RIGHT(TArticle[[#This Row],[تاریخ]],2)</f>
        <v>03</v>
      </c>
      <c r="Q677" s="27">
        <f>VLOOKUP(TArticle[[#This Row],[تاریخ]],TDays[],16,FALSE)</f>
        <v>23</v>
      </c>
      <c r="R677" s="27" t="str">
        <f>RIGHT(LEFT(TArticle[[#This Row],[تاریخ]],7),2)</f>
        <v>06</v>
      </c>
      <c r="S677" s="27" t="str">
        <f>LEFT(TArticle[[#This Row],[تاریخ]],4)</f>
        <v>1403</v>
      </c>
      <c r="U677" s="21">
        <f>VLOOKUP(TArticle[[#This Row],[شناسه]],TAccount[],7,TRUE)</f>
        <v>81652</v>
      </c>
      <c r="W677" s="21">
        <f>IF(AND(TArticle[[#This Row],[مبلغ]]&gt;0, TArticle[[#This Row],[کد وضعیت سند]]=1),TArticle[[#This Row],[مبلغ]],0)</f>
        <v>0</v>
      </c>
      <c r="X677" s="27">
        <f>IF(AND(TArticle[[#This Row],[مبلغ]]&lt;0,TArticle[[#This Row],[کد وضعیت سند]]=1),0-TArticle[[#This Row],[مبلغ]],0)</f>
        <v>0</v>
      </c>
      <c r="Y677" s="27">
        <v>2</v>
      </c>
      <c r="Z677" s="171" t="str">
        <f>IF(TArticle[[#This Row],[کد بانک]]&gt;0,VLOOKUP(TArticle[[#This Row],[کد بانک]],TBank[],2,FALSE),"")</f>
        <v>ملی جاری</v>
      </c>
      <c r="AA677">
        <f>IF(AND(TArticle[[#This Row],[مبلغ]]&lt;0,TArticle[[#This Row],[کد وضعیت سند]]=1),0-TArticle[[#This Row],[مبلغ]],0)</f>
        <v>0</v>
      </c>
      <c r="AB677">
        <f>IF(AND(TArticle[[#This Row],[مبلغ]]&gt;0, TArticle[[#This Row],[کد وضعیت سند]]=1),TArticle[[#This Row],[مبلغ]],0)</f>
        <v>0</v>
      </c>
      <c r="AC677" s="84">
        <f>IF(TArticle[[#This Row],[کد بانک]]&gt;0,VLOOKUP(TArticle[[#This Row],[کد بانک]],TBank[],9,FALSE)+SUMIF($Y$2:Y677,Y677,$E$2:$E677),"")</f>
        <v>463446</v>
      </c>
      <c r="AD677" s="1">
        <f>IFERROR(IF(INT(LEFT(TArticle[[#This Row],[شناسه]]))=3,IF(TArticle[[#This Row],[کد وضعیت سند]]=1,TArticle[مبلغ],0),0),0)</f>
        <v>0</v>
      </c>
      <c r="AE677" s="1">
        <f>IFERROR(IF(((TArticle[[#This Row],[شناسه]]))="4.1.1",IF(TArticle[[#This Row],[کد وضعیت سند]]=1,TArticle[مبلغ],0),0),0)</f>
        <v>0</v>
      </c>
      <c r="AF677" s="1">
        <f>IFERROR(IF(((TArticle[[#This Row],[شناسه]]))="4.1.2",IF(TArticle[[#This Row],[کد وضعیت سند]]=1,TArticle[مبلغ],0),0),0)</f>
        <v>0</v>
      </c>
      <c r="AG677" s="1">
        <f>IFERROR(IF(INT(LEFT(TArticle[[#This Row],[شناسه]]))=1,IF(TArticle[[#This Row],[کد وضعیت سند]]=1,TArticle[مبلغ],0),0),0)</f>
        <v>0</v>
      </c>
      <c r="AH677" s="1">
        <f>IFERROR(IF(INT(LEFT(TArticle[[#This Row],[شناسه]]))=2,IF(TArticle[[#This Row],[کد وضعیت سند]]=1,TArticle[مبلغ],0),0),0)</f>
        <v>0</v>
      </c>
      <c r="AI677" s="1">
        <f>IFERROR(IF((LEFT(TArticle[[#This Row],[شناسه]],3))="5.2",IF(TArticle[[#This Row],[کد وضعیت سند]]=1,TArticle[مبلغ],0),0),0)</f>
        <v>0</v>
      </c>
      <c r="AJ677" s="1">
        <f>IF(TArticle[[#This Row],[کد وضعیت سند]]=1,1,0)</f>
        <v>0</v>
      </c>
      <c r="AK677" s="1">
        <f>IF(AND(TArticle[[#This Row],[کد وضعیت سند]]&lt;&gt;1,TArticle[[#This Row],[مبلغ]]&lt;&gt;0),1,0)</f>
        <v>1</v>
      </c>
      <c r="AL677" s="51">
        <f>IF(TArticle[[#This Row],[کد بانک]]&gt;0,TArticle[[#This Row],[مانده بانک]]-VLOOKUP(TArticle[[#This Row],[کد بانک]],TBank[],7,FALSE),"")</f>
        <v>463446</v>
      </c>
      <c r="AM677" s="49" t="str">
        <f>LEFT(TArticle[[#This Row],[تاریخ]],7)</f>
        <v>1403-06</v>
      </c>
    </row>
    <row r="678" spans="1:39" x14ac:dyDescent="0.25">
      <c r="A678" s="24" t="s">
        <v>1110</v>
      </c>
      <c r="B678" s="49" t="str">
        <f>VLOOKUP(TArticle[[#This Row],[شناسه]],TAccount[],2,TRUE)</f>
        <v>قسط وام بانکی</v>
      </c>
      <c r="C678" s="49" t="str">
        <f>VLOOKUP(TArticle[[#This Row],[تاریخ]],TDays[],7,FALSE)</f>
        <v>یکشنبه</v>
      </c>
      <c r="D678" s="21" t="s">
        <v>1384</v>
      </c>
      <c r="E678" s="1">
        <v>-532</v>
      </c>
      <c r="F678" s="1">
        <f>TArticle[[#This Row],[مبلغ]]+IFERROR(INT(F677),30181+3667+958)</f>
        <v>421262</v>
      </c>
      <c r="G678" s="49"/>
      <c r="H678" s="21">
        <v>18</v>
      </c>
      <c r="J678" s="51"/>
      <c r="K678" s="64">
        <v>2</v>
      </c>
      <c r="L678" s="171" t="str">
        <f>IF(TArticle[[#This Row],[کد وضعیت سند]]&gt;0,VLOOKUP(TArticle[[#This Row],[کد وضعیت سند]],TDocState[],2,FALSE),"")</f>
        <v>قطعی</v>
      </c>
      <c r="M678" s="67">
        <v>116</v>
      </c>
      <c r="N678" s="171" t="str">
        <f>IF(TArticle[[#This Row],[کد طرف حساب]]&gt;0,VLOOKUP(TArticle[[#This Row],[کد طرف حساب]],TContact[],2,FALSE),"")</f>
        <v>وام امتیازی مهر</v>
      </c>
      <c r="O678" s="60">
        <f>IF(TArticle[[#This Row],[کد طرف حساب]]&gt;0,VLOOKUP(TArticle[[#This Row],[کد طرف حساب]],TContact[],7,FALSE)-SUMIF($M$2:M678,M678,$E$2:$E678),"")</f>
        <v>-3188</v>
      </c>
      <c r="P678" s="27" t="str">
        <f>RIGHT(TArticle[[#This Row],[تاریخ]],2)</f>
        <v>04</v>
      </c>
      <c r="Q678" s="27">
        <f>VLOOKUP(TArticle[[#This Row],[تاریخ]],TDays[],16,FALSE)</f>
        <v>23</v>
      </c>
      <c r="R678" s="27" t="str">
        <f>RIGHT(LEFT(TArticle[[#This Row],[تاریخ]],7),2)</f>
        <v>06</v>
      </c>
      <c r="S678" s="27" t="str">
        <f>LEFT(TArticle[[#This Row],[تاریخ]],4)</f>
        <v>1403</v>
      </c>
      <c r="U678" s="21">
        <f>VLOOKUP(TArticle[[#This Row],[شناسه]],TAccount[],7,TRUE)</f>
        <v>81652</v>
      </c>
      <c r="W678" s="21">
        <f>IF(AND(TArticle[[#This Row],[مبلغ]]&gt;0, TArticle[[#This Row],[کد وضعیت سند]]=1),TArticle[[#This Row],[مبلغ]],0)</f>
        <v>0</v>
      </c>
      <c r="X678" s="27">
        <f>IF(AND(TArticle[[#This Row],[مبلغ]]&lt;0,TArticle[[#This Row],[کد وضعیت سند]]=1),0-TArticle[[#This Row],[مبلغ]],0)</f>
        <v>0</v>
      </c>
      <c r="Y678" s="27">
        <v>2</v>
      </c>
      <c r="Z678" s="171" t="str">
        <f>IF(TArticle[[#This Row],[کد بانک]]&gt;0,VLOOKUP(TArticle[[#This Row],[کد بانک]],TBank[],2,FALSE),"")</f>
        <v>ملی جاری</v>
      </c>
      <c r="AA678">
        <f>IF(AND(TArticle[[#This Row],[مبلغ]]&lt;0,TArticle[[#This Row],[کد وضعیت سند]]=1),0-TArticle[[#This Row],[مبلغ]],0)</f>
        <v>0</v>
      </c>
      <c r="AB678">
        <f>IF(AND(TArticle[[#This Row],[مبلغ]]&gt;0, TArticle[[#This Row],[کد وضعیت سند]]=1),TArticle[[#This Row],[مبلغ]],0)</f>
        <v>0</v>
      </c>
      <c r="AC678" s="92">
        <f>IF(TArticle[[#This Row],[کد بانک]]&gt;0,VLOOKUP(TArticle[[#This Row],[کد بانک]],TBank[],9,FALSE)+SUMIF($Y$2:Y678,Y678,$E$2:$E678),"")</f>
        <v>462914</v>
      </c>
      <c r="AD678" s="1">
        <f>IFERROR(IF(INT(LEFT(TArticle[[#This Row],[شناسه]]))=3,IF(TArticle[[#This Row],[کد وضعیت سند]]=1,TArticle[مبلغ],0),0),0)</f>
        <v>0</v>
      </c>
      <c r="AE678" s="1">
        <f>IFERROR(IF(((TArticle[[#This Row],[شناسه]]))="4.1.1",IF(TArticle[[#This Row],[کد وضعیت سند]]=1,TArticle[مبلغ],0),0),0)</f>
        <v>0</v>
      </c>
      <c r="AF678" s="1">
        <f>IFERROR(IF(((TArticle[[#This Row],[شناسه]]))="4.1.2",IF(TArticle[[#This Row],[کد وضعیت سند]]=1,TArticle[مبلغ],0),0),0)</f>
        <v>0</v>
      </c>
      <c r="AG678" s="1">
        <f>IFERROR(IF(INT(LEFT(TArticle[[#This Row],[شناسه]]))=1,IF(TArticle[[#This Row],[کد وضعیت سند]]=1,TArticle[مبلغ],0),0),0)</f>
        <v>0</v>
      </c>
      <c r="AH678" s="1">
        <f>IFERROR(IF(INT(LEFT(TArticle[[#This Row],[شناسه]]))=2,IF(TArticle[[#This Row],[کد وضعیت سند]]=1,TArticle[مبلغ],0),0),0)</f>
        <v>0</v>
      </c>
      <c r="AI678" s="1">
        <f>IFERROR(IF((LEFT(TArticle[[#This Row],[شناسه]],3))="5.2",IF(TArticle[[#This Row],[کد وضعیت سند]]=1,TArticle[مبلغ],0),0),0)</f>
        <v>0</v>
      </c>
      <c r="AJ678" s="1">
        <f>IF(TArticle[[#This Row],[کد وضعیت سند]]=1,1,0)</f>
        <v>0</v>
      </c>
      <c r="AK678" s="1">
        <f>IF(AND(TArticle[[#This Row],[کد وضعیت سند]]&lt;&gt;1,TArticle[[#This Row],[مبلغ]]&lt;&gt;0),1,0)</f>
        <v>1</v>
      </c>
      <c r="AL678" s="51">
        <f>IF(TArticle[[#This Row],[کد بانک]]&gt;0,TArticle[[#This Row],[مانده بانک]]-VLOOKUP(TArticle[[#This Row],[کد بانک]],TBank[],7,FALSE),"")</f>
        <v>462914</v>
      </c>
      <c r="AM678" s="58" t="str">
        <f>LEFT(TArticle[[#This Row],[تاریخ]],7)</f>
        <v>1403-06</v>
      </c>
    </row>
    <row r="679" spans="1:39" x14ac:dyDescent="0.25">
      <c r="A679" s="24" t="s">
        <v>1110</v>
      </c>
      <c r="B679" s="49" t="str">
        <f>VLOOKUP(TArticle[[#This Row],[شناسه]],TAccount[],2,TRUE)</f>
        <v>قسط وام بانکی</v>
      </c>
      <c r="C679" s="49" t="str">
        <f>VLOOKUP(TArticle[[#This Row],[تاریخ]],TDays[],7,FALSE)</f>
        <v>جمعه</v>
      </c>
      <c r="D679" s="21" t="s">
        <v>1389</v>
      </c>
      <c r="E679" s="1">
        <f>'طرف حساب'!$J$29</f>
        <v>-3616</v>
      </c>
      <c r="F679" s="1">
        <f>TArticle[[#This Row],[مبلغ]]+IFERROR(INT(F678),30181+3667+958)</f>
        <v>417646</v>
      </c>
      <c r="G679" s="49"/>
      <c r="H679" s="21">
        <v>19</v>
      </c>
      <c r="J679" s="51"/>
      <c r="K679" s="64">
        <v>2</v>
      </c>
      <c r="L679" s="171" t="str">
        <f>IF(TArticle[[#This Row],[کد وضعیت سند]]&gt;0,VLOOKUP(TArticle[[#This Row],[کد وضعیت سند]],TDocState[],2,FALSE),"")</f>
        <v>قطعی</v>
      </c>
      <c r="M679" s="67">
        <v>114</v>
      </c>
      <c r="N679" s="171" t="str">
        <f>IF(TArticle[[#This Row],[کد طرف حساب]]&gt;0,VLOOKUP(TArticle[[#This Row],[کد طرف حساب]],TContact[],2,FALSE),"")</f>
        <v>وام کارت ملی ف</v>
      </c>
      <c r="O679" s="60">
        <f>IF(TArticle[[#This Row],[کد طرف حساب]]&gt;0,VLOOKUP(TArticle[[#This Row],[کد طرف حساب]],TContact[],7,FALSE)-SUMIF($M$2:M679,M679,$E$2:$E679),"")</f>
        <v>-62754</v>
      </c>
      <c r="P679" s="27" t="str">
        <f>RIGHT(TArticle[[#This Row],[تاریخ]],2)</f>
        <v>09</v>
      </c>
      <c r="Q679" s="27">
        <f>VLOOKUP(TArticle[[#This Row],[تاریخ]],TDays[],16,FALSE)</f>
        <v>24</v>
      </c>
      <c r="R679" s="27" t="str">
        <f>RIGHT(LEFT(TArticle[[#This Row],[تاریخ]],7),2)</f>
        <v>06</v>
      </c>
      <c r="S679" s="27" t="str">
        <f>LEFT(TArticle[[#This Row],[تاریخ]],4)</f>
        <v>1403</v>
      </c>
      <c r="U679" s="21">
        <f>VLOOKUP(TArticle[[#This Row],[شناسه]],TAccount[],7,TRUE)</f>
        <v>81652</v>
      </c>
      <c r="W679" s="21">
        <f>IF(AND(TArticle[[#This Row],[مبلغ]]&gt;0, TArticle[[#This Row],[کد وضعیت سند]]=1),TArticle[[#This Row],[مبلغ]],0)</f>
        <v>0</v>
      </c>
      <c r="X679" s="27">
        <f>IF(AND(TArticle[[#This Row],[مبلغ]]&lt;0,TArticle[[#This Row],[کد وضعیت سند]]=1),0-TArticle[[#This Row],[مبلغ]],0)</f>
        <v>0</v>
      </c>
      <c r="Y679" s="27">
        <v>2</v>
      </c>
      <c r="Z679" s="171" t="str">
        <f>IF(TArticle[[#This Row],[کد بانک]]&gt;0,VLOOKUP(TArticle[[#This Row],[کد بانک]],TBank[],2,FALSE),"")</f>
        <v>ملی جاری</v>
      </c>
      <c r="AA679">
        <f>IF(AND(TArticle[[#This Row],[مبلغ]]&lt;0,TArticle[[#This Row],[کد وضعیت سند]]=1),0-TArticle[[#This Row],[مبلغ]],0)</f>
        <v>0</v>
      </c>
      <c r="AB679">
        <f>IF(AND(TArticle[[#This Row],[مبلغ]]&gt;0, TArticle[[#This Row],[کد وضعیت سند]]=1),TArticle[[#This Row],[مبلغ]],0)</f>
        <v>0</v>
      </c>
      <c r="AC679" s="92">
        <f>IF(TArticle[[#This Row],[کد بانک]]&gt;0,VLOOKUP(TArticle[[#This Row],[کد بانک]],TBank[],9,FALSE)+SUMIF($Y$2:Y679,Y679,$E$2:$E679),"")</f>
        <v>459298</v>
      </c>
      <c r="AD679" s="1">
        <f>IFERROR(IF(INT(LEFT(TArticle[[#This Row],[شناسه]]))=3,IF(TArticle[[#This Row],[کد وضعیت سند]]=1,TArticle[مبلغ],0),0),0)</f>
        <v>0</v>
      </c>
      <c r="AE679" s="1">
        <f>IFERROR(IF(((TArticle[[#This Row],[شناسه]]))="4.1.1",IF(TArticle[[#This Row],[کد وضعیت سند]]=1,TArticle[مبلغ],0),0),0)</f>
        <v>0</v>
      </c>
      <c r="AF679" s="1">
        <f>IFERROR(IF(((TArticle[[#This Row],[شناسه]]))="4.1.2",IF(TArticle[[#This Row],[کد وضعیت سند]]=1,TArticle[مبلغ],0),0),0)</f>
        <v>0</v>
      </c>
      <c r="AG679" s="1">
        <f>IFERROR(IF(INT(LEFT(TArticle[[#This Row],[شناسه]]))=1,IF(TArticle[[#This Row],[کد وضعیت سند]]=1,TArticle[مبلغ],0),0),0)</f>
        <v>0</v>
      </c>
      <c r="AH679" s="1">
        <f>IFERROR(IF(INT(LEFT(TArticle[[#This Row],[شناسه]]))=2,IF(TArticle[[#This Row],[کد وضعیت سند]]=1,TArticle[مبلغ],0),0),0)</f>
        <v>0</v>
      </c>
      <c r="AI679" s="1">
        <f>IFERROR(IF((LEFT(TArticle[[#This Row],[شناسه]],3))="5.2",IF(TArticle[[#This Row],[کد وضعیت سند]]=1,TArticle[مبلغ],0),0),0)</f>
        <v>0</v>
      </c>
      <c r="AJ679" s="1">
        <f>IF(TArticle[[#This Row],[کد وضعیت سند]]=1,1,0)</f>
        <v>0</v>
      </c>
      <c r="AK679" s="1">
        <f>IF(AND(TArticle[[#This Row],[کد وضعیت سند]]&lt;&gt;1,TArticle[[#This Row],[مبلغ]]&lt;&gt;0),1,0)</f>
        <v>1</v>
      </c>
      <c r="AL679" s="51">
        <f>IF(TArticle[[#This Row],[کد بانک]]&gt;0,TArticle[[#This Row],[مانده بانک]]-VLOOKUP(TArticle[[#This Row],[کد بانک]],TBank[],7,FALSE),"")</f>
        <v>459298</v>
      </c>
      <c r="AM679" s="58" t="str">
        <f>LEFT(TArticle[[#This Row],[تاریخ]],7)</f>
        <v>1403-06</v>
      </c>
    </row>
    <row r="680" spans="1:39" x14ac:dyDescent="0.25">
      <c r="A680" s="24" t="s">
        <v>1013</v>
      </c>
      <c r="B680" s="49" t="str">
        <f>VLOOKUP(TArticle[[#This Row],[شناسه]],TAccount[],2,TRUE)</f>
        <v>یارانه</v>
      </c>
      <c r="C680" s="49" t="str">
        <f>VLOOKUP(TArticle[[#This Row],[تاریخ]],TDays[],7,FALSE)</f>
        <v>سه شنبه</v>
      </c>
      <c r="D680" s="21" t="s">
        <v>1400</v>
      </c>
      <c r="E680" s="1">
        <v>1500</v>
      </c>
      <c r="F680" s="1">
        <f>TArticle[[#This Row],[مبلغ]]+IFERROR(INT(F679),30181+3667+958)</f>
        <v>419146</v>
      </c>
      <c r="G680" s="49"/>
      <c r="H680" s="64"/>
      <c r="J680" s="65"/>
      <c r="K680" s="64">
        <v>2</v>
      </c>
      <c r="L680" s="171" t="str">
        <f>IF(TArticle[[#This Row],[کد وضعیت سند]]&gt;0,VLOOKUP(TArticle[[#This Row],[کد وضعیت سند]],TDocState[],2,FALSE),"")</f>
        <v>قطعی</v>
      </c>
      <c r="M680" s="67"/>
      <c r="N680" s="171" t="str">
        <f>IF(TArticle[[#This Row],[کد طرف حساب]]&gt;0,VLOOKUP(TArticle[[#This Row],[کد طرف حساب]],TContact[],2,FALSE),"")</f>
        <v/>
      </c>
      <c r="O680" s="68" t="str">
        <f>IF(TArticle[[#This Row],[کد طرف حساب]]&gt;0,VLOOKUP(TArticle[[#This Row],[کد طرف حساب]],TContact[],7,FALSE)-SUMIF($M$2:M680,M680,$E$2:$E680),"")</f>
        <v/>
      </c>
      <c r="P680" s="67" t="str">
        <f>RIGHT(TArticle[[#This Row],[تاریخ]],2)</f>
        <v>20</v>
      </c>
      <c r="Q680" s="67">
        <f>VLOOKUP(TArticle[[#This Row],[تاریخ]],TDays[],16,FALSE)</f>
        <v>26</v>
      </c>
      <c r="R680" s="67" t="str">
        <f>RIGHT(LEFT(TArticle[[#This Row],[تاریخ]],7),2)</f>
        <v>06</v>
      </c>
      <c r="S680" s="67" t="str">
        <f>LEFT(TArticle[[#This Row],[تاریخ]],4)</f>
        <v>1403</v>
      </c>
      <c r="T680" s="64"/>
      <c r="U680" s="64">
        <f>VLOOKUP(TArticle[[#This Row],[شناسه]],TAccount[],7,TRUE)</f>
        <v>12565</v>
      </c>
      <c r="V680" s="64"/>
      <c r="W680" s="64">
        <f>IF(AND(TArticle[[#This Row],[مبلغ]]&gt;0, TArticle[[#This Row],[کد وضعیت سند]]=1),TArticle[[#This Row],[مبلغ]],0)</f>
        <v>0</v>
      </c>
      <c r="X680" s="67">
        <f>IF(AND(TArticle[[#This Row],[مبلغ]]&lt;0,TArticle[[#This Row],[کد وضعیت سند]]=1),0-TArticle[[#This Row],[مبلغ]],0)</f>
        <v>0</v>
      </c>
      <c r="Y680" s="27">
        <v>2</v>
      </c>
      <c r="Z680" s="171" t="str">
        <f>IF(TArticle[[#This Row],[کد بانک]]&gt;0,VLOOKUP(TArticle[[#This Row],[کد بانک]],TBank[],2,FALSE),"")</f>
        <v>ملی جاری</v>
      </c>
      <c r="AA680">
        <f>IF(AND(TArticle[[#This Row],[مبلغ]]&lt;0,TArticle[[#This Row],[کد وضعیت سند]]=1),0-TArticle[[#This Row],[مبلغ]],0)</f>
        <v>0</v>
      </c>
      <c r="AB680">
        <f>IF(AND(TArticle[[#This Row],[مبلغ]]&gt;0, TArticle[[#This Row],[کد وضعیت سند]]=1),TArticle[[#This Row],[مبلغ]],0)</f>
        <v>0</v>
      </c>
      <c r="AC680" s="93">
        <f>IF(TArticle[[#This Row],[کد بانک]]&gt;0,VLOOKUP(TArticle[[#This Row],[کد بانک]],TBank[],9,FALSE)+SUMIF($Y$2:Y680,Y680,$E$2:$E680),"")</f>
        <v>460798</v>
      </c>
      <c r="AD680" s="1">
        <f>IFERROR(IF(INT(LEFT(TArticle[[#This Row],[شناسه]]))=3,IF(TArticle[[#This Row],[کد وضعیت سند]]=1,TArticle[مبلغ],0),0),0)</f>
        <v>0</v>
      </c>
      <c r="AE680" s="1">
        <f>IFERROR(IF(((TArticle[[#This Row],[شناسه]]))="4.1.1",IF(TArticle[[#This Row],[کد وضعیت سند]]=1,TArticle[مبلغ],0),0),0)</f>
        <v>0</v>
      </c>
      <c r="AF680" s="1">
        <f>IFERROR(IF(((TArticle[[#This Row],[شناسه]]))="4.1.2",IF(TArticle[[#This Row],[کد وضعیت سند]]=1,TArticle[مبلغ],0),0),0)</f>
        <v>0</v>
      </c>
      <c r="AG680" s="1">
        <f>IFERROR(IF(INT(LEFT(TArticle[[#This Row],[شناسه]]))=1,IF(TArticle[[#This Row],[کد وضعیت سند]]=1,TArticle[مبلغ],0),0),0)</f>
        <v>0</v>
      </c>
      <c r="AH680" s="1">
        <f>IFERROR(IF(INT(LEFT(TArticle[[#This Row],[شناسه]]))=2,IF(TArticle[[#This Row],[کد وضعیت سند]]=1,TArticle[مبلغ],0),0),0)</f>
        <v>0</v>
      </c>
      <c r="AI680" s="1">
        <f>IFERROR(IF((LEFT(TArticle[[#This Row],[شناسه]],3))="5.2",IF(TArticle[[#This Row],[کد وضعیت سند]]=1,TArticle[مبلغ],0),0),0)</f>
        <v>0</v>
      </c>
      <c r="AJ680" s="1">
        <f>IF(TArticle[[#This Row],[کد وضعیت سند]]=1,1,0)</f>
        <v>0</v>
      </c>
      <c r="AK680" s="1">
        <f>IF(AND(TArticle[[#This Row],[کد وضعیت سند]]&lt;&gt;1,TArticle[[#This Row],[مبلغ]]&lt;&gt;0),1,0)</f>
        <v>1</v>
      </c>
      <c r="AL680" s="78">
        <f>IF(TArticle[[#This Row],[کد بانک]]&gt;0,TArticle[[#This Row],[مانده بانک]]-VLOOKUP(TArticle[[#This Row],[کد بانک]],TBank[],7,FALSE),"")</f>
        <v>460798</v>
      </c>
      <c r="AM680" s="69" t="str">
        <f>LEFT(TArticle[[#This Row],[تاریخ]],7)</f>
        <v>1403-06</v>
      </c>
    </row>
    <row r="681" spans="1:39" x14ac:dyDescent="0.25">
      <c r="A681" s="24" t="s">
        <v>43</v>
      </c>
      <c r="B681" s="49" t="str">
        <f>VLOOKUP(TArticle[[#This Row],[شناسه]],TAccount[],2,TRUE)</f>
        <v>حقوق</v>
      </c>
      <c r="C681" s="49" t="str">
        <f>VLOOKUP(TArticle[[#This Row],[تاریخ]],TDays[],7,FALSE)</f>
        <v>یکشنبه</v>
      </c>
      <c r="D681" s="21" t="s">
        <v>1412</v>
      </c>
      <c r="E681" s="1">
        <v>42000</v>
      </c>
      <c r="F681" s="1">
        <f>TArticle[[#This Row],[مبلغ]]+IFERROR(INT(F680),30181+3667+958)</f>
        <v>461146</v>
      </c>
      <c r="G681" s="49"/>
      <c r="H681" s="64"/>
      <c r="J681" s="65"/>
      <c r="K681" s="64">
        <v>2</v>
      </c>
      <c r="L681" s="171" t="str">
        <f>IF(TArticle[[#This Row],[کد وضعیت سند]]&gt;0,VLOOKUP(TArticle[[#This Row],[کد وضعیت سند]],TDocState[],2,FALSE),"")</f>
        <v>قطعی</v>
      </c>
      <c r="M681" s="67"/>
      <c r="N681" s="171" t="str">
        <f>IF(TArticle[[#This Row],[کد طرف حساب]]&gt;0,VLOOKUP(TArticle[[#This Row],[کد طرف حساب]],TContact[],2,FALSE),"")</f>
        <v/>
      </c>
      <c r="O681" s="68" t="str">
        <f>IF(TArticle[[#This Row],[کد طرف حساب]]&gt;0,VLOOKUP(TArticle[[#This Row],[کد طرف حساب]],TContact[],7,FALSE)-SUMIF($M$2:M681,M681,$E$2:$E681),"")</f>
        <v/>
      </c>
      <c r="P681" s="67" t="str">
        <f>RIGHT(TArticle[[#This Row],[تاریخ]],2)</f>
        <v>01</v>
      </c>
      <c r="Q681" s="67">
        <f>VLOOKUP(TArticle[[#This Row],[تاریخ]],TDays[],16,FALSE)</f>
        <v>27</v>
      </c>
      <c r="R681" s="67" t="str">
        <f>RIGHT(LEFT(TArticle[[#This Row],[تاریخ]],7),2)</f>
        <v>07</v>
      </c>
      <c r="S681" s="67" t="str">
        <f>LEFT(TArticle[[#This Row],[تاریخ]],4)</f>
        <v>1403</v>
      </c>
      <c r="T681" s="64"/>
      <c r="U681" s="64">
        <f>VLOOKUP(TArticle[[#This Row],[شناسه]],TAccount[],7,TRUE)</f>
        <v>416023</v>
      </c>
      <c r="V681" s="64"/>
      <c r="W681" s="64">
        <f>IF(AND(TArticle[[#This Row],[مبلغ]]&gt;0, TArticle[[#This Row],[کد وضعیت سند]]=1),TArticle[[#This Row],[مبلغ]],0)</f>
        <v>0</v>
      </c>
      <c r="X681" s="67">
        <f>IF(AND(TArticle[[#This Row],[مبلغ]]&lt;0,TArticle[[#This Row],[کد وضعیت سند]]=1),0-TArticle[[#This Row],[مبلغ]],0)</f>
        <v>0</v>
      </c>
      <c r="Y681" s="27">
        <v>2</v>
      </c>
      <c r="Z681" s="171" t="str">
        <f>IF(TArticle[[#This Row],[کد بانک]]&gt;0,VLOOKUP(TArticle[[#This Row],[کد بانک]],TBank[],2,FALSE),"")</f>
        <v>ملی جاری</v>
      </c>
      <c r="AA681">
        <f>IF(AND(TArticle[[#This Row],[مبلغ]]&lt;0,TArticle[[#This Row],[کد وضعیت سند]]=1),0-TArticle[[#This Row],[مبلغ]],0)</f>
        <v>0</v>
      </c>
      <c r="AB681">
        <f>IF(AND(TArticle[[#This Row],[مبلغ]]&gt;0, TArticle[[#This Row],[کد وضعیت سند]]=1),TArticle[[#This Row],[مبلغ]],0)</f>
        <v>0</v>
      </c>
      <c r="AC681" s="93">
        <f>IF(TArticle[[#This Row],[کد بانک]]&gt;0,VLOOKUP(TArticle[[#This Row],[کد بانک]],TBank[],9,FALSE)+SUMIF($Y$2:Y681,Y681,$E$2:$E681),"")</f>
        <v>502798</v>
      </c>
      <c r="AD681" s="1">
        <f>IFERROR(IF(INT(LEFT(TArticle[[#This Row],[شناسه]]))=3,IF(TArticle[[#This Row],[کد وضعیت سند]]=1,TArticle[مبلغ],0),0),0)</f>
        <v>0</v>
      </c>
      <c r="AE681" s="1">
        <f>IFERROR(IF(((TArticle[[#This Row],[شناسه]]))="4.1.1",IF(TArticle[[#This Row],[کد وضعیت سند]]=1,TArticle[مبلغ],0),0),0)</f>
        <v>0</v>
      </c>
      <c r="AF681" s="1">
        <f>IFERROR(IF(((TArticle[[#This Row],[شناسه]]))="4.1.2",IF(TArticle[[#This Row],[کد وضعیت سند]]=1,TArticle[مبلغ],0),0),0)</f>
        <v>0</v>
      </c>
      <c r="AG681" s="1">
        <f>IFERROR(IF(INT(LEFT(TArticle[[#This Row],[شناسه]]))=1,IF(TArticle[[#This Row],[کد وضعیت سند]]=1,TArticle[مبلغ],0),0),0)</f>
        <v>0</v>
      </c>
      <c r="AH681" s="1">
        <f>IFERROR(IF(INT(LEFT(TArticle[[#This Row],[شناسه]]))=2,IF(TArticle[[#This Row],[کد وضعیت سند]]=1,TArticle[مبلغ],0),0),0)</f>
        <v>0</v>
      </c>
      <c r="AI681" s="1">
        <f>IFERROR(IF((LEFT(TArticle[[#This Row],[شناسه]],3))="5.2",IF(TArticle[[#This Row],[کد وضعیت سند]]=1,TArticle[مبلغ],0),0),0)</f>
        <v>0</v>
      </c>
      <c r="AJ681" s="1">
        <f>IF(TArticle[[#This Row],[کد وضعیت سند]]=1,1,0)</f>
        <v>0</v>
      </c>
      <c r="AK681" s="1">
        <f>IF(AND(TArticle[[#This Row],[کد وضعیت سند]]&lt;&gt;1,TArticle[[#This Row],[مبلغ]]&lt;&gt;0),1,0)</f>
        <v>1</v>
      </c>
      <c r="AL681" s="78">
        <f>IF(TArticle[[#This Row],[کد بانک]]&gt;0,TArticle[[#This Row],[مانده بانک]]-VLOOKUP(TArticle[[#This Row],[کد بانک]],TBank[],7,FALSE),"")</f>
        <v>502798</v>
      </c>
      <c r="AM681" s="69" t="str">
        <f>LEFT(TArticle[[#This Row],[تاریخ]],7)</f>
        <v>1403-07</v>
      </c>
    </row>
    <row r="682" spans="1:39" x14ac:dyDescent="0.25">
      <c r="A682" s="24" t="s">
        <v>1608</v>
      </c>
      <c r="B682" s="49" t="str">
        <f>VLOOKUP(TArticle[[#This Row],[شناسه]],TAccount[],2,TRUE)</f>
        <v>بن کارت</v>
      </c>
      <c r="C682" s="49" t="str">
        <f>VLOOKUP(TArticle[[#This Row],[تاریخ]],TDays[],7,FALSE)</f>
        <v>یکشنبه</v>
      </c>
      <c r="D682" s="21" t="s">
        <v>1412</v>
      </c>
      <c r="E682" s="1">
        <v>3000</v>
      </c>
      <c r="F682" s="1">
        <f>TArticle[[#This Row],[مبلغ]]+IFERROR(INT(F681),30181+3667+958)</f>
        <v>464146</v>
      </c>
      <c r="G682" s="49"/>
      <c r="J682" s="65"/>
      <c r="K682" s="64">
        <v>2</v>
      </c>
      <c r="L682" s="171" t="str">
        <f>IF(TArticle[[#This Row],[کد وضعیت سند]]&gt;0,VLOOKUP(TArticle[[#This Row],[کد وضعیت سند]],TDocState[],2,FALSE),"")</f>
        <v>قطعی</v>
      </c>
      <c r="M682" s="67"/>
      <c r="N682" s="171" t="str">
        <f>IF(TArticle[[#This Row],[کد طرف حساب]]&gt;0,VLOOKUP(TArticle[[#This Row],[کد طرف حساب]],TContact[],2,FALSE),"")</f>
        <v/>
      </c>
      <c r="O682" s="68" t="str">
        <f>IF(TArticle[[#This Row],[کد طرف حساب]]&gt;0,VLOOKUP(TArticle[[#This Row],[کد طرف حساب]],TContact[],7,FALSE)-SUMIF($M$2:M682,M682,$E$2:$E682),"")</f>
        <v/>
      </c>
      <c r="P682" s="67" t="str">
        <f>RIGHT(TArticle[[#This Row],[تاریخ]],2)</f>
        <v>01</v>
      </c>
      <c r="Q682" s="67">
        <f>VLOOKUP(TArticle[[#This Row],[تاریخ]],TDays[],16,FALSE)</f>
        <v>27</v>
      </c>
      <c r="R682" s="67" t="str">
        <f>RIGHT(LEFT(TArticle[[#This Row],[تاریخ]],7),2)</f>
        <v>07</v>
      </c>
      <c r="S682" s="67" t="str">
        <f>LEFT(TArticle[[#This Row],[تاریخ]],4)</f>
        <v>1403</v>
      </c>
      <c r="T682" s="64"/>
      <c r="U682" s="64">
        <f>VLOOKUP(TArticle[[#This Row],[شناسه]],TAccount[],7,TRUE)</f>
        <v>3000</v>
      </c>
      <c r="V682" s="28"/>
      <c r="W682" s="64">
        <f>IF(AND(TArticle[[#This Row],[مبلغ]]&gt;0, TArticle[[#This Row],[کد وضعیت سند]]=1),TArticle[[#This Row],[مبلغ]],0)</f>
        <v>0</v>
      </c>
      <c r="X682" s="67">
        <f>IF(AND(TArticle[[#This Row],[مبلغ]]&lt;0,TArticle[[#This Row],[کد وضعیت سند]]=1),0-TArticle[[#This Row],[مبلغ]],0)</f>
        <v>0</v>
      </c>
      <c r="Y682" s="27">
        <v>2</v>
      </c>
      <c r="Z682" s="171" t="str">
        <f>IF(TArticle[[#This Row],[کد بانک]]&gt;0,VLOOKUP(TArticle[[#This Row],[کد بانک]],TBank[],2,FALSE),"")</f>
        <v>ملی جاری</v>
      </c>
      <c r="AA682">
        <f>IF(AND(TArticle[[#This Row],[مبلغ]]&lt;0,TArticle[[#This Row],[کد وضعیت سند]]=1),0-TArticle[[#This Row],[مبلغ]],0)</f>
        <v>0</v>
      </c>
      <c r="AB682">
        <f>IF(AND(TArticle[[#This Row],[مبلغ]]&gt;0, TArticle[[#This Row],[کد وضعیت سند]]=1),TArticle[[#This Row],[مبلغ]],0)</f>
        <v>0</v>
      </c>
      <c r="AC682" s="93">
        <f>IF(TArticle[[#This Row],[کد بانک]]&gt;0,VLOOKUP(TArticle[[#This Row],[کد بانک]],TBank[],9,FALSE)+SUMIF($Y$2:Y682,Y682,$E$2:$E682),"")</f>
        <v>505798</v>
      </c>
      <c r="AD682" s="1">
        <f>IFERROR(IF(INT(LEFT(TArticle[[#This Row],[شناسه]]))=3,IF(TArticle[[#This Row],[کد وضعیت سند]]=1,TArticle[مبلغ],0),0),0)</f>
        <v>0</v>
      </c>
      <c r="AE682" s="1">
        <f>IFERROR(IF(((TArticle[[#This Row],[شناسه]]))="4.1.1",IF(TArticle[[#This Row],[کد وضعیت سند]]=1,TArticle[مبلغ],0),0),0)</f>
        <v>0</v>
      </c>
      <c r="AF682" s="1">
        <f>IFERROR(IF(((TArticle[[#This Row],[شناسه]]))="4.1.2",IF(TArticle[[#This Row],[کد وضعیت سند]]=1,TArticle[مبلغ],0),0),0)</f>
        <v>0</v>
      </c>
      <c r="AG682" s="1">
        <f>IFERROR(IF(INT(LEFT(TArticle[[#This Row],[شناسه]]))=1,IF(TArticle[[#This Row],[کد وضعیت سند]]=1,TArticle[مبلغ],0),0),0)</f>
        <v>0</v>
      </c>
      <c r="AH682" s="1">
        <f>IFERROR(IF(INT(LEFT(TArticle[[#This Row],[شناسه]]))=2,IF(TArticle[[#This Row],[کد وضعیت سند]]=1,TArticle[مبلغ],0),0),0)</f>
        <v>0</v>
      </c>
      <c r="AI682" s="1">
        <f>IFERROR(IF((LEFT(TArticle[[#This Row],[شناسه]],3))="5.2",IF(TArticle[[#This Row],[کد وضعیت سند]]=1,TArticle[مبلغ],0),0),0)</f>
        <v>0</v>
      </c>
      <c r="AJ682" s="1">
        <f>IF(TArticle[[#This Row],[کد وضعیت سند]]=1,1,0)</f>
        <v>0</v>
      </c>
      <c r="AK682" s="1">
        <f>IF(AND(TArticle[[#This Row],[کد وضعیت سند]]&lt;&gt;1,TArticle[[#This Row],[مبلغ]]&lt;&gt;0),1,0)</f>
        <v>1</v>
      </c>
      <c r="AL682" s="78">
        <f>IF(TArticle[[#This Row],[کد بانک]]&gt;0,TArticle[[#This Row],[مانده بانک]]-VLOOKUP(TArticle[[#This Row],[کد بانک]],TBank[],7,FALSE),"")</f>
        <v>505798</v>
      </c>
      <c r="AM682" s="69" t="str">
        <f>LEFT(TArticle[[#This Row],[تاریخ]],7)</f>
        <v>1403-07</v>
      </c>
    </row>
    <row r="683" spans="1:39" x14ac:dyDescent="0.25">
      <c r="A683" s="24" t="s">
        <v>1110</v>
      </c>
      <c r="B683" s="49" t="str">
        <f>VLOOKUP(TArticle[[#This Row],[شناسه]],TAccount[],2,TRUE)</f>
        <v>قسط وام بانکی</v>
      </c>
      <c r="C683" s="49" t="str">
        <f>VLOOKUP(TArticle[[#This Row],[تاریخ]],TDays[],7,FALSE)</f>
        <v>سه شنبه</v>
      </c>
      <c r="D683" s="21" t="s">
        <v>1414</v>
      </c>
      <c r="E683" s="1">
        <v>-1861</v>
      </c>
      <c r="F683" s="1">
        <f>TArticle[[#This Row],[مبلغ]]+IFERROR(INT(F682),30181+3667+958)</f>
        <v>462285</v>
      </c>
      <c r="G683" s="61" t="s">
        <v>1108</v>
      </c>
      <c r="H683" s="21">
        <v>13</v>
      </c>
      <c r="K683" s="64">
        <v>2</v>
      </c>
      <c r="L683" s="171" t="str">
        <f>IF(TArticle[[#This Row],[کد وضعیت سند]]&gt;0,VLOOKUP(TArticle[[#This Row],[کد وضعیت سند]],TDocState[],2,FALSE),"")</f>
        <v>قطعی</v>
      </c>
      <c r="M683" s="27">
        <v>115.1</v>
      </c>
      <c r="N683" s="171" t="str">
        <f>IF(TArticle[[#This Row],[کد طرف حساب]]&gt;0,VLOOKUP(TArticle[[#This Row],[کد طرف حساب]],TContact[],2,FALSE),"")</f>
        <v>سود فرزند مهر</v>
      </c>
      <c r="O683" s="51">
        <f>IF(TArticle[[#This Row],[کد طرف حساب]]&gt;0,VLOOKUP(TArticle[[#This Row],[کد طرف حساب]],TContact[],7,FALSE)-SUMIF($M$2:M683,M683,$E$2:$E683),"")</f>
        <v>-2229</v>
      </c>
      <c r="P683" s="27" t="str">
        <f>RIGHT(TArticle[[#This Row],[تاریخ]],2)</f>
        <v>03</v>
      </c>
      <c r="Q683" s="27">
        <f>VLOOKUP(TArticle[[#This Row],[تاریخ]],TDays[],16,FALSE)</f>
        <v>28</v>
      </c>
      <c r="R683" s="27" t="str">
        <f>RIGHT(LEFT(TArticle[[#This Row],[تاریخ]],7),2)</f>
        <v>07</v>
      </c>
      <c r="S683" s="27" t="str">
        <f>LEFT(TArticle[[#This Row],[تاریخ]],4)</f>
        <v>1403</v>
      </c>
      <c r="U683" s="21">
        <f>VLOOKUP(TArticle[[#This Row],[شناسه]],TAccount[],7,TRUE)</f>
        <v>81652</v>
      </c>
      <c r="W683" s="21">
        <f>IF(AND(TArticle[[#This Row],[مبلغ]]&gt;0, TArticle[[#This Row],[کد وضعیت سند]]=1),TArticle[[#This Row],[مبلغ]],0)</f>
        <v>0</v>
      </c>
      <c r="X683" s="27">
        <f>IF(AND(TArticle[[#This Row],[مبلغ]]&lt;0,TArticle[[#This Row],[کد وضعیت سند]]=1),0-TArticle[[#This Row],[مبلغ]],0)</f>
        <v>0</v>
      </c>
      <c r="Y683" s="27">
        <v>2</v>
      </c>
      <c r="Z683" s="171" t="str">
        <f>IF(TArticle[[#This Row],[کد بانک]]&gt;0,VLOOKUP(TArticle[[#This Row],[کد بانک]],TBank[],2,FALSE),"")</f>
        <v>ملی جاری</v>
      </c>
      <c r="AA683">
        <f>IF(AND(TArticle[[#This Row],[مبلغ]]&lt;0,TArticle[[#This Row],[کد وضعیت سند]]=1),0-TArticle[[#This Row],[مبلغ]],0)</f>
        <v>0</v>
      </c>
      <c r="AB683">
        <f>IF(AND(TArticle[[#This Row],[مبلغ]]&gt;0, TArticle[[#This Row],[کد وضعیت سند]]=1),TArticle[[#This Row],[مبلغ]],0)</f>
        <v>0</v>
      </c>
      <c r="AC683" s="84">
        <f>IF(TArticle[[#This Row],[کد بانک]]&gt;0,VLOOKUP(TArticle[[#This Row],[کد بانک]],TBank[],9,FALSE)+SUMIF($Y$2:Y683,Y683,$E$2:$E683),"")</f>
        <v>503937</v>
      </c>
      <c r="AD683" s="1">
        <f>IFERROR(IF(INT(LEFT(TArticle[[#This Row],[شناسه]]))=3,IF(TArticle[[#This Row],[کد وضعیت سند]]=1,TArticle[مبلغ],0),0),0)</f>
        <v>0</v>
      </c>
      <c r="AE683" s="1">
        <f>IFERROR(IF(((TArticle[[#This Row],[شناسه]]))="4.1.1",IF(TArticle[[#This Row],[کد وضعیت سند]]=1,TArticle[مبلغ],0),0),0)</f>
        <v>0</v>
      </c>
      <c r="AF683" s="1">
        <f>IFERROR(IF(((TArticle[[#This Row],[شناسه]]))="4.1.2",IF(TArticle[[#This Row],[کد وضعیت سند]]=1,TArticle[مبلغ],0),0),0)</f>
        <v>0</v>
      </c>
      <c r="AG683" s="1">
        <f>IFERROR(IF(INT(LEFT(TArticle[[#This Row],[شناسه]]))=1,IF(TArticle[[#This Row],[کد وضعیت سند]]=1,TArticle[مبلغ],0),0),0)</f>
        <v>0</v>
      </c>
      <c r="AH683" s="1">
        <f>IFERROR(IF(INT(LEFT(TArticle[[#This Row],[شناسه]]))=2,IF(TArticle[[#This Row],[کد وضعیت سند]]=1,TArticle[مبلغ],0),0),0)</f>
        <v>0</v>
      </c>
      <c r="AI683" s="1">
        <f>IFERROR(IF((LEFT(TArticle[[#This Row],[شناسه]],3))="5.2",IF(TArticle[[#This Row],[کد وضعیت سند]]=1,TArticle[مبلغ],0),0),0)</f>
        <v>0</v>
      </c>
      <c r="AJ683" s="1">
        <f>IF(TArticle[[#This Row],[کد وضعیت سند]]=1,1,0)</f>
        <v>0</v>
      </c>
      <c r="AK683" s="1">
        <f>IF(AND(TArticle[[#This Row],[کد وضعیت سند]]&lt;&gt;1,TArticle[[#This Row],[مبلغ]]&lt;&gt;0),1,0)</f>
        <v>1</v>
      </c>
      <c r="AL683" s="51">
        <f>IF(TArticle[[#This Row],[کد بانک]]&gt;0,TArticle[[#This Row],[مانده بانک]]-VLOOKUP(TArticle[[#This Row],[کد بانک]],TBank[],7,FALSE),"")</f>
        <v>503937</v>
      </c>
      <c r="AM683" s="49" t="str">
        <f>LEFT(TArticle[[#This Row],[تاریخ]],7)</f>
        <v>1403-07</v>
      </c>
    </row>
    <row r="684" spans="1:39" x14ac:dyDescent="0.25">
      <c r="A684" s="24" t="s">
        <v>1110</v>
      </c>
      <c r="B684" s="49" t="str">
        <f>VLOOKUP(TArticle[[#This Row],[شناسه]],TAccount[],2,TRUE)</f>
        <v>قسط وام بانکی</v>
      </c>
      <c r="C684" s="49" t="str">
        <f>VLOOKUP(TArticle[[#This Row],[تاریخ]],TDays[],7,FALSE)</f>
        <v>چهارشنبه</v>
      </c>
      <c r="D684" s="21" t="s">
        <v>1415</v>
      </c>
      <c r="E684" s="1">
        <v>-532</v>
      </c>
      <c r="F684" s="1">
        <f>TArticle[[#This Row],[مبلغ]]+IFERROR(INT(F683),30181+3667+958)</f>
        <v>461753</v>
      </c>
      <c r="G684" s="49"/>
      <c r="H684" s="21">
        <v>19</v>
      </c>
      <c r="J684" s="51"/>
      <c r="K684" s="64">
        <v>2</v>
      </c>
      <c r="L684" s="171" t="str">
        <f>IF(TArticle[[#This Row],[کد وضعیت سند]]&gt;0,VLOOKUP(TArticle[[#This Row],[کد وضعیت سند]],TDocState[],2,FALSE),"")</f>
        <v>قطعی</v>
      </c>
      <c r="M684" s="67">
        <v>116</v>
      </c>
      <c r="N684" s="171" t="str">
        <f>IF(TArticle[[#This Row],[کد طرف حساب]]&gt;0,VLOOKUP(TArticle[[#This Row],[کد طرف حساب]],TContact[],2,FALSE),"")</f>
        <v>وام امتیازی مهر</v>
      </c>
      <c r="O684" s="60">
        <f>IF(TArticle[[#This Row],[کد طرف حساب]]&gt;0,VLOOKUP(TArticle[[#This Row],[کد طرف حساب]],TContact[],7,FALSE)-SUMIF($M$2:M684,M684,$E$2:$E684),"")</f>
        <v>-2656</v>
      </c>
      <c r="P684" s="27" t="str">
        <f>RIGHT(TArticle[[#This Row],[تاریخ]],2)</f>
        <v>04</v>
      </c>
      <c r="Q684" s="27">
        <f>VLOOKUP(TArticle[[#This Row],[تاریخ]],TDays[],16,FALSE)</f>
        <v>28</v>
      </c>
      <c r="R684" s="27" t="str">
        <f>RIGHT(LEFT(TArticle[[#This Row],[تاریخ]],7),2)</f>
        <v>07</v>
      </c>
      <c r="S684" s="27" t="str">
        <f>LEFT(TArticle[[#This Row],[تاریخ]],4)</f>
        <v>1403</v>
      </c>
      <c r="U684" s="21">
        <f>VLOOKUP(TArticle[[#This Row],[شناسه]],TAccount[],7,TRUE)</f>
        <v>81652</v>
      </c>
      <c r="W684" s="21">
        <f>IF(AND(TArticle[[#This Row],[مبلغ]]&gt;0, TArticle[[#This Row],[کد وضعیت سند]]=1),TArticle[[#This Row],[مبلغ]],0)</f>
        <v>0</v>
      </c>
      <c r="X684" s="27">
        <f>IF(AND(TArticle[[#This Row],[مبلغ]]&lt;0,TArticle[[#This Row],[کد وضعیت سند]]=1),0-TArticle[[#This Row],[مبلغ]],0)</f>
        <v>0</v>
      </c>
      <c r="Y684" s="27">
        <v>2</v>
      </c>
      <c r="Z684" s="171" t="str">
        <f>IF(TArticle[[#This Row],[کد بانک]]&gt;0,VLOOKUP(TArticle[[#This Row],[کد بانک]],TBank[],2,FALSE),"")</f>
        <v>ملی جاری</v>
      </c>
      <c r="AA684">
        <f>IF(AND(TArticle[[#This Row],[مبلغ]]&lt;0,TArticle[[#This Row],[کد وضعیت سند]]=1),0-TArticle[[#This Row],[مبلغ]],0)</f>
        <v>0</v>
      </c>
      <c r="AB684">
        <f>IF(AND(TArticle[[#This Row],[مبلغ]]&gt;0, TArticle[[#This Row],[کد وضعیت سند]]=1),TArticle[[#This Row],[مبلغ]],0)</f>
        <v>0</v>
      </c>
      <c r="AC684" s="92">
        <f>IF(TArticle[[#This Row],[کد بانک]]&gt;0,VLOOKUP(TArticle[[#This Row],[کد بانک]],TBank[],9,FALSE)+SUMIF($Y$2:Y684,Y684,$E$2:$E684),"")</f>
        <v>503405</v>
      </c>
      <c r="AD684" s="1">
        <f>IFERROR(IF(INT(LEFT(TArticle[[#This Row],[شناسه]]))=3,IF(TArticle[[#This Row],[کد وضعیت سند]]=1,TArticle[مبلغ],0),0),0)</f>
        <v>0</v>
      </c>
      <c r="AE684" s="1">
        <f>IFERROR(IF(((TArticle[[#This Row],[شناسه]]))="4.1.1",IF(TArticle[[#This Row],[کد وضعیت سند]]=1,TArticle[مبلغ],0),0),0)</f>
        <v>0</v>
      </c>
      <c r="AF684" s="1">
        <f>IFERROR(IF(((TArticle[[#This Row],[شناسه]]))="4.1.2",IF(TArticle[[#This Row],[کد وضعیت سند]]=1,TArticle[مبلغ],0),0),0)</f>
        <v>0</v>
      </c>
      <c r="AG684" s="1">
        <f>IFERROR(IF(INT(LEFT(TArticle[[#This Row],[شناسه]]))=1,IF(TArticle[[#This Row],[کد وضعیت سند]]=1,TArticle[مبلغ],0),0),0)</f>
        <v>0</v>
      </c>
      <c r="AH684" s="1">
        <f>IFERROR(IF(INT(LEFT(TArticle[[#This Row],[شناسه]]))=2,IF(TArticle[[#This Row],[کد وضعیت سند]]=1,TArticle[مبلغ],0),0),0)</f>
        <v>0</v>
      </c>
      <c r="AI684" s="1">
        <f>IFERROR(IF((LEFT(TArticle[[#This Row],[شناسه]],3))="5.2",IF(TArticle[[#This Row],[کد وضعیت سند]]=1,TArticle[مبلغ],0),0),0)</f>
        <v>0</v>
      </c>
      <c r="AJ684" s="1">
        <f>IF(TArticle[[#This Row],[کد وضعیت سند]]=1,1,0)</f>
        <v>0</v>
      </c>
      <c r="AK684" s="1">
        <f>IF(AND(TArticle[[#This Row],[کد وضعیت سند]]&lt;&gt;1,TArticle[[#This Row],[مبلغ]]&lt;&gt;0),1,0)</f>
        <v>1</v>
      </c>
      <c r="AL684" s="51">
        <f>IF(TArticle[[#This Row],[کد بانک]]&gt;0,TArticle[[#This Row],[مانده بانک]]-VLOOKUP(TArticle[[#This Row],[کد بانک]],TBank[],7,FALSE),"")</f>
        <v>503405</v>
      </c>
      <c r="AM684" s="58" t="str">
        <f>LEFT(TArticle[[#This Row],[تاریخ]],7)</f>
        <v>1403-07</v>
      </c>
    </row>
    <row r="685" spans="1:39" x14ac:dyDescent="0.25">
      <c r="A685" s="24" t="s">
        <v>1110</v>
      </c>
      <c r="B685" s="49" t="str">
        <f>VLOOKUP(TArticle[[#This Row],[شناسه]],TAccount[],2,TRUE)</f>
        <v>قسط وام بانکی</v>
      </c>
      <c r="C685" s="49" t="str">
        <f>VLOOKUP(TArticle[[#This Row],[تاریخ]],TDays[],7,FALSE)</f>
        <v>دوشنبه</v>
      </c>
      <c r="D685" s="21" t="s">
        <v>1420</v>
      </c>
      <c r="E685" s="1">
        <f>'طرف حساب'!$J$29</f>
        <v>-3616</v>
      </c>
      <c r="F685" s="1">
        <f>TArticle[[#This Row],[مبلغ]]+IFERROR(INT(F684),30181+3667+958)</f>
        <v>458137</v>
      </c>
      <c r="G685" s="49"/>
      <c r="H685" s="21">
        <v>20</v>
      </c>
      <c r="J685" s="51"/>
      <c r="K685" s="64">
        <v>2</v>
      </c>
      <c r="L685" s="171" t="str">
        <f>IF(TArticle[[#This Row],[کد وضعیت سند]]&gt;0,VLOOKUP(TArticle[[#This Row],[کد وضعیت سند]],TDocState[],2,FALSE),"")</f>
        <v>قطعی</v>
      </c>
      <c r="M685" s="67">
        <v>114</v>
      </c>
      <c r="N685" s="171" t="str">
        <f>IF(TArticle[[#This Row],[کد طرف حساب]]&gt;0,VLOOKUP(TArticle[[#This Row],[کد طرف حساب]],TContact[],2,FALSE),"")</f>
        <v>وام کارت ملی ف</v>
      </c>
      <c r="O685" s="60">
        <f>IF(TArticle[[#This Row],[کد طرف حساب]]&gt;0,VLOOKUP(TArticle[[#This Row],[کد طرف حساب]],TContact[],7,FALSE)-SUMIF($M$2:M685,M685,$E$2:$E685),"")</f>
        <v>-59138</v>
      </c>
      <c r="P685" s="27" t="str">
        <f>RIGHT(TArticle[[#This Row],[تاریخ]],2)</f>
        <v>09</v>
      </c>
      <c r="Q685" s="27">
        <f>VLOOKUP(TArticle[[#This Row],[تاریخ]],TDays[],16,FALSE)</f>
        <v>29</v>
      </c>
      <c r="R685" s="27" t="str">
        <f>RIGHT(LEFT(TArticle[[#This Row],[تاریخ]],7),2)</f>
        <v>07</v>
      </c>
      <c r="S685" s="27" t="str">
        <f>LEFT(TArticle[[#This Row],[تاریخ]],4)</f>
        <v>1403</v>
      </c>
      <c r="U685" s="21">
        <f>VLOOKUP(TArticle[[#This Row],[شناسه]],TAccount[],7,TRUE)</f>
        <v>81652</v>
      </c>
      <c r="W685" s="21">
        <f>IF(AND(TArticle[[#This Row],[مبلغ]]&gt;0, TArticle[[#This Row],[کد وضعیت سند]]=1),TArticle[[#This Row],[مبلغ]],0)</f>
        <v>0</v>
      </c>
      <c r="X685" s="27">
        <f>IF(AND(TArticle[[#This Row],[مبلغ]]&lt;0,TArticle[[#This Row],[کد وضعیت سند]]=1),0-TArticle[[#This Row],[مبلغ]],0)</f>
        <v>0</v>
      </c>
      <c r="Y685" s="27">
        <v>2</v>
      </c>
      <c r="Z685" s="171" t="str">
        <f>IF(TArticle[[#This Row],[کد بانک]]&gt;0,VLOOKUP(TArticle[[#This Row],[کد بانک]],TBank[],2,FALSE),"")</f>
        <v>ملی جاری</v>
      </c>
      <c r="AA685">
        <f>IF(AND(TArticle[[#This Row],[مبلغ]]&lt;0,TArticle[[#This Row],[کد وضعیت سند]]=1),0-TArticle[[#This Row],[مبلغ]],0)</f>
        <v>0</v>
      </c>
      <c r="AB685">
        <f>IF(AND(TArticle[[#This Row],[مبلغ]]&gt;0, TArticle[[#This Row],[کد وضعیت سند]]=1),TArticle[[#This Row],[مبلغ]],0)</f>
        <v>0</v>
      </c>
      <c r="AC685" s="92">
        <f>IF(TArticle[[#This Row],[کد بانک]]&gt;0,VLOOKUP(TArticle[[#This Row],[کد بانک]],TBank[],9,FALSE)+SUMIF($Y$2:Y685,Y685,$E$2:$E685),"")</f>
        <v>499789</v>
      </c>
      <c r="AD685" s="1">
        <f>IFERROR(IF(INT(LEFT(TArticle[[#This Row],[شناسه]]))=3,IF(TArticle[[#This Row],[کد وضعیت سند]]=1,TArticle[مبلغ],0),0),0)</f>
        <v>0</v>
      </c>
      <c r="AE685" s="1">
        <f>IFERROR(IF(((TArticle[[#This Row],[شناسه]]))="4.1.1",IF(TArticle[[#This Row],[کد وضعیت سند]]=1,TArticle[مبلغ],0),0),0)</f>
        <v>0</v>
      </c>
      <c r="AF685" s="1">
        <f>IFERROR(IF(((TArticle[[#This Row],[شناسه]]))="4.1.2",IF(TArticle[[#This Row],[کد وضعیت سند]]=1,TArticle[مبلغ],0),0),0)</f>
        <v>0</v>
      </c>
      <c r="AG685" s="1">
        <f>IFERROR(IF(INT(LEFT(TArticle[[#This Row],[شناسه]]))=1,IF(TArticle[[#This Row],[کد وضعیت سند]]=1,TArticle[مبلغ],0),0),0)</f>
        <v>0</v>
      </c>
      <c r="AH685" s="1">
        <f>IFERROR(IF(INT(LEFT(TArticle[[#This Row],[شناسه]]))=2,IF(TArticle[[#This Row],[کد وضعیت سند]]=1,TArticle[مبلغ],0),0),0)</f>
        <v>0</v>
      </c>
      <c r="AI685" s="1">
        <f>IFERROR(IF((LEFT(TArticle[[#This Row],[شناسه]],3))="5.2",IF(TArticle[[#This Row],[کد وضعیت سند]]=1,TArticle[مبلغ],0),0),0)</f>
        <v>0</v>
      </c>
      <c r="AJ685" s="1">
        <f>IF(TArticle[[#This Row],[کد وضعیت سند]]=1,1,0)</f>
        <v>0</v>
      </c>
      <c r="AK685" s="1">
        <f>IF(AND(TArticle[[#This Row],[کد وضعیت سند]]&lt;&gt;1,TArticle[[#This Row],[مبلغ]]&lt;&gt;0),1,0)</f>
        <v>1</v>
      </c>
      <c r="AL685" s="51">
        <f>IF(TArticle[[#This Row],[کد بانک]]&gt;0,TArticle[[#This Row],[مانده بانک]]-VLOOKUP(TArticle[[#This Row],[کد بانک]],TBank[],7,FALSE),"")</f>
        <v>499789</v>
      </c>
      <c r="AM685" s="58" t="str">
        <f>LEFT(TArticle[[#This Row],[تاریخ]],7)</f>
        <v>1403-07</v>
      </c>
    </row>
    <row r="686" spans="1:39" x14ac:dyDescent="0.25">
      <c r="A686" s="24" t="s">
        <v>1013</v>
      </c>
      <c r="B686" s="49" t="str">
        <f>VLOOKUP(TArticle[[#This Row],[شناسه]],TAccount[],2,TRUE)</f>
        <v>یارانه</v>
      </c>
      <c r="C686" s="49" t="str">
        <f>VLOOKUP(TArticle[[#This Row],[تاریخ]],TDays[],7,FALSE)</f>
        <v>جمعه</v>
      </c>
      <c r="D686" s="21" t="s">
        <v>1431</v>
      </c>
      <c r="E686" s="1">
        <v>1500</v>
      </c>
      <c r="F686" s="1">
        <f>TArticle[[#This Row],[مبلغ]]+IFERROR(INT(F685),30181+3667+958)</f>
        <v>459637</v>
      </c>
      <c r="G686" s="49"/>
      <c r="J686" s="51"/>
      <c r="K686" s="64">
        <v>2</v>
      </c>
      <c r="L686" s="171" t="str">
        <f>IF(TArticle[[#This Row],[کد وضعیت سند]]&gt;0,VLOOKUP(TArticle[[#This Row],[کد وضعیت سند]],TDocState[],2,FALSE),"")</f>
        <v>قطعی</v>
      </c>
      <c r="M686" s="67"/>
      <c r="N686" s="171" t="str">
        <f>IF(TArticle[[#This Row],[کد طرف حساب]]&gt;0,VLOOKUP(TArticle[[#This Row],[کد طرف حساب]],TContact[],2,FALSE),"")</f>
        <v/>
      </c>
      <c r="O686" s="60" t="str">
        <f>IF(TArticle[[#This Row],[کد طرف حساب]]&gt;0,VLOOKUP(TArticle[[#This Row],[کد طرف حساب]],TContact[],7,FALSE)-SUMIF($M$2:M686,M686,$E$2:$E686),"")</f>
        <v/>
      </c>
      <c r="P686" s="27" t="str">
        <f>RIGHT(TArticle[[#This Row],[تاریخ]],2)</f>
        <v>20</v>
      </c>
      <c r="Q686" s="27">
        <f>VLOOKUP(TArticle[[#This Row],[تاریخ]],TDays[],16,FALSE)</f>
        <v>30</v>
      </c>
      <c r="R686" s="27" t="str">
        <f>RIGHT(LEFT(TArticle[[#This Row],[تاریخ]],7),2)</f>
        <v>07</v>
      </c>
      <c r="S686" s="27" t="str">
        <f>LEFT(TArticle[[#This Row],[تاریخ]],4)</f>
        <v>1403</v>
      </c>
      <c r="U686" s="21">
        <f>VLOOKUP(TArticle[[#This Row],[شناسه]],TAccount[],7,TRUE)</f>
        <v>12565</v>
      </c>
      <c r="W686" s="21">
        <f>IF(AND(TArticle[[#This Row],[مبلغ]]&gt;0, TArticle[[#This Row],[کد وضعیت سند]]=1),TArticle[[#This Row],[مبلغ]],0)</f>
        <v>0</v>
      </c>
      <c r="X686" s="27">
        <f>IF(AND(TArticle[[#This Row],[مبلغ]]&lt;0,TArticle[[#This Row],[کد وضعیت سند]]=1),0-TArticle[[#This Row],[مبلغ]],0)</f>
        <v>0</v>
      </c>
      <c r="Y686" s="27">
        <v>2</v>
      </c>
      <c r="Z686" s="171" t="str">
        <f>IF(TArticle[[#This Row],[کد بانک]]&gt;0,VLOOKUP(TArticle[[#This Row],[کد بانک]],TBank[],2,FALSE),"")</f>
        <v>ملی جاری</v>
      </c>
      <c r="AA686">
        <f>IF(AND(TArticle[[#This Row],[مبلغ]]&lt;0,TArticle[[#This Row],[کد وضعیت سند]]=1),0-TArticle[[#This Row],[مبلغ]],0)</f>
        <v>0</v>
      </c>
      <c r="AB686">
        <f>IF(AND(TArticle[[#This Row],[مبلغ]]&gt;0, TArticle[[#This Row],[کد وضعیت سند]]=1),TArticle[[#This Row],[مبلغ]],0)</f>
        <v>0</v>
      </c>
      <c r="AC686" s="92">
        <f>IF(TArticle[[#This Row],[کد بانک]]&gt;0,VLOOKUP(TArticle[[#This Row],[کد بانک]],TBank[],9,FALSE)+SUMIF($Y$2:Y686,Y686,$E$2:$E686),"")</f>
        <v>501289</v>
      </c>
      <c r="AD686" s="1">
        <f>IFERROR(IF(INT(LEFT(TArticle[[#This Row],[شناسه]]))=3,IF(TArticle[[#This Row],[کد وضعیت سند]]=1,TArticle[مبلغ],0),0),0)</f>
        <v>0</v>
      </c>
      <c r="AE686" s="1">
        <f>IFERROR(IF(((TArticle[[#This Row],[شناسه]]))="4.1.1",IF(TArticle[[#This Row],[کد وضعیت سند]]=1,TArticle[مبلغ],0),0),0)</f>
        <v>0</v>
      </c>
      <c r="AF686" s="1">
        <f>IFERROR(IF(((TArticle[[#This Row],[شناسه]]))="4.1.2",IF(TArticle[[#This Row],[کد وضعیت سند]]=1,TArticle[مبلغ],0),0),0)</f>
        <v>0</v>
      </c>
      <c r="AG686" s="1">
        <f>IFERROR(IF(INT(LEFT(TArticle[[#This Row],[شناسه]]))=1,IF(TArticle[[#This Row],[کد وضعیت سند]]=1,TArticle[مبلغ],0),0),0)</f>
        <v>0</v>
      </c>
      <c r="AH686" s="1">
        <f>IFERROR(IF(INT(LEFT(TArticle[[#This Row],[شناسه]]))=2,IF(TArticle[[#This Row],[کد وضعیت سند]]=1,TArticle[مبلغ],0),0),0)</f>
        <v>0</v>
      </c>
      <c r="AI686" s="1">
        <f>IFERROR(IF((LEFT(TArticle[[#This Row],[شناسه]],3))="5.2",IF(TArticle[[#This Row],[کد وضعیت سند]]=1,TArticle[مبلغ],0),0),0)</f>
        <v>0</v>
      </c>
      <c r="AJ686" s="1">
        <f>IF(TArticle[[#This Row],[کد وضعیت سند]]=1,1,0)</f>
        <v>0</v>
      </c>
      <c r="AK686" s="1">
        <f>IF(AND(TArticle[[#This Row],[کد وضعیت سند]]&lt;&gt;1,TArticle[[#This Row],[مبلغ]]&lt;&gt;0),1,0)</f>
        <v>1</v>
      </c>
      <c r="AL686" s="51">
        <f>IF(TArticle[[#This Row],[کد بانک]]&gt;0,TArticle[[#This Row],[مانده بانک]]-VLOOKUP(TArticle[[#This Row],[کد بانک]],TBank[],7,FALSE),"")</f>
        <v>501289</v>
      </c>
      <c r="AM686" s="58" t="str">
        <f>LEFT(TArticle[[#This Row],[تاریخ]],7)</f>
        <v>1403-07</v>
      </c>
    </row>
    <row r="687" spans="1:39" x14ac:dyDescent="0.25">
      <c r="A687" s="24" t="s">
        <v>43</v>
      </c>
      <c r="B687" s="49" t="str">
        <f>VLOOKUP(TArticle[[#This Row],[شناسه]],TAccount[],2,TRUE)</f>
        <v>حقوق</v>
      </c>
      <c r="C687" s="49" t="str">
        <f>VLOOKUP(TArticle[[#This Row],[تاریخ]],TDays[],7,FALSE)</f>
        <v>سه شنبه</v>
      </c>
      <c r="D687" s="21" t="s">
        <v>1442</v>
      </c>
      <c r="E687" s="1">
        <v>42000</v>
      </c>
      <c r="F687" s="1">
        <f>TArticle[[#This Row],[مبلغ]]+IFERROR(INT(F686),30181+3667+958)</f>
        <v>501637</v>
      </c>
      <c r="G687" s="49"/>
      <c r="H687" s="64"/>
      <c r="J687" s="65"/>
      <c r="K687" s="64">
        <v>2</v>
      </c>
      <c r="L687" s="171" t="str">
        <f>IF(TArticle[[#This Row],[کد وضعیت سند]]&gt;0,VLOOKUP(TArticle[[#This Row],[کد وضعیت سند]],TDocState[],2,FALSE),"")</f>
        <v>قطعی</v>
      </c>
      <c r="M687" s="67"/>
      <c r="N687" s="171" t="str">
        <f>IF(TArticle[[#This Row],[کد طرف حساب]]&gt;0,VLOOKUP(TArticle[[#This Row],[کد طرف حساب]],TContact[],2,FALSE),"")</f>
        <v/>
      </c>
      <c r="O687" s="68" t="str">
        <f>IF(TArticle[[#This Row],[کد طرف حساب]]&gt;0,VLOOKUP(TArticle[[#This Row],[کد طرف حساب]],TContact[],7,FALSE)-SUMIF($M$2:M687,M687,$E$2:$E687),"")</f>
        <v/>
      </c>
      <c r="P687" s="67" t="str">
        <f>RIGHT(TArticle[[#This Row],[تاریخ]],2)</f>
        <v>01</v>
      </c>
      <c r="Q687" s="67">
        <f>VLOOKUP(TArticle[[#This Row],[تاریخ]],TDays[],16,FALSE)</f>
        <v>32</v>
      </c>
      <c r="R687" s="67" t="str">
        <f>RIGHT(LEFT(TArticle[[#This Row],[تاریخ]],7),2)</f>
        <v>08</v>
      </c>
      <c r="S687" s="67" t="str">
        <f>LEFT(TArticle[[#This Row],[تاریخ]],4)</f>
        <v>1403</v>
      </c>
      <c r="T687" s="64"/>
      <c r="U687" s="64">
        <f>VLOOKUP(TArticle[[#This Row],[شناسه]],TAccount[],7,TRUE)</f>
        <v>416023</v>
      </c>
      <c r="V687" s="64"/>
      <c r="W687" s="64">
        <f>IF(AND(TArticle[[#This Row],[مبلغ]]&gt;0, TArticle[[#This Row],[کد وضعیت سند]]=1),TArticle[[#This Row],[مبلغ]],0)</f>
        <v>0</v>
      </c>
      <c r="X687" s="67">
        <f>IF(AND(TArticle[[#This Row],[مبلغ]]&lt;0,TArticle[[#This Row],[کد وضعیت سند]]=1),0-TArticle[[#This Row],[مبلغ]],0)</f>
        <v>0</v>
      </c>
      <c r="Y687" s="27">
        <v>2</v>
      </c>
      <c r="Z687" s="171" t="str">
        <f>IF(TArticle[[#This Row],[کد بانک]]&gt;0,VLOOKUP(TArticle[[#This Row],[کد بانک]],TBank[],2,FALSE),"")</f>
        <v>ملی جاری</v>
      </c>
      <c r="AA687">
        <f>IF(AND(TArticle[[#This Row],[مبلغ]]&lt;0,TArticle[[#This Row],[کد وضعیت سند]]=1),0-TArticle[[#This Row],[مبلغ]],0)</f>
        <v>0</v>
      </c>
      <c r="AB687">
        <f>IF(AND(TArticle[[#This Row],[مبلغ]]&gt;0, TArticle[[#This Row],[کد وضعیت سند]]=1),TArticle[[#This Row],[مبلغ]],0)</f>
        <v>0</v>
      </c>
      <c r="AC687" s="93">
        <f>IF(TArticle[[#This Row],[کد بانک]]&gt;0,VLOOKUP(TArticle[[#This Row],[کد بانک]],TBank[],9,FALSE)+SUMIF($Y$2:Y687,Y687,$E$2:$E687),"")</f>
        <v>543289</v>
      </c>
      <c r="AD687" s="1">
        <f>IFERROR(IF(INT(LEFT(TArticle[[#This Row],[شناسه]]))=3,IF(TArticle[[#This Row],[کد وضعیت سند]]=1,TArticle[مبلغ],0),0),0)</f>
        <v>0</v>
      </c>
      <c r="AE687" s="1">
        <f>IFERROR(IF(((TArticle[[#This Row],[شناسه]]))="4.1.1",IF(TArticle[[#This Row],[کد وضعیت سند]]=1,TArticle[مبلغ],0),0),0)</f>
        <v>0</v>
      </c>
      <c r="AF687" s="1">
        <f>IFERROR(IF(((TArticle[[#This Row],[شناسه]]))="4.1.2",IF(TArticle[[#This Row],[کد وضعیت سند]]=1,TArticle[مبلغ],0),0),0)</f>
        <v>0</v>
      </c>
      <c r="AG687" s="1">
        <f>IFERROR(IF(INT(LEFT(TArticle[[#This Row],[شناسه]]))=1,IF(TArticle[[#This Row],[کد وضعیت سند]]=1,TArticle[مبلغ],0),0),0)</f>
        <v>0</v>
      </c>
      <c r="AH687" s="1">
        <f>IFERROR(IF(INT(LEFT(TArticle[[#This Row],[شناسه]]))=2,IF(TArticle[[#This Row],[کد وضعیت سند]]=1,TArticle[مبلغ],0),0),0)</f>
        <v>0</v>
      </c>
      <c r="AI687" s="1">
        <f>IFERROR(IF((LEFT(TArticle[[#This Row],[شناسه]],3))="5.2",IF(TArticle[[#This Row],[کد وضعیت سند]]=1,TArticle[مبلغ],0),0),0)</f>
        <v>0</v>
      </c>
      <c r="AJ687" s="1">
        <f>IF(TArticle[[#This Row],[کد وضعیت سند]]=1,1,0)</f>
        <v>0</v>
      </c>
      <c r="AK687" s="1">
        <f>IF(AND(TArticle[[#This Row],[کد وضعیت سند]]&lt;&gt;1,TArticle[[#This Row],[مبلغ]]&lt;&gt;0),1,0)</f>
        <v>1</v>
      </c>
      <c r="AL687" s="78">
        <f>IF(TArticle[[#This Row],[کد بانک]]&gt;0,TArticle[[#This Row],[مانده بانک]]-VLOOKUP(TArticle[[#This Row],[کد بانک]],TBank[],7,FALSE),"")</f>
        <v>543289</v>
      </c>
      <c r="AM687" s="69" t="str">
        <f>LEFT(TArticle[[#This Row],[تاریخ]],7)</f>
        <v>1403-08</v>
      </c>
    </row>
    <row r="688" spans="1:39" x14ac:dyDescent="0.25">
      <c r="A688" s="24" t="s">
        <v>1608</v>
      </c>
      <c r="B688" s="49" t="str">
        <f>VLOOKUP(TArticle[[#This Row],[شناسه]],TAccount[],2,TRUE)</f>
        <v>بن کارت</v>
      </c>
      <c r="C688" s="49" t="str">
        <f>VLOOKUP(TArticle[[#This Row],[تاریخ]],TDays[],7,FALSE)</f>
        <v>سه شنبه</v>
      </c>
      <c r="D688" s="21" t="s">
        <v>1442</v>
      </c>
      <c r="E688" s="1">
        <v>3000</v>
      </c>
      <c r="F688" s="1">
        <f>TArticle[[#This Row],[مبلغ]]+IFERROR(INT(F687),30181+3667+958)</f>
        <v>504637</v>
      </c>
      <c r="G688" s="49"/>
      <c r="J688" s="51"/>
      <c r="K688" s="64">
        <v>2</v>
      </c>
      <c r="L688" s="171" t="str">
        <f>IF(TArticle[[#This Row],[کد وضعیت سند]]&gt;0,VLOOKUP(TArticle[[#This Row],[کد وضعیت سند]],TDocState[],2,FALSE),"")</f>
        <v>قطعی</v>
      </c>
      <c r="M688" s="67"/>
      <c r="N688" s="171" t="str">
        <f>IF(TArticle[[#This Row],[کد طرف حساب]]&gt;0,VLOOKUP(TArticle[[#This Row],[کد طرف حساب]],TContact[],2,FALSE),"")</f>
        <v/>
      </c>
      <c r="O688" s="60" t="str">
        <f>IF(TArticle[[#This Row],[کد طرف حساب]]&gt;0,VLOOKUP(TArticle[[#This Row],[کد طرف حساب]],TContact[],7,FALSE)-SUMIF($M$2:M688,M688,$E$2:$E688),"")</f>
        <v/>
      </c>
      <c r="P688" s="27" t="str">
        <f>RIGHT(TArticle[[#This Row],[تاریخ]],2)</f>
        <v>01</v>
      </c>
      <c r="Q688" s="27">
        <f>VLOOKUP(TArticle[[#This Row],[تاریخ]],TDays[],16,FALSE)</f>
        <v>32</v>
      </c>
      <c r="R688" s="27" t="str">
        <f>RIGHT(LEFT(TArticle[[#This Row],[تاریخ]],7),2)</f>
        <v>08</v>
      </c>
      <c r="S688" s="27" t="str">
        <f>LEFT(TArticle[[#This Row],[تاریخ]],4)</f>
        <v>1403</v>
      </c>
      <c r="U688" s="21">
        <f>VLOOKUP(TArticle[[#This Row],[شناسه]],TAccount[],7,TRUE)</f>
        <v>3000</v>
      </c>
      <c r="V688" s="28"/>
      <c r="W688" s="21">
        <f>IF(AND(TArticle[[#This Row],[مبلغ]]&gt;0, TArticle[[#This Row],[کد وضعیت سند]]=1),TArticle[[#This Row],[مبلغ]],0)</f>
        <v>0</v>
      </c>
      <c r="X688" s="27">
        <f>IF(AND(TArticle[[#This Row],[مبلغ]]&lt;0,TArticle[[#This Row],[کد وضعیت سند]]=1),0-TArticle[[#This Row],[مبلغ]],0)</f>
        <v>0</v>
      </c>
      <c r="Y688" s="27">
        <v>2</v>
      </c>
      <c r="Z688" s="171" t="str">
        <f>IF(TArticle[[#This Row],[کد بانک]]&gt;0,VLOOKUP(TArticle[[#This Row],[کد بانک]],TBank[],2,FALSE),"")</f>
        <v>ملی جاری</v>
      </c>
      <c r="AA688">
        <f>IF(AND(TArticle[[#This Row],[مبلغ]]&lt;0,TArticle[[#This Row],[کد وضعیت سند]]=1),0-TArticle[[#This Row],[مبلغ]],0)</f>
        <v>0</v>
      </c>
      <c r="AB688">
        <f>IF(AND(TArticle[[#This Row],[مبلغ]]&gt;0, TArticle[[#This Row],[کد وضعیت سند]]=1),TArticle[[#This Row],[مبلغ]],0)</f>
        <v>0</v>
      </c>
      <c r="AC688" s="92">
        <f>IF(TArticle[[#This Row],[کد بانک]]&gt;0,VLOOKUP(TArticle[[#This Row],[کد بانک]],TBank[],9,FALSE)+SUMIF($Y$2:Y688,Y688,$E$2:$E688),"")</f>
        <v>546289</v>
      </c>
      <c r="AD688" s="1">
        <f>IFERROR(IF(INT(LEFT(TArticle[[#This Row],[شناسه]]))=3,IF(TArticle[[#This Row],[کد وضعیت سند]]=1,TArticle[مبلغ],0),0),0)</f>
        <v>0</v>
      </c>
      <c r="AE688" s="1">
        <f>IFERROR(IF(((TArticle[[#This Row],[شناسه]]))="4.1.1",IF(TArticle[[#This Row],[کد وضعیت سند]]=1,TArticle[مبلغ],0),0),0)</f>
        <v>0</v>
      </c>
      <c r="AF688" s="1">
        <f>IFERROR(IF(((TArticle[[#This Row],[شناسه]]))="4.1.2",IF(TArticle[[#This Row],[کد وضعیت سند]]=1,TArticle[مبلغ],0),0),0)</f>
        <v>0</v>
      </c>
      <c r="AG688" s="1">
        <f>IFERROR(IF(INT(LEFT(TArticle[[#This Row],[شناسه]]))=1,IF(TArticle[[#This Row],[کد وضعیت سند]]=1,TArticle[مبلغ],0),0),0)</f>
        <v>0</v>
      </c>
      <c r="AH688" s="1">
        <f>IFERROR(IF(INT(LEFT(TArticle[[#This Row],[شناسه]]))=2,IF(TArticle[[#This Row],[کد وضعیت سند]]=1,TArticle[مبلغ],0),0),0)</f>
        <v>0</v>
      </c>
      <c r="AI688" s="1">
        <f>IFERROR(IF((LEFT(TArticle[[#This Row],[شناسه]],3))="5.2",IF(TArticle[[#This Row],[کد وضعیت سند]]=1,TArticle[مبلغ],0),0),0)</f>
        <v>0</v>
      </c>
      <c r="AJ688" s="1">
        <f>IF(TArticle[[#This Row],[کد وضعیت سند]]=1,1,0)</f>
        <v>0</v>
      </c>
      <c r="AK688" s="1">
        <f>IF(AND(TArticle[[#This Row],[کد وضعیت سند]]&lt;&gt;1,TArticle[[#This Row],[مبلغ]]&lt;&gt;0),1,0)</f>
        <v>1</v>
      </c>
      <c r="AL688" s="51">
        <f>IF(TArticle[[#This Row],[کد بانک]]&gt;0,TArticle[[#This Row],[مانده بانک]]-VLOOKUP(TArticle[[#This Row],[کد بانک]],TBank[],7,FALSE),"")</f>
        <v>546289</v>
      </c>
      <c r="AM688" s="58" t="str">
        <f>LEFT(TArticle[[#This Row],[تاریخ]],7)</f>
        <v>1403-08</v>
      </c>
    </row>
    <row r="689" spans="1:39" x14ac:dyDescent="0.25">
      <c r="A689" s="24" t="s">
        <v>1110</v>
      </c>
      <c r="B689" s="49" t="str">
        <f>VLOOKUP(TArticle[[#This Row],[شناسه]],TAccount[],2,TRUE)</f>
        <v>قسط وام بانکی</v>
      </c>
      <c r="C689" s="49" t="str">
        <f>VLOOKUP(TArticle[[#This Row],[تاریخ]],TDays[],7,FALSE)</f>
        <v>پنجشنبه</v>
      </c>
      <c r="D689" s="21" t="s">
        <v>1444</v>
      </c>
      <c r="E689" s="1">
        <v>-1224</v>
      </c>
      <c r="F689" s="1">
        <f>TArticle[[#This Row],[مبلغ]]+IFERROR(INT(F688),30181+3667+958)</f>
        <v>503413</v>
      </c>
      <c r="G689" s="49"/>
      <c r="H689" s="21">
        <v>14</v>
      </c>
      <c r="K689" s="64">
        <v>2</v>
      </c>
      <c r="L689" s="171" t="str">
        <f>IF(TArticle[[#This Row],[کد وضعیت سند]]&gt;0,VLOOKUP(TArticle[[#This Row],[کد وضعیت سند]],TDocState[],2,FALSE),"")</f>
        <v>قطعی</v>
      </c>
      <c r="M689" s="27">
        <v>115</v>
      </c>
      <c r="N689" s="171" t="str">
        <f>IF(TArticle[[#This Row],[کد طرف حساب]]&gt;0,VLOOKUP(TArticle[[#This Row],[کد طرف حساب]],TContact[],2,FALSE),"")</f>
        <v>وام فرزند مهر</v>
      </c>
      <c r="O689" s="51">
        <f>IF(TArticle[[#This Row],[کد طرف حساب]]&gt;0,VLOOKUP(TArticle[[#This Row],[کد طرف حساب]],TContact[],7,FALSE)-SUMIF($M$2:M689,M689,$E$2:$E689),"")</f>
        <v>-45312</v>
      </c>
      <c r="P689" s="27" t="str">
        <f>RIGHT(TArticle[[#This Row],[تاریخ]],2)</f>
        <v>03</v>
      </c>
      <c r="Q689" s="27">
        <f>VLOOKUP(TArticle[[#This Row],[تاریخ]],TDays[],16,FALSE)</f>
        <v>32</v>
      </c>
      <c r="R689" s="27" t="str">
        <f>RIGHT(LEFT(TArticle[[#This Row],[تاریخ]],7),2)</f>
        <v>08</v>
      </c>
      <c r="S689" s="27" t="str">
        <f>LEFT(TArticle[[#This Row],[تاریخ]],4)</f>
        <v>1403</v>
      </c>
      <c r="U689" s="21">
        <f>VLOOKUP(TArticle[[#This Row],[شناسه]],TAccount[],7,TRUE)</f>
        <v>81652</v>
      </c>
      <c r="W689" s="21">
        <f>IF(AND(TArticle[[#This Row],[مبلغ]]&gt;0, TArticle[[#This Row],[کد وضعیت سند]]=1),TArticle[[#This Row],[مبلغ]],0)</f>
        <v>0</v>
      </c>
      <c r="X689" s="27">
        <f>IF(AND(TArticle[[#This Row],[مبلغ]]&lt;0,TArticle[[#This Row],[کد وضعیت سند]]=1),0-TArticle[[#This Row],[مبلغ]],0)</f>
        <v>0</v>
      </c>
      <c r="Y689" s="27">
        <v>2</v>
      </c>
      <c r="Z689" s="171" t="str">
        <f>IF(TArticle[[#This Row],[کد بانک]]&gt;0,VLOOKUP(TArticle[[#This Row],[کد بانک]],TBank[],2,FALSE),"")</f>
        <v>ملی جاری</v>
      </c>
      <c r="AA689">
        <f>IF(AND(TArticle[[#This Row],[مبلغ]]&lt;0,TArticle[[#This Row],[کد وضعیت سند]]=1),0-TArticle[[#This Row],[مبلغ]],0)</f>
        <v>0</v>
      </c>
      <c r="AB689">
        <f>IF(AND(TArticle[[#This Row],[مبلغ]]&gt;0, TArticle[[#This Row],[کد وضعیت سند]]=1),TArticle[[#This Row],[مبلغ]],0)</f>
        <v>0</v>
      </c>
      <c r="AC689" s="84">
        <f>IF(TArticle[[#This Row],[کد بانک]]&gt;0,VLOOKUP(TArticle[[#This Row],[کد بانک]],TBank[],9,FALSE)+SUMIF($Y$2:Y689,Y689,$E$2:$E689),"")</f>
        <v>545065</v>
      </c>
      <c r="AD689" s="1">
        <f>IFERROR(IF(INT(LEFT(TArticle[[#This Row],[شناسه]]))=3,IF(TArticle[[#This Row],[کد وضعیت سند]]=1,TArticle[مبلغ],0),0),0)</f>
        <v>0</v>
      </c>
      <c r="AE689" s="1">
        <f>IFERROR(IF(((TArticle[[#This Row],[شناسه]]))="4.1.1",IF(TArticle[[#This Row],[کد وضعیت سند]]=1,TArticle[مبلغ],0),0),0)</f>
        <v>0</v>
      </c>
      <c r="AF689" s="1">
        <f>IFERROR(IF(((TArticle[[#This Row],[شناسه]]))="4.1.2",IF(TArticle[[#This Row],[کد وضعیت سند]]=1,TArticle[مبلغ],0),0),0)</f>
        <v>0</v>
      </c>
      <c r="AG689" s="1">
        <f>IFERROR(IF(INT(LEFT(TArticle[[#This Row],[شناسه]]))=1,IF(TArticle[[#This Row],[کد وضعیت سند]]=1,TArticle[مبلغ],0),0),0)</f>
        <v>0</v>
      </c>
      <c r="AH689" s="1">
        <f>IFERROR(IF(INT(LEFT(TArticle[[#This Row],[شناسه]]))=2,IF(TArticle[[#This Row],[کد وضعیت سند]]=1,TArticle[مبلغ],0),0),0)</f>
        <v>0</v>
      </c>
      <c r="AI689" s="1">
        <f>IFERROR(IF((LEFT(TArticle[[#This Row],[شناسه]],3))="5.2",IF(TArticle[[#This Row],[کد وضعیت سند]]=1,TArticle[مبلغ],0),0),0)</f>
        <v>0</v>
      </c>
      <c r="AJ689" s="1">
        <f>IF(TArticle[[#This Row],[کد وضعیت سند]]=1,1,0)</f>
        <v>0</v>
      </c>
      <c r="AK689" s="1">
        <f>IF(AND(TArticle[[#This Row],[کد وضعیت سند]]&lt;&gt;1,TArticle[[#This Row],[مبلغ]]&lt;&gt;0),1,0)</f>
        <v>1</v>
      </c>
      <c r="AL689" s="51">
        <f>IF(TArticle[[#This Row],[کد بانک]]&gt;0,TArticle[[#This Row],[مانده بانک]]-VLOOKUP(TArticle[[#This Row],[کد بانک]],TBank[],7,FALSE),"")</f>
        <v>545065</v>
      </c>
      <c r="AM689" s="49" t="str">
        <f>LEFT(TArticle[[#This Row],[تاریخ]],7)</f>
        <v>1403-08</v>
      </c>
    </row>
    <row r="690" spans="1:39" x14ac:dyDescent="0.25">
      <c r="A690" s="24" t="s">
        <v>1110</v>
      </c>
      <c r="B690" s="49" t="str">
        <f>VLOOKUP(TArticle[[#This Row],[شناسه]],TAccount[],2,TRUE)</f>
        <v>قسط وام بانکی</v>
      </c>
      <c r="C690" s="49" t="str">
        <f>VLOOKUP(TArticle[[#This Row],[تاریخ]],TDays[],7,FALSE)</f>
        <v>جمعه</v>
      </c>
      <c r="D690" s="21" t="s">
        <v>1445</v>
      </c>
      <c r="E690" s="1">
        <v>-532</v>
      </c>
      <c r="F690" s="1">
        <f>TArticle[[#This Row],[مبلغ]]+IFERROR(INT(F689),30181+3667+958)</f>
        <v>502881</v>
      </c>
      <c r="G690" s="49"/>
      <c r="H690" s="21">
        <v>20</v>
      </c>
      <c r="J690" s="65"/>
      <c r="K690" s="64">
        <v>2</v>
      </c>
      <c r="L690" s="171" t="str">
        <f>IF(TArticle[[#This Row],[کد وضعیت سند]]&gt;0,VLOOKUP(TArticle[[#This Row],[کد وضعیت سند]],TDocState[],2,FALSE),"")</f>
        <v>قطعی</v>
      </c>
      <c r="M690" s="67">
        <v>116</v>
      </c>
      <c r="N690" s="171" t="str">
        <f>IF(TArticle[[#This Row],[کد طرف حساب]]&gt;0,VLOOKUP(TArticle[[#This Row],[کد طرف حساب]],TContact[],2,FALSE),"")</f>
        <v>وام امتیازی مهر</v>
      </c>
      <c r="O690" s="68">
        <f>IF(TArticle[[#This Row],[کد طرف حساب]]&gt;0,VLOOKUP(TArticle[[#This Row],[کد طرف حساب]],TContact[],7,FALSE)-SUMIF($M$2:M690,M690,$E$2:$E690),"")</f>
        <v>-2124</v>
      </c>
      <c r="P690" s="67" t="str">
        <f>RIGHT(TArticle[[#This Row],[تاریخ]],2)</f>
        <v>04</v>
      </c>
      <c r="Q690" s="67">
        <f>VLOOKUP(TArticle[[#This Row],[تاریخ]],TDays[],16,FALSE)</f>
        <v>32</v>
      </c>
      <c r="R690" s="67" t="str">
        <f>RIGHT(LEFT(TArticle[[#This Row],[تاریخ]],7),2)</f>
        <v>08</v>
      </c>
      <c r="S690" s="67" t="str">
        <f>LEFT(TArticle[[#This Row],[تاریخ]],4)</f>
        <v>1403</v>
      </c>
      <c r="T690" s="64"/>
      <c r="U690" s="64">
        <f>VLOOKUP(TArticle[[#This Row],[شناسه]],TAccount[],7,TRUE)</f>
        <v>81652</v>
      </c>
      <c r="V690" s="64"/>
      <c r="W690" s="64">
        <f>IF(AND(TArticle[[#This Row],[مبلغ]]&gt;0, TArticle[[#This Row],[کد وضعیت سند]]=1),TArticle[[#This Row],[مبلغ]],0)</f>
        <v>0</v>
      </c>
      <c r="X690" s="67">
        <f>IF(AND(TArticle[[#This Row],[مبلغ]]&lt;0,TArticle[[#This Row],[کد وضعیت سند]]=1),0-TArticle[[#This Row],[مبلغ]],0)</f>
        <v>0</v>
      </c>
      <c r="Y690" s="27">
        <v>2</v>
      </c>
      <c r="Z690" s="171" t="str">
        <f>IF(TArticle[[#This Row],[کد بانک]]&gt;0,VLOOKUP(TArticle[[#This Row],[کد بانک]],TBank[],2,FALSE),"")</f>
        <v>ملی جاری</v>
      </c>
      <c r="AA690">
        <f>IF(AND(TArticle[[#This Row],[مبلغ]]&lt;0,TArticle[[#This Row],[کد وضعیت سند]]=1),0-TArticle[[#This Row],[مبلغ]],0)</f>
        <v>0</v>
      </c>
      <c r="AB690">
        <f>IF(AND(TArticle[[#This Row],[مبلغ]]&gt;0, TArticle[[#This Row],[کد وضعیت سند]]=1),TArticle[[#This Row],[مبلغ]],0)</f>
        <v>0</v>
      </c>
      <c r="AC690" s="93">
        <f>IF(TArticle[[#This Row],[کد بانک]]&gt;0,VLOOKUP(TArticle[[#This Row],[کد بانک]],TBank[],9,FALSE)+SUMIF($Y$2:Y690,Y690,$E$2:$E690),"")</f>
        <v>544533</v>
      </c>
      <c r="AD690" s="1">
        <f>IFERROR(IF(INT(LEFT(TArticle[[#This Row],[شناسه]]))=3,IF(TArticle[[#This Row],[کد وضعیت سند]]=1,TArticle[مبلغ],0),0),0)</f>
        <v>0</v>
      </c>
      <c r="AE690" s="1">
        <f>IFERROR(IF(((TArticle[[#This Row],[شناسه]]))="4.1.1",IF(TArticle[[#This Row],[کد وضعیت سند]]=1,TArticle[مبلغ],0),0),0)</f>
        <v>0</v>
      </c>
      <c r="AF690" s="1">
        <f>IFERROR(IF(((TArticle[[#This Row],[شناسه]]))="4.1.2",IF(TArticle[[#This Row],[کد وضعیت سند]]=1,TArticle[مبلغ],0),0),0)</f>
        <v>0</v>
      </c>
      <c r="AG690" s="1">
        <f>IFERROR(IF(INT(LEFT(TArticle[[#This Row],[شناسه]]))=1,IF(TArticle[[#This Row],[کد وضعیت سند]]=1,TArticle[مبلغ],0),0),0)</f>
        <v>0</v>
      </c>
      <c r="AH690" s="1">
        <f>IFERROR(IF(INT(LEFT(TArticle[[#This Row],[شناسه]]))=2,IF(TArticle[[#This Row],[کد وضعیت سند]]=1,TArticle[مبلغ],0),0),0)</f>
        <v>0</v>
      </c>
      <c r="AI690" s="1">
        <f>IFERROR(IF((LEFT(TArticle[[#This Row],[شناسه]],3))="5.2",IF(TArticle[[#This Row],[کد وضعیت سند]]=1,TArticle[مبلغ],0),0),0)</f>
        <v>0</v>
      </c>
      <c r="AJ690" s="1">
        <f>IF(TArticle[[#This Row],[کد وضعیت سند]]=1,1,0)</f>
        <v>0</v>
      </c>
      <c r="AK690" s="1">
        <f>IF(AND(TArticle[[#This Row],[کد وضعیت سند]]&lt;&gt;1,TArticle[[#This Row],[مبلغ]]&lt;&gt;0),1,0)</f>
        <v>1</v>
      </c>
      <c r="AL690" s="78">
        <f>IF(TArticle[[#This Row],[کد بانک]]&gt;0,TArticle[[#This Row],[مانده بانک]]-VLOOKUP(TArticle[[#This Row],[کد بانک]],TBank[],7,FALSE),"")</f>
        <v>544533</v>
      </c>
      <c r="AM690" s="69" t="str">
        <f>LEFT(TArticle[[#This Row],[تاریخ]],7)</f>
        <v>1403-08</v>
      </c>
    </row>
    <row r="691" spans="1:39" x14ac:dyDescent="0.25">
      <c r="A691" s="24" t="s">
        <v>1110</v>
      </c>
      <c r="B691" s="49" t="str">
        <f>VLOOKUP(TArticle[[#This Row],[شناسه]],TAccount[],2,TRUE)</f>
        <v>قسط وام بانکی</v>
      </c>
      <c r="C691" s="49" t="str">
        <f>VLOOKUP(TArticle[[#This Row],[تاریخ]],TDays[],7,FALSE)</f>
        <v>چهارشنبه</v>
      </c>
      <c r="D691" s="21" t="s">
        <v>1450</v>
      </c>
      <c r="E691" s="1">
        <f>'طرف حساب'!$J$29</f>
        <v>-3616</v>
      </c>
      <c r="F691" s="1">
        <f>TArticle[[#This Row],[مبلغ]]+IFERROR(INT(F690),30181+3667+958)</f>
        <v>499265</v>
      </c>
      <c r="G691" s="49"/>
      <c r="H691" s="21">
        <v>21</v>
      </c>
      <c r="K691" s="64">
        <v>2</v>
      </c>
      <c r="L691" s="171" t="str">
        <f>IF(TArticle[[#This Row],[کد وضعیت سند]]&gt;0,VLOOKUP(TArticle[[#This Row],[کد وضعیت سند]],TDocState[],2,FALSE),"")</f>
        <v>قطعی</v>
      </c>
      <c r="M691" s="67">
        <v>114</v>
      </c>
      <c r="N691" s="171" t="str">
        <f>IF(TArticle[[#This Row],[کد طرف حساب]]&gt;0,VLOOKUP(TArticle[[#This Row],[کد طرف حساب]],TContact[],2,FALSE),"")</f>
        <v>وام کارت ملی ف</v>
      </c>
      <c r="O691" s="51">
        <f>IF(TArticle[[#This Row],[کد طرف حساب]]&gt;0,VLOOKUP(TArticle[[#This Row],[کد طرف حساب]],TContact[],7,FALSE)-SUMIF($M$2:M691,M691,$E$2:$E691),"")</f>
        <v>-55522</v>
      </c>
      <c r="P691" s="27" t="str">
        <f>RIGHT(TArticle[[#This Row],[تاریخ]],2)</f>
        <v>09</v>
      </c>
      <c r="Q691" s="27">
        <f>VLOOKUP(TArticle[[#This Row],[تاریخ]],TDays[],16,FALSE)</f>
        <v>33</v>
      </c>
      <c r="R691" s="27" t="str">
        <f>RIGHT(LEFT(TArticle[[#This Row],[تاریخ]],7),2)</f>
        <v>08</v>
      </c>
      <c r="S691" s="27" t="str">
        <f>LEFT(TArticle[[#This Row],[تاریخ]],4)</f>
        <v>1403</v>
      </c>
      <c r="U691" s="21">
        <f>VLOOKUP(TArticle[[#This Row],[شناسه]],TAccount[],7,TRUE)</f>
        <v>81652</v>
      </c>
      <c r="W691" s="21">
        <f>IF(AND(TArticle[[#This Row],[مبلغ]]&gt;0, TArticle[[#This Row],[کد وضعیت سند]]=1),TArticle[[#This Row],[مبلغ]],0)</f>
        <v>0</v>
      </c>
      <c r="X691" s="21">
        <f>IF(AND(TArticle[[#This Row],[مبلغ]]&lt;0,TArticle[[#This Row],[کد وضعیت سند]]=1),0-TArticle[[#This Row],[مبلغ]],0)</f>
        <v>0</v>
      </c>
      <c r="Y691" s="27">
        <v>2</v>
      </c>
      <c r="Z691" s="171" t="str">
        <f>IF(TArticle[[#This Row],[کد بانک]]&gt;0,VLOOKUP(TArticle[[#This Row],[کد بانک]],TBank[],2,FALSE),"")</f>
        <v>ملی جاری</v>
      </c>
      <c r="AA691">
        <f>IF(AND(TArticle[[#This Row],[مبلغ]]&lt;0,TArticle[[#This Row],[کد وضعیت سند]]=1),0-TArticle[[#This Row],[مبلغ]],0)</f>
        <v>0</v>
      </c>
      <c r="AB691">
        <f>IF(AND(TArticle[[#This Row],[مبلغ]]&gt;0, TArticle[[#This Row],[کد وضعیت سند]]=1),TArticle[[#This Row],[مبلغ]],0)</f>
        <v>0</v>
      </c>
      <c r="AC691" s="84">
        <f>IF(TArticle[[#This Row],[کد بانک]]&gt;0,VLOOKUP(TArticle[[#This Row],[کد بانک]],TBank[],9,FALSE)+SUMIF($Y$2:Y691,Y691,$E$2:$E691),"")</f>
        <v>540917</v>
      </c>
      <c r="AD691" s="1">
        <f>IFERROR(IF(INT(LEFT(TArticle[[#This Row],[شناسه]]))=3,IF(TArticle[[#This Row],[کد وضعیت سند]]=1,TArticle[مبلغ],0),0),0)</f>
        <v>0</v>
      </c>
      <c r="AE691" s="1">
        <f>IFERROR(IF(((TArticle[[#This Row],[شناسه]]))="4.1.1",IF(TArticle[[#This Row],[کد وضعیت سند]]=1,TArticle[مبلغ],0),0),0)</f>
        <v>0</v>
      </c>
      <c r="AF691" s="1">
        <f>IFERROR(IF(((TArticle[[#This Row],[شناسه]]))="4.1.2",IF(TArticle[[#This Row],[کد وضعیت سند]]=1,TArticle[مبلغ],0),0),0)</f>
        <v>0</v>
      </c>
      <c r="AG691" s="1">
        <f>IFERROR(IF(INT(LEFT(TArticle[[#This Row],[شناسه]]))=1,IF(TArticle[[#This Row],[کد وضعیت سند]]=1,TArticle[مبلغ],0),0),0)</f>
        <v>0</v>
      </c>
      <c r="AH691" s="1">
        <f>IFERROR(IF(INT(LEFT(TArticle[[#This Row],[شناسه]]))=2,IF(TArticle[[#This Row],[کد وضعیت سند]]=1,TArticle[مبلغ],0),0),0)</f>
        <v>0</v>
      </c>
      <c r="AI691" s="1">
        <f>IFERROR(IF((LEFT(TArticle[[#This Row],[شناسه]],3))="5.2",IF(TArticle[[#This Row],[کد وضعیت سند]]=1,TArticle[مبلغ],0),0),0)</f>
        <v>0</v>
      </c>
      <c r="AJ691" s="1">
        <f>IF(TArticle[[#This Row],[کد وضعیت سند]]=1,1,0)</f>
        <v>0</v>
      </c>
      <c r="AK691" s="1">
        <f>IF(AND(TArticle[[#This Row],[کد وضعیت سند]]&lt;&gt;1,TArticle[[#This Row],[مبلغ]]&lt;&gt;0),1,0)</f>
        <v>1</v>
      </c>
      <c r="AL691" s="51">
        <f>IF(TArticle[[#This Row],[کد بانک]]&gt;0,TArticle[[#This Row],[مانده بانک]]-VLOOKUP(TArticle[[#This Row],[کد بانک]],TBank[],7,FALSE),"")</f>
        <v>540917</v>
      </c>
      <c r="AM691" s="58" t="str">
        <f>LEFT(TArticle[[#This Row],[تاریخ]],7)</f>
        <v>1403-08</v>
      </c>
    </row>
    <row r="692" spans="1:39" x14ac:dyDescent="0.25">
      <c r="A692" s="24" t="s">
        <v>1013</v>
      </c>
      <c r="B692" s="49" t="str">
        <f>VLOOKUP(TArticle[[#This Row],[شناسه]],TAccount[],2,TRUE)</f>
        <v>یارانه</v>
      </c>
      <c r="C692" s="49" t="str">
        <f>VLOOKUP(TArticle[[#This Row],[تاریخ]],TDays[],7,FALSE)</f>
        <v>یکشنبه</v>
      </c>
      <c r="D692" s="21" t="s">
        <v>1461</v>
      </c>
      <c r="E692" s="1">
        <v>1500</v>
      </c>
      <c r="F692" s="1">
        <f>TArticle[[#This Row],[مبلغ]]+IFERROR(INT(F691),30181+3667+958)</f>
        <v>500765</v>
      </c>
      <c r="G692" s="49"/>
      <c r="H692" s="64"/>
      <c r="J692" s="65"/>
      <c r="K692" s="64">
        <v>2</v>
      </c>
      <c r="L692" s="171" t="str">
        <f>IF(TArticle[[#This Row],[کد وضعیت سند]]&gt;0,VLOOKUP(TArticle[[#This Row],[کد وضعیت سند]],TDocState[],2,FALSE),"")</f>
        <v>قطعی</v>
      </c>
      <c r="M692" s="67"/>
      <c r="N692" s="171" t="str">
        <f>IF(TArticle[[#This Row],[کد طرف حساب]]&gt;0,VLOOKUP(TArticle[[#This Row],[کد طرف حساب]],TContact[],2,FALSE),"")</f>
        <v/>
      </c>
      <c r="O692" s="68" t="str">
        <f>IF(TArticle[[#This Row],[کد طرف حساب]]&gt;0,VLOOKUP(TArticle[[#This Row],[کد طرف حساب]],TContact[],7,FALSE)-SUMIF($M$2:M692,M692,$E$2:$E692),"")</f>
        <v/>
      </c>
      <c r="P692" s="67" t="str">
        <f>RIGHT(TArticle[[#This Row],[تاریخ]],2)</f>
        <v>20</v>
      </c>
      <c r="Q692" s="67">
        <f>VLOOKUP(TArticle[[#This Row],[تاریخ]],TDays[],16,FALSE)</f>
        <v>35</v>
      </c>
      <c r="R692" s="67" t="str">
        <f>RIGHT(LEFT(TArticle[[#This Row],[تاریخ]],7),2)</f>
        <v>08</v>
      </c>
      <c r="S692" s="67" t="str">
        <f>LEFT(TArticle[[#This Row],[تاریخ]],4)</f>
        <v>1403</v>
      </c>
      <c r="T692" s="64"/>
      <c r="U692" s="64">
        <f>VLOOKUP(TArticle[[#This Row],[شناسه]],TAccount[],7,TRUE)</f>
        <v>12565</v>
      </c>
      <c r="V692" s="64"/>
      <c r="W692" s="64">
        <f>IF(AND(TArticle[[#This Row],[مبلغ]]&gt;0, TArticle[[#This Row],[کد وضعیت سند]]=1),TArticle[[#This Row],[مبلغ]],0)</f>
        <v>0</v>
      </c>
      <c r="X692" s="67">
        <f>IF(AND(TArticle[[#This Row],[مبلغ]]&lt;0,TArticle[[#This Row],[کد وضعیت سند]]=1),0-TArticle[[#This Row],[مبلغ]],0)</f>
        <v>0</v>
      </c>
      <c r="Y692" s="27">
        <v>2</v>
      </c>
      <c r="Z692" s="171" t="str">
        <f>IF(TArticle[[#This Row],[کد بانک]]&gt;0,VLOOKUP(TArticle[[#This Row],[کد بانک]],TBank[],2,FALSE),"")</f>
        <v>ملی جاری</v>
      </c>
      <c r="AA692">
        <f>IF(AND(TArticle[[#This Row],[مبلغ]]&lt;0,TArticle[[#This Row],[کد وضعیت سند]]=1),0-TArticle[[#This Row],[مبلغ]],0)</f>
        <v>0</v>
      </c>
      <c r="AB692">
        <f>IF(AND(TArticle[[#This Row],[مبلغ]]&gt;0, TArticle[[#This Row],[کد وضعیت سند]]=1),TArticle[[#This Row],[مبلغ]],0)</f>
        <v>0</v>
      </c>
      <c r="AC692" s="93">
        <f>IF(TArticle[[#This Row],[کد بانک]]&gt;0,VLOOKUP(TArticle[[#This Row],[کد بانک]],TBank[],9,FALSE)+SUMIF($Y$2:Y692,Y692,$E$2:$E692),"")</f>
        <v>542417</v>
      </c>
      <c r="AD692" s="1">
        <f>IFERROR(IF(INT(LEFT(TArticle[[#This Row],[شناسه]]))=3,IF(TArticle[[#This Row],[کد وضعیت سند]]=1,TArticle[مبلغ],0),0),0)</f>
        <v>0</v>
      </c>
      <c r="AE692" s="1">
        <f>IFERROR(IF(((TArticle[[#This Row],[شناسه]]))="4.1.1",IF(TArticle[[#This Row],[کد وضعیت سند]]=1,TArticle[مبلغ],0),0),0)</f>
        <v>0</v>
      </c>
      <c r="AF692" s="1">
        <f>IFERROR(IF(((TArticle[[#This Row],[شناسه]]))="4.1.2",IF(TArticle[[#This Row],[کد وضعیت سند]]=1,TArticle[مبلغ],0),0),0)</f>
        <v>0</v>
      </c>
      <c r="AG692" s="1">
        <f>IFERROR(IF(INT(LEFT(TArticle[[#This Row],[شناسه]]))=1,IF(TArticle[[#This Row],[کد وضعیت سند]]=1,TArticle[مبلغ],0),0),0)</f>
        <v>0</v>
      </c>
      <c r="AH692" s="1">
        <f>IFERROR(IF(INT(LEFT(TArticle[[#This Row],[شناسه]]))=2,IF(TArticle[[#This Row],[کد وضعیت سند]]=1,TArticle[مبلغ],0),0),0)</f>
        <v>0</v>
      </c>
      <c r="AI692" s="1">
        <f>IFERROR(IF((LEFT(TArticle[[#This Row],[شناسه]],3))="5.2",IF(TArticle[[#This Row],[کد وضعیت سند]]=1,TArticle[مبلغ],0),0),0)</f>
        <v>0</v>
      </c>
      <c r="AJ692" s="1">
        <f>IF(TArticle[[#This Row],[کد وضعیت سند]]=1,1,0)</f>
        <v>0</v>
      </c>
      <c r="AK692" s="1">
        <f>IF(AND(TArticle[[#This Row],[کد وضعیت سند]]&lt;&gt;1,TArticle[[#This Row],[مبلغ]]&lt;&gt;0),1,0)</f>
        <v>1</v>
      </c>
      <c r="AL692" s="78">
        <f>IF(TArticle[[#This Row],[کد بانک]]&gt;0,TArticle[[#This Row],[مانده بانک]]-VLOOKUP(TArticle[[#This Row],[کد بانک]],TBank[],7,FALSE),"")</f>
        <v>542417</v>
      </c>
      <c r="AM692" s="69" t="str">
        <f>LEFT(TArticle[[#This Row],[تاریخ]],7)</f>
        <v>1403-08</v>
      </c>
    </row>
    <row r="693" spans="1:39" x14ac:dyDescent="0.25">
      <c r="A693" s="24" t="s">
        <v>43</v>
      </c>
      <c r="B693" s="49" t="str">
        <f>VLOOKUP(TArticle[[#This Row],[شناسه]],TAccount[],2,TRUE)</f>
        <v>حقوق</v>
      </c>
      <c r="C693" s="49" t="str">
        <f>VLOOKUP(TArticle[[#This Row],[تاریخ]],TDays[],7,FALSE)</f>
        <v>پنجشنبه</v>
      </c>
      <c r="D693" s="21" t="s">
        <v>1472</v>
      </c>
      <c r="E693" s="1">
        <v>42000</v>
      </c>
      <c r="F693" s="1">
        <f>TArticle[[#This Row],[مبلغ]]+IFERROR(INT(F692),30181+3667+958)</f>
        <v>542765</v>
      </c>
      <c r="G693" s="49"/>
      <c r="H693" s="64"/>
      <c r="J693" s="65"/>
      <c r="K693" s="64">
        <v>2</v>
      </c>
      <c r="L693" s="171" t="str">
        <f>IF(TArticle[[#This Row],[کد وضعیت سند]]&gt;0,VLOOKUP(TArticle[[#This Row],[کد وضعیت سند]],TDocState[],2,FALSE),"")</f>
        <v>قطعی</v>
      </c>
      <c r="M693" s="67"/>
      <c r="N693" s="171" t="str">
        <f>IF(TArticle[[#This Row],[کد طرف حساب]]&gt;0,VLOOKUP(TArticle[[#This Row],[کد طرف حساب]],TContact[],2,FALSE),"")</f>
        <v/>
      </c>
      <c r="O693" s="68" t="str">
        <f>IF(TArticle[[#This Row],[کد طرف حساب]]&gt;0,VLOOKUP(TArticle[[#This Row],[کد طرف حساب]],TContact[],7,FALSE)-SUMIF($M$2:M693,M693,$E$2:$E693),"")</f>
        <v/>
      </c>
      <c r="P693" s="67" t="str">
        <f>RIGHT(TArticle[[#This Row],[تاریخ]],2)</f>
        <v>01</v>
      </c>
      <c r="Q693" s="67">
        <f>VLOOKUP(TArticle[[#This Row],[تاریخ]],TDays[],16,FALSE)</f>
        <v>36</v>
      </c>
      <c r="R693" s="67" t="str">
        <f>RIGHT(LEFT(TArticle[[#This Row],[تاریخ]],7),2)</f>
        <v>09</v>
      </c>
      <c r="S693" s="67" t="str">
        <f>LEFT(TArticle[[#This Row],[تاریخ]],4)</f>
        <v>1403</v>
      </c>
      <c r="T693" s="64"/>
      <c r="U693" s="64">
        <f>VLOOKUP(TArticle[[#This Row],[شناسه]],TAccount[],7,TRUE)</f>
        <v>416023</v>
      </c>
      <c r="V693" s="64"/>
      <c r="W693" s="64">
        <f>IF(AND(TArticle[[#This Row],[مبلغ]]&gt;0, TArticle[[#This Row],[کد وضعیت سند]]=1),TArticle[[#This Row],[مبلغ]],0)</f>
        <v>0</v>
      </c>
      <c r="X693" s="67">
        <f>IF(AND(TArticle[[#This Row],[مبلغ]]&lt;0,TArticle[[#This Row],[کد وضعیت سند]]=1),0-TArticle[[#This Row],[مبلغ]],0)</f>
        <v>0</v>
      </c>
      <c r="Y693" s="27">
        <v>2</v>
      </c>
      <c r="Z693" s="171" t="str">
        <f>IF(TArticle[[#This Row],[کد بانک]]&gt;0,VLOOKUP(TArticle[[#This Row],[کد بانک]],TBank[],2,FALSE),"")</f>
        <v>ملی جاری</v>
      </c>
      <c r="AA693">
        <f>IF(AND(TArticle[[#This Row],[مبلغ]]&lt;0,TArticle[[#This Row],[کد وضعیت سند]]=1),0-TArticle[[#This Row],[مبلغ]],0)</f>
        <v>0</v>
      </c>
      <c r="AB693">
        <f>IF(AND(TArticle[[#This Row],[مبلغ]]&gt;0, TArticle[[#This Row],[کد وضعیت سند]]=1),TArticle[[#This Row],[مبلغ]],0)</f>
        <v>0</v>
      </c>
      <c r="AC693" s="93">
        <f>IF(TArticle[[#This Row],[کد بانک]]&gt;0,VLOOKUP(TArticle[[#This Row],[کد بانک]],TBank[],9,FALSE)+SUMIF($Y$2:Y693,Y693,$E$2:$E693),"")</f>
        <v>584417</v>
      </c>
      <c r="AD693" s="1">
        <f>IFERROR(IF(INT(LEFT(TArticle[[#This Row],[شناسه]]))=3,IF(TArticle[[#This Row],[کد وضعیت سند]]=1,TArticle[مبلغ],0),0),0)</f>
        <v>0</v>
      </c>
      <c r="AE693" s="1">
        <f>IFERROR(IF(((TArticle[[#This Row],[شناسه]]))="4.1.1",IF(TArticle[[#This Row],[کد وضعیت سند]]=1,TArticle[مبلغ],0),0),0)</f>
        <v>0</v>
      </c>
      <c r="AF693" s="1">
        <f>IFERROR(IF(((TArticle[[#This Row],[شناسه]]))="4.1.2",IF(TArticle[[#This Row],[کد وضعیت سند]]=1,TArticle[مبلغ],0),0),0)</f>
        <v>0</v>
      </c>
      <c r="AG693" s="1">
        <f>IFERROR(IF(INT(LEFT(TArticle[[#This Row],[شناسه]]))=1,IF(TArticle[[#This Row],[کد وضعیت سند]]=1,TArticle[مبلغ],0),0),0)</f>
        <v>0</v>
      </c>
      <c r="AH693" s="1">
        <f>IFERROR(IF(INT(LEFT(TArticle[[#This Row],[شناسه]]))=2,IF(TArticle[[#This Row],[کد وضعیت سند]]=1,TArticle[مبلغ],0),0),0)</f>
        <v>0</v>
      </c>
      <c r="AI693" s="1">
        <f>IFERROR(IF((LEFT(TArticle[[#This Row],[شناسه]],3))="5.2",IF(TArticle[[#This Row],[کد وضعیت سند]]=1,TArticle[مبلغ],0),0),0)</f>
        <v>0</v>
      </c>
      <c r="AJ693" s="1">
        <f>IF(TArticle[[#This Row],[کد وضعیت سند]]=1,1,0)</f>
        <v>0</v>
      </c>
      <c r="AK693" s="1">
        <f>IF(AND(TArticle[[#This Row],[کد وضعیت سند]]&lt;&gt;1,TArticle[[#This Row],[مبلغ]]&lt;&gt;0),1,0)</f>
        <v>1</v>
      </c>
      <c r="AL693" s="78">
        <f>IF(TArticle[[#This Row],[کد بانک]]&gt;0,TArticle[[#This Row],[مانده بانک]]-VLOOKUP(TArticle[[#This Row],[کد بانک]],TBank[],7,FALSE),"")</f>
        <v>584417</v>
      </c>
      <c r="AM693" s="69" t="str">
        <f>LEFT(TArticle[[#This Row],[تاریخ]],7)</f>
        <v>1403-09</v>
      </c>
    </row>
    <row r="694" spans="1:39" x14ac:dyDescent="0.25">
      <c r="A694" s="24" t="s">
        <v>1608</v>
      </c>
      <c r="B694" s="49" t="str">
        <f>VLOOKUP(TArticle[[#This Row],[شناسه]],TAccount[],2,TRUE)</f>
        <v>بن کارت</v>
      </c>
      <c r="C694" s="49" t="str">
        <f>VLOOKUP(TArticle[[#This Row],[تاریخ]],TDays[],7,FALSE)</f>
        <v>پنجشنبه</v>
      </c>
      <c r="D694" s="21" t="s">
        <v>1472</v>
      </c>
      <c r="E694" s="1">
        <v>3000</v>
      </c>
      <c r="F694" s="1">
        <f>TArticle[[#This Row],[مبلغ]]+IFERROR(INT(F693),30181+3667+958)</f>
        <v>545765</v>
      </c>
      <c r="G694" s="49"/>
      <c r="J694" s="51"/>
      <c r="K694" s="64">
        <v>2</v>
      </c>
      <c r="L694" s="171" t="str">
        <f>IF(TArticle[[#This Row],[کد وضعیت سند]]&gt;0,VLOOKUP(TArticle[[#This Row],[کد وضعیت سند]],TDocState[],2,FALSE),"")</f>
        <v>قطعی</v>
      </c>
      <c r="M694" s="67"/>
      <c r="N694" s="171" t="str">
        <f>IF(TArticle[[#This Row],[کد طرف حساب]]&gt;0,VLOOKUP(TArticle[[#This Row],[کد طرف حساب]],TContact[],2,FALSE),"")</f>
        <v/>
      </c>
      <c r="O694" s="60" t="str">
        <f>IF(TArticle[[#This Row],[کد طرف حساب]]&gt;0,VLOOKUP(TArticle[[#This Row],[کد طرف حساب]],TContact[],7,FALSE)-SUMIF($M$2:M694,M694,$E$2:$E694),"")</f>
        <v/>
      </c>
      <c r="P694" s="27" t="str">
        <f>RIGHT(TArticle[[#This Row],[تاریخ]],2)</f>
        <v>01</v>
      </c>
      <c r="Q694" s="27">
        <f>VLOOKUP(TArticle[[#This Row],[تاریخ]],TDays[],16,FALSE)</f>
        <v>36</v>
      </c>
      <c r="R694" s="27" t="str">
        <f>RIGHT(LEFT(TArticle[[#This Row],[تاریخ]],7),2)</f>
        <v>09</v>
      </c>
      <c r="S694" s="27" t="str">
        <f>LEFT(TArticle[[#This Row],[تاریخ]],4)</f>
        <v>1403</v>
      </c>
      <c r="U694" s="21">
        <f>VLOOKUP(TArticle[[#This Row],[شناسه]],TAccount[],7,TRUE)</f>
        <v>3000</v>
      </c>
      <c r="V694" s="28"/>
      <c r="W694" s="21">
        <f>IF(AND(TArticle[[#This Row],[مبلغ]]&gt;0, TArticle[[#This Row],[کد وضعیت سند]]=1),TArticle[[#This Row],[مبلغ]],0)</f>
        <v>0</v>
      </c>
      <c r="X694" s="27">
        <f>IF(AND(TArticle[[#This Row],[مبلغ]]&lt;0,TArticle[[#This Row],[کد وضعیت سند]]=1),0-TArticle[[#This Row],[مبلغ]],0)</f>
        <v>0</v>
      </c>
      <c r="Y694" s="27">
        <v>2</v>
      </c>
      <c r="Z694" s="171" t="str">
        <f>IF(TArticle[[#This Row],[کد بانک]]&gt;0,VLOOKUP(TArticle[[#This Row],[کد بانک]],TBank[],2,FALSE),"")</f>
        <v>ملی جاری</v>
      </c>
      <c r="AA694">
        <f>IF(AND(TArticle[[#This Row],[مبلغ]]&lt;0,TArticle[[#This Row],[کد وضعیت سند]]=1),0-TArticle[[#This Row],[مبلغ]],0)</f>
        <v>0</v>
      </c>
      <c r="AB694">
        <f>IF(AND(TArticle[[#This Row],[مبلغ]]&gt;0, TArticle[[#This Row],[کد وضعیت سند]]=1),TArticle[[#This Row],[مبلغ]],0)</f>
        <v>0</v>
      </c>
      <c r="AC694" s="92">
        <f>IF(TArticle[[#This Row],[کد بانک]]&gt;0,VLOOKUP(TArticle[[#This Row],[کد بانک]],TBank[],9,FALSE)+SUMIF($Y$2:Y694,Y694,$E$2:$E694),"")</f>
        <v>587417</v>
      </c>
      <c r="AD694" s="1">
        <f>IFERROR(IF(INT(LEFT(TArticle[[#This Row],[شناسه]]))=3,IF(TArticle[[#This Row],[کد وضعیت سند]]=1,TArticle[مبلغ],0),0),0)</f>
        <v>0</v>
      </c>
      <c r="AE694" s="1">
        <f>IFERROR(IF(((TArticle[[#This Row],[شناسه]]))="4.1.1",IF(TArticle[[#This Row],[کد وضعیت سند]]=1,TArticle[مبلغ],0),0),0)</f>
        <v>0</v>
      </c>
      <c r="AF694" s="1">
        <f>IFERROR(IF(((TArticle[[#This Row],[شناسه]]))="4.1.2",IF(TArticle[[#This Row],[کد وضعیت سند]]=1,TArticle[مبلغ],0),0),0)</f>
        <v>0</v>
      </c>
      <c r="AG694" s="1">
        <f>IFERROR(IF(INT(LEFT(TArticle[[#This Row],[شناسه]]))=1,IF(TArticle[[#This Row],[کد وضعیت سند]]=1,TArticle[مبلغ],0),0),0)</f>
        <v>0</v>
      </c>
      <c r="AH694" s="1">
        <f>IFERROR(IF(INT(LEFT(TArticle[[#This Row],[شناسه]]))=2,IF(TArticle[[#This Row],[کد وضعیت سند]]=1,TArticle[مبلغ],0),0),0)</f>
        <v>0</v>
      </c>
      <c r="AI694" s="1">
        <f>IFERROR(IF((LEFT(TArticle[[#This Row],[شناسه]],3))="5.2",IF(TArticle[[#This Row],[کد وضعیت سند]]=1,TArticle[مبلغ],0),0),0)</f>
        <v>0</v>
      </c>
      <c r="AJ694" s="1">
        <f>IF(TArticle[[#This Row],[کد وضعیت سند]]=1,1,0)</f>
        <v>0</v>
      </c>
      <c r="AK694" s="1">
        <f>IF(AND(TArticle[[#This Row],[کد وضعیت سند]]&lt;&gt;1,TArticle[[#This Row],[مبلغ]]&lt;&gt;0),1,0)</f>
        <v>1</v>
      </c>
      <c r="AL694" s="51">
        <f>IF(TArticle[[#This Row],[کد بانک]]&gt;0,TArticle[[#This Row],[مانده بانک]]-VLOOKUP(TArticle[[#This Row],[کد بانک]],TBank[],7,FALSE),"")</f>
        <v>587417</v>
      </c>
      <c r="AM694" s="58" t="str">
        <f>LEFT(TArticle[[#This Row],[تاریخ]],7)</f>
        <v>1403-09</v>
      </c>
    </row>
    <row r="695" spans="1:39" x14ac:dyDescent="0.25">
      <c r="A695" s="24" t="s">
        <v>1110</v>
      </c>
      <c r="B695" s="49" t="str">
        <f>VLOOKUP(TArticle[[#This Row],[شناسه]],TAccount[],2,TRUE)</f>
        <v>قسط وام بانکی</v>
      </c>
      <c r="C695" s="49" t="str">
        <f>VLOOKUP(TArticle[[#This Row],[تاریخ]],TDays[],7,FALSE)</f>
        <v>شنبه</v>
      </c>
      <c r="D695" s="21" t="s">
        <v>1474</v>
      </c>
      <c r="E695" s="1">
        <v>-1224</v>
      </c>
      <c r="F695" s="1">
        <f>TArticle[[#This Row],[مبلغ]]+IFERROR(INT(F694),30181+3667+958)</f>
        <v>544541</v>
      </c>
      <c r="G695" s="49"/>
      <c r="H695" s="21">
        <v>15</v>
      </c>
      <c r="K695" s="64">
        <v>2</v>
      </c>
      <c r="L695" s="171" t="str">
        <f>IF(TArticle[[#This Row],[کد وضعیت سند]]&gt;0,VLOOKUP(TArticle[[#This Row],[کد وضعیت سند]],TDocState[],2,FALSE),"")</f>
        <v>قطعی</v>
      </c>
      <c r="M695" s="27">
        <v>115</v>
      </c>
      <c r="N695" s="171" t="str">
        <f>IF(TArticle[[#This Row],[کد طرف حساب]]&gt;0,VLOOKUP(TArticle[[#This Row],[کد طرف حساب]],TContact[],2,FALSE),"")</f>
        <v>وام فرزند مهر</v>
      </c>
      <c r="O695" s="51">
        <f>IF(TArticle[[#This Row],[کد طرف حساب]]&gt;0,VLOOKUP(TArticle[[#This Row],[کد طرف حساب]],TContact[],7,FALSE)-SUMIF($M$2:M695,M695,$E$2:$E695),"")</f>
        <v>-44088</v>
      </c>
      <c r="P695" s="27" t="str">
        <f>RIGHT(TArticle[[#This Row],[تاریخ]],2)</f>
        <v>03</v>
      </c>
      <c r="Q695" s="27">
        <f>VLOOKUP(TArticle[[#This Row],[تاریخ]],TDays[],16,FALSE)</f>
        <v>37</v>
      </c>
      <c r="R695" s="27" t="str">
        <f>RIGHT(LEFT(TArticle[[#This Row],[تاریخ]],7),2)</f>
        <v>09</v>
      </c>
      <c r="S695" s="27" t="str">
        <f>LEFT(TArticle[[#This Row],[تاریخ]],4)</f>
        <v>1403</v>
      </c>
      <c r="U695" s="21">
        <f>VLOOKUP(TArticle[[#This Row],[شناسه]],TAccount[],7,TRUE)</f>
        <v>81652</v>
      </c>
      <c r="W695" s="21">
        <f>IF(AND(TArticle[[#This Row],[مبلغ]]&gt;0, TArticle[[#This Row],[کد وضعیت سند]]=1),TArticle[[#This Row],[مبلغ]],0)</f>
        <v>0</v>
      </c>
      <c r="X695" s="27">
        <f>IF(AND(TArticle[[#This Row],[مبلغ]]&lt;0,TArticle[[#This Row],[کد وضعیت سند]]=1),0-TArticle[[#This Row],[مبلغ]],0)</f>
        <v>0</v>
      </c>
      <c r="Y695" s="27">
        <v>2</v>
      </c>
      <c r="Z695" s="171" t="str">
        <f>IF(TArticle[[#This Row],[کد بانک]]&gt;0,VLOOKUP(TArticle[[#This Row],[کد بانک]],TBank[],2,FALSE),"")</f>
        <v>ملی جاری</v>
      </c>
      <c r="AA695">
        <f>IF(AND(TArticle[[#This Row],[مبلغ]]&lt;0,TArticle[[#This Row],[کد وضعیت سند]]=1),0-TArticle[[#This Row],[مبلغ]],0)</f>
        <v>0</v>
      </c>
      <c r="AB695">
        <f>IF(AND(TArticle[[#This Row],[مبلغ]]&gt;0, TArticle[[#This Row],[کد وضعیت سند]]=1),TArticle[[#This Row],[مبلغ]],0)</f>
        <v>0</v>
      </c>
      <c r="AC695" s="84">
        <f>IF(TArticle[[#This Row],[کد بانک]]&gt;0,VLOOKUP(TArticle[[#This Row],[کد بانک]],TBank[],9,FALSE)+SUMIF($Y$2:Y695,Y695,$E$2:$E695),"")</f>
        <v>586193</v>
      </c>
      <c r="AD695" s="1">
        <f>IFERROR(IF(INT(LEFT(TArticle[[#This Row],[شناسه]]))=3,IF(TArticle[[#This Row],[کد وضعیت سند]]=1,TArticle[مبلغ],0),0),0)</f>
        <v>0</v>
      </c>
      <c r="AE695" s="1">
        <f>IFERROR(IF(((TArticle[[#This Row],[شناسه]]))="4.1.1",IF(TArticle[[#This Row],[کد وضعیت سند]]=1,TArticle[مبلغ],0),0),0)</f>
        <v>0</v>
      </c>
      <c r="AF695" s="1">
        <f>IFERROR(IF(((TArticle[[#This Row],[شناسه]]))="4.1.2",IF(TArticle[[#This Row],[کد وضعیت سند]]=1,TArticle[مبلغ],0),0),0)</f>
        <v>0</v>
      </c>
      <c r="AG695" s="1">
        <f>IFERROR(IF(INT(LEFT(TArticle[[#This Row],[شناسه]]))=1,IF(TArticle[[#This Row],[کد وضعیت سند]]=1,TArticle[مبلغ],0),0),0)</f>
        <v>0</v>
      </c>
      <c r="AH695" s="1">
        <f>IFERROR(IF(INT(LEFT(TArticle[[#This Row],[شناسه]]))=2,IF(TArticle[[#This Row],[کد وضعیت سند]]=1,TArticle[مبلغ],0),0),0)</f>
        <v>0</v>
      </c>
      <c r="AI695" s="1">
        <f>IFERROR(IF((LEFT(TArticle[[#This Row],[شناسه]],3))="5.2",IF(TArticle[[#This Row],[کد وضعیت سند]]=1,TArticle[مبلغ],0),0),0)</f>
        <v>0</v>
      </c>
      <c r="AJ695" s="1">
        <f>IF(TArticle[[#This Row],[کد وضعیت سند]]=1,1,0)</f>
        <v>0</v>
      </c>
      <c r="AK695" s="1">
        <f>IF(AND(TArticle[[#This Row],[کد وضعیت سند]]&lt;&gt;1,TArticle[[#This Row],[مبلغ]]&lt;&gt;0),1,0)</f>
        <v>1</v>
      </c>
      <c r="AL695" s="51">
        <f>IF(TArticle[[#This Row],[کد بانک]]&gt;0,TArticle[[#This Row],[مانده بانک]]-VLOOKUP(TArticle[[#This Row],[کد بانک]],TBank[],7,FALSE),"")</f>
        <v>586193</v>
      </c>
      <c r="AM695" s="49" t="str">
        <f>LEFT(TArticle[[#This Row],[تاریخ]],7)</f>
        <v>1403-09</v>
      </c>
    </row>
    <row r="696" spans="1:39" x14ac:dyDescent="0.25">
      <c r="A696" s="24" t="s">
        <v>1110</v>
      </c>
      <c r="B696" s="49" t="str">
        <f>VLOOKUP(TArticle[[#This Row],[شناسه]],TAccount[],2,TRUE)</f>
        <v>قسط وام بانکی</v>
      </c>
      <c r="C696" s="49" t="str">
        <f>VLOOKUP(TArticle[[#This Row],[تاریخ]],TDays[],7,FALSE)</f>
        <v>یکشنبه</v>
      </c>
      <c r="D696" s="21" t="s">
        <v>1475</v>
      </c>
      <c r="E696" s="1">
        <v>-532</v>
      </c>
      <c r="F696" s="1">
        <f>TArticle[[#This Row],[مبلغ]]+IFERROR(INT(F695),30181+3667+958)</f>
        <v>544009</v>
      </c>
      <c r="G696" s="49"/>
      <c r="H696" s="21">
        <v>21</v>
      </c>
      <c r="K696" s="64">
        <v>2</v>
      </c>
      <c r="L696" s="171" t="str">
        <f>IF(TArticle[[#This Row],[کد وضعیت سند]]&gt;0,VLOOKUP(TArticle[[#This Row],[کد وضعیت سند]],TDocState[],2,FALSE),"")</f>
        <v>قطعی</v>
      </c>
      <c r="M696" s="67">
        <v>116</v>
      </c>
      <c r="N696" s="171" t="str">
        <f>IF(TArticle[[#This Row],[کد طرف حساب]]&gt;0,VLOOKUP(TArticle[[#This Row],[کد طرف حساب]],TContact[],2,FALSE),"")</f>
        <v>وام امتیازی مهر</v>
      </c>
      <c r="O696" s="61">
        <f>IF(TArticle[[#This Row],[کد طرف حساب]]&gt;0,VLOOKUP(TArticle[[#This Row],[کد طرف حساب]],TContact[],7,FALSE)-SUMIF($M$2:M696,M696,$E$2:$E696),"")</f>
        <v>-1592</v>
      </c>
      <c r="P696" s="27" t="str">
        <f>RIGHT(TArticle[[#This Row],[تاریخ]],2)</f>
        <v>04</v>
      </c>
      <c r="Q696" s="27">
        <f>VLOOKUP(TArticle[[#This Row],[تاریخ]],TDays[],16,FALSE)</f>
        <v>37</v>
      </c>
      <c r="R696" s="27" t="str">
        <f>RIGHT(LEFT(TArticle[[#This Row],[تاریخ]],7),2)</f>
        <v>09</v>
      </c>
      <c r="S696" s="27" t="str">
        <f>LEFT(TArticle[[#This Row],[تاریخ]],4)</f>
        <v>1403</v>
      </c>
      <c r="U696" s="21">
        <f>VLOOKUP(TArticle[[#This Row],[شناسه]],TAccount[],7,TRUE)</f>
        <v>81652</v>
      </c>
      <c r="W696" s="21">
        <f>IF(AND(TArticle[[#This Row],[مبلغ]]&gt;0, TArticle[[#This Row],[کد وضعیت سند]]=1),TArticle[[#This Row],[مبلغ]],0)</f>
        <v>0</v>
      </c>
      <c r="X696" s="27">
        <f>IF(AND(TArticle[[#This Row],[مبلغ]]&lt;0,TArticle[[#This Row],[کد وضعیت سند]]=1),0-TArticle[[#This Row],[مبلغ]],0)</f>
        <v>0</v>
      </c>
      <c r="Y696" s="27">
        <v>2</v>
      </c>
      <c r="Z696" s="171" t="str">
        <f>IF(TArticle[[#This Row],[کد بانک]]&gt;0,VLOOKUP(TArticle[[#This Row],[کد بانک]],TBank[],2,FALSE),"")</f>
        <v>ملی جاری</v>
      </c>
      <c r="AA696">
        <f>IF(AND(TArticle[[#This Row],[مبلغ]]&lt;0,TArticle[[#This Row],[کد وضعیت سند]]=1),0-TArticle[[#This Row],[مبلغ]],0)</f>
        <v>0</v>
      </c>
      <c r="AB696">
        <f>IF(AND(TArticle[[#This Row],[مبلغ]]&gt;0, TArticle[[#This Row],[کد وضعیت سند]]=1),TArticle[[#This Row],[مبلغ]],0)</f>
        <v>0</v>
      </c>
      <c r="AC696" s="84">
        <f>IF(TArticle[[#This Row],[کد بانک]]&gt;0,VLOOKUP(TArticle[[#This Row],[کد بانک]],TBank[],9,FALSE)+SUMIF($Y$2:Y696,Y696,$E$2:$E696),"")</f>
        <v>585661</v>
      </c>
      <c r="AD696" s="1">
        <f>IFERROR(IF(INT(LEFT(TArticle[[#This Row],[شناسه]]))=3,IF(TArticle[[#This Row],[کد وضعیت سند]]=1,TArticle[مبلغ],0),0),0)</f>
        <v>0</v>
      </c>
      <c r="AE696" s="1">
        <f>IFERROR(IF(((TArticle[[#This Row],[شناسه]]))="4.1.1",IF(TArticle[[#This Row],[کد وضعیت سند]]=1,TArticle[مبلغ],0),0),0)</f>
        <v>0</v>
      </c>
      <c r="AF696" s="1">
        <f>IFERROR(IF(((TArticle[[#This Row],[شناسه]]))="4.1.2",IF(TArticle[[#This Row],[کد وضعیت سند]]=1,TArticle[مبلغ],0),0),0)</f>
        <v>0</v>
      </c>
      <c r="AG696" s="1">
        <f>IFERROR(IF(INT(LEFT(TArticle[[#This Row],[شناسه]]))=1,IF(TArticle[[#This Row],[کد وضعیت سند]]=1,TArticle[مبلغ],0),0),0)</f>
        <v>0</v>
      </c>
      <c r="AH696" s="1">
        <f>IFERROR(IF(INT(LEFT(TArticle[[#This Row],[شناسه]]))=2,IF(TArticle[[#This Row],[کد وضعیت سند]]=1,TArticle[مبلغ],0),0),0)</f>
        <v>0</v>
      </c>
      <c r="AI696" s="1">
        <f>IFERROR(IF((LEFT(TArticle[[#This Row],[شناسه]],3))="5.2",IF(TArticle[[#This Row],[کد وضعیت سند]]=1,TArticle[مبلغ],0),0),0)</f>
        <v>0</v>
      </c>
      <c r="AJ696" s="1">
        <f>IF(TArticle[[#This Row],[کد وضعیت سند]]=1,1,0)</f>
        <v>0</v>
      </c>
      <c r="AK696" s="1">
        <f>IF(AND(TArticle[[#This Row],[کد وضعیت سند]]&lt;&gt;1,TArticle[[#This Row],[مبلغ]]&lt;&gt;0),1,0)</f>
        <v>1</v>
      </c>
      <c r="AL696" s="51">
        <f>IF(TArticle[[#This Row],[کد بانک]]&gt;0,TArticle[[#This Row],[مانده بانک]]-VLOOKUP(TArticle[[#This Row],[کد بانک]],TBank[],7,FALSE),"")</f>
        <v>585661</v>
      </c>
      <c r="AM696" t="str">
        <f>LEFT(TArticle[[#This Row],[تاریخ]],7)</f>
        <v>1403-09</v>
      </c>
    </row>
    <row r="697" spans="1:39" x14ac:dyDescent="0.25">
      <c r="A697" s="24" t="s">
        <v>1110</v>
      </c>
      <c r="B697" s="49" t="str">
        <f>VLOOKUP(TArticle[[#This Row],[شناسه]],TAccount[],2,TRUE)</f>
        <v>قسط وام بانکی</v>
      </c>
      <c r="C697" s="49" t="str">
        <f>VLOOKUP(TArticle[[#This Row],[تاریخ]],TDays[],7,FALSE)</f>
        <v>جمعه</v>
      </c>
      <c r="D697" s="21" t="s">
        <v>1480</v>
      </c>
      <c r="E697" s="1">
        <f>'طرف حساب'!$J$29</f>
        <v>-3616</v>
      </c>
      <c r="F697" s="1">
        <f>TArticle[[#This Row],[مبلغ]]+IFERROR(INT(F696),30181+3667+958)</f>
        <v>540393</v>
      </c>
      <c r="G697" s="49"/>
      <c r="H697" s="21">
        <v>22</v>
      </c>
      <c r="J697" s="51"/>
      <c r="K697" s="64">
        <v>2</v>
      </c>
      <c r="L697" s="171" t="str">
        <f>IF(TArticle[[#This Row],[کد وضعیت سند]]&gt;0,VLOOKUP(TArticle[[#This Row],[کد وضعیت سند]],TDocState[],2,FALSE),"")</f>
        <v>قطعی</v>
      </c>
      <c r="M697" s="67">
        <v>114</v>
      </c>
      <c r="N697" s="171" t="str">
        <f>IF(TArticle[[#This Row],[کد طرف حساب]]&gt;0,VLOOKUP(TArticle[[#This Row],[کد طرف حساب]],TContact[],2,FALSE),"")</f>
        <v>وام کارت ملی ف</v>
      </c>
      <c r="O697" s="60">
        <f>IF(TArticle[[#This Row],[کد طرف حساب]]&gt;0,VLOOKUP(TArticle[[#This Row],[کد طرف حساب]],TContact[],7,FALSE)-SUMIF($M$2:M697,M697,$E$2:$E697),"")</f>
        <v>-51906</v>
      </c>
      <c r="P697" s="27" t="str">
        <f>RIGHT(TArticle[[#This Row],[تاریخ]],2)</f>
        <v>09</v>
      </c>
      <c r="Q697" s="27">
        <f>VLOOKUP(TArticle[[#This Row],[تاریخ]],TDays[],16,FALSE)</f>
        <v>37</v>
      </c>
      <c r="R697" s="27" t="str">
        <f>RIGHT(LEFT(TArticle[[#This Row],[تاریخ]],7),2)</f>
        <v>09</v>
      </c>
      <c r="S697" s="27" t="str">
        <f>LEFT(TArticle[[#This Row],[تاریخ]],4)</f>
        <v>1403</v>
      </c>
      <c r="U697" s="21">
        <f>VLOOKUP(TArticle[[#This Row],[شناسه]],TAccount[],7,TRUE)</f>
        <v>81652</v>
      </c>
      <c r="W697" s="21">
        <f>IF(AND(TArticle[[#This Row],[مبلغ]]&gt;0, TArticle[[#This Row],[کد وضعیت سند]]=1),TArticle[[#This Row],[مبلغ]],0)</f>
        <v>0</v>
      </c>
      <c r="X697" s="27">
        <f>IF(AND(TArticle[[#This Row],[مبلغ]]&lt;0,TArticle[[#This Row],[کد وضعیت سند]]=1),0-TArticle[[#This Row],[مبلغ]],0)</f>
        <v>0</v>
      </c>
      <c r="Y697" s="27">
        <v>2</v>
      </c>
      <c r="Z697" s="171" t="str">
        <f>IF(TArticle[[#This Row],[کد بانک]]&gt;0,VLOOKUP(TArticle[[#This Row],[کد بانک]],TBank[],2,FALSE),"")</f>
        <v>ملی جاری</v>
      </c>
      <c r="AA697">
        <f>IF(AND(TArticle[[#This Row],[مبلغ]]&lt;0,TArticle[[#This Row],[کد وضعیت سند]]=1),0-TArticle[[#This Row],[مبلغ]],0)</f>
        <v>0</v>
      </c>
      <c r="AB697">
        <f>IF(AND(TArticle[[#This Row],[مبلغ]]&gt;0, TArticle[[#This Row],[کد وضعیت سند]]=1),TArticle[[#This Row],[مبلغ]],0)</f>
        <v>0</v>
      </c>
      <c r="AC697" s="92">
        <f>IF(TArticle[[#This Row],[کد بانک]]&gt;0,VLOOKUP(TArticle[[#This Row],[کد بانک]],TBank[],9,FALSE)+SUMIF($Y$2:Y697,Y697,$E$2:$E697),"")</f>
        <v>582045</v>
      </c>
      <c r="AD697" s="1">
        <f>IFERROR(IF(INT(LEFT(TArticle[[#This Row],[شناسه]]))=3,IF(TArticle[[#This Row],[کد وضعیت سند]]=1,TArticle[مبلغ],0),0),0)</f>
        <v>0</v>
      </c>
      <c r="AE697" s="1">
        <f>IFERROR(IF(((TArticle[[#This Row],[شناسه]]))="4.1.1",IF(TArticle[[#This Row],[کد وضعیت سند]]=1,TArticle[مبلغ],0),0),0)</f>
        <v>0</v>
      </c>
      <c r="AF697" s="1">
        <f>IFERROR(IF(((TArticle[[#This Row],[شناسه]]))="4.1.2",IF(TArticle[[#This Row],[کد وضعیت سند]]=1,TArticle[مبلغ],0),0),0)</f>
        <v>0</v>
      </c>
      <c r="AG697" s="1">
        <f>IFERROR(IF(INT(LEFT(TArticle[[#This Row],[شناسه]]))=1,IF(TArticle[[#This Row],[کد وضعیت سند]]=1,TArticle[مبلغ],0),0),0)</f>
        <v>0</v>
      </c>
      <c r="AH697" s="1">
        <f>IFERROR(IF(INT(LEFT(TArticle[[#This Row],[شناسه]]))=2,IF(TArticle[[#This Row],[کد وضعیت سند]]=1,TArticle[مبلغ],0),0),0)</f>
        <v>0</v>
      </c>
      <c r="AI697" s="1">
        <f>IFERROR(IF((LEFT(TArticle[[#This Row],[شناسه]],3))="5.2",IF(TArticle[[#This Row],[کد وضعیت سند]]=1,TArticle[مبلغ],0),0),0)</f>
        <v>0</v>
      </c>
      <c r="AJ697" s="1">
        <f>IF(TArticle[[#This Row],[کد وضعیت سند]]=1,1,0)</f>
        <v>0</v>
      </c>
      <c r="AK697" s="1">
        <f>IF(AND(TArticle[[#This Row],[کد وضعیت سند]]&lt;&gt;1,TArticle[[#This Row],[مبلغ]]&lt;&gt;0),1,0)</f>
        <v>1</v>
      </c>
      <c r="AL697" s="51">
        <f>IF(TArticle[[#This Row],[کد بانک]]&gt;0,TArticle[[#This Row],[مانده بانک]]-VLOOKUP(TArticle[[#This Row],[کد بانک]],TBank[],7,FALSE),"")</f>
        <v>582045</v>
      </c>
      <c r="AM697" s="58" t="str">
        <f>LEFT(TArticle[[#This Row],[تاریخ]],7)</f>
        <v>1403-09</v>
      </c>
    </row>
    <row r="698" spans="1:39" x14ac:dyDescent="0.25">
      <c r="A698" s="24" t="s">
        <v>1013</v>
      </c>
      <c r="B698" s="49" t="str">
        <f>VLOOKUP(TArticle[[#This Row],[شناسه]],TAccount[],2,TRUE)</f>
        <v>یارانه</v>
      </c>
      <c r="C698" s="49" t="str">
        <f>VLOOKUP(TArticle[[#This Row],[تاریخ]],TDays[],7,FALSE)</f>
        <v>سه شنبه</v>
      </c>
      <c r="D698" s="21" t="s">
        <v>1491</v>
      </c>
      <c r="E698" s="1">
        <v>1500</v>
      </c>
      <c r="F698" s="1">
        <f>TArticle[[#This Row],[مبلغ]]+IFERROR(INT(F697),30181+3667+958)</f>
        <v>541893</v>
      </c>
      <c r="G698" s="49"/>
      <c r="H698" s="64"/>
      <c r="J698" s="65"/>
      <c r="K698" s="64">
        <v>2</v>
      </c>
      <c r="L698" s="171" t="str">
        <f>IF(TArticle[[#This Row],[کد وضعیت سند]]&gt;0,VLOOKUP(TArticle[[#This Row],[کد وضعیت سند]],TDocState[],2,FALSE),"")</f>
        <v>قطعی</v>
      </c>
      <c r="M698" s="67"/>
      <c r="N698" s="171" t="str">
        <f>IF(TArticle[[#This Row],[کد طرف حساب]]&gt;0,VLOOKUP(TArticle[[#This Row],[کد طرف حساب]],TContact[],2,FALSE),"")</f>
        <v/>
      </c>
      <c r="O698" s="68" t="str">
        <f>IF(TArticle[[#This Row],[کد طرف حساب]]&gt;0,VLOOKUP(TArticle[[#This Row],[کد طرف حساب]],TContact[],7,FALSE)-SUMIF($M$2:M698,M698,$E$2:$E698),"")</f>
        <v/>
      </c>
      <c r="P698" s="67" t="str">
        <f>RIGHT(TArticle[[#This Row],[تاریخ]],2)</f>
        <v>20</v>
      </c>
      <c r="Q698" s="67">
        <f>VLOOKUP(TArticle[[#This Row],[تاریخ]],TDays[],16,FALSE)</f>
        <v>39</v>
      </c>
      <c r="R698" s="67" t="str">
        <f>RIGHT(LEFT(TArticle[[#This Row],[تاریخ]],7),2)</f>
        <v>09</v>
      </c>
      <c r="S698" s="67" t="str">
        <f>LEFT(TArticle[[#This Row],[تاریخ]],4)</f>
        <v>1403</v>
      </c>
      <c r="T698" s="64"/>
      <c r="U698" s="64">
        <f>VLOOKUP(TArticle[[#This Row],[شناسه]],TAccount[],7,TRUE)</f>
        <v>12565</v>
      </c>
      <c r="V698" s="64"/>
      <c r="W698" s="64">
        <f>IF(AND(TArticle[[#This Row],[مبلغ]]&gt;0, TArticle[[#This Row],[کد وضعیت سند]]=1),TArticle[[#This Row],[مبلغ]],0)</f>
        <v>0</v>
      </c>
      <c r="X698" s="67">
        <f>IF(AND(TArticle[[#This Row],[مبلغ]]&lt;0,TArticle[[#This Row],[کد وضعیت سند]]=1),0-TArticle[[#This Row],[مبلغ]],0)</f>
        <v>0</v>
      </c>
      <c r="Y698" s="27">
        <v>2</v>
      </c>
      <c r="Z698" s="171" t="str">
        <f>IF(TArticle[[#This Row],[کد بانک]]&gt;0,VLOOKUP(TArticle[[#This Row],[کد بانک]],TBank[],2,FALSE),"")</f>
        <v>ملی جاری</v>
      </c>
      <c r="AA698">
        <f>IF(AND(TArticle[[#This Row],[مبلغ]]&lt;0,TArticle[[#This Row],[کد وضعیت سند]]=1),0-TArticle[[#This Row],[مبلغ]],0)</f>
        <v>0</v>
      </c>
      <c r="AB698">
        <f>IF(AND(TArticle[[#This Row],[مبلغ]]&gt;0, TArticle[[#This Row],[کد وضعیت سند]]=1),TArticle[[#This Row],[مبلغ]],0)</f>
        <v>0</v>
      </c>
      <c r="AC698" s="93">
        <f>IF(TArticle[[#This Row],[کد بانک]]&gt;0,VLOOKUP(TArticle[[#This Row],[کد بانک]],TBank[],9,FALSE)+SUMIF($Y$2:Y698,Y698,$E$2:$E698),"")</f>
        <v>583545</v>
      </c>
      <c r="AD698" s="1">
        <f>IFERROR(IF(INT(LEFT(TArticle[[#This Row],[شناسه]]))=3,IF(TArticle[[#This Row],[کد وضعیت سند]]=1,TArticle[مبلغ],0),0),0)</f>
        <v>0</v>
      </c>
      <c r="AE698" s="1">
        <f>IFERROR(IF(((TArticle[[#This Row],[شناسه]]))="4.1.1",IF(TArticle[[#This Row],[کد وضعیت سند]]=1,TArticle[مبلغ],0),0),0)</f>
        <v>0</v>
      </c>
      <c r="AF698" s="1">
        <f>IFERROR(IF(((TArticle[[#This Row],[شناسه]]))="4.1.2",IF(TArticle[[#This Row],[کد وضعیت سند]]=1,TArticle[مبلغ],0),0),0)</f>
        <v>0</v>
      </c>
      <c r="AG698" s="1">
        <f>IFERROR(IF(INT(LEFT(TArticle[[#This Row],[شناسه]]))=1,IF(TArticle[[#This Row],[کد وضعیت سند]]=1,TArticle[مبلغ],0),0),0)</f>
        <v>0</v>
      </c>
      <c r="AH698" s="1">
        <f>IFERROR(IF(INT(LEFT(TArticle[[#This Row],[شناسه]]))=2,IF(TArticle[[#This Row],[کد وضعیت سند]]=1,TArticle[مبلغ],0),0),0)</f>
        <v>0</v>
      </c>
      <c r="AI698" s="1">
        <f>IFERROR(IF((LEFT(TArticle[[#This Row],[شناسه]],3))="5.2",IF(TArticle[[#This Row],[کد وضعیت سند]]=1,TArticle[مبلغ],0),0),0)</f>
        <v>0</v>
      </c>
      <c r="AJ698" s="1">
        <f>IF(TArticle[[#This Row],[کد وضعیت سند]]=1,1,0)</f>
        <v>0</v>
      </c>
      <c r="AK698" s="1">
        <f>IF(AND(TArticle[[#This Row],[کد وضعیت سند]]&lt;&gt;1,TArticle[[#This Row],[مبلغ]]&lt;&gt;0),1,0)</f>
        <v>1</v>
      </c>
      <c r="AL698" s="78">
        <f>IF(TArticle[[#This Row],[کد بانک]]&gt;0,TArticle[[#This Row],[مانده بانک]]-VLOOKUP(TArticle[[#This Row],[کد بانک]],TBank[],7,FALSE),"")</f>
        <v>583545</v>
      </c>
      <c r="AM698" s="69" t="str">
        <f>LEFT(TArticle[[#This Row],[تاریخ]],7)</f>
        <v>1403-09</v>
      </c>
    </row>
    <row r="699" spans="1:39" x14ac:dyDescent="0.25">
      <c r="A699" s="24" t="s">
        <v>43</v>
      </c>
      <c r="B699" s="49" t="str">
        <f>VLOOKUP(TArticle[[#This Row],[شناسه]],TAccount[],2,TRUE)</f>
        <v>حقوق</v>
      </c>
      <c r="C699" s="49" t="str">
        <f>VLOOKUP(TArticle[[#This Row],[تاریخ]],TDays[],7,FALSE)</f>
        <v>شنبه</v>
      </c>
      <c r="D699" s="21" t="s">
        <v>1502</v>
      </c>
      <c r="E699" s="1">
        <v>42000</v>
      </c>
      <c r="F699" s="1">
        <f>TArticle[[#This Row],[مبلغ]]+IFERROR(INT(F698),30181+3667+958)</f>
        <v>583893</v>
      </c>
      <c r="G699" s="49"/>
      <c r="H699" s="64"/>
      <c r="J699" s="65"/>
      <c r="K699" s="64">
        <v>2</v>
      </c>
      <c r="L699" s="171" t="str">
        <f>IF(TArticle[[#This Row],[کد وضعیت سند]]&gt;0,VLOOKUP(TArticle[[#This Row],[کد وضعیت سند]],TDocState[],2,FALSE),"")</f>
        <v>قطعی</v>
      </c>
      <c r="M699" s="67"/>
      <c r="N699" s="171" t="str">
        <f>IF(TArticle[[#This Row],[کد طرف حساب]]&gt;0,VLOOKUP(TArticle[[#This Row],[کد طرف حساب]],TContact[],2,FALSE),"")</f>
        <v/>
      </c>
      <c r="O699" s="68" t="str">
        <f>IF(TArticle[[#This Row],[کد طرف حساب]]&gt;0,VLOOKUP(TArticle[[#This Row],[کد طرف حساب]],TContact[],7,FALSE)-SUMIF($M$2:M699,M699,$E$2:$E699),"")</f>
        <v/>
      </c>
      <c r="P699" s="67" t="str">
        <f>RIGHT(TArticle[[#This Row],[تاریخ]],2)</f>
        <v>01</v>
      </c>
      <c r="Q699" s="67">
        <f>VLOOKUP(TArticle[[#This Row],[تاریخ]],TDays[],16,FALSE)</f>
        <v>41</v>
      </c>
      <c r="R699" s="67" t="str">
        <f>RIGHT(LEFT(TArticle[[#This Row],[تاریخ]],7),2)</f>
        <v>10</v>
      </c>
      <c r="S699" s="67" t="str">
        <f>LEFT(TArticle[[#This Row],[تاریخ]],4)</f>
        <v>1403</v>
      </c>
      <c r="T699" s="64"/>
      <c r="U699" s="64">
        <f>VLOOKUP(TArticle[[#This Row],[شناسه]],TAccount[],7,TRUE)</f>
        <v>416023</v>
      </c>
      <c r="V699" s="64"/>
      <c r="W699" s="64">
        <f>IF(AND(TArticle[[#This Row],[مبلغ]]&gt;0, TArticle[[#This Row],[کد وضعیت سند]]=1),TArticle[[#This Row],[مبلغ]],0)</f>
        <v>0</v>
      </c>
      <c r="X699" s="67">
        <f>IF(AND(TArticle[[#This Row],[مبلغ]]&lt;0,TArticle[[#This Row],[کد وضعیت سند]]=1),0-TArticle[[#This Row],[مبلغ]],0)</f>
        <v>0</v>
      </c>
      <c r="Y699" s="27">
        <v>2</v>
      </c>
      <c r="Z699" s="171" t="str">
        <f>IF(TArticle[[#This Row],[کد بانک]]&gt;0,VLOOKUP(TArticle[[#This Row],[کد بانک]],TBank[],2,FALSE),"")</f>
        <v>ملی جاری</v>
      </c>
      <c r="AA699">
        <f>IF(AND(TArticle[[#This Row],[مبلغ]]&lt;0,TArticle[[#This Row],[کد وضعیت سند]]=1),0-TArticle[[#This Row],[مبلغ]],0)</f>
        <v>0</v>
      </c>
      <c r="AB699">
        <f>IF(AND(TArticle[[#This Row],[مبلغ]]&gt;0, TArticle[[#This Row],[کد وضعیت سند]]=1),TArticle[[#This Row],[مبلغ]],0)</f>
        <v>0</v>
      </c>
      <c r="AC699" s="93">
        <f>IF(TArticle[[#This Row],[کد بانک]]&gt;0,VLOOKUP(TArticle[[#This Row],[کد بانک]],TBank[],9,FALSE)+SUMIF($Y$2:Y699,Y699,$E$2:$E699),"")</f>
        <v>625545</v>
      </c>
      <c r="AD699" s="1">
        <f>IFERROR(IF(INT(LEFT(TArticle[[#This Row],[شناسه]]))=3,IF(TArticle[[#This Row],[کد وضعیت سند]]=1,TArticle[مبلغ],0),0),0)</f>
        <v>0</v>
      </c>
      <c r="AE699" s="1">
        <f>IFERROR(IF(((TArticle[[#This Row],[شناسه]]))="4.1.1",IF(TArticle[[#This Row],[کد وضعیت سند]]=1,TArticle[مبلغ],0),0),0)</f>
        <v>0</v>
      </c>
      <c r="AF699" s="1">
        <f>IFERROR(IF(((TArticle[[#This Row],[شناسه]]))="4.1.2",IF(TArticle[[#This Row],[کد وضعیت سند]]=1,TArticle[مبلغ],0),0),0)</f>
        <v>0</v>
      </c>
      <c r="AG699" s="1">
        <f>IFERROR(IF(INT(LEFT(TArticle[[#This Row],[شناسه]]))=1,IF(TArticle[[#This Row],[کد وضعیت سند]]=1,TArticle[مبلغ],0),0),0)</f>
        <v>0</v>
      </c>
      <c r="AH699" s="1">
        <f>IFERROR(IF(INT(LEFT(TArticle[[#This Row],[شناسه]]))=2,IF(TArticle[[#This Row],[کد وضعیت سند]]=1,TArticle[مبلغ],0),0),0)</f>
        <v>0</v>
      </c>
      <c r="AI699" s="1">
        <f>IFERROR(IF((LEFT(TArticle[[#This Row],[شناسه]],3))="5.2",IF(TArticle[[#This Row],[کد وضعیت سند]]=1,TArticle[مبلغ],0),0),0)</f>
        <v>0</v>
      </c>
      <c r="AJ699" s="1">
        <f>IF(TArticle[[#This Row],[کد وضعیت سند]]=1,1,0)</f>
        <v>0</v>
      </c>
      <c r="AK699" s="1">
        <f>IF(AND(TArticle[[#This Row],[کد وضعیت سند]]&lt;&gt;1,TArticle[[#This Row],[مبلغ]]&lt;&gt;0),1,0)</f>
        <v>1</v>
      </c>
      <c r="AL699" s="78">
        <f>IF(TArticle[[#This Row],[کد بانک]]&gt;0,TArticle[[#This Row],[مانده بانک]]-VLOOKUP(TArticle[[#This Row],[کد بانک]],TBank[],7,FALSE),"")</f>
        <v>625545</v>
      </c>
      <c r="AM699" s="69" t="str">
        <f>LEFT(TArticle[[#This Row],[تاریخ]],7)</f>
        <v>1403-10</v>
      </c>
    </row>
    <row r="700" spans="1:39" x14ac:dyDescent="0.25">
      <c r="A700" s="24" t="s">
        <v>1608</v>
      </c>
      <c r="B700" s="49" t="str">
        <f>VLOOKUP(TArticle[[#This Row],[شناسه]],TAccount[],2,TRUE)</f>
        <v>بن کارت</v>
      </c>
      <c r="C700" s="49" t="str">
        <f>VLOOKUP(TArticle[[#This Row],[تاریخ]],TDays[],7,FALSE)</f>
        <v>شنبه</v>
      </c>
      <c r="D700" s="21" t="s">
        <v>1502</v>
      </c>
      <c r="E700" s="1">
        <v>3000</v>
      </c>
      <c r="F700" s="1">
        <f>TArticle[[#This Row],[مبلغ]]+IFERROR(INT(F699),30181+3667+958)</f>
        <v>586893</v>
      </c>
      <c r="G700" s="49"/>
      <c r="H700" s="64"/>
      <c r="J700" s="65"/>
      <c r="K700" s="64">
        <v>2</v>
      </c>
      <c r="L700" s="171" t="str">
        <f>IF(TArticle[[#This Row],[کد وضعیت سند]]&gt;0,VLOOKUP(TArticle[[#This Row],[کد وضعیت سند]],TDocState[],2,FALSE),"")</f>
        <v>قطعی</v>
      </c>
      <c r="M700" s="67"/>
      <c r="N700" s="171" t="str">
        <f>IF(TArticle[[#This Row],[کد طرف حساب]]&gt;0,VLOOKUP(TArticle[[#This Row],[کد طرف حساب]],TContact[],2,FALSE),"")</f>
        <v/>
      </c>
      <c r="O700" s="68" t="str">
        <f>IF(TArticle[[#This Row],[کد طرف حساب]]&gt;0,VLOOKUP(TArticle[[#This Row],[کد طرف حساب]],TContact[],7,FALSE)-SUMIF($M$2:M700,M700,$E$2:$E700),"")</f>
        <v/>
      </c>
      <c r="P700" s="67" t="str">
        <f>RIGHT(TArticle[[#This Row],[تاریخ]],2)</f>
        <v>01</v>
      </c>
      <c r="Q700" s="67">
        <f>VLOOKUP(TArticle[[#This Row],[تاریخ]],TDays[],16,FALSE)</f>
        <v>41</v>
      </c>
      <c r="R700" s="67" t="str">
        <f>RIGHT(LEFT(TArticle[[#This Row],[تاریخ]],7),2)</f>
        <v>10</v>
      </c>
      <c r="S700" s="67" t="str">
        <f>LEFT(TArticle[[#This Row],[تاریخ]],4)</f>
        <v>1403</v>
      </c>
      <c r="T700" s="64"/>
      <c r="U700" s="64">
        <f>VLOOKUP(TArticle[[#This Row],[شناسه]],TAccount[],7,TRUE)</f>
        <v>3000</v>
      </c>
      <c r="W700" s="64">
        <f>IF(AND(TArticle[[#This Row],[مبلغ]]&gt;0, TArticle[[#This Row],[کد وضعیت سند]]=1),TArticle[[#This Row],[مبلغ]],0)</f>
        <v>0</v>
      </c>
      <c r="X700" s="67">
        <f>IF(AND(TArticle[[#This Row],[مبلغ]]&lt;0,TArticle[[#This Row],[کد وضعیت سند]]=1),0-TArticle[[#This Row],[مبلغ]],0)</f>
        <v>0</v>
      </c>
      <c r="Y700" s="27">
        <v>2</v>
      </c>
      <c r="Z700" s="171" t="str">
        <f>IF(TArticle[[#This Row],[کد بانک]]&gt;0,VLOOKUP(TArticle[[#This Row],[کد بانک]],TBank[],2,FALSE),"")</f>
        <v>ملی جاری</v>
      </c>
      <c r="AA700">
        <f>IF(AND(TArticle[[#This Row],[مبلغ]]&lt;0,TArticle[[#This Row],[کد وضعیت سند]]=1),0-TArticle[[#This Row],[مبلغ]],0)</f>
        <v>0</v>
      </c>
      <c r="AB700">
        <f>IF(AND(TArticle[[#This Row],[مبلغ]]&gt;0, TArticle[[#This Row],[کد وضعیت سند]]=1),TArticle[[#This Row],[مبلغ]],0)</f>
        <v>0</v>
      </c>
      <c r="AC700" s="93">
        <f>IF(TArticle[[#This Row],[کد بانک]]&gt;0,VLOOKUP(TArticle[[#This Row],[کد بانک]],TBank[],9,FALSE)+SUMIF($Y$2:Y700,Y700,$E$2:$E700),"")</f>
        <v>628545</v>
      </c>
      <c r="AD700" s="1">
        <f>IFERROR(IF(INT(LEFT(TArticle[[#This Row],[شناسه]]))=3,IF(TArticle[[#This Row],[کد وضعیت سند]]=1,TArticle[مبلغ],0),0),0)</f>
        <v>0</v>
      </c>
      <c r="AE700" s="1">
        <f>IFERROR(IF(((TArticle[[#This Row],[شناسه]]))="4.1.1",IF(TArticle[[#This Row],[کد وضعیت سند]]=1,TArticle[مبلغ],0),0),0)</f>
        <v>0</v>
      </c>
      <c r="AF700" s="1">
        <f>IFERROR(IF(((TArticle[[#This Row],[شناسه]]))="4.1.2",IF(TArticle[[#This Row],[کد وضعیت سند]]=1,TArticle[مبلغ],0),0),0)</f>
        <v>0</v>
      </c>
      <c r="AG700" s="1">
        <f>IFERROR(IF(INT(LEFT(TArticle[[#This Row],[شناسه]]))=1,IF(TArticle[[#This Row],[کد وضعیت سند]]=1,TArticle[مبلغ],0),0),0)</f>
        <v>0</v>
      </c>
      <c r="AH700" s="1">
        <f>IFERROR(IF(INT(LEFT(TArticle[[#This Row],[شناسه]]))=2,IF(TArticle[[#This Row],[کد وضعیت سند]]=1,TArticle[مبلغ],0),0),0)</f>
        <v>0</v>
      </c>
      <c r="AI700" s="1">
        <f>IFERROR(IF((LEFT(TArticle[[#This Row],[شناسه]],3))="5.2",IF(TArticle[[#This Row],[کد وضعیت سند]]=1,TArticle[مبلغ],0),0),0)</f>
        <v>0</v>
      </c>
      <c r="AJ700" s="1">
        <f>IF(TArticle[[#This Row],[کد وضعیت سند]]=1,1,0)</f>
        <v>0</v>
      </c>
      <c r="AK700" s="1">
        <f>IF(AND(TArticle[[#This Row],[کد وضعیت سند]]&lt;&gt;1,TArticle[[#This Row],[مبلغ]]&lt;&gt;0),1,0)</f>
        <v>1</v>
      </c>
      <c r="AL700" s="78">
        <f>IF(TArticle[[#This Row],[کد بانک]]&gt;0,TArticle[[#This Row],[مانده بانک]]-VLOOKUP(TArticle[[#This Row],[کد بانک]],TBank[],7,FALSE),"")</f>
        <v>628545</v>
      </c>
      <c r="AM700" s="69" t="str">
        <f>LEFT(TArticle[[#This Row],[تاریخ]],7)</f>
        <v>1403-10</v>
      </c>
    </row>
    <row r="701" spans="1:39" x14ac:dyDescent="0.25">
      <c r="A701" s="24" t="s">
        <v>1110</v>
      </c>
      <c r="B701" s="49" t="str">
        <f>VLOOKUP(TArticle[[#This Row],[شناسه]],TAccount[],2,TRUE)</f>
        <v>قسط وام بانکی</v>
      </c>
      <c r="C701" s="49" t="str">
        <f>VLOOKUP(TArticle[[#This Row],[تاریخ]],TDays[],7,FALSE)</f>
        <v>دوشنبه</v>
      </c>
      <c r="D701" s="21" t="s">
        <v>1504</v>
      </c>
      <c r="E701" s="1">
        <v>-1224</v>
      </c>
      <c r="F701" s="1">
        <f>TArticle[[#This Row],[مبلغ]]+IFERROR(INT(F700),30181+3667+958)</f>
        <v>585669</v>
      </c>
      <c r="G701" s="49"/>
      <c r="H701" s="21">
        <v>16</v>
      </c>
      <c r="K701" s="64">
        <v>2</v>
      </c>
      <c r="L701" s="171" t="str">
        <f>IF(TArticle[[#This Row],[کد وضعیت سند]]&gt;0,VLOOKUP(TArticle[[#This Row],[کد وضعیت سند]],TDocState[],2,FALSE),"")</f>
        <v>قطعی</v>
      </c>
      <c r="M701" s="27">
        <v>115</v>
      </c>
      <c r="N701" s="171" t="str">
        <f>IF(TArticle[[#This Row],[کد طرف حساب]]&gt;0,VLOOKUP(TArticle[[#This Row],[کد طرف حساب]],TContact[],2,FALSE),"")</f>
        <v>وام فرزند مهر</v>
      </c>
      <c r="O701" s="51">
        <f>IF(TArticle[[#This Row],[کد طرف حساب]]&gt;0,VLOOKUP(TArticle[[#This Row],[کد طرف حساب]],TContact[],7,FALSE)-SUMIF($M$2:M701,M701,$E$2:$E701),"")</f>
        <v>-42864</v>
      </c>
      <c r="P701" s="27" t="str">
        <f>RIGHT(TArticle[[#This Row],[تاریخ]],2)</f>
        <v>03</v>
      </c>
      <c r="Q701" s="27">
        <f>VLOOKUP(TArticle[[#This Row],[تاریخ]],TDays[],16,FALSE)</f>
        <v>41</v>
      </c>
      <c r="R701" s="27" t="str">
        <f>RIGHT(LEFT(TArticle[[#This Row],[تاریخ]],7),2)</f>
        <v>10</v>
      </c>
      <c r="S701" s="27" t="str">
        <f>LEFT(TArticle[[#This Row],[تاریخ]],4)</f>
        <v>1403</v>
      </c>
      <c r="U701" s="21">
        <f>VLOOKUP(TArticle[[#This Row],[شناسه]],TAccount[],7,TRUE)</f>
        <v>81652</v>
      </c>
      <c r="W701" s="21">
        <f>IF(AND(TArticle[[#This Row],[مبلغ]]&gt;0, TArticle[[#This Row],[کد وضعیت سند]]=1),TArticle[[#This Row],[مبلغ]],0)</f>
        <v>0</v>
      </c>
      <c r="X701" s="27">
        <f>IF(AND(TArticle[[#This Row],[مبلغ]]&lt;0,TArticle[[#This Row],[کد وضعیت سند]]=1),0-TArticle[[#This Row],[مبلغ]],0)</f>
        <v>0</v>
      </c>
      <c r="Y701" s="27">
        <v>2</v>
      </c>
      <c r="Z701" s="171" t="str">
        <f>IF(TArticle[[#This Row],[کد بانک]]&gt;0,VLOOKUP(TArticle[[#This Row],[کد بانک]],TBank[],2,FALSE),"")</f>
        <v>ملی جاری</v>
      </c>
      <c r="AA701">
        <f>IF(AND(TArticle[[#This Row],[مبلغ]]&lt;0,TArticle[[#This Row],[کد وضعیت سند]]=1),0-TArticle[[#This Row],[مبلغ]],0)</f>
        <v>0</v>
      </c>
      <c r="AB701">
        <f>IF(AND(TArticle[[#This Row],[مبلغ]]&gt;0, TArticle[[#This Row],[کد وضعیت سند]]=1),TArticle[[#This Row],[مبلغ]],0)</f>
        <v>0</v>
      </c>
      <c r="AC701" s="84">
        <f>IF(TArticle[[#This Row],[کد بانک]]&gt;0,VLOOKUP(TArticle[[#This Row],[کد بانک]],TBank[],9,FALSE)+SUMIF($Y$2:Y701,Y701,$E$2:$E701),"")</f>
        <v>627321</v>
      </c>
      <c r="AD701" s="1">
        <f>IFERROR(IF(INT(LEFT(TArticle[[#This Row],[شناسه]]))=3,IF(TArticle[[#This Row],[کد وضعیت سند]]=1,TArticle[مبلغ],0),0),0)</f>
        <v>0</v>
      </c>
      <c r="AE701" s="1">
        <f>IFERROR(IF(((TArticle[[#This Row],[شناسه]]))="4.1.1",IF(TArticle[[#This Row],[کد وضعیت سند]]=1,TArticle[مبلغ],0),0),0)</f>
        <v>0</v>
      </c>
      <c r="AF701" s="1">
        <f>IFERROR(IF(((TArticle[[#This Row],[شناسه]]))="4.1.2",IF(TArticle[[#This Row],[کد وضعیت سند]]=1,TArticle[مبلغ],0),0),0)</f>
        <v>0</v>
      </c>
      <c r="AG701" s="1">
        <f>IFERROR(IF(INT(LEFT(TArticle[[#This Row],[شناسه]]))=1,IF(TArticle[[#This Row],[کد وضعیت سند]]=1,TArticle[مبلغ],0),0),0)</f>
        <v>0</v>
      </c>
      <c r="AH701" s="1">
        <f>IFERROR(IF(INT(LEFT(TArticle[[#This Row],[شناسه]]))=2,IF(TArticle[[#This Row],[کد وضعیت سند]]=1,TArticle[مبلغ],0),0),0)</f>
        <v>0</v>
      </c>
      <c r="AI701" s="1">
        <f>IFERROR(IF((LEFT(TArticle[[#This Row],[شناسه]],3))="5.2",IF(TArticle[[#This Row],[کد وضعیت سند]]=1,TArticle[مبلغ],0),0),0)</f>
        <v>0</v>
      </c>
      <c r="AJ701" s="1">
        <f>IF(TArticle[[#This Row],[کد وضعیت سند]]=1,1,0)</f>
        <v>0</v>
      </c>
      <c r="AK701" s="1">
        <f>IF(AND(TArticle[[#This Row],[کد وضعیت سند]]&lt;&gt;1,TArticle[[#This Row],[مبلغ]]&lt;&gt;0),1,0)</f>
        <v>1</v>
      </c>
      <c r="AL701" s="51">
        <f>IF(TArticle[[#This Row],[کد بانک]]&gt;0,TArticle[[#This Row],[مانده بانک]]-VLOOKUP(TArticle[[#This Row],[کد بانک]],TBank[],7,FALSE),"")</f>
        <v>627321</v>
      </c>
      <c r="AM701" s="49" t="str">
        <f>LEFT(TArticle[[#This Row],[تاریخ]],7)</f>
        <v>1403-10</v>
      </c>
    </row>
    <row r="702" spans="1:39" x14ac:dyDescent="0.25">
      <c r="A702" s="24" t="s">
        <v>1110</v>
      </c>
      <c r="B702" s="49" t="str">
        <f>VLOOKUP(TArticle[[#This Row],[شناسه]],TAccount[],2,TRUE)</f>
        <v>قسط وام بانکی</v>
      </c>
      <c r="C702" s="49" t="str">
        <f>VLOOKUP(TArticle[[#This Row],[تاریخ]],TDays[],7,FALSE)</f>
        <v>سه شنبه</v>
      </c>
      <c r="D702" s="21" t="s">
        <v>1505</v>
      </c>
      <c r="E702" s="1">
        <v>-532</v>
      </c>
      <c r="F702" s="1">
        <f>TArticle[[#This Row],[مبلغ]]+IFERROR(INT(F701),30181+3667+958)</f>
        <v>585137</v>
      </c>
      <c r="G702" s="49"/>
      <c r="H702" s="21">
        <v>22</v>
      </c>
      <c r="K702" s="64">
        <v>2</v>
      </c>
      <c r="L702" s="171" t="str">
        <f>IF(TArticle[[#This Row],[کد وضعیت سند]]&gt;0,VLOOKUP(TArticle[[#This Row],[کد وضعیت سند]],TDocState[],2,FALSE),"")</f>
        <v>قطعی</v>
      </c>
      <c r="M702" s="67">
        <v>116</v>
      </c>
      <c r="N702" s="171" t="str">
        <f>IF(TArticle[[#This Row],[کد طرف حساب]]&gt;0,VLOOKUP(TArticle[[#This Row],[کد طرف حساب]],TContact[],2,FALSE),"")</f>
        <v>وام امتیازی مهر</v>
      </c>
      <c r="O702" s="61">
        <f>IF(TArticle[[#This Row],[کد طرف حساب]]&gt;0,VLOOKUP(TArticle[[#This Row],[کد طرف حساب]],TContact[],7,FALSE)-SUMIF($M$2:M702,M702,$E$2:$E702),"")</f>
        <v>-1060</v>
      </c>
      <c r="P702" s="27" t="str">
        <f>RIGHT(TArticle[[#This Row],[تاریخ]],2)</f>
        <v>04</v>
      </c>
      <c r="Q702" s="27">
        <f>VLOOKUP(TArticle[[#This Row],[تاریخ]],TDays[],16,FALSE)</f>
        <v>41</v>
      </c>
      <c r="R702" s="27" t="str">
        <f>RIGHT(LEFT(TArticle[[#This Row],[تاریخ]],7),2)</f>
        <v>10</v>
      </c>
      <c r="S702" s="27" t="str">
        <f>LEFT(TArticle[[#This Row],[تاریخ]],4)</f>
        <v>1403</v>
      </c>
      <c r="U702" s="21">
        <f>VLOOKUP(TArticle[[#This Row],[شناسه]],TAccount[],7,TRUE)</f>
        <v>81652</v>
      </c>
      <c r="W702" s="21">
        <f>IF(AND(TArticle[[#This Row],[مبلغ]]&gt;0, TArticle[[#This Row],[کد وضعیت سند]]=1),TArticle[[#This Row],[مبلغ]],0)</f>
        <v>0</v>
      </c>
      <c r="X702" s="27">
        <f>IF(AND(TArticle[[#This Row],[مبلغ]]&lt;0,TArticle[[#This Row],[کد وضعیت سند]]=1),0-TArticle[[#This Row],[مبلغ]],0)</f>
        <v>0</v>
      </c>
      <c r="Y702" s="27">
        <v>2</v>
      </c>
      <c r="Z702" s="171" t="str">
        <f>IF(TArticle[[#This Row],[کد بانک]]&gt;0,VLOOKUP(TArticle[[#This Row],[کد بانک]],TBank[],2,FALSE),"")</f>
        <v>ملی جاری</v>
      </c>
      <c r="AA702">
        <f>IF(AND(TArticle[[#This Row],[مبلغ]]&lt;0,TArticle[[#This Row],[کد وضعیت سند]]=1),0-TArticle[[#This Row],[مبلغ]],0)</f>
        <v>0</v>
      </c>
      <c r="AB702">
        <f>IF(AND(TArticle[[#This Row],[مبلغ]]&gt;0, TArticle[[#This Row],[کد وضعیت سند]]=1),TArticle[[#This Row],[مبلغ]],0)</f>
        <v>0</v>
      </c>
      <c r="AC702" s="84">
        <f>IF(TArticle[[#This Row],[کد بانک]]&gt;0,VLOOKUP(TArticle[[#This Row],[کد بانک]],TBank[],9,FALSE)+SUMIF($Y$2:Y702,Y702,$E$2:$E702),"")</f>
        <v>626789</v>
      </c>
      <c r="AD702" s="1">
        <f>IFERROR(IF(INT(LEFT(TArticle[[#This Row],[شناسه]]))=3,IF(TArticle[[#This Row],[کد وضعیت سند]]=1,TArticle[مبلغ],0),0),0)</f>
        <v>0</v>
      </c>
      <c r="AE702" s="1">
        <f>IFERROR(IF(((TArticle[[#This Row],[شناسه]]))="4.1.1",IF(TArticle[[#This Row],[کد وضعیت سند]]=1,TArticle[مبلغ],0),0),0)</f>
        <v>0</v>
      </c>
      <c r="AF702" s="1">
        <f>IFERROR(IF(((TArticle[[#This Row],[شناسه]]))="4.1.2",IF(TArticle[[#This Row],[کد وضعیت سند]]=1,TArticle[مبلغ],0),0),0)</f>
        <v>0</v>
      </c>
      <c r="AG702" s="1">
        <f>IFERROR(IF(INT(LEFT(TArticle[[#This Row],[شناسه]]))=1,IF(TArticle[[#This Row],[کد وضعیت سند]]=1,TArticle[مبلغ],0),0),0)</f>
        <v>0</v>
      </c>
      <c r="AH702" s="1">
        <f>IFERROR(IF(INT(LEFT(TArticle[[#This Row],[شناسه]]))=2,IF(TArticle[[#This Row],[کد وضعیت سند]]=1,TArticle[مبلغ],0),0),0)</f>
        <v>0</v>
      </c>
      <c r="AI702" s="1">
        <f>IFERROR(IF((LEFT(TArticle[[#This Row],[شناسه]],3))="5.2",IF(TArticle[[#This Row],[کد وضعیت سند]]=1,TArticle[مبلغ],0),0),0)</f>
        <v>0</v>
      </c>
      <c r="AJ702" s="1">
        <f>IF(TArticle[[#This Row],[کد وضعیت سند]]=1,1,0)</f>
        <v>0</v>
      </c>
      <c r="AK702" s="1">
        <f>IF(AND(TArticle[[#This Row],[کد وضعیت سند]]&lt;&gt;1,TArticle[[#This Row],[مبلغ]]&lt;&gt;0),1,0)</f>
        <v>1</v>
      </c>
      <c r="AL702" s="51">
        <f>IF(TArticle[[#This Row],[کد بانک]]&gt;0,TArticle[[#This Row],[مانده بانک]]-VLOOKUP(TArticle[[#This Row],[کد بانک]],TBank[],7,FALSE),"")</f>
        <v>626789</v>
      </c>
      <c r="AM702" t="str">
        <f>LEFT(TArticle[[#This Row],[تاریخ]],7)</f>
        <v>1403-10</v>
      </c>
    </row>
    <row r="703" spans="1:39" x14ac:dyDescent="0.25">
      <c r="A703" s="24" t="s">
        <v>1110</v>
      </c>
      <c r="B703" s="49" t="str">
        <f>VLOOKUP(TArticle[[#This Row],[شناسه]],TAccount[],2,TRUE)</f>
        <v>قسط وام بانکی</v>
      </c>
      <c r="C703" s="49" t="str">
        <f>VLOOKUP(TArticle[[#This Row],[تاریخ]],TDays[],7,FALSE)</f>
        <v>یکشنبه</v>
      </c>
      <c r="D703" s="21" t="s">
        <v>1510</v>
      </c>
      <c r="E703" s="1">
        <f>'طرف حساب'!$J$29</f>
        <v>-3616</v>
      </c>
      <c r="F703" s="1">
        <f>TArticle[[#This Row],[مبلغ]]+IFERROR(INT(F702),30181+3667+958)</f>
        <v>581521</v>
      </c>
      <c r="G703" s="49"/>
      <c r="H703" s="21">
        <v>23</v>
      </c>
      <c r="K703" s="64">
        <v>2</v>
      </c>
      <c r="L703" s="171" t="str">
        <f>IF(TArticle[[#This Row],[کد وضعیت سند]]&gt;0,VLOOKUP(TArticle[[#This Row],[کد وضعیت سند]],TDocState[],2,FALSE),"")</f>
        <v>قطعی</v>
      </c>
      <c r="M703" s="67">
        <v>114</v>
      </c>
      <c r="N703" s="171" t="str">
        <f>IF(TArticle[[#This Row],[کد طرف حساب]]&gt;0,VLOOKUP(TArticle[[#This Row],[کد طرف حساب]],TContact[],2,FALSE),"")</f>
        <v>وام کارت ملی ف</v>
      </c>
      <c r="O703" s="61">
        <f>IF(TArticle[[#This Row],[کد طرف حساب]]&gt;0,VLOOKUP(TArticle[[#This Row],[کد طرف حساب]],TContact[],7,FALSE)-SUMIF($M$2:M703,M703,$E$2:$E703),"")</f>
        <v>-48290</v>
      </c>
      <c r="P703" s="27" t="str">
        <f>RIGHT(TArticle[[#This Row],[تاریخ]],2)</f>
        <v>09</v>
      </c>
      <c r="Q703" s="27">
        <f>VLOOKUP(TArticle[[#This Row],[تاریخ]],TDays[],16,FALSE)</f>
        <v>42</v>
      </c>
      <c r="R703" s="27" t="str">
        <f>RIGHT(LEFT(TArticle[[#This Row],[تاریخ]],7),2)</f>
        <v>10</v>
      </c>
      <c r="S703" s="27" t="str">
        <f>LEFT(TArticle[[#This Row],[تاریخ]],4)</f>
        <v>1403</v>
      </c>
      <c r="U703" s="21">
        <f>VLOOKUP(TArticle[[#This Row],[شناسه]],TAccount[],7,TRUE)</f>
        <v>81652</v>
      </c>
      <c r="W703" s="21">
        <f>IF(AND(TArticle[[#This Row],[مبلغ]]&gt;0, TArticle[[#This Row],[کد وضعیت سند]]=1),TArticle[[#This Row],[مبلغ]],0)</f>
        <v>0</v>
      </c>
      <c r="X703" s="27">
        <f>IF(AND(TArticle[[#This Row],[مبلغ]]&lt;0,TArticle[[#This Row],[کد وضعیت سند]]=1),0-TArticle[[#This Row],[مبلغ]],0)</f>
        <v>0</v>
      </c>
      <c r="Y703" s="27">
        <v>2</v>
      </c>
      <c r="Z703" s="171" t="str">
        <f>IF(TArticle[[#This Row],[کد بانک]]&gt;0,VLOOKUP(TArticle[[#This Row],[کد بانک]],TBank[],2,FALSE),"")</f>
        <v>ملی جاری</v>
      </c>
      <c r="AA703">
        <f>IF(AND(TArticle[[#This Row],[مبلغ]]&lt;0,TArticle[[#This Row],[کد وضعیت سند]]=1),0-TArticle[[#This Row],[مبلغ]],0)</f>
        <v>0</v>
      </c>
      <c r="AB703">
        <f>IF(AND(TArticle[[#This Row],[مبلغ]]&gt;0, TArticle[[#This Row],[کد وضعیت سند]]=1),TArticle[[#This Row],[مبلغ]],0)</f>
        <v>0</v>
      </c>
      <c r="AC703" s="84">
        <f>IF(TArticle[[#This Row],[کد بانک]]&gt;0,VLOOKUP(TArticle[[#This Row],[کد بانک]],TBank[],9,FALSE)+SUMIF($Y$2:Y703,Y703,$E$2:$E703),"")</f>
        <v>623173</v>
      </c>
      <c r="AD703" s="1">
        <f>IFERROR(IF(INT(LEFT(TArticle[[#This Row],[شناسه]]))=3,IF(TArticle[[#This Row],[کد وضعیت سند]]=1,TArticle[مبلغ],0),0),0)</f>
        <v>0</v>
      </c>
      <c r="AE703" s="1">
        <f>IFERROR(IF(((TArticle[[#This Row],[شناسه]]))="4.1.1",IF(TArticle[[#This Row],[کد وضعیت سند]]=1,TArticle[مبلغ],0),0),0)</f>
        <v>0</v>
      </c>
      <c r="AF703" s="1">
        <f>IFERROR(IF(((TArticle[[#This Row],[شناسه]]))="4.1.2",IF(TArticle[[#This Row],[کد وضعیت سند]]=1,TArticle[مبلغ],0),0),0)</f>
        <v>0</v>
      </c>
      <c r="AG703" s="1">
        <f>IFERROR(IF(INT(LEFT(TArticle[[#This Row],[شناسه]]))=1,IF(TArticle[[#This Row],[کد وضعیت سند]]=1,TArticle[مبلغ],0),0),0)</f>
        <v>0</v>
      </c>
      <c r="AH703" s="1">
        <f>IFERROR(IF(INT(LEFT(TArticle[[#This Row],[شناسه]]))=2,IF(TArticle[[#This Row],[کد وضعیت سند]]=1,TArticle[مبلغ],0),0),0)</f>
        <v>0</v>
      </c>
      <c r="AI703" s="1">
        <f>IFERROR(IF((LEFT(TArticle[[#This Row],[شناسه]],3))="5.2",IF(TArticle[[#This Row],[کد وضعیت سند]]=1,TArticle[مبلغ],0),0),0)</f>
        <v>0</v>
      </c>
      <c r="AJ703" s="1">
        <f>IF(TArticle[[#This Row],[کد وضعیت سند]]=1,1,0)</f>
        <v>0</v>
      </c>
      <c r="AK703" s="1">
        <f>IF(AND(TArticle[[#This Row],[کد وضعیت سند]]&lt;&gt;1,TArticle[[#This Row],[مبلغ]]&lt;&gt;0),1,0)</f>
        <v>1</v>
      </c>
      <c r="AL703" s="51">
        <f>IF(TArticle[[#This Row],[کد بانک]]&gt;0,TArticle[[#This Row],[مانده بانک]]-VLOOKUP(TArticle[[#This Row],[کد بانک]],TBank[],7,FALSE),"")</f>
        <v>623173</v>
      </c>
      <c r="AM703" s="58" t="str">
        <f>LEFT(TArticle[[#This Row],[تاریخ]],7)</f>
        <v>1403-10</v>
      </c>
    </row>
    <row r="704" spans="1:39" x14ac:dyDescent="0.25">
      <c r="A704" s="24" t="s">
        <v>1013</v>
      </c>
      <c r="B704" s="49" t="str">
        <f>VLOOKUP(TArticle[[#This Row],[شناسه]],TAccount[],2,TRUE)</f>
        <v>یارانه</v>
      </c>
      <c r="C704" s="49" t="str">
        <f>VLOOKUP(TArticle[[#This Row],[تاریخ]],TDays[],7,FALSE)</f>
        <v>پنجشنبه</v>
      </c>
      <c r="D704" s="21" t="s">
        <v>1521</v>
      </c>
      <c r="E704" s="1">
        <v>1500</v>
      </c>
      <c r="F704" s="1">
        <f>TArticle[[#This Row],[مبلغ]]+IFERROR(INT(F703),30181+3667+958)</f>
        <v>583021</v>
      </c>
      <c r="G704" s="49"/>
      <c r="J704" s="51"/>
      <c r="K704" s="64">
        <v>2</v>
      </c>
      <c r="L704" s="171" t="str">
        <f>IF(TArticle[[#This Row],[کد وضعیت سند]]&gt;0,VLOOKUP(TArticle[[#This Row],[کد وضعیت سند]],TDocState[],2,FALSE),"")</f>
        <v>قطعی</v>
      </c>
      <c r="M704" s="67"/>
      <c r="N704" s="171" t="str">
        <f>IF(TArticle[[#This Row],[کد طرف حساب]]&gt;0,VLOOKUP(TArticle[[#This Row],[کد طرف حساب]],TContact[],2,FALSE),"")</f>
        <v/>
      </c>
      <c r="O704" s="60" t="str">
        <f>IF(TArticle[[#This Row],[کد طرف حساب]]&gt;0,VLOOKUP(TArticle[[#This Row],[کد طرف حساب]],TContact[],7,FALSE)-SUMIF($M$2:M704,M704,$E$2:$E704),"")</f>
        <v/>
      </c>
      <c r="P704" s="27" t="str">
        <f>RIGHT(TArticle[[#This Row],[تاریخ]],2)</f>
        <v>20</v>
      </c>
      <c r="Q704" s="27">
        <f>VLOOKUP(TArticle[[#This Row],[تاریخ]],TDays[],16,FALSE)</f>
        <v>43</v>
      </c>
      <c r="R704" s="27" t="str">
        <f>RIGHT(LEFT(TArticle[[#This Row],[تاریخ]],7),2)</f>
        <v>10</v>
      </c>
      <c r="S704" s="27" t="str">
        <f>LEFT(TArticle[[#This Row],[تاریخ]],4)</f>
        <v>1403</v>
      </c>
      <c r="U704" s="21">
        <f>VLOOKUP(TArticle[[#This Row],[شناسه]],TAccount[],7,TRUE)</f>
        <v>12565</v>
      </c>
      <c r="W704" s="21">
        <f>IF(AND(TArticle[[#This Row],[مبلغ]]&gt;0, TArticle[[#This Row],[کد وضعیت سند]]=1),TArticle[[#This Row],[مبلغ]],0)</f>
        <v>0</v>
      </c>
      <c r="X704" s="27">
        <f>IF(AND(TArticle[[#This Row],[مبلغ]]&lt;0,TArticle[[#This Row],[کد وضعیت سند]]=1),0-TArticle[[#This Row],[مبلغ]],0)</f>
        <v>0</v>
      </c>
      <c r="Y704" s="27">
        <v>2</v>
      </c>
      <c r="Z704" s="171" t="str">
        <f>IF(TArticle[[#This Row],[کد بانک]]&gt;0,VLOOKUP(TArticle[[#This Row],[کد بانک]],TBank[],2,FALSE),"")</f>
        <v>ملی جاری</v>
      </c>
      <c r="AA704">
        <f>IF(AND(TArticle[[#This Row],[مبلغ]]&lt;0,TArticle[[#This Row],[کد وضعیت سند]]=1),0-TArticle[[#This Row],[مبلغ]],0)</f>
        <v>0</v>
      </c>
      <c r="AB704">
        <f>IF(AND(TArticle[[#This Row],[مبلغ]]&gt;0, TArticle[[#This Row],[کد وضعیت سند]]=1),TArticle[[#This Row],[مبلغ]],0)</f>
        <v>0</v>
      </c>
      <c r="AC704" s="92">
        <f>IF(TArticle[[#This Row],[کد بانک]]&gt;0,VLOOKUP(TArticle[[#This Row],[کد بانک]],TBank[],9,FALSE)+SUMIF($Y$2:Y704,Y704,$E$2:$E704),"")</f>
        <v>624673</v>
      </c>
      <c r="AD704" s="1">
        <f>IFERROR(IF(INT(LEFT(TArticle[[#This Row],[شناسه]]))=3,IF(TArticle[[#This Row],[کد وضعیت سند]]=1,TArticle[مبلغ],0),0),0)</f>
        <v>0</v>
      </c>
      <c r="AE704" s="1">
        <f>IFERROR(IF(((TArticle[[#This Row],[شناسه]]))="4.1.1",IF(TArticle[[#This Row],[کد وضعیت سند]]=1,TArticle[مبلغ],0),0),0)</f>
        <v>0</v>
      </c>
      <c r="AF704" s="1">
        <f>IFERROR(IF(((TArticle[[#This Row],[شناسه]]))="4.1.2",IF(TArticle[[#This Row],[کد وضعیت سند]]=1,TArticle[مبلغ],0),0),0)</f>
        <v>0</v>
      </c>
      <c r="AG704" s="1">
        <f>IFERROR(IF(INT(LEFT(TArticle[[#This Row],[شناسه]]))=1,IF(TArticle[[#This Row],[کد وضعیت سند]]=1,TArticle[مبلغ],0),0),0)</f>
        <v>0</v>
      </c>
      <c r="AH704" s="1">
        <f>IFERROR(IF(INT(LEFT(TArticle[[#This Row],[شناسه]]))=2,IF(TArticle[[#This Row],[کد وضعیت سند]]=1,TArticle[مبلغ],0),0),0)</f>
        <v>0</v>
      </c>
      <c r="AI704" s="1">
        <f>IFERROR(IF((LEFT(TArticle[[#This Row],[شناسه]],3))="5.2",IF(TArticle[[#This Row],[کد وضعیت سند]]=1,TArticle[مبلغ],0),0),0)</f>
        <v>0</v>
      </c>
      <c r="AJ704" s="1">
        <f>IF(TArticle[[#This Row],[کد وضعیت سند]]=1,1,0)</f>
        <v>0</v>
      </c>
      <c r="AK704" s="1">
        <f>IF(AND(TArticle[[#This Row],[کد وضعیت سند]]&lt;&gt;1,TArticle[[#This Row],[مبلغ]]&lt;&gt;0),1,0)</f>
        <v>1</v>
      </c>
      <c r="AL704" s="51">
        <f>IF(TArticle[[#This Row],[کد بانک]]&gt;0,TArticle[[#This Row],[مانده بانک]]-VLOOKUP(TArticle[[#This Row],[کد بانک]],TBank[],7,FALSE),"")</f>
        <v>624673</v>
      </c>
      <c r="AM704" s="58" t="str">
        <f>LEFT(TArticle[[#This Row],[تاریخ]],7)</f>
        <v>1403-10</v>
      </c>
    </row>
    <row r="705" spans="1:39" x14ac:dyDescent="0.25">
      <c r="A705" s="24" t="s">
        <v>43</v>
      </c>
      <c r="B705" s="49" t="str">
        <f>VLOOKUP(TArticle[[#This Row],[شناسه]],TAccount[],2,TRUE)</f>
        <v>حقوق</v>
      </c>
      <c r="C705" s="49" t="str">
        <f>VLOOKUP(TArticle[[#This Row],[تاریخ]],TDays[],7,FALSE)</f>
        <v>دوشنبه</v>
      </c>
      <c r="D705" s="21" t="s">
        <v>1532</v>
      </c>
      <c r="E705" s="1">
        <v>42000</v>
      </c>
      <c r="F705" s="1">
        <f>TArticle[[#This Row],[مبلغ]]+IFERROR(INT(F704),30181+3667+958)</f>
        <v>625021</v>
      </c>
      <c r="G705" s="49"/>
      <c r="J705" s="51"/>
      <c r="K705" s="64">
        <v>2</v>
      </c>
      <c r="L705" s="171" t="str">
        <f>IF(TArticle[[#This Row],[کد وضعیت سند]]&gt;0,VLOOKUP(TArticle[[#This Row],[کد وضعیت سند]],TDocState[],2,FALSE),"")</f>
        <v>قطعی</v>
      </c>
      <c r="M705" s="39"/>
      <c r="N705" s="171" t="str">
        <f>IF(TArticle[[#This Row],[کد طرف حساب]]&gt;0,VLOOKUP(TArticle[[#This Row],[کد طرف حساب]],TContact[],2,FALSE),"")</f>
        <v/>
      </c>
      <c r="O705" s="61" t="str">
        <f>IF(TArticle[[#This Row],[کد طرف حساب]]&gt;0,VLOOKUP(TArticle[[#This Row],[کد طرف حساب]],TContact[],7,FALSE)-SUMIF($M$2:M705,M705,$E$2:$E705),"")</f>
        <v/>
      </c>
      <c r="P705" s="39" t="str">
        <f>RIGHT(TArticle[[#This Row],[تاریخ]],2)</f>
        <v>01</v>
      </c>
      <c r="Q705" s="39">
        <f>VLOOKUP(TArticle[[#This Row],[تاریخ]],TDays[],16,FALSE)</f>
        <v>45</v>
      </c>
      <c r="R705" s="39" t="str">
        <f>RIGHT(LEFT(TArticle[[#This Row],[تاریخ]],7),2)</f>
        <v>11</v>
      </c>
      <c r="S705" s="39" t="str">
        <f>LEFT(TArticle[[#This Row],[تاریخ]],4)</f>
        <v>1403</v>
      </c>
      <c r="T705" s="37"/>
      <c r="U705" s="37">
        <f>VLOOKUP(TArticle[[#This Row],[شناسه]],TAccount[],7,TRUE)</f>
        <v>416023</v>
      </c>
      <c r="W705" s="37">
        <f>IF(AND(TArticle[[#This Row],[مبلغ]]&gt;0, TArticle[[#This Row],[کد وضعیت سند]]=1),TArticle[[#This Row],[مبلغ]],0)</f>
        <v>0</v>
      </c>
      <c r="X705" s="39">
        <f>IF(AND(TArticle[[#This Row],[مبلغ]]&lt;0,TArticle[[#This Row],[کد وضعیت سند]]=1),0-TArticle[[#This Row],[مبلغ]],0)</f>
        <v>0</v>
      </c>
      <c r="Y705" s="27">
        <v>2</v>
      </c>
      <c r="Z705" s="171" t="str">
        <f>IF(TArticle[[#This Row],[کد بانک]]&gt;0,VLOOKUP(TArticle[[#This Row],[کد بانک]],TBank[],2,FALSE),"")</f>
        <v>ملی جاری</v>
      </c>
      <c r="AA705">
        <f>IF(AND(TArticle[[#This Row],[مبلغ]]&lt;0,TArticle[[#This Row],[کد وضعیت سند]]=1),0-TArticle[[#This Row],[مبلغ]],0)</f>
        <v>0</v>
      </c>
      <c r="AB705">
        <f>IF(AND(TArticle[[#This Row],[مبلغ]]&gt;0, TArticle[[#This Row],[کد وضعیت سند]]=1),TArticle[[#This Row],[مبلغ]],0)</f>
        <v>0</v>
      </c>
      <c r="AC705" s="94">
        <f>IF(TArticle[[#This Row],[کد بانک]]&gt;0,VLOOKUP(TArticle[[#This Row],[کد بانک]],TBank[],9,FALSE)+SUMIF($Y$2:Y705,Y705,$E$2:$E705),"")</f>
        <v>666673</v>
      </c>
      <c r="AD705" s="1">
        <f>IFERROR(IF(INT(LEFT(TArticle[[#This Row],[شناسه]]))=3,IF(TArticle[[#This Row],[کد وضعیت سند]]=1,TArticle[مبلغ],0),0),0)</f>
        <v>0</v>
      </c>
      <c r="AE705" s="1">
        <f>IFERROR(IF(((TArticle[[#This Row],[شناسه]]))="4.1.1",IF(TArticle[[#This Row],[کد وضعیت سند]]=1,TArticle[مبلغ],0),0),0)</f>
        <v>0</v>
      </c>
      <c r="AF705" s="1">
        <f>IFERROR(IF(((TArticle[[#This Row],[شناسه]]))="4.1.2",IF(TArticle[[#This Row],[کد وضعیت سند]]=1,TArticle[مبلغ],0),0),0)</f>
        <v>0</v>
      </c>
      <c r="AG705" s="1">
        <f>IFERROR(IF(INT(LEFT(TArticle[[#This Row],[شناسه]]))=1,IF(TArticle[[#This Row],[کد وضعیت سند]]=1,TArticle[مبلغ],0),0),0)</f>
        <v>0</v>
      </c>
      <c r="AH705" s="1">
        <f>IFERROR(IF(INT(LEFT(TArticle[[#This Row],[شناسه]]))=2,IF(TArticle[[#This Row],[کد وضعیت سند]]=1,TArticle[مبلغ],0),0),0)</f>
        <v>0</v>
      </c>
      <c r="AI705" s="1">
        <f>IFERROR(IF((LEFT(TArticle[[#This Row],[شناسه]],3))="5.2",IF(TArticle[[#This Row],[کد وضعیت سند]]=1,TArticle[مبلغ],0),0),0)</f>
        <v>0</v>
      </c>
      <c r="AJ705" s="1">
        <f>IF(TArticle[[#This Row],[کد وضعیت سند]]=1,1,0)</f>
        <v>0</v>
      </c>
      <c r="AK705" s="1">
        <f>IF(AND(TArticle[[#This Row],[کد وضعیت سند]]&lt;&gt;1,TArticle[[#This Row],[مبلغ]]&lt;&gt;0),1,0)</f>
        <v>1</v>
      </c>
      <c r="AL705" s="51">
        <f>IF(TArticle[[#This Row],[کد بانک]]&gt;0,TArticle[[#This Row],[مانده بانک]]-VLOOKUP(TArticle[[#This Row],[کد بانک]],TBank[],7,FALSE),"")</f>
        <v>666673</v>
      </c>
      <c r="AM705" s="58" t="str">
        <f>LEFT(TArticle[[#This Row],[تاریخ]],7)</f>
        <v>1403-11</v>
      </c>
    </row>
    <row r="706" spans="1:39" x14ac:dyDescent="0.25">
      <c r="A706" s="24" t="s">
        <v>1608</v>
      </c>
      <c r="B706" s="49" t="str">
        <f>VLOOKUP(TArticle[[#This Row],[شناسه]],TAccount[],2,TRUE)</f>
        <v>بن کارت</v>
      </c>
      <c r="C706" s="49" t="str">
        <f>VLOOKUP(TArticle[[#This Row],[تاریخ]],TDays[],7,FALSE)</f>
        <v>دوشنبه</v>
      </c>
      <c r="D706" s="21" t="s">
        <v>1532</v>
      </c>
      <c r="E706" s="1">
        <v>3000</v>
      </c>
      <c r="F706" s="1">
        <f>TArticle[[#This Row],[مبلغ]]+IFERROR(INT(F705),30181+3667+958)</f>
        <v>628021</v>
      </c>
      <c r="G706" s="49"/>
      <c r="H706" s="64"/>
      <c r="J706" s="65"/>
      <c r="K706" s="64">
        <v>2</v>
      </c>
      <c r="L706" s="171" t="str">
        <f>IF(TArticle[[#This Row],[کد وضعیت سند]]&gt;0,VLOOKUP(TArticle[[#This Row],[کد وضعیت سند]],TDocState[],2,FALSE),"")</f>
        <v>قطعی</v>
      </c>
      <c r="M706" s="67"/>
      <c r="N706" s="171" t="str">
        <f>IF(TArticle[[#This Row],[کد طرف حساب]]&gt;0,VLOOKUP(TArticle[[#This Row],[کد طرف حساب]],TContact[],2,FALSE),"")</f>
        <v/>
      </c>
      <c r="O706" s="68" t="str">
        <f>IF(TArticle[[#This Row],[کد طرف حساب]]&gt;0,VLOOKUP(TArticle[[#This Row],[کد طرف حساب]],TContact[],7,FALSE)-SUMIF($M$2:M706,M706,$E$2:$E706),"")</f>
        <v/>
      </c>
      <c r="P706" s="67" t="str">
        <f>RIGHT(TArticle[[#This Row],[تاریخ]],2)</f>
        <v>01</v>
      </c>
      <c r="Q706" s="67">
        <f>VLOOKUP(TArticle[[#This Row],[تاریخ]],TDays[],16,FALSE)</f>
        <v>45</v>
      </c>
      <c r="R706" s="67" t="str">
        <f>RIGHT(LEFT(TArticle[[#This Row],[تاریخ]],7),2)</f>
        <v>11</v>
      </c>
      <c r="S706" s="67" t="str">
        <f>LEFT(TArticle[[#This Row],[تاریخ]],4)</f>
        <v>1403</v>
      </c>
      <c r="T706" s="64"/>
      <c r="U706" s="64">
        <f>VLOOKUP(TArticle[[#This Row],[شناسه]],TAccount[],7,TRUE)</f>
        <v>3000</v>
      </c>
      <c r="V706" s="64"/>
      <c r="W706" s="64">
        <f>IF(AND(TArticle[[#This Row],[مبلغ]]&gt;0, TArticle[[#This Row],[کد وضعیت سند]]=1),TArticle[[#This Row],[مبلغ]],0)</f>
        <v>0</v>
      </c>
      <c r="X706" s="67">
        <f>IF(AND(TArticle[[#This Row],[مبلغ]]&lt;0,TArticle[[#This Row],[کد وضعیت سند]]=1),0-TArticle[[#This Row],[مبلغ]],0)</f>
        <v>0</v>
      </c>
      <c r="Y706" s="27">
        <v>2</v>
      </c>
      <c r="Z706" s="171" t="str">
        <f>IF(TArticle[[#This Row],[کد بانک]]&gt;0,VLOOKUP(TArticle[[#This Row],[کد بانک]],TBank[],2,FALSE),"")</f>
        <v>ملی جاری</v>
      </c>
      <c r="AA706">
        <f>IF(AND(TArticle[[#This Row],[مبلغ]]&lt;0,TArticle[[#This Row],[کد وضعیت سند]]=1),0-TArticle[[#This Row],[مبلغ]],0)</f>
        <v>0</v>
      </c>
      <c r="AB706">
        <f>IF(AND(TArticle[[#This Row],[مبلغ]]&gt;0, TArticle[[#This Row],[کد وضعیت سند]]=1),TArticle[[#This Row],[مبلغ]],0)</f>
        <v>0</v>
      </c>
      <c r="AC706" s="93">
        <f>IF(TArticle[[#This Row],[کد بانک]]&gt;0,VLOOKUP(TArticle[[#This Row],[کد بانک]],TBank[],9,FALSE)+SUMIF($Y$2:Y706,Y706,$E$2:$E706),"")</f>
        <v>669673</v>
      </c>
      <c r="AD706" s="1">
        <f>IFERROR(IF(INT(LEFT(TArticle[[#This Row],[شناسه]]))=3,IF(TArticle[[#This Row],[کد وضعیت سند]]=1,TArticle[مبلغ],0),0),0)</f>
        <v>0</v>
      </c>
      <c r="AE706" s="1">
        <f>IFERROR(IF(((TArticle[[#This Row],[شناسه]]))="4.1.1",IF(TArticle[[#This Row],[کد وضعیت سند]]=1,TArticle[مبلغ],0),0),0)</f>
        <v>0</v>
      </c>
      <c r="AF706" s="1">
        <f>IFERROR(IF(((TArticle[[#This Row],[شناسه]]))="4.1.2",IF(TArticle[[#This Row],[کد وضعیت سند]]=1,TArticle[مبلغ],0),0),0)</f>
        <v>0</v>
      </c>
      <c r="AG706" s="1">
        <f>IFERROR(IF(INT(LEFT(TArticle[[#This Row],[شناسه]]))=1,IF(TArticle[[#This Row],[کد وضعیت سند]]=1,TArticle[مبلغ],0),0),0)</f>
        <v>0</v>
      </c>
      <c r="AH706" s="1">
        <f>IFERROR(IF(INT(LEFT(TArticle[[#This Row],[شناسه]]))=2,IF(TArticle[[#This Row],[کد وضعیت سند]]=1,TArticle[مبلغ],0),0),0)</f>
        <v>0</v>
      </c>
      <c r="AI706" s="1">
        <f>IFERROR(IF((LEFT(TArticle[[#This Row],[شناسه]],3))="5.2",IF(TArticle[[#This Row],[کد وضعیت سند]]=1,TArticle[مبلغ],0),0),0)</f>
        <v>0</v>
      </c>
      <c r="AJ706" s="1">
        <f>IF(TArticle[[#This Row],[کد وضعیت سند]]=1,1,0)</f>
        <v>0</v>
      </c>
      <c r="AK706" s="1">
        <f>IF(AND(TArticle[[#This Row],[کد وضعیت سند]]&lt;&gt;1,TArticle[[#This Row],[مبلغ]]&lt;&gt;0),1,0)</f>
        <v>1</v>
      </c>
      <c r="AL706" s="78">
        <f>IF(TArticle[[#This Row],[کد بانک]]&gt;0,TArticle[[#This Row],[مانده بانک]]-VLOOKUP(TArticle[[#This Row],[کد بانک]],TBank[],7,FALSE),"")</f>
        <v>669673</v>
      </c>
      <c r="AM706" s="69" t="str">
        <f>LEFT(TArticle[[#This Row],[تاریخ]],7)</f>
        <v>1403-11</v>
      </c>
    </row>
    <row r="707" spans="1:39" x14ac:dyDescent="0.25">
      <c r="A707" s="24" t="s">
        <v>1110</v>
      </c>
      <c r="B707" s="49" t="str">
        <f>VLOOKUP(TArticle[[#This Row],[شناسه]],TAccount[],2,TRUE)</f>
        <v>قسط وام بانکی</v>
      </c>
      <c r="C707" s="49" t="str">
        <f>VLOOKUP(TArticle[[#This Row],[تاریخ]],TDays[],7,FALSE)</f>
        <v>چهارشنبه</v>
      </c>
      <c r="D707" s="21" t="s">
        <v>1534</v>
      </c>
      <c r="E707" s="1">
        <v>-1224</v>
      </c>
      <c r="F707" s="1">
        <f>TArticle[[#This Row],[مبلغ]]+IFERROR(INT(F706),30181+3667+958)</f>
        <v>626797</v>
      </c>
      <c r="G707" s="49"/>
      <c r="H707" s="21">
        <v>17</v>
      </c>
      <c r="K707" s="64">
        <v>2</v>
      </c>
      <c r="L707" s="171" t="str">
        <f>IF(TArticle[[#This Row],[کد وضعیت سند]]&gt;0,VLOOKUP(TArticle[[#This Row],[کد وضعیت سند]],TDocState[],2,FALSE),"")</f>
        <v>قطعی</v>
      </c>
      <c r="M707" s="27">
        <v>115</v>
      </c>
      <c r="N707" s="171" t="str">
        <f>IF(TArticle[[#This Row],[کد طرف حساب]]&gt;0,VLOOKUP(TArticle[[#This Row],[کد طرف حساب]],TContact[],2,FALSE),"")</f>
        <v>وام فرزند مهر</v>
      </c>
      <c r="O707" s="51">
        <f>IF(TArticle[[#This Row],[کد طرف حساب]]&gt;0,VLOOKUP(TArticle[[#This Row],[کد طرف حساب]],TContact[],7,FALSE)-SUMIF($M$2:M707,M707,$E$2:$E707),"")</f>
        <v>-41640</v>
      </c>
      <c r="P707" s="27" t="str">
        <f>RIGHT(TArticle[[#This Row],[تاریخ]],2)</f>
        <v>03</v>
      </c>
      <c r="Q707" s="27">
        <f>VLOOKUP(TArticle[[#This Row],[تاریخ]],TDays[],16,FALSE)</f>
        <v>45</v>
      </c>
      <c r="R707" s="27" t="str">
        <f>RIGHT(LEFT(TArticle[[#This Row],[تاریخ]],7),2)</f>
        <v>11</v>
      </c>
      <c r="S707" s="27" t="str">
        <f>LEFT(TArticle[[#This Row],[تاریخ]],4)</f>
        <v>1403</v>
      </c>
      <c r="U707" s="21">
        <f>VLOOKUP(TArticle[[#This Row],[شناسه]],TAccount[],7,TRUE)</f>
        <v>81652</v>
      </c>
      <c r="W707" s="21">
        <f>IF(AND(TArticle[[#This Row],[مبلغ]]&gt;0, TArticle[[#This Row],[کد وضعیت سند]]=1),TArticle[[#This Row],[مبلغ]],0)</f>
        <v>0</v>
      </c>
      <c r="X707" s="27">
        <f>IF(AND(TArticle[[#This Row],[مبلغ]]&lt;0,TArticle[[#This Row],[کد وضعیت سند]]=1),0-TArticle[[#This Row],[مبلغ]],0)</f>
        <v>0</v>
      </c>
      <c r="Y707" s="27">
        <v>2</v>
      </c>
      <c r="Z707" s="171" t="str">
        <f>IF(TArticle[[#This Row],[کد بانک]]&gt;0,VLOOKUP(TArticle[[#This Row],[کد بانک]],TBank[],2,FALSE),"")</f>
        <v>ملی جاری</v>
      </c>
      <c r="AA707">
        <f>IF(AND(TArticle[[#This Row],[مبلغ]]&lt;0,TArticle[[#This Row],[کد وضعیت سند]]=1),0-TArticle[[#This Row],[مبلغ]],0)</f>
        <v>0</v>
      </c>
      <c r="AB707">
        <f>IF(AND(TArticle[[#This Row],[مبلغ]]&gt;0, TArticle[[#This Row],[کد وضعیت سند]]=1),TArticle[[#This Row],[مبلغ]],0)</f>
        <v>0</v>
      </c>
      <c r="AC707" s="84">
        <f>IF(TArticle[[#This Row],[کد بانک]]&gt;0,VLOOKUP(TArticle[[#This Row],[کد بانک]],TBank[],9,FALSE)+SUMIF($Y$2:Y707,Y707,$E$2:$E707),"")</f>
        <v>668449</v>
      </c>
      <c r="AD707" s="1">
        <f>IFERROR(IF(INT(LEFT(TArticle[[#This Row],[شناسه]]))=3,IF(TArticle[[#This Row],[کد وضعیت سند]]=1,TArticle[مبلغ],0),0),0)</f>
        <v>0</v>
      </c>
      <c r="AE707" s="1">
        <f>IFERROR(IF(((TArticle[[#This Row],[شناسه]]))="4.1.1",IF(TArticle[[#This Row],[کد وضعیت سند]]=1,TArticle[مبلغ],0),0),0)</f>
        <v>0</v>
      </c>
      <c r="AF707" s="1">
        <f>IFERROR(IF(((TArticle[[#This Row],[شناسه]]))="4.1.2",IF(TArticle[[#This Row],[کد وضعیت سند]]=1,TArticle[مبلغ],0),0),0)</f>
        <v>0</v>
      </c>
      <c r="AG707" s="1">
        <f>IFERROR(IF(INT(LEFT(TArticle[[#This Row],[شناسه]]))=1,IF(TArticle[[#This Row],[کد وضعیت سند]]=1,TArticle[مبلغ],0),0),0)</f>
        <v>0</v>
      </c>
      <c r="AH707" s="1">
        <f>IFERROR(IF(INT(LEFT(TArticle[[#This Row],[شناسه]]))=2,IF(TArticle[[#This Row],[کد وضعیت سند]]=1,TArticle[مبلغ],0),0),0)</f>
        <v>0</v>
      </c>
      <c r="AI707" s="1">
        <f>IFERROR(IF((LEFT(TArticle[[#This Row],[شناسه]],3))="5.2",IF(TArticle[[#This Row],[کد وضعیت سند]]=1,TArticle[مبلغ],0),0),0)</f>
        <v>0</v>
      </c>
      <c r="AJ707" s="1">
        <f>IF(TArticle[[#This Row],[کد وضعیت سند]]=1,1,0)</f>
        <v>0</v>
      </c>
      <c r="AK707" s="1">
        <f>IF(AND(TArticle[[#This Row],[کد وضعیت سند]]&lt;&gt;1,TArticle[[#This Row],[مبلغ]]&lt;&gt;0),1,0)</f>
        <v>1</v>
      </c>
      <c r="AL707" s="51">
        <f>IF(TArticle[[#This Row],[کد بانک]]&gt;0,TArticle[[#This Row],[مانده بانک]]-VLOOKUP(TArticle[[#This Row],[کد بانک]],TBank[],7,FALSE),"")</f>
        <v>668449</v>
      </c>
      <c r="AM707" s="49" t="str">
        <f>LEFT(TArticle[[#This Row],[تاریخ]],7)</f>
        <v>1403-11</v>
      </c>
    </row>
    <row r="708" spans="1:39" x14ac:dyDescent="0.25">
      <c r="A708" s="24" t="s">
        <v>1110</v>
      </c>
      <c r="B708" s="49" t="str">
        <f>VLOOKUP(TArticle[[#This Row],[شناسه]],TAccount[],2,TRUE)</f>
        <v>قسط وام بانکی</v>
      </c>
      <c r="C708" s="49" t="str">
        <f>VLOOKUP(TArticle[[#This Row],[تاریخ]],TDays[],7,FALSE)</f>
        <v>پنجشنبه</v>
      </c>
      <c r="D708" s="21" t="s">
        <v>1535</v>
      </c>
      <c r="E708" s="1">
        <v>-532</v>
      </c>
      <c r="F708" s="1">
        <f>TArticle[[#This Row],[مبلغ]]+IFERROR(INT(F707),30181+3667+958)</f>
        <v>626265</v>
      </c>
      <c r="G708" s="49"/>
      <c r="H708" s="21">
        <v>23</v>
      </c>
      <c r="J708" s="65"/>
      <c r="K708" s="64">
        <v>2</v>
      </c>
      <c r="L708" s="171" t="str">
        <f>IF(TArticle[[#This Row],[کد وضعیت سند]]&gt;0,VLOOKUP(TArticle[[#This Row],[کد وضعیت سند]],TDocState[],2,FALSE),"")</f>
        <v>قطعی</v>
      </c>
      <c r="M708" s="67">
        <v>116</v>
      </c>
      <c r="N708" s="171" t="str">
        <f>IF(TArticle[[#This Row],[کد طرف حساب]]&gt;0,VLOOKUP(TArticle[[#This Row],[کد طرف حساب]],TContact[],2,FALSE),"")</f>
        <v>وام امتیازی مهر</v>
      </c>
      <c r="O708" s="68">
        <f>IF(TArticle[[#This Row],[کد طرف حساب]]&gt;0,VLOOKUP(TArticle[[#This Row],[کد طرف حساب]],TContact[],7,FALSE)-SUMIF($M$2:M708,M708,$E$2:$E708),"")</f>
        <v>-528</v>
      </c>
      <c r="P708" s="67" t="str">
        <f>RIGHT(TArticle[[#This Row],[تاریخ]],2)</f>
        <v>04</v>
      </c>
      <c r="Q708" s="67">
        <f>VLOOKUP(TArticle[[#This Row],[تاریخ]],TDays[],16,FALSE)</f>
        <v>46</v>
      </c>
      <c r="R708" s="67" t="str">
        <f>RIGHT(LEFT(TArticle[[#This Row],[تاریخ]],7),2)</f>
        <v>11</v>
      </c>
      <c r="S708" s="67" t="str">
        <f>LEFT(TArticle[[#This Row],[تاریخ]],4)</f>
        <v>1403</v>
      </c>
      <c r="T708" s="64"/>
      <c r="U708" s="64">
        <f>VLOOKUP(TArticle[[#This Row],[شناسه]],TAccount[],7,TRUE)</f>
        <v>81652</v>
      </c>
      <c r="V708" s="64"/>
      <c r="W708" s="64">
        <f>IF(AND(TArticle[[#This Row],[مبلغ]]&gt;0, TArticle[[#This Row],[کد وضعیت سند]]=1),TArticle[[#This Row],[مبلغ]],0)</f>
        <v>0</v>
      </c>
      <c r="X708" s="67">
        <f>IF(AND(TArticle[[#This Row],[مبلغ]]&lt;0,TArticle[[#This Row],[کد وضعیت سند]]=1),0-TArticle[[#This Row],[مبلغ]],0)</f>
        <v>0</v>
      </c>
      <c r="Y708" s="27">
        <v>2</v>
      </c>
      <c r="Z708" s="171" t="str">
        <f>IF(TArticle[[#This Row],[کد بانک]]&gt;0,VLOOKUP(TArticle[[#This Row],[کد بانک]],TBank[],2,FALSE),"")</f>
        <v>ملی جاری</v>
      </c>
      <c r="AA708">
        <f>IF(AND(TArticle[[#This Row],[مبلغ]]&lt;0,TArticle[[#This Row],[کد وضعیت سند]]=1),0-TArticle[[#This Row],[مبلغ]],0)</f>
        <v>0</v>
      </c>
      <c r="AB708">
        <f>IF(AND(TArticle[[#This Row],[مبلغ]]&gt;0, TArticle[[#This Row],[کد وضعیت سند]]=1),TArticle[[#This Row],[مبلغ]],0)</f>
        <v>0</v>
      </c>
      <c r="AC708" s="93">
        <f>IF(TArticle[[#This Row],[کد بانک]]&gt;0,VLOOKUP(TArticle[[#This Row],[کد بانک]],TBank[],9,FALSE)+SUMIF($Y$2:Y708,Y708,$E$2:$E708),"")</f>
        <v>667917</v>
      </c>
      <c r="AD708" s="1">
        <f>IFERROR(IF(INT(LEFT(TArticle[[#This Row],[شناسه]]))=3,IF(TArticle[[#This Row],[کد وضعیت سند]]=1,TArticle[مبلغ],0),0),0)</f>
        <v>0</v>
      </c>
      <c r="AE708" s="1">
        <f>IFERROR(IF(((TArticle[[#This Row],[شناسه]]))="4.1.1",IF(TArticle[[#This Row],[کد وضعیت سند]]=1,TArticle[مبلغ],0),0),0)</f>
        <v>0</v>
      </c>
      <c r="AF708" s="1">
        <f>IFERROR(IF(((TArticle[[#This Row],[شناسه]]))="4.1.2",IF(TArticle[[#This Row],[کد وضعیت سند]]=1,TArticle[مبلغ],0),0),0)</f>
        <v>0</v>
      </c>
      <c r="AG708" s="1">
        <f>IFERROR(IF(INT(LEFT(TArticle[[#This Row],[شناسه]]))=1,IF(TArticle[[#This Row],[کد وضعیت سند]]=1,TArticle[مبلغ],0),0),0)</f>
        <v>0</v>
      </c>
      <c r="AH708" s="1">
        <f>IFERROR(IF(INT(LEFT(TArticle[[#This Row],[شناسه]]))=2,IF(TArticle[[#This Row],[کد وضعیت سند]]=1,TArticle[مبلغ],0),0),0)</f>
        <v>0</v>
      </c>
      <c r="AI708" s="1">
        <f>IFERROR(IF((LEFT(TArticle[[#This Row],[شناسه]],3))="5.2",IF(TArticle[[#This Row],[کد وضعیت سند]]=1,TArticle[مبلغ],0),0),0)</f>
        <v>0</v>
      </c>
      <c r="AJ708" s="1">
        <f>IF(TArticle[[#This Row],[کد وضعیت سند]]=1,1,0)</f>
        <v>0</v>
      </c>
      <c r="AK708" s="1">
        <f>IF(AND(TArticle[[#This Row],[کد وضعیت سند]]&lt;&gt;1,TArticle[[#This Row],[مبلغ]]&lt;&gt;0),1,0)</f>
        <v>1</v>
      </c>
      <c r="AL708" s="78">
        <f>IF(TArticle[[#This Row],[کد بانک]]&gt;0,TArticle[[#This Row],[مانده بانک]]-VLOOKUP(TArticle[[#This Row],[کد بانک]],TBank[],7,FALSE),"")</f>
        <v>667917</v>
      </c>
      <c r="AM708" s="69" t="str">
        <f>LEFT(TArticle[[#This Row],[تاریخ]],7)</f>
        <v>1403-11</v>
      </c>
    </row>
    <row r="709" spans="1:39" x14ac:dyDescent="0.25">
      <c r="A709" s="24" t="s">
        <v>1110</v>
      </c>
      <c r="B709" s="49" t="str">
        <f>VLOOKUP(TArticle[[#This Row],[شناسه]],TAccount[],2,TRUE)</f>
        <v>قسط وام بانکی</v>
      </c>
      <c r="C709" s="49" t="str">
        <f>VLOOKUP(TArticle[[#This Row],[تاریخ]],TDays[],7,FALSE)</f>
        <v>سه شنبه</v>
      </c>
      <c r="D709" s="21" t="s">
        <v>1540</v>
      </c>
      <c r="E709" s="1">
        <f>'طرف حساب'!$J$29</f>
        <v>-3616</v>
      </c>
      <c r="F709" s="1">
        <f>TArticle[[#This Row],[مبلغ]]+IFERROR(INT(F708),30181+3667+958)</f>
        <v>622649</v>
      </c>
      <c r="G709" s="49"/>
      <c r="H709" s="64">
        <v>24</v>
      </c>
      <c r="J709" s="65"/>
      <c r="K709" s="64">
        <v>2</v>
      </c>
      <c r="L709" s="171" t="str">
        <f>IF(TArticle[[#This Row],[کد وضعیت سند]]&gt;0,VLOOKUP(TArticle[[#This Row],[کد وضعیت سند]],TDocState[],2,FALSE),"")</f>
        <v>قطعی</v>
      </c>
      <c r="M709" s="67">
        <v>114</v>
      </c>
      <c r="N709" s="171" t="str">
        <f>IF(TArticle[[#This Row],[کد طرف حساب]]&gt;0,VLOOKUP(TArticle[[#This Row],[کد طرف حساب]],TContact[],2,FALSE),"")</f>
        <v>وام کارت ملی ف</v>
      </c>
      <c r="O709" s="68">
        <f>IF(TArticle[[#This Row],[کد طرف حساب]]&gt;0,VLOOKUP(TArticle[[#This Row],[کد طرف حساب]],TContact[],7,FALSE)-SUMIF($M$2:M709,M709,$E$2:$E709),"")</f>
        <v>-44674</v>
      </c>
      <c r="P709" s="67" t="str">
        <f>RIGHT(TArticle[[#This Row],[تاریخ]],2)</f>
        <v>09</v>
      </c>
      <c r="Q709" s="67">
        <f>VLOOKUP(TArticle[[#This Row],[تاریخ]],TDays[],16,FALSE)</f>
        <v>46</v>
      </c>
      <c r="R709" s="67" t="str">
        <f>RIGHT(LEFT(TArticle[[#This Row],[تاریخ]],7),2)</f>
        <v>11</v>
      </c>
      <c r="S709" s="67" t="str">
        <f>LEFT(TArticle[[#This Row],[تاریخ]],4)</f>
        <v>1403</v>
      </c>
      <c r="T709" s="64"/>
      <c r="U709" s="64">
        <f>VLOOKUP(TArticle[[#This Row],[شناسه]],TAccount[],7,TRUE)</f>
        <v>81652</v>
      </c>
      <c r="V709" s="64"/>
      <c r="W709" s="64">
        <f>IF(AND(TArticle[[#This Row],[مبلغ]]&gt;0, TArticle[[#This Row],[کد وضعیت سند]]=1),TArticle[[#This Row],[مبلغ]],0)</f>
        <v>0</v>
      </c>
      <c r="X709" s="67">
        <f>IF(AND(TArticle[[#This Row],[مبلغ]]&lt;0,TArticle[[#This Row],[کد وضعیت سند]]=1),0-TArticle[[#This Row],[مبلغ]],0)</f>
        <v>0</v>
      </c>
      <c r="Y709" s="27">
        <v>2</v>
      </c>
      <c r="Z709" s="171" t="str">
        <f>IF(TArticle[[#This Row],[کد بانک]]&gt;0,VLOOKUP(TArticle[[#This Row],[کد بانک]],TBank[],2,FALSE),"")</f>
        <v>ملی جاری</v>
      </c>
      <c r="AA709">
        <f>IF(AND(TArticle[[#This Row],[مبلغ]]&lt;0,TArticle[[#This Row],[کد وضعیت سند]]=1),0-TArticle[[#This Row],[مبلغ]],0)</f>
        <v>0</v>
      </c>
      <c r="AB709">
        <f>IF(AND(TArticle[[#This Row],[مبلغ]]&gt;0, TArticle[[#This Row],[کد وضعیت سند]]=1),TArticle[[#This Row],[مبلغ]],0)</f>
        <v>0</v>
      </c>
      <c r="AC709" s="93">
        <f>IF(TArticle[[#This Row],[کد بانک]]&gt;0,VLOOKUP(TArticle[[#This Row],[کد بانک]],TBank[],9,FALSE)+SUMIF($Y$2:Y709,Y709,$E$2:$E709),"")</f>
        <v>664301</v>
      </c>
      <c r="AD709" s="1">
        <f>IFERROR(IF(INT(LEFT(TArticle[[#This Row],[شناسه]]))=3,IF(TArticle[[#This Row],[کد وضعیت سند]]=1,TArticle[مبلغ],0),0),0)</f>
        <v>0</v>
      </c>
      <c r="AE709" s="1">
        <f>IFERROR(IF(((TArticle[[#This Row],[شناسه]]))="4.1.1",IF(TArticle[[#This Row],[کد وضعیت سند]]=1,TArticle[مبلغ],0),0),0)</f>
        <v>0</v>
      </c>
      <c r="AF709" s="1">
        <f>IFERROR(IF(((TArticle[[#This Row],[شناسه]]))="4.1.2",IF(TArticle[[#This Row],[کد وضعیت سند]]=1,TArticle[مبلغ],0),0),0)</f>
        <v>0</v>
      </c>
      <c r="AG709" s="1">
        <f>IFERROR(IF(INT(LEFT(TArticle[[#This Row],[شناسه]]))=1,IF(TArticle[[#This Row],[کد وضعیت سند]]=1,TArticle[مبلغ],0),0),0)</f>
        <v>0</v>
      </c>
      <c r="AH709" s="1">
        <f>IFERROR(IF(INT(LEFT(TArticle[[#This Row],[شناسه]]))=2,IF(TArticle[[#This Row],[کد وضعیت سند]]=1,TArticle[مبلغ],0),0),0)</f>
        <v>0</v>
      </c>
      <c r="AI709" s="1">
        <f>IFERROR(IF((LEFT(TArticle[[#This Row],[شناسه]],3))="5.2",IF(TArticle[[#This Row],[کد وضعیت سند]]=1,TArticle[مبلغ],0),0),0)</f>
        <v>0</v>
      </c>
      <c r="AJ709" s="1">
        <f>IF(TArticle[[#This Row],[کد وضعیت سند]]=1,1,0)</f>
        <v>0</v>
      </c>
      <c r="AK709" s="1">
        <f>IF(AND(TArticle[[#This Row],[کد وضعیت سند]]&lt;&gt;1,TArticle[[#This Row],[مبلغ]]&lt;&gt;0),1,0)</f>
        <v>1</v>
      </c>
      <c r="AL709" s="78">
        <f>IF(TArticle[[#This Row],[کد بانک]]&gt;0,TArticle[[#This Row],[مانده بانک]]-VLOOKUP(TArticle[[#This Row],[کد بانک]],TBank[],7,FALSE),"")</f>
        <v>664301</v>
      </c>
      <c r="AM709" s="69" t="str">
        <f>LEFT(TArticle[[#This Row],[تاریخ]],7)</f>
        <v>1403-11</v>
      </c>
    </row>
    <row r="710" spans="1:39" x14ac:dyDescent="0.25">
      <c r="A710" s="24" t="s">
        <v>1013</v>
      </c>
      <c r="B710" s="49" t="str">
        <f>VLOOKUP(TArticle[[#This Row],[شناسه]],TAccount[],2,TRUE)</f>
        <v>یارانه</v>
      </c>
      <c r="C710" s="49" t="str">
        <f>VLOOKUP(TArticle[[#This Row],[تاریخ]],TDays[],7,FALSE)</f>
        <v>شنبه</v>
      </c>
      <c r="D710" s="21" t="s">
        <v>1551</v>
      </c>
      <c r="E710" s="1">
        <v>1500</v>
      </c>
      <c r="F710" s="1">
        <f>TArticle[[#This Row],[مبلغ]]+IFERROR(INT(F709),30181+3667+958)</f>
        <v>624149</v>
      </c>
      <c r="G710" s="49"/>
      <c r="H710" s="64"/>
      <c r="J710" s="65"/>
      <c r="K710" s="64">
        <v>2</v>
      </c>
      <c r="L710" s="171" t="str">
        <f>IF(TArticle[[#This Row],[کد وضعیت سند]]&gt;0,VLOOKUP(TArticle[[#This Row],[کد وضعیت سند]],TDocState[],2,FALSE),"")</f>
        <v>قطعی</v>
      </c>
      <c r="M710" s="67"/>
      <c r="N710" s="171" t="str">
        <f>IF(TArticle[[#This Row],[کد طرف حساب]]&gt;0,VLOOKUP(TArticle[[#This Row],[کد طرف حساب]],TContact[],2,FALSE),"")</f>
        <v/>
      </c>
      <c r="O710" s="68" t="str">
        <f>IF(TArticle[[#This Row],[کد طرف حساب]]&gt;0,VLOOKUP(TArticle[[#This Row],[کد طرف حساب]],TContact[],7,FALSE)-SUMIF($M$2:M710,M710,$E$2:$E710),"")</f>
        <v/>
      </c>
      <c r="P710" s="67" t="str">
        <f>RIGHT(TArticle[[#This Row],[تاریخ]],2)</f>
        <v>20</v>
      </c>
      <c r="Q710" s="67">
        <f>VLOOKUP(TArticle[[#This Row],[تاریخ]],TDays[],16,FALSE)</f>
        <v>48</v>
      </c>
      <c r="R710" s="67" t="str">
        <f>RIGHT(LEFT(TArticle[[#This Row],[تاریخ]],7),2)</f>
        <v>11</v>
      </c>
      <c r="S710" s="67" t="str">
        <f>LEFT(TArticle[[#This Row],[تاریخ]],4)</f>
        <v>1403</v>
      </c>
      <c r="T710" s="64"/>
      <c r="U710" s="64">
        <f>VLOOKUP(TArticle[[#This Row],[شناسه]],TAccount[],7,TRUE)</f>
        <v>12565</v>
      </c>
      <c r="V710" s="64"/>
      <c r="W710" s="64">
        <f>IF(AND(TArticle[[#This Row],[مبلغ]]&gt;0, TArticle[[#This Row],[کد وضعیت سند]]=1),TArticle[[#This Row],[مبلغ]],0)</f>
        <v>0</v>
      </c>
      <c r="X710" s="67">
        <f>IF(AND(TArticle[[#This Row],[مبلغ]]&lt;0,TArticle[[#This Row],[کد وضعیت سند]]=1),0-TArticle[[#This Row],[مبلغ]],0)</f>
        <v>0</v>
      </c>
      <c r="Y710" s="27">
        <v>2</v>
      </c>
      <c r="Z710" s="171" t="str">
        <f>IF(TArticle[[#This Row],[کد بانک]]&gt;0,VLOOKUP(TArticle[[#This Row],[کد بانک]],TBank[],2,FALSE),"")</f>
        <v>ملی جاری</v>
      </c>
      <c r="AA710">
        <f>IF(AND(TArticle[[#This Row],[مبلغ]]&lt;0,TArticle[[#This Row],[کد وضعیت سند]]=1),0-TArticle[[#This Row],[مبلغ]],0)</f>
        <v>0</v>
      </c>
      <c r="AB710">
        <f>IF(AND(TArticle[[#This Row],[مبلغ]]&gt;0, TArticle[[#This Row],[کد وضعیت سند]]=1),TArticle[[#This Row],[مبلغ]],0)</f>
        <v>0</v>
      </c>
      <c r="AC710" s="93">
        <f>IF(TArticle[[#This Row],[کد بانک]]&gt;0,VLOOKUP(TArticle[[#This Row],[کد بانک]],TBank[],9,FALSE)+SUMIF($Y$2:Y710,Y710,$E$2:$E710),"")</f>
        <v>665801</v>
      </c>
      <c r="AD710" s="1">
        <f>IFERROR(IF(INT(LEFT(TArticle[[#This Row],[شناسه]]))=3,IF(TArticle[[#This Row],[کد وضعیت سند]]=1,TArticle[مبلغ],0),0),0)</f>
        <v>0</v>
      </c>
      <c r="AE710" s="1">
        <f>IFERROR(IF(((TArticle[[#This Row],[شناسه]]))="4.1.1",IF(TArticle[[#This Row],[کد وضعیت سند]]=1,TArticle[مبلغ],0),0),0)</f>
        <v>0</v>
      </c>
      <c r="AF710" s="1">
        <f>IFERROR(IF(((TArticle[[#This Row],[شناسه]]))="4.1.2",IF(TArticle[[#This Row],[کد وضعیت سند]]=1,TArticle[مبلغ],0),0),0)</f>
        <v>0</v>
      </c>
      <c r="AG710" s="1">
        <f>IFERROR(IF(INT(LEFT(TArticle[[#This Row],[شناسه]]))=1,IF(TArticle[[#This Row],[کد وضعیت سند]]=1,TArticle[مبلغ],0),0),0)</f>
        <v>0</v>
      </c>
      <c r="AH710" s="1">
        <f>IFERROR(IF(INT(LEFT(TArticle[[#This Row],[شناسه]]))=2,IF(TArticle[[#This Row],[کد وضعیت سند]]=1,TArticle[مبلغ],0),0),0)</f>
        <v>0</v>
      </c>
      <c r="AI710" s="1">
        <f>IFERROR(IF((LEFT(TArticle[[#This Row],[شناسه]],3))="5.2",IF(TArticle[[#This Row],[کد وضعیت سند]]=1,TArticle[مبلغ],0),0),0)</f>
        <v>0</v>
      </c>
      <c r="AJ710" s="1">
        <f>IF(TArticle[[#This Row],[کد وضعیت سند]]=1,1,0)</f>
        <v>0</v>
      </c>
      <c r="AK710" s="1">
        <f>IF(AND(TArticle[[#This Row],[کد وضعیت سند]]&lt;&gt;1,TArticle[[#This Row],[مبلغ]]&lt;&gt;0),1,0)</f>
        <v>1</v>
      </c>
      <c r="AL710" s="78">
        <f>IF(TArticle[[#This Row],[کد بانک]]&gt;0,TArticle[[#This Row],[مانده بانک]]-VLOOKUP(TArticle[[#This Row],[کد بانک]],TBank[],7,FALSE),"")</f>
        <v>665801</v>
      </c>
      <c r="AM710" s="69" t="str">
        <f>LEFT(TArticle[[#This Row],[تاریخ]],7)</f>
        <v>1403-11</v>
      </c>
    </row>
    <row r="711" spans="1:39" x14ac:dyDescent="0.25">
      <c r="A711" s="24" t="s">
        <v>43</v>
      </c>
      <c r="B711" s="49" t="str">
        <f>VLOOKUP(TArticle[[#This Row],[شناسه]],TAccount[],2,TRUE)</f>
        <v>حقوق</v>
      </c>
      <c r="C711" s="49" t="str">
        <f>VLOOKUP(TArticle[[#This Row],[تاریخ]],TDays[],7,FALSE)</f>
        <v>چهارشنبه</v>
      </c>
      <c r="D711" s="21" t="s">
        <v>1562</v>
      </c>
      <c r="E711" s="1">
        <v>42000</v>
      </c>
      <c r="F711" s="1">
        <f>TArticle[[#This Row],[مبلغ]]+IFERROR(INT(F710),30181+3667+958)</f>
        <v>666149</v>
      </c>
      <c r="G711" s="49"/>
      <c r="H711" s="64"/>
      <c r="J711" s="65"/>
      <c r="K711" s="64">
        <v>2</v>
      </c>
      <c r="L711" s="171" t="str">
        <f>IF(TArticle[[#This Row],[کد وضعیت سند]]&gt;0,VLOOKUP(TArticle[[#This Row],[کد وضعیت سند]],TDocState[],2,FALSE),"")</f>
        <v>قطعی</v>
      </c>
      <c r="M711" s="67"/>
      <c r="N711" s="171" t="str">
        <f>IF(TArticle[[#This Row],[کد طرف حساب]]&gt;0,VLOOKUP(TArticle[[#This Row],[کد طرف حساب]],TContact[],2,FALSE),"")</f>
        <v/>
      </c>
      <c r="O711" s="68" t="str">
        <f>IF(TArticle[[#This Row],[کد طرف حساب]]&gt;0,VLOOKUP(TArticle[[#This Row],[کد طرف حساب]],TContact[],7,FALSE)-SUMIF($M$2:M711,M711,$E$2:$E711),"")</f>
        <v/>
      </c>
      <c r="P711" s="67" t="str">
        <f>RIGHT(TArticle[[#This Row],[تاریخ]],2)</f>
        <v>01</v>
      </c>
      <c r="Q711" s="67">
        <f>VLOOKUP(TArticle[[#This Row],[تاریخ]],TDays[],16,FALSE)</f>
        <v>50</v>
      </c>
      <c r="R711" s="67" t="str">
        <f>RIGHT(LEFT(TArticle[[#This Row],[تاریخ]],7),2)</f>
        <v>12</v>
      </c>
      <c r="S711" s="67" t="str">
        <f>LEFT(TArticle[[#This Row],[تاریخ]],4)</f>
        <v>1403</v>
      </c>
      <c r="T711" s="64"/>
      <c r="U711" s="64">
        <f>VLOOKUP(TArticle[[#This Row],[شناسه]],TAccount[],7,TRUE)</f>
        <v>416023</v>
      </c>
      <c r="W711" s="64">
        <f>IF(AND(TArticle[[#This Row],[مبلغ]]&gt;0, TArticle[[#This Row],[کد وضعیت سند]]=1),TArticle[[#This Row],[مبلغ]],0)</f>
        <v>0</v>
      </c>
      <c r="X711" s="67">
        <f>IF(AND(TArticle[[#This Row],[مبلغ]]&lt;0,TArticle[[#This Row],[کد وضعیت سند]]=1),0-TArticle[[#This Row],[مبلغ]],0)</f>
        <v>0</v>
      </c>
      <c r="Y711" s="27">
        <v>2</v>
      </c>
      <c r="Z711" s="171" t="str">
        <f>IF(TArticle[[#This Row],[کد بانک]]&gt;0,VLOOKUP(TArticle[[#This Row],[کد بانک]],TBank[],2,FALSE),"")</f>
        <v>ملی جاری</v>
      </c>
      <c r="AA711">
        <f>IF(AND(TArticle[[#This Row],[مبلغ]]&lt;0,TArticle[[#This Row],[کد وضعیت سند]]=1),0-TArticle[[#This Row],[مبلغ]],0)</f>
        <v>0</v>
      </c>
      <c r="AB711">
        <f>IF(AND(TArticle[[#This Row],[مبلغ]]&gt;0, TArticle[[#This Row],[کد وضعیت سند]]=1),TArticle[[#This Row],[مبلغ]],0)</f>
        <v>0</v>
      </c>
      <c r="AC711" s="93">
        <f>IF(TArticle[[#This Row],[کد بانک]]&gt;0,VLOOKUP(TArticle[[#This Row],[کد بانک]],TBank[],9,FALSE)+SUMIF($Y$2:Y711,Y711,$E$2:$E711),"")</f>
        <v>707801</v>
      </c>
      <c r="AD711" s="1">
        <f>IFERROR(IF(INT(LEFT(TArticle[[#This Row],[شناسه]]))=3,IF(TArticle[[#This Row],[کد وضعیت سند]]=1,TArticle[مبلغ],0),0),0)</f>
        <v>0</v>
      </c>
      <c r="AE711" s="1">
        <f>IFERROR(IF(((TArticle[[#This Row],[شناسه]]))="4.1.1",IF(TArticle[[#This Row],[کد وضعیت سند]]=1,TArticle[مبلغ],0),0),0)</f>
        <v>0</v>
      </c>
      <c r="AF711" s="1">
        <f>IFERROR(IF(((TArticle[[#This Row],[شناسه]]))="4.1.2",IF(TArticle[[#This Row],[کد وضعیت سند]]=1,TArticle[مبلغ],0),0),0)</f>
        <v>0</v>
      </c>
      <c r="AG711" s="1">
        <f>IFERROR(IF(INT(LEFT(TArticle[[#This Row],[شناسه]]))=1,IF(TArticle[[#This Row],[کد وضعیت سند]]=1,TArticle[مبلغ],0),0),0)</f>
        <v>0</v>
      </c>
      <c r="AH711" s="1">
        <f>IFERROR(IF(INT(LEFT(TArticle[[#This Row],[شناسه]]))=2,IF(TArticle[[#This Row],[کد وضعیت سند]]=1,TArticle[مبلغ],0),0),0)</f>
        <v>0</v>
      </c>
      <c r="AI711" s="1">
        <f>IFERROR(IF((LEFT(TArticle[[#This Row],[شناسه]],3))="5.2",IF(TArticle[[#This Row],[کد وضعیت سند]]=1,TArticle[مبلغ],0),0),0)</f>
        <v>0</v>
      </c>
      <c r="AJ711" s="1">
        <f>IF(TArticle[[#This Row],[کد وضعیت سند]]=1,1,0)</f>
        <v>0</v>
      </c>
      <c r="AK711" s="1">
        <f>IF(AND(TArticle[[#This Row],[کد وضعیت سند]]&lt;&gt;1,TArticle[[#This Row],[مبلغ]]&lt;&gt;0),1,0)</f>
        <v>1</v>
      </c>
      <c r="AL711" s="78">
        <f>IF(TArticle[[#This Row],[کد بانک]]&gt;0,TArticle[[#This Row],[مانده بانک]]-VLOOKUP(TArticle[[#This Row],[کد بانک]],TBank[],7,FALSE),"")</f>
        <v>707801</v>
      </c>
      <c r="AM711" s="69" t="str">
        <f>LEFT(TArticle[[#This Row],[تاریخ]],7)</f>
        <v>1403-12</v>
      </c>
    </row>
    <row r="712" spans="1:39" x14ac:dyDescent="0.25">
      <c r="A712" s="24" t="s">
        <v>1608</v>
      </c>
      <c r="B712" s="49" t="str">
        <f>VLOOKUP(TArticle[[#This Row],[شناسه]],TAccount[],2,TRUE)</f>
        <v>بن کارت</v>
      </c>
      <c r="C712" s="49" t="str">
        <f>VLOOKUP(TArticle[[#This Row],[تاریخ]],TDays[],7,FALSE)</f>
        <v>چهارشنبه</v>
      </c>
      <c r="D712" s="21" t="s">
        <v>1562</v>
      </c>
      <c r="E712" s="1">
        <v>3000</v>
      </c>
      <c r="F712" s="1">
        <f>TArticle[[#This Row],[مبلغ]]+IFERROR(INT(F711),30181+3667+958)</f>
        <v>669149</v>
      </c>
      <c r="G712" s="49"/>
      <c r="K712" s="64">
        <v>2</v>
      </c>
      <c r="L712" s="171" t="str">
        <f>IF(TArticle[[#This Row],[کد وضعیت سند]]&gt;0,VLOOKUP(TArticle[[#This Row],[کد وضعیت سند]],TDocState[],2,FALSE),"")</f>
        <v>قطعی</v>
      </c>
      <c r="N712" s="171" t="str">
        <f>IF(TArticle[[#This Row],[کد طرف حساب]]&gt;0,VLOOKUP(TArticle[[#This Row],[کد طرف حساب]],TContact[],2,FALSE),"")</f>
        <v/>
      </c>
      <c r="O712" s="61" t="str">
        <f>IF(TArticle[[#This Row],[کد طرف حساب]]&gt;0,VLOOKUP(TArticle[[#This Row],[کد طرف حساب]],TContact[],7,FALSE)-SUMIF($M$2:M712,M712,$E$2:$E712),"")</f>
        <v/>
      </c>
      <c r="P712" s="27" t="str">
        <f>RIGHT(TArticle[[#This Row],[تاریخ]],2)</f>
        <v>01</v>
      </c>
      <c r="Q712" s="27">
        <f>VLOOKUP(TArticle[[#This Row],[تاریخ]],TDays[],16,FALSE)</f>
        <v>50</v>
      </c>
      <c r="R712" s="27" t="str">
        <f>RIGHT(LEFT(TArticle[[#This Row],[تاریخ]],7),2)</f>
        <v>12</v>
      </c>
      <c r="S712" s="27" t="str">
        <f>LEFT(TArticle[[#This Row],[تاریخ]],4)</f>
        <v>1403</v>
      </c>
      <c r="U712" s="21">
        <f>VLOOKUP(TArticle[[#This Row],[شناسه]],TAccount[],7,TRUE)</f>
        <v>3000</v>
      </c>
      <c r="W712" s="21">
        <f>IF(AND(TArticle[[#This Row],[مبلغ]]&gt;0, TArticle[[#This Row],[کد وضعیت سند]]=1),TArticle[[#This Row],[مبلغ]],0)</f>
        <v>0</v>
      </c>
      <c r="X712" s="27">
        <f>IF(AND(TArticle[[#This Row],[مبلغ]]&lt;0,TArticle[[#This Row],[کد وضعیت سند]]=1),0-TArticle[[#This Row],[مبلغ]],0)</f>
        <v>0</v>
      </c>
      <c r="Y712" s="27">
        <v>2</v>
      </c>
      <c r="Z712" s="171" t="str">
        <f>IF(TArticle[[#This Row],[کد بانک]]&gt;0,VLOOKUP(TArticle[[#This Row],[کد بانک]],TBank[],2,FALSE),"")</f>
        <v>ملی جاری</v>
      </c>
      <c r="AA712">
        <f>IF(AND(TArticle[[#This Row],[مبلغ]]&lt;0,TArticle[[#This Row],[کد وضعیت سند]]=1),0-TArticle[[#This Row],[مبلغ]],0)</f>
        <v>0</v>
      </c>
      <c r="AB712">
        <f>IF(AND(TArticle[[#This Row],[مبلغ]]&gt;0, TArticle[[#This Row],[کد وضعیت سند]]=1),TArticle[[#This Row],[مبلغ]],0)</f>
        <v>0</v>
      </c>
      <c r="AC712" s="84">
        <f>IF(TArticle[[#This Row],[کد بانک]]&gt;0,VLOOKUP(TArticle[[#This Row],[کد بانک]],TBank[],9,FALSE)+SUMIF($Y$2:Y712,Y712,$E$2:$E712),"")</f>
        <v>710801</v>
      </c>
      <c r="AD712" s="1">
        <f>IFERROR(IF(INT(LEFT(TArticle[[#This Row],[شناسه]]))=3,IF(TArticle[[#This Row],[کد وضعیت سند]]=1,TArticle[مبلغ],0),0),0)</f>
        <v>0</v>
      </c>
      <c r="AE712" s="1">
        <f>IFERROR(IF(((TArticle[[#This Row],[شناسه]]))="4.1.1",IF(TArticle[[#This Row],[کد وضعیت سند]]=1,TArticle[مبلغ],0),0),0)</f>
        <v>0</v>
      </c>
      <c r="AF712" s="1">
        <f>IFERROR(IF(((TArticle[[#This Row],[شناسه]]))="4.1.2",IF(TArticle[[#This Row],[کد وضعیت سند]]=1,TArticle[مبلغ],0),0),0)</f>
        <v>0</v>
      </c>
      <c r="AG712" s="1">
        <f>IFERROR(IF(INT(LEFT(TArticle[[#This Row],[شناسه]]))=1,IF(TArticle[[#This Row],[کد وضعیت سند]]=1,TArticle[مبلغ],0),0),0)</f>
        <v>0</v>
      </c>
      <c r="AH712" s="1">
        <f>IFERROR(IF(INT(LEFT(TArticle[[#This Row],[شناسه]]))=2,IF(TArticle[[#This Row],[کد وضعیت سند]]=1,TArticle[مبلغ],0),0),0)</f>
        <v>0</v>
      </c>
      <c r="AI712" s="1">
        <f>IFERROR(IF((LEFT(TArticle[[#This Row],[شناسه]],3))="5.2",IF(TArticle[[#This Row],[کد وضعیت سند]]=1,TArticle[مبلغ],0),0),0)</f>
        <v>0</v>
      </c>
      <c r="AJ712" s="1">
        <f>IF(TArticle[[#This Row],[کد وضعیت سند]]=1,1,0)</f>
        <v>0</v>
      </c>
      <c r="AK712" s="1">
        <f>IF(AND(TArticle[[#This Row],[کد وضعیت سند]]&lt;&gt;1,TArticle[[#This Row],[مبلغ]]&lt;&gt;0),1,0)</f>
        <v>1</v>
      </c>
      <c r="AL712" s="51">
        <f>IF(TArticle[[#This Row],[کد بانک]]&gt;0,TArticle[[#This Row],[مانده بانک]]-VLOOKUP(TArticle[[#This Row],[کد بانک]],TBank[],7,FALSE),"")</f>
        <v>710801</v>
      </c>
      <c r="AM712" s="58" t="str">
        <f>LEFT(TArticle[[#This Row],[تاریخ]],7)</f>
        <v>1403-12</v>
      </c>
    </row>
    <row r="713" spans="1:39" x14ac:dyDescent="0.25">
      <c r="A713" s="24" t="s">
        <v>1110</v>
      </c>
      <c r="B713" s="49" t="str">
        <f>VLOOKUP(TArticle[[#This Row],[شناسه]],TAccount[],2,TRUE)</f>
        <v>قسط وام بانکی</v>
      </c>
      <c r="C713" s="49" t="str">
        <f>VLOOKUP(TArticle[[#This Row],[تاریخ]],TDays[],7,FALSE)</f>
        <v>جمعه</v>
      </c>
      <c r="D713" s="21" t="s">
        <v>1564</v>
      </c>
      <c r="E713" s="1">
        <v>-1224</v>
      </c>
      <c r="F713" s="1">
        <f>TArticle[[#This Row],[مبلغ]]+IFERROR(INT(F712),30181+3667+958)</f>
        <v>667925</v>
      </c>
      <c r="G713" s="49"/>
      <c r="H713" s="21">
        <v>18</v>
      </c>
      <c r="K713" s="64">
        <v>2</v>
      </c>
      <c r="L713" s="171" t="str">
        <f>IF(TArticle[[#This Row],[کد وضعیت سند]]&gt;0,VLOOKUP(TArticle[[#This Row],[کد وضعیت سند]],TDocState[],2,FALSE),"")</f>
        <v>قطعی</v>
      </c>
      <c r="M713" s="27">
        <v>115</v>
      </c>
      <c r="N713" s="171" t="str">
        <f>IF(TArticle[[#This Row],[کد طرف حساب]]&gt;0,VLOOKUP(TArticle[[#This Row],[کد طرف حساب]],TContact[],2,FALSE),"")</f>
        <v>وام فرزند مهر</v>
      </c>
      <c r="O713" s="51">
        <f>IF(TArticle[[#This Row],[کد طرف حساب]]&gt;0,VLOOKUP(TArticle[[#This Row],[کد طرف حساب]],TContact[],7,FALSE)-SUMIF($M$2:M713,M713,$E$2:$E713),"")</f>
        <v>-40416</v>
      </c>
      <c r="P713" s="27" t="str">
        <f>RIGHT(TArticle[[#This Row],[تاریخ]],2)</f>
        <v>03</v>
      </c>
      <c r="Q713" s="27">
        <f>VLOOKUP(TArticle[[#This Row],[تاریخ]],TDays[],16,FALSE)</f>
        <v>50</v>
      </c>
      <c r="R713" s="27" t="str">
        <f>RIGHT(LEFT(TArticle[[#This Row],[تاریخ]],7),2)</f>
        <v>12</v>
      </c>
      <c r="S713" s="27" t="str">
        <f>LEFT(TArticle[[#This Row],[تاریخ]],4)</f>
        <v>1403</v>
      </c>
      <c r="U713" s="21">
        <f>VLOOKUP(TArticle[[#This Row],[شناسه]],TAccount[],7,TRUE)</f>
        <v>81652</v>
      </c>
      <c r="W713" s="21">
        <f>IF(AND(TArticle[[#This Row],[مبلغ]]&gt;0, TArticle[[#This Row],[کد وضعیت سند]]=1),TArticle[[#This Row],[مبلغ]],0)</f>
        <v>0</v>
      </c>
      <c r="X713" s="27">
        <f>IF(AND(TArticle[[#This Row],[مبلغ]]&lt;0,TArticle[[#This Row],[کد وضعیت سند]]=1),0-TArticle[[#This Row],[مبلغ]],0)</f>
        <v>0</v>
      </c>
      <c r="Y713" s="27">
        <v>2</v>
      </c>
      <c r="Z713" s="171" t="str">
        <f>IF(TArticle[[#This Row],[کد بانک]]&gt;0,VLOOKUP(TArticle[[#This Row],[کد بانک]],TBank[],2,FALSE),"")</f>
        <v>ملی جاری</v>
      </c>
      <c r="AA713">
        <f>IF(AND(TArticle[[#This Row],[مبلغ]]&lt;0,TArticle[[#This Row],[کد وضعیت سند]]=1),0-TArticle[[#This Row],[مبلغ]],0)</f>
        <v>0</v>
      </c>
      <c r="AB713">
        <f>IF(AND(TArticle[[#This Row],[مبلغ]]&gt;0, TArticle[[#This Row],[کد وضعیت سند]]=1),TArticle[[#This Row],[مبلغ]],0)</f>
        <v>0</v>
      </c>
      <c r="AC713" s="84">
        <f>IF(TArticle[[#This Row],[کد بانک]]&gt;0,VLOOKUP(TArticle[[#This Row],[کد بانک]],TBank[],9,FALSE)+SUMIF($Y$2:Y713,Y713,$E$2:$E713),"")</f>
        <v>709577</v>
      </c>
      <c r="AD713" s="1">
        <f>IFERROR(IF(INT(LEFT(TArticle[[#This Row],[شناسه]]))=3,IF(TArticle[[#This Row],[کد وضعیت سند]]=1,TArticle[مبلغ],0),0),0)</f>
        <v>0</v>
      </c>
      <c r="AE713" s="1">
        <f>IFERROR(IF(((TArticle[[#This Row],[شناسه]]))="4.1.1",IF(TArticle[[#This Row],[کد وضعیت سند]]=1,TArticle[مبلغ],0),0),0)</f>
        <v>0</v>
      </c>
      <c r="AF713" s="1">
        <f>IFERROR(IF(((TArticle[[#This Row],[شناسه]]))="4.1.2",IF(TArticle[[#This Row],[کد وضعیت سند]]=1,TArticle[مبلغ],0),0),0)</f>
        <v>0</v>
      </c>
      <c r="AG713" s="1">
        <f>IFERROR(IF(INT(LEFT(TArticle[[#This Row],[شناسه]]))=1,IF(TArticle[[#This Row],[کد وضعیت سند]]=1,TArticle[مبلغ],0),0),0)</f>
        <v>0</v>
      </c>
      <c r="AH713" s="1">
        <f>IFERROR(IF(INT(LEFT(TArticle[[#This Row],[شناسه]]))=2,IF(TArticle[[#This Row],[کد وضعیت سند]]=1,TArticle[مبلغ],0),0),0)</f>
        <v>0</v>
      </c>
      <c r="AI713" s="1">
        <f>IFERROR(IF((LEFT(TArticle[[#This Row],[شناسه]],3))="5.2",IF(TArticle[[#This Row],[کد وضعیت سند]]=1,TArticle[مبلغ],0),0),0)</f>
        <v>0</v>
      </c>
      <c r="AJ713" s="1">
        <f>IF(TArticle[[#This Row],[کد وضعیت سند]]=1,1,0)</f>
        <v>0</v>
      </c>
      <c r="AK713" s="1">
        <f>IF(AND(TArticle[[#This Row],[کد وضعیت سند]]&lt;&gt;1,TArticle[[#This Row],[مبلغ]]&lt;&gt;0),1,0)</f>
        <v>1</v>
      </c>
      <c r="AL713" s="51">
        <f>IF(TArticle[[#This Row],[کد بانک]]&gt;0,TArticle[[#This Row],[مانده بانک]]-VLOOKUP(TArticle[[#This Row],[کد بانک]],TBank[],7,FALSE),"")</f>
        <v>709577</v>
      </c>
      <c r="AM713" s="49" t="str">
        <f>LEFT(TArticle[[#This Row],[تاریخ]],7)</f>
        <v>1403-12</v>
      </c>
    </row>
    <row r="714" spans="1:39" x14ac:dyDescent="0.25">
      <c r="A714" s="24" t="s">
        <v>1110</v>
      </c>
      <c r="B714" s="49" t="str">
        <f>VLOOKUP(TArticle[[#This Row],[شناسه]],TAccount[],2,TRUE)</f>
        <v>قسط وام بانکی</v>
      </c>
      <c r="C714" s="49" t="str">
        <f>VLOOKUP(TArticle[[#This Row],[تاریخ]],TDays[],7,FALSE)</f>
        <v>شنبه</v>
      </c>
      <c r="D714" s="21" t="s">
        <v>1565</v>
      </c>
      <c r="E714" s="1">
        <v>-528</v>
      </c>
      <c r="F714" s="1">
        <f>TArticle[[#This Row],[مبلغ]]+IFERROR(INT(F713),30181+3667+958)</f>
        <v>667397</v>
      </c>
      <c r="G714" s="49"/>
      <c r="H714" s="64">
        <v>24</v>
      </c>
      <c r="J714" s="65"/>
      <c r="K714" s="64">
        <v>2</v>
      </c>
      <c r="L714" s="171" t="str">
        <f>IF(TArticle[[#This Row],[کد وضعیت سند]]&gt;0,VLOOKUP(TArticle[[#This Row],[کد وضعیت سند]],TDocState[],2,FALSE),"")</f>
        <v>قطعی</v>
      </c>
      <c r="M714" s="67">
        <v>116</v>
      </c>
      <c r="N714" s="171" t="str">
        <f>IF(TArticle[[#This Row],[کد طرف حساب]]&gt;0,VLOOKUP(TArticle[[#This Row],[کد طرف حساب]],TContact[],2,FALSE),"")</f>
        <v>وام امتیازی مهر</v>
      </c>
      <c r="O714" s="68">
        <f>IF(TArticle[[#This Row],[کد طرف حساب]]&gt;0,VLOOKUP(TArticle[[#This Row],[کد طرف حساب]],TContact[],7,FALSE)-SUMIF($M$2:M714,M714,$E$2:$E714),"")</f>
        <v>0</v>
      </c>
      <c r="P714" s="67" t="str">
        <f>RIGHT(TArticle[[#This Row],[تاریخ]],2)</f>
        <v>04</v>
      </c>
      <c r="Q714" s="67">
        <f>VLOOKUP(TArticle[[#This Row],[تاریخ]],TDays[],16,FALSE)</f>
        <v>50</v>
      </c>
      <c r="R714" s="67" t="str">
        <f>RIGHT(LEFT(TArticle[[#This Row],[تاریخ]],7),2)</f>
        <v>12</v>
      </c>
      <c r="S714" s="67" t="str">
        <f>LEFT(TArticle[[#This Row],[تاریخ]],4)</f>
        <v>1403</v>
      </c>
      <c r="T714" s="64"/>
      <c r="U714" s="64">
        <f>VLOOKUP(TArticle[[#This Row],[شناسه]],TAccount[],7,TRUE)</f>
        <v>81652</v>
      </c>
      <c r="V714" s="64"/>
      <c r="W714" s="64">
        <f>IF(AND(TArticle[[#This Row],[مبلغ]]&gt;0, TArticle[[#This Row],[کد وضعیت سند]]=1),TArticle[[#This Row],[مبلغ]],0)</f>
        <v>0</v>
      </c>
      <c r="X714" s="67">
        <f>IF(AND(TArticle[[#This Row],[مبلغ]]&lt;0,TArticle[[#This Row],[کد وضعیت سند]]=1),0-TArticle[[#This Row],[مبلغ]],0)</f>
        <v>0</v>
      </c>
      <c r="Y714" s="27">
        <v>2</v>
      </c>
      <c r="Z714" s="171" t="str">
        <f>IF(TArticle[[#This Row],[کد بانک]]&gt;0,VLOOKUP(TArticle[[#This Row],[کد بانک]],TBank[],2,FALSE),"")</f>
        <v>ملی جاری</v>
      </c>
      <c r="AA714">
        <f>IF(AND(TArticle[[#This Row],[مبلغ]]&lt;0,TArticle[[#This Row],[کد وضعیت سند]]=1),0-TArticle[[#This Row],[مبلغ]],0)</f>
        <v>0</v>
      </c>
      <c r="AB714">
        <f>IF(AND(TArticle[[#This Row],[مبلغ]]&gt;0, TArticle[[#This Row],[کد وضعیت سند]]=1),TArticle[[#This Row],[مبلغ]],0)</f>
        <v>0</v>
      </c>
      <c r="AC714" s="93">
        <f>IF(TArticle[[#This Row],[کد بانک]]&gt;0,VLOOKUP(TArticle[[#This Row],[کد بانک]],TBank[],9,FALSE)+SUMIF($Y$2:Y714,Y714,$E$2:$E714),"")</f>
        <v>709049</v>
      </c>
      <c r="AD714" s="1">
        <f>IFERROR(IF(INT(LEFT(TArticle[[#This Row],[شناسه]]))=3,IF(TArticle[[#This Row],[کد وضعیت سند]]=1,TArticle[مبلغ],0),0),0)</f>
        <v>0</v>
      </c>
      <c r="AE714" s="1">
        <f>IFERROR(IF(((TArticle[[#This Row],[شناسه]]))="4.1.1",IF(TArticle[[#This Row],[کد وضعیت سند]]=1,TArticle[مبلغ],0),0),0)</f>
        <v>0</v>
      </c>
      <c r="AF714" s="1">
        <f>IFERROR(IF(((TArticle[[#This Row],[شناسه]]))="4.1.2",IF(TArticle[[#This Row],[کد وضعیت سند]]=1,TArticle[مبلغ],0),0),0)</f>
        <v>0</v>
      </c>
      <c r="AG714" s="1">
        <f>IFERROR(IF(INT(LEFT(TArticle[[#This Row],[شناسه]]))=1,IF(TArticle[[#This Row],[کد وضعیت سند]]=1,TArticle[مبلغ],0),0),0)</f>
        <v>0</v>
      </c>
      <c r="AH714" s="1">
        <f>IFERROR(IF(INT(LEFT(TArticle[[#This Row],[شناسه]]))=2,IF(TArticle[[#This Row],[کد وضعیت سند]]=1,TArticle[مبلغ],0),0),0)</f>
        <v>0</v>
      </c>
      <c r="AI714" s="1">
        <f>IFERROR(IF((LEFT(TArticle[[#This Row],[شناسه]],3))="5.2",IF(TArticle[[#This Row],[کد وضعیت سند]]=1,TArticle[مبلغ],0),0),0)</f>
        <v>0</v>
      </c>
      <c r="AJ714" s="1">
        <f>IF(TArticle[[#This Row],[کد وضعیت سند]]=1,1,0)</f>
        <v>0</v>
      </c>
      <c r="AK714" s="1">
        <f>IF(AND(TArticle[[#This Row],[کد وضعیت سند]]&lt;&gt;1,TArticle[[#This Row],[مبلغ]]&lt;&gt;0),1,0)</f>
        <v>1</v>
      </c>
      <c r="AL714" s="78">
        <f>IF(TArticle[[#This Row],[کد بانک]]&gt;0,TArticle[[#This Row],[مانده بانک]]-VLOOKUP(TArticle[[#This Row],[کد بانک]],TBank[],7,FALSE),"")</f>
        <v>709049</v>
      </c>
      <c r="AM714" s="69" t="str">
        <f>LEFT(TArticle[[#This Row],[تاریخ]],7)</f>
        <v>1403-12</v>
      </c>
    </row>
    <row r="715" spans="1:39" x14ac:dyDescent="0.25">
      <c r="A715" s="24" t="s">
        <v>1110</v>
      </c>
      <c r="B715" s="49" t="str">
        <f>VLOOKUP(TArticle[[#This Row],[شناسه]],TAccount[],2,TRUE)</f>
        <v>قسط وام بانکی</v>
      </c>
      <c r="C715" s="49" t="str">
        <f>VLOOKUP(TArticle[[#This Row],[تاریخ]],TDays[],7,FALSE)</f>
        <v>پنجشنبه</v>
      </c>
      <c r="D715" s="21" t="s">
        <v>1570</v>
      </c>
      <c r="E715" s="1">
        <f>'طرف حساب'!$J$29</f>
        <v>-3616</v>
      </c>
      <c r="F715" s="1">
        <f>TArticle[[#This Row],[مبلغ]]+IFERROR(INT(F714),30181+3667+958)</f>
        <v>663781</v>
      </c>
      <c r="G715" s="49"/>
      <c r="H715" s="21">
        <v>25</v>
      </c>
      <c r="K715" s="64">
        <v>2</v>
      </c>
      <c r="L715" s="171" t="str">
        <f>IF(TArticle[[#This Row],[کد وضعیت سند]]&gt;0,VLOOKUP(TArticle[[#This Row],[کد وضعیت سند]],TDocState[],2,FALSE),"")</f>
        <v>قطعی</v>
      </c>
      <c r="M715" s="67">
        <v>114</v>
      </c>
      <c r="N715" s="171" t="str">
        <f>IF(TArticle[[#This Row],[کد طرف حساب]]&gt;0,VLOOKUP(TArticle[[#This Row],[کد طرف حساب]],TContact[],2,FALSE),"")</f>
        <v>وام کارت ملی ف</v>
      </c>
      <c r="O715" s="51">
        <f>IF(TArticle[[#This Row],[کد طرف حساب]]&gt;0,VLOOKUP(TArticle[[#This Row],[کد طرف حساب]],TContact[],7,FALSE)-SUMIF($M$2:M715,M715,$E$2:$E715),"")</f>
        <v>-41058</v>
      </c>
      <c r="P715" s="27" t="str">
        <f>RIGHT(TArticle[[#This Row],[تاریخ]],2)</f>
        <v>09</v>
      </c>
      <c r="Q715" s="27">
        <f>VLOOKUP(TArticle[[#This Row],[تاریخ]],TDays[],16,FALSE)</f>
        <v>51</v>
      </c>
      <c r="R715" s="27" t="str">
        <f>RIGHT(LEFT(TArticle[[#This Row],[تاریخ]],7),2)</f>
        <v>12</v>
      </c>
      <c r="S715" s="27" t="str">
        <f>LEFT(TArticle[[#This Row],[تاریخ]],4)</f>
        <v>1403</v>
      </c>
      <c r="U715" s="21">
        <f>VLOOKUP(TArticle[[#This Row],[شناسه]],TAccount[],7,TRUE)</f>
        <v>81652</v>
      </c>
      <c r="W715" s="21">
        <f>IF(AND(TArticle[[#This Row],[مبلغ]]&gt;0, TArticle[[#This Row],[کد وضعیت سند]]=1),TArticle[[#This Row],[مبلغ]],0)</f>
        <v>0</v>
      </c>
      <c r="X715" s="27">
        <f>IF(AND(TArticle[[#This Row],[مبلغ]]&lt;0,TArticle[[#This Row],[کد وضعیت سند]]=1),0-TArticle[[#This Row],[مبلغ]],0)</f>
        <v>0</v>
      </c>
      <c r="Y715" s="27">
        <v>2</v>
      </c>
      <c r="Z715" s="171" t="str">
        <f>IF(TArticle[[#This Row],[کد بانک]]&gt;0,VLOOKUP(TArticle[[#This Row],[کد بانک]],TBank[],2,FALSE),"")</f>
        <v>ملی جاری</v>
      </c>
      <c r="AA715">
        <f>IF(AND(TArticle[[#This Row],[مبلغ]]&lt;0,TArticle[[#This Row],[کد وضعیت سند]]=1),0-TArticle[[#This Row],[مبلغ]],0)</f>
        <v>0</v>
      </c>
      <c r="AB715">
        <f>IF(AND(TArticle[[#This Row],[مبلغ]]&gt;0, TArticle[[#This Row],[کد وضعیت سند]]=1),TArticle[[#This Row],[مبلغ]],0)</f>
        <v>0</v>
      </c>
      <c r="AC715" s="84">
        <f>IF(TArticle[[#This Row],[کد بانک]]&gt;0,VLOOKUP(TArticle[[#This Row],[کد بانک]],TBank[],9,FALSE)+SUMIF($Y$2:Y715,Y715,$E$2:$E715),"")</f>
        <v>705433</v>
      </c>
      <c r="AD715" s="1">
        <f>IFERROR(IF(INT(LEFT(TArticle[[#This Row],[شناسه]]))=3,IF(TArticle[[#This Row],[کد وضعیت سند]]=1,TArticle[مبلغ],0),0),0)</f>
        <v>0</v>
      </c>
      <c r="AE715" s="1">
        <f>IFERROR(IF(((TArticle[[#This Row],[شناسه]]))="4.1.1",IF(TArticle[[#This Row],[کد وضعیت سند]]=1,TArticle[مبلغ],0),0),0)</f>
        <v>0</v>
      </c>
      <c r="AF715" s="1">
        <f>IFERROR(IF(((TArticle[[#This Row],[شناسه]]))="4.1.2",IF(TArticle[[#This Row],[کد وضعیت سند]]=1,TArticle[مبلغ],0),0),0)</f>
        <v>0</v>
      </c>
      <c r="AG715" s="1">
        <f>IFERROR(IF(INT(LEFT(TArticle[[#This Row],[شناسه]]))=1,IF(TArticle[[#This Row],[کد وضعیت سند]]=1,TArticle[مبلغ],0),0),0)</f>
        <v>0</v>
      </c>
      <c r="AH715" s="1">
        <f>IFERROR(IF(INT(LEFT(TArticle[[#This Row],[شناسه]]))=2,IF(TArticle[[#This Row],[کد وضعیت سند]]=1,TArticle[مبلغ],0),0),0)</f>
        <v>0</v>
      </c>
      <c r="AI715" s="1">
        <f>IFERROR(IF((LEFT(TArticle[[#This Row],[شناسه]],3))="5.2",IF(TArticle[[#This Row],[کد وضعیت سند]]=1,TArticle[مبلغ],0),0),0)</f>
        <v>0</v>
      </c>
      <c r="AJ715" s="1">
        <f>IF(TArticle[[#This Row],[کد وضعیت سند]]=1,1,0)</f>
        <v>0</v>
      </c>
      <c r="AK715" s="1">
        <f>IF(AND(TArticle[[#This Row],[کد وضعیت سند]]&lt;&gt;1,TArticle[[#This Row],[مبلغ]]&lt;&gt;0),1,0)</f>
        <v>1</v>
      </c>
      <c r="AL715" s="51">
        <f>IF(TArticle[[#This Row],[کد بانک]]&gt;0,TArticle[[#This Row],[مانده بانک]]-VLOOKUP(TArticle[[#This Row],[کد بانک]],TBank[],7,FALSE),"")</f>
        <v>705433</v>
      </c>
      <c r="AM715" s="49" t="str">
        <f>LEFT(TArticle[[#This Row],[تاریخ]],7)</f>
        <v>1403-12</v>
      </c>
    </row>
    <row r="716" spans="1:39" x14ac:dyDescent="0.25">
      <c r="A716" s="24" t="s">
        <v>1013</v>
      </c>
      <c r="B716" s="49" t="str">
        <f>VLOOKUP(TArticle[[#This Row],[شناسه]],TAccount[],2,TRUE)</f>
        <v>یارانه</v>
      </c>
      <c r="C716" s="49" t="str">
        <f>VLOOKUP(TArticle[[#This Row],[تاریخ]],TDays[],7,FALSE)</f>
        <v>دوشنبه</v>
      </c>
      <c r="D716" s="21" t="s">
        <v>1581</v>
      </c>
      <c r="E716" s="1">
        <v>1500</v>
      </c>
      <c r="F716" s="1">
        <f>TArticle[[#This Row],[مبلغ]]+IFERROR(INT(F715),30181+3667+958)</f>
        <v>665281</v>
      </c>
      <c r="G716" s="49"/>
      <c r="H716" s="64"/>
      <c r="J716" s="65"/>
      <c r="K716" s="64">
        <v>2</v>
      </c>
      <c r="L716" s="171" t="str">
        <f>IF(TArticle[[#This Row],[کد وضعیت سند]]&gt;0,VLOOKUP(TArticle[[#This Row],[کد وضعیت سند]],TDocState[],2,FALSE),"")</f>
        <v>قطعی</v>
      </c>
      <c r="M716" s="67"/>
      <c r="N716" s="171" t="str">
        <f>IF(TArticle[[#This Row],[کد طرف حساب]]&gt;0,VLOOKUP(TArticle[[#This Row],[کد طرف حساب]],TContact[],2,FALSE),"")</f>
        <v/>
      </c>
      <c r="O716" s="68" t="str">
        <f>IF(TArticle[[#This Row],[کد طرف حساب]]&gt;0,VLOOKUP(TArticle[[#This Row],[کد طرف حساب]],TContact[],7,FALSE)-SUMIF($M$2:M716,M716,$E$2:$E716),"")</f>
        <v/>
      </c>
      <c r="P716" s="67" t="str">
        <f>RIGHT(TArticle[[#This Row],[تاریخ]],2)</f>
        <v>20</v>
      </c>
      <c r="Q716" s="67">
        <f>VLOOKUP(TArticle[[#This Row],[تاریخ]],TDays[],16,FALSE)</f>
        <v>52</v>
      </c>
      <c r="R716" s="67" t="str">
        <f>RIGHT(LEFT(TArticle[[#This Row],[تاریخ]],7),2)</f>
        <v>12</v>
      </c>
      <c r="S716" s="67" t="str">
        <f>LEFT(TArticle[[#This Row],[تاریخ]],4)</f>
        <v>1403</v>
      </c>
      <c r="T716" s="64"/>
      <c r="U716" s="64">
        <f>VLOOKUP(TArticle[[#This Row],[شناسه]],TAccount[],7,TRUE)</f>
        <v>12565</v>
      </c>
      <c r="V716" s="64"/>
      <c r="W716" s="64">
        <f>IF(AND(TArticle[[#This Row],[مبلغ]]&gt;0, TArticle[[#This Row],[کد وضعیت سند]]=1),TArticle[[#This Row],[مبلغ]],0)</f>
        <v>0</v>
      </c>
      <c r="X716" s="67">
        <f>IF(AND(TArticle[[#This Row],[مبلغ]]&lt;0,TArticle[[#This Row],[کد وضعیت سند]]=1),0-TArticle[[#This Row],[مبلغ]],0)</f>
        <v>0</v>
      </c>
      <c r="Y716" s="27">
        <v>2</v>
      </c>
      <c r="Z716" s="171" t="str">
        <f>IF(TArticle[[#This Row],[کد بانک]]&gt;0,VLOOKUP(TArticle[[#This Row],[کد بانک]],TBank[],2,FALSE),"")</f>
        <v>ملی جاری</v>
      </c>
      <c r="AA716">
        <f>IF(AND(TArticle[[#This Row],[مبلغ]]&lt;0,TArticle[[#This Row],[کد وضعیت سند]]=1),0-TArticle[[#This Row],[مبلغ]],0)</f>
        <v>0</v>
      </c>
      <c r="AB716">
        <f>IF(AND(TArticle[[#This Row],[مبلغ]]&gt;0, TArticle[[#This Row],[کد وضعیت سند]]=1),TArticle[[#This Row],[مبلغ]],0)</f>
        <v>0</v>
      </c>
      <c r="AC716" s="93">
        <f>IF(TArticle[[#This Row],[کد بانک]]&gt;0,VLOOKUP(TArticle[[#This Row],[کد بانک]],TBank[],9,FALSE)+SUMIF($Y$2:Y716,Y716,$E$2:$E716),"")</f>
        <v>706933</v>
      </c>
      <c r="AD716" s="1">
        <f>IFERROR(IF(INT(LEFT(TArticle[[#This Row],[شناسه]]))=3,IF(TArticle[[#This Row],[کد وضعیت سند]]=1,TArticle[مبلغ],0),0),0)</f>
        <v>0</v>
      </c>
      <c r="AE716" s="1">
        <f>IFERROR(IF(((TArticle[[#This Row],[شناسه]]))="4.1.1",IF(TArticle[[#This Row],[کد وضعیت سند]]=1,TArticle[مبلغ],0),0),0)</f>
        <v>0</v>
      </c>
      <c r="AF716" s="1">
        <f>IFERROR(IF(((TArticle[[#This Row],[شناسه]]))="4.1.2",IF(TArticle[[#This Row],[کد وضعیت سند]]=1,TArticle[مبلغ],0),0),0)</f>
        <v>0</v>
      </c>
      <c r="AG716" s="1">
        <f>IFERROR(IF(INT(LEFT(TArticle[[#This Row],[شناسه]]))=1,IF(TArticle[[#This Row],[کد وضعیت سند]]=1,TArticle[مبلغ],0),0),0)</f>
        <v>0</v>
      </c>
      <c r="AH716" s="1">
        <f>IFERROR(IF(INT(LEFT(TArticle[[#This Row],[شناسه]]))=2,IF(TArticle[[#This Row],[کد وضعیت سند]]=1,TArticle[مبلغ],0),0),0)</f>
        <v>0</v>
      </c>
      <c r="AI716" s="1">
        <f>IFERROR(IF((LEFT(TArticle[[#This Row],[شناسه]],3))="5.2",IF(TArticle[[#This Row],[کد وضعیت سند]]=1,TArticle[مبلغ],0),0),0)</f>
        <v>0</v>
      </c>
      <c r="AJ716" s="1">
        <f>IF(TArticle[[#This Row],[کد وضعیت سند]]=1,1,0)</f>
        <v>0</v>
      </c>
      <c r="AK716" s="1">
        <f>IF(AND(TArticle[[#This Row],[کد وضعیت سند]]&lt;&gt;1,TArticle[[#This Row],[مبلغ]]&lt;&gt;0),1,0)</f>
        <v>1</v>
      </c>
      <c r="AL716" s="78">
        <f>IF(TArticle[[#This Row],[کد بانک]]&gt;0,TArticle[[#This Row],[مانده بانک]]-VLOOKUP(TArticle[[#This Row],[کد بانک]],TBank[],7,FALSE),"")</f>
        <v>706933</v>
      </c>
      <c r="AM716" s="69" t="str">
        <f>LEFT(TArticle[[#This Row],[تاریخ]],7)</f>
        <v>1403-12</v>
      </c>
    </row>
    <row r="717" spans="1:39" x14ac:dyDescent="0.25">
      <c r="A717" s="24" t="s">
        <v>43</v>
      </c>
      <c r="B717" s="49" t="str">
        <f>VLOOKUP(TArticle[[#This Row],[شناسه]],TAccount[],2,TRUE)</f>
        <v>حقوق</v>
      </c>
      <c r="C717" s="49" t="str">
        <f>VLOOKUP(TArticle[[#This Row],[تاریخ]],TDays[],7,FALSE)</f>
        <v>جمعه</v>
      </c>
      <c r="D717" s="21" t="s">
        <v>1691</v>
      </c>
      <c r="E717" s="1">
        <v>50000</v>
      </c>
      <c r="F717" s="1">
        <f>TArticle[[#This Row],[مبلغ]]+IFERROR(INT(F716),30181+3667+958)</f>
        <v>715281</v>
      </c>
      <c r="G717" s="49"/>
      <c r="H717" s="64"/>
      <c r="J717" s="65"/>
      <c r="K717" s="64">
        <v>2</v>
      </c>
      <c r="L717" s="171" t="str">
        <f>IF(TArticle[[#This Row],[کد وضعیت سند]]&gt;0,VLOOKUP(TArticle[[#This Row],[کد وضعیت سند]],TDocState[],2,FALSE),"")</f>
        <v>قطعی</v>
      </c>
      <c r="M717" s="67"/>
      <c r="N717" s="171" t="str">
        <f>IF(TArticle[[#This Row],[کد طرف حساب]]&gt;0,VLOOKUP(TArticle[[#This Row],[کد طرف حساب]],TContact[],2,FALSE),"")</f>
        <v/>
      </c>
      <c r="O717" s="68" t="str">
        <f>IF(TArticle[[#This Row],[کد طرف حساب]]&gt;0,VLOOKUP(TArticle[[#This Row],[کد طرف حساب]],TContact[],7,FALSE)-SUMIF($M$2:M717,M717,$E$2:$E717),"")</f>
        <v/>
      </c>
      <c r="P717" s="67" t="str">
        <f>RIGHT(TArticle[[#This Row],[تاریخ]],2)</f>
        <v>01</v>
      </c>
      <c r="Q717" s="67">
        <f>VLOOKUP(TArticle[[#This Row],[تاریخ]],TDays[],16,FALSE)</f>
        <v>1</v>
      </c>
      <c r="R717" s="67" t="str">
        <f>RIGHT(LEFT(TArticle[[#This Row],[تاریخ]],7),2)</f>
        <v>01</v>
      </c>
      <c r="S717" s="67" t="str">
        <f>LEFT(TArticle[[#This Row],[تاریخ]],4)</f>
        <v>1404</v>
      </c>
      <c r="T717" s="64"/>
      <c r="U717" s="64">
        <f>VLOOKUP(TArticle[[#This Row],[شناسه]],TAccount[],7,TRUE)</f>
        <v>416023</v>
      </c>
      <c r="V717" s="64"/>
      <c r="W717" s="64">
        <f>IF(AND(TArticle[[#This Row],[مبلغ]]&gt;0, TArticle[[#This Row],[کد وضعیت سند]]=1),TArticle[[#This Row],[مبلغ]],0)</f>
        <v>0</v>
      </c>
      <c r="X717" s="67">
        <f>IF(AND(TArticle[[#This Row],[مبلغ]]&lt;0,TArticle[[#This Row],[کد وضعیت سند]]=1),0-TArticle[[#This Row],[مبلغ]],0)</f>
        <v>0</v>
      </c>
      <c r="Y717" s="27">
        <v>2</v>
      </c>
      <c r="Z717" s="171" t="str">
        <f>IF(TArticle[[#This Row],[کد بانک]]&gt;0,VLOOKUP(TArticle[[#This Row],[کد بانک]],TBank[],2,FALSE),"")</f>
        <v>ملی جاری</v>
      </c>
      <c r="AA717">
        <f>IF(AND(TArticle[[#This Row],[مبلغ]]&lt;0,TArticle[[#This Row],[کد وضعیت سند]]=1),0-TArticle[[#This Row],[مبلغ]],0)</f>
        <v>0</v>
      </c>
      <c r="AB717">
        <f>IF(AND(TArticle[[#This Row],[مبلغ]]&gt;0, TArticle[[#This Row],[کد وضعیت سند]]=1),TArticle[[#This Row],[مبلغ]],0)</f>
        <v>0</v>
      </c>
      <c r="AC717" s="93">
        <f>IF(TArticle[[#This Row],[کد بانک]]&gt;0,VLOOKUP(TArticle[[#This Row],[کد بانک]],TBank[],9,FALSE)+SUMIF($Y$2:Y717,Y717,$E$2:$E717),"")</f>
        <v>756933</v>
      </c>
      <c r="AD717" s="1">
        <f>IFERROR(IF(INT(LEFT(TArticle[[#This Row],[شناسه]]))=3,IF(TArticle[[#This Row],[کد وضعیت سند]]=1,TArticle[مبلغ],0),0),0)</f>
        <v>0</v>
      </c>
      <c r="AE717" s="1">
        <f>IFERROR(IF(((TArticle[[#This Row],[شناسه]]))="4.1.1",IF(TArticle[[#This Row],[کد وضعیت سند]]=1,TArticle[مبلغ],0),0),0)</f>
        <v>0</v>
      </c>
      <c r="AF717" s="1">
        <f>IFERROR(IF(((TArticle[[#This Row],[شناسه]]))="4.1.2",IF(TArticle[[#This Row],[کد وضعیت سند]]=1,TArticle[مبلغ],0),0),0)</f>
        <v>0</v>
      </c>
      <c r="AG717" s="1">
        <f>IFERROR(IF(INT(LEFT(TArticle[[#This Row],[شناسه]]))=1,IF(TArticle[[#This Row],[کد وضعیت سند]]=1,TArticle[مبلغ],0),0),0)</f>
        <v>0</v>
      </c>
      <c r="AH717" s="1">
        <f>IFERROR(IF(INT(LEFT(TArticle[[#This Row],[شناسه]]))=2,IF(TArticle[[#This Row],[کد وضعیت سند]]=1,TArticle[مبلغ],0),0),0)</f>
        <v>0</v>
      </c>
      <c r="AI717" s="1">
        <f>IFERROR(IF((LEFT(TArticle[[#This Row],[شناسه]],3))="5.2",IF(TArticle[[#This Row],[کد وضعیت سند]]=1,TArticle[مبلغ],0),0),0)</f>
        <v>0</v>
      </c>
      <c r="AJ717" s="1">
        <f>IF(TArticle[[#This Row],[کد وضعیت سند]]=1,1,0)</f>
        <v>0</v>
      </c>
      <c r="AK717" s="1">
        <f>IF(AND(TArticle[[#This Row],[کد وضعیت سند]]&lt;&gt;1,TArticle[[#This Row],[مبلغ]]&lt;&gt;0),1,0)</f>
        <v>1</v>
      </c>
      <c r="AL717" s="78">
        <f>IF(TArticle[[#This Row],[کد بانک]]&gt;0,TArticle[[#This Row],[مانده بانک]]-VLOOKUP(TArticle[[#This Row],[کد بانک]],TBank[],7,FALSE),"")</f>
        <v>756933</v>
      </c>
      <c r="AM717" s="69" t="str">
        <f>LEFT(TArticle[[#This Row],[تاریخ]],7)</f>
        <v>1404-01</v>
      </c>
    </row>
    <row r="718" spans="1:39" x14ac:dyDescent="0.25">
      <c r="A718" s="24" t="s">
        <v>1608</v>
      </c>
      <c r="B718" s="49" t="str">
        <f>VLOOKUP(TArticle[[#This Row],[شناسه]],TAccount[],2,TRUE)</f>
        <v>بن کارت</v>
      </c>
      <c r="C718" s="49" t="str">
        <f>VLOOKUP(TArticle[[#This Row],[تاریخ]],TDays[],7,FALSE)</f>
        <v>جمعه</v>
      </c>
      <c r="D718" s="21" t="s">
        <v>1691</v>
      </c>
      <c r="E718" s="1">
        <v>3600</v>
      </c>
      <c r="F718" s="1">
        <f>TArticle[[#This Row],[مبلغ]]+IFERROR(INT(F717),30181+3667+958)</f>
        <v>718881</v>
      </c>
      <c r="G718" s="49"/>
      <c r="K718" s="64">
        <v>2</v>
      </c>
      <c r="L718" s="171" t="str">
        <f>IF(TArticle[[#This Row],[کد وضعیت سند]]&gt;0,VLOOKUP(TArticle[[#This Row],[کد وضعیت سند]],TDocState[],2,FALSE),"")</f>
        <v>قطعی</v>
      </c>
      <c r="N718" s="171" t="str">
        <f>IF(TArticle[[#This Row],[کد طرف حساب]]&gt;0,VLOOKUP(TArticle[[#This Row],[کد طرف حساب]],TContact[],2,FALSE),"")</f>
        <v/>
      </c>
      <c r="O718" s="61" t="str">
        <f>IF(TArticle[[#This Row],[کد طرف حساب]]&gt;0,VLOOKUP(TArticle[[#This Row],[کد طرف حساب]],TContact[],7,FALSE)-SUMIF($M$2:M718,M718,$E$2:$E718),"")</f>
        <v/>
      </c>
      <c r="P718" s="27" t="str">
        <f>RIGHT(TArticle[[#This Row],[تاریخ]],2)</f>
        <v>01</v>
      </c>
      <c r="Q718" s="27">
        <f>VLOOKUP(TArticle[[#This Row],[تاریخ]],TDays[],16,FALSE)</f>
        <v>1</v>
      </c>
      <c r="R718" s="27" t="str">
        <f>RIGHT(LEFT(TArticle[[#This Row],[تاریخ]],7),2)</f>
        <v>01</v>
      </c>
      <c r="S718" s="27" t="str">
        <f>LEFT(TArticle[[#This Row],[تاریخ]],4)</f>
        <v>1404</v>
      </c>
      <c r="U718" s="21">
        <f>VLOOKUP(TArticle[[#This Row],[شناسه]],TAccount[],7,TRUE)</f>
        <v>3000</v>
      </c>
      <c r="W718" s="21">
        <f>IF(AND(TArticle[[#This Row],[مبلغ]]&gt;0, TArticle[[#This Row],[کد وضعیت سند]]=1),TArticle[[#This Row],[مبلغ]],0)</f>
        <v>0</v>
      </c>
      <c r="X718" s="27">
        <f>IF(AND(TArticle[[#This Row],[مبلغ]]&lt;0,TArticle[[#This Row],[کد وضعیت سند]]=1),0-TArticle[[#This Row],[مبلغ]],0)</f>
        <v>0</v>
      </c>
      <c r="Y718" s="27">
        <v>2</v>
      </c>
      <c r="Z718" s="171" t="str">
        <f>IF(TArticle[[#This Row],[کد بانک]]&gt;0,VLOOKUP(TArticle[[#This Row],[کد بانک]],TBank[],2,FALSE),"")</f>
        <v>ملی جاری</v>
      </c>
      <c r="AA718">
        <f>IF(AND(TArticle[[#This Row],[مبلغ]]&lt;0,TArticle[[#This Row],[کد وضعیت سند]]=1),0-TArticle[[#This Row],[مبلغ]],0)</f>
        <v>0</v>
      </c>
      <c r="AB718">
        <f>IF(AND(TArticle[[#This Row],[مبلغ]]&gt;0, TArticle[[#This Row],[کد وضعیت سند]]=1),TArticle[[#This Row],[مبلغ]],0)</f>
        <v>0</v>
      </c>
      <c r="AC718" s="84">
        <f>IF(TArticle[[#This Row],[کد بانک]]&gt;0,VLOOKUP(TArticle[[#This Row],[کد بانک]],TBank[],9,FALSE)+SUMIF($Y$2:Y718,Y718,$E$2:$E718),"")</f>
        <v>760533</v>
      </c>
      <c r="AD718" s="1">
        <f>IFERROR(IF(INT(LEFT(TArticle[[#This Row],[شناسه]]))=3,IF(TArticle[[#This Row],[کد وضعیت سند]]=1,TArticle[مبلغ],0),0),0)</f>
        <v>0</v>
      </c>
      <c r="AE718" s="1">
        <f>IFERROR(IF(((TArticle[[#This Row],[شناسه]]))="4.1.1",IF(TArticle[[#This Row],[کد وضعیت سند]]=1,TArticle[مبلغ],0),0),0)</f>
        <v>0</v>
      </c>
      <c r="AF718" s="1">
        <f>IFERROR(IF(((TArticle[[#This Row],[شناسه]]))="4.1.2",IF(TArticle[[#This Row],[کد وضعیت سند]]=1,TArticle[مبلغ],0),0),0)</f>
        <v>0</v>
      </c>
      <c r="AG718" s="1">
        <f>IFERROR(IF(INT(LEFT(TArticle[[#This Row],[شناسه]]))=1,IF(TArticle[[#This Row],[کد وضعیت سند]]=1,TArticle[مبلغ],0),0),0)</f>
        <v>0</v>
      </c>
      <c r="AH718" s="1">
        <f>IFERROR(IF(INT(LEFT(TArticle[[#This Row],[شناسه]]))=2,IF(TArticle[[#This Row],[کد وضعیت سند]]=1,TArticle[مبلغ],0),0),0)</f>
        <v>0</v>
      </c>
      <c r="AI718" s="1">
        <f>IFERROR(IF((LEFT(TArticle[[#This Row],[شناسه]],3))="5.2",IF(TArticle[[#This Row],[کد وضعیت سند]]=1,TArticle[مبلغ],0),0),0)</f>
        <v>0</v>
      </c>
      <c r="AJ718" s="1">
        <f>IF(TArticle[[#This Row],[کد وضعیت سند]]=1,1,0)</f>
        <v>0</v>
      </c>
      <c r="AK718" s="1">
        <f>IF(AND(TArticle[[#This Row],[کد وضعیت سند]]&lt;&gt;1,TArticle[[#This Row],[مبلغ]]&lt;&gt;0),1,0)</f>
        <v>1</v>
      </c>
      <c r="AL718" s="51">
        <f>IF(TArticle[[#This Row],[کد بانک]]&gt;0,TArticle[[#This Row],[مانده بانک]]-VLOOKUP(TArticle[[#This Row],[کد بانک]],TBank[],7,FALSE),"")</f>
        <v>760533</v>
      </c>
      <c r="AM718" s="58" t="str">
        <f>LEFT(TArticle[[#This Row],[تاریخ]],7)</f>
        <v>1404-01</v>
      </c>
    </row>
    <row r="719" spans="1:39" x14ac:dyDescent="0.25">
      <c r="A719" s="24" t="s">
        <v>1110</v>
      </c>
      <c r="B719" s="49" t="str">
        <f>VLOOKUP(TArticle[[#This Row],[شناسه]],TAccount[],2,TRUE)</f>
        <v>قسط وام بانکی</v>
      </c>
      <c r="C719" s="49" t="str">
        <f>VLOOKUP(TArticle[[#This Row],[تاریخ]],TDays[],7,FALSE)</f>
        <v>یکشنبه</v>
      </c>
      <c r="D719" s="21" t="s">
        <v>1693</v>
      </c>
      <c r="E719" s="1">
        <v>-1224</v>
      </c>
      <c r="F719" s="1">
        <f>TArticle[[#This Row],[مبلغ]]+IFERROR(INT(F718),30181+3667+958)</f>
        <v>717657</v>
      </c>
      <c r="G719" s="49"/>
      <c r="H719" s="64">
        <v>19</v>
      </c>
      <c r="K719" s="64">
        <v>2</v>
      </c>
      <c r="L719" s="171" t="str">
        <f>IF(TArticle[[#This Row],[کد وضعیت سند]]&gt;0,VLOOKUP(TArticle[[#This Row],[کد وضعیت سند]],TDocState[],2,FALSE),"")</f>
        <v>قطعی</v>
      </c>
      <c r="M719" s="27">
        <v>115</v>
      </c>
      <c r="N719" s="171" t="str">
        <f>IF(TArticle[[#This Row],[کد طرف حساب]]&gt;0,VLOOKUP(TArticle[[#This Row],[کد طرف حساب]],TContact[],2,FALSE),"")</f>
        <v>وام فرزند مهر</v>
      </c>
      <c r="O719" s="51">
        <f>IF(TArticle[[#This Row],[کد طرف حساب]]&gt;0,VLOOKUP(TArticle[[#This Row],[کد طرف حساب]],TContact[],7,FALSE)-SUMIF($M$2:M719,M719,$E$2:$E719),"")</f>
        <v>-39192</v>
      </c>
      <c r="P719" s="27" t="str">
        <f>RIGHT(TArticle[[#This Row],[تاریخ]],2)</f>
        <v>03</v>
      </c>
      <c r="Q719" s="27">
        <f>VLOOKUP(TArticle[[#This Row],[تاریخ]],TDays[],16,FALSE)</f>
        <v>1</v>
      </c>
      <c r="R719" s="27" t="str">
        <f>RIGHT(LEFT(TArticle[[#This Row],[تاریخ]],7),2)</f>
        <v>01</v>
      </c>
      <c r="S719" s="27" t="str">
        <f>LEFT(TArticle[[#This Row],[تاریخ]],4)</f>
        <v>1404</v>
      </c>
      <c r="U719" s="21">
        <f>VLOOKUP(TArticle[[#This Row],[شناسه]],TAccount[],7,TRUE)</f>
        <v>81652</v>
      </c>
      <c r="W719" s="21">
        <f>IF(AND(TArticle[[#This Row],[مبلغ]]&gt;0, TArticle[[#This Row],[کد وضعیت سند]]=1),TArticle[[#This Row],[مبلغ]],0)</f>
        <v>0</v>
      </c>
      <c r="X719" s="27">
        <f>IF(AND(TArticle[[#This Row],[مبلغ]]&lt;0,TArticle[[#This Row],[کد وضعیت سند]]=1),0-TArticle[[#This Row],[مبلغ]],0)</f>
        <v>0</v>
      </c>
      <c r="Y719" s="27">
        <v>2</v>
      </c>
      <c r="Z719" s="171" t="str">
        <f>IF(TArticle[[#This Row],[کد بانک]]&gt;0,VLOOKUP(TArticle[[#This Row],[کد بانک]],TBank[],2,FALSE),"")</f>
        <v>ملی جاری</v>
      </c>
      <c r="AA719">
        <f>IF(AND(TArticle[[#This Row],[مبلغ]]&lt;0,TArticle[[#This Row],[کد وضعیت سند]]=1),0-TArticle[[#This Row],[مبلغ]],0)</f>
        <v>0</v>
      </c>
      <c r="AB719">
        <f>IF(AND(TArticle[[#This Row],[مبلغ]]&gt;0, TArticle[[#This Row],[کد وضعیت سند]]=1),TArticle[[#This Row],[مبلغ]],0)</f>
        <v>0</v>
      </c>
      <c r="AC719" s="84">
        <f>IF(TArticle[[#This Row],[کد بانک]]&gt;0,VLOOKUP(TArticle[[#This Row],[کد بانک]],TBank[],9,FALSE)+SUMIF($Y$2:Y719,Y719,$E$2:$E719),"")</f>
        <v>759309</v>
      </c>
      <c r="AD719" s="1">
        <f>IFERROR(IF(INT(LEFT(TArticle[[#This Row],[شناسه]]))=3,IF(TArticle[[#This Row],[کد وضعیت سند]]=1,TArticle[مبلغ],0),0),0)</f>
        <v>0</v>
      </c>
      <c r="AE719" s="1">
        <f>IFERROR(IF(((TArticle[[#This Row],[شناسه]]))="4.1.1",IF(TArticle[[#This Row],[کد وضعیت سند]]=1,TArticle[مبلغ],0),0),0)</f>
        <v>0</v>
      </c>
      <c r="AF719" s="1">
        <f>IFERROR(IF(((TArticle[[#This Row],[شناسه]]))="4.1.2",IF(TArticle[[#This Row],[کد وضعیت سند]]=1,TArticle[مبلغ],0),0),0)</f>
        <v>0</v>
      </c>
      <c r="AG719" s="1">
        <f>IFERROR(IF(INT(LEFT(TArticle[[#This Row],[شناسه]]))=1,IF(TArticle[[#This Row],[کد وضعیت سند]]=1,TArticle[مبلغ],0),0),0)</f>
        <v>0</v>
      </c>
      <c r="AH719" s="1">
        <f>IFERROR(IF(INT(LEFT(TArticle[[#This Row],[شناسه]]))=2,IF(TArticle[[#This Row],[کد وضعیت سند]]=1,TArticle[مبلغ],0),0),0)</f>
        <v>0</v>
      </c>
      <c r="AI719" s="1">
        <f>IFERROR(IF((LEFT(TArticle[[#This Row],[شناسه]],3))="5.2",IF(TArticle[[#This Row],[کد وضعیت سند]]=1,TArticle[مبلغ],0),0),0)</f>
        <v>0</v>
      </c>
      <c r="AJ719" s="1">
        <f>IF(TArticle[[#This Row],[کد وضعیت سند]]=1,1,0)</f>
        <v>0</v>
      </c>
      <c r="AK719" s="1">
        <f>IF(AND(TArticle[[#This Row],[کد وضعیت سند]]&lt;&gt;1,TArticle[[#This Row],[مبلغ]]&lt;&gt;0),1,0)</f>
        <v>1</v>
      </c>
      <c r="AL719" s="51">
        <f>IF(TArticle[[#This Row],[کد بانک]]&gt;0,TArticle[[#This Row],[مانده بانک]]-VLOOKUP(TArticle[[#This Row],[کد بانک]],TBank[],7,FALSE),"")</f>
        <v>759309</v>
      </c>
      <c r="AM719" s="49" t="str">
        <f>LEFT(TArticle[[#This Row],[تاریخ]],7)</f>
        <v>1404-01</v>
      </c>
    </row>
    <row r="720" spans="1:39" x14ac:dyDescent="0.25">
      <c r="A720" s="24" t="s">
        <v>1110</v>
      </c>
      <c r="B720" s="49" t="str">
        <f>VLOOKUP(TArticle[[#This Row],[شناسه]],TAccount[],2,TRUE)</f>
        <v>قسط وام بانکی</v>
      </c>
      <c r="C720" s="49" t="str">
        <f>VLOOKUP(TArticle[[#This Row],[تاریخ]],TDays[],7,FALSE)</f>
        <v>شنبه</v>
      </c>
      <c r="D720" s="21" t="s">
        <v>1698</v>
      </c>
      <c r="E720" s="1">
        <f>'طرف حساب'!$J$29</f>
        <v>-3616</v>
      </c>
      <c r="F720" s="1">
        <f>TArticle[[#This Row],[مبلغ]]+IFERROR(INT(F719),30181+3667+958)</f>
        <v>714041</v>
      </c>
      <c r="G720" s="49"/>
      <c r="H720" s="21">
        <v>26</v>
      </c>
      <c r="K720" s="64">
        <v>2</v>
      </c>
      <c r="L720" s="171" t="str">
        <f>IF(TArticle[[#This Row],[کد وضعیت سند]]&gt;0,VLOOKUP(TArticle[[#This Row],[کد وضعیت سند]],TDocState[],2,FALSE),"")</f>
        <v>قطعی</v>
      </c>
      <c r="M720" s="67">
        <v>114</v>
      </c>
      <c r="N720" s="171" t="str">
        <f>IF(TArticle[[#This Row],[کد طرف حساب]]&gt;0,VLOOKUP(TArticle[[#This Row],[کد طرف حساب]],TContact[],2,FALSE),"")</f>
        <v>وام کارت ملی ف</v>
      </c>
      <c r="O720" s="51">
        <f>IF(TArticle[[#This Row],[کد طرف حساب]]&gt;0,VLOOKUP(TArticle[[#This Row],[کد طرف حساب]],TContact[],7,FALSE)-SUMIF($M$2:M720,M720,$E$2:$E720),"")</f>
        <v>-37442</v>
      </c>
      <c r="P720" s="27" t="str">
        <f>RIGHT(TArticle[[#This Row],[تاریخ]],2)</f>
        <v>09</v>
      </c>
      <c r="Q720" s="27">
        <f>VLOOKUP(TArticle[[#This Row],[تاریخ]],TDays[],16,FALSE)</f>
        <v>2</v>
      </c>
      <c r="R720" s="27" t="str">
        <f>RIGHT(LEFT(TArticle[[#This Row],[تاریخ]],7),2)</f>
        <v>01</v>
      </c>
      <c r="S720" s="27" t="str">
        <f>LEFT(TArticle[[#This Row],[تاریخ]],4)</f>
        <v>1404</v>
      </c>
      <c r="U720" s="21">
        <f>VLOOKUP(TArticle[[#This Row],[شناسه]],TAccount[],7,TRUE)</f>
        <v>81652</v>
      </c>
      <c r="W720" s="21">
        <f>IF(AND(TArticle[[#This Row],[مبلغ]]&gt;0, TArticle[[#This Row],[کد وضعیت سند]]=1),TArticle[[#This Row],[مبلغ]],0)</f>
        <v>0</v>
      </c>
      <c r="X720" s="27">
        <f>IF(AND(TArticle[[#This Row],[مبلغ]]&lt;0,TArticle[[#This Row],[کد وضعیت سند]]=1),0-TArticle[[#This Row],[مبلغ]],0)</f>
        <v>0</v>
      </c>
      <c r="Y720" s="27">
        <v>2</v>
      </c>
      <c r="Z720" s="171" t="str">
        <f>IF(TArticle[[#This Row],[کد بانک]]&gt;0,VLOOKUP(TArticle[[#This Row],[کد بانک]],TBank[],2,FALSE),"")</f>
        <v>ملی جاری</v>
      </c>
      <c r="AA720">
        <f>IF(AND(TArticle[[#This Row],[مبلغ]]&lt;0,TArticle[[#This Row],[کد وضعیت سند]]=1),0-TArticle[[#This Row],[مبلغ]],0)</f>
        <v>0</v>
      </c>
      <c r="AB720">
        <f>IF(AND(TArticle[[#This Row],[مبلغ]]&gt;0, TArticle[[#This Row],[کد وضعیت سند]]=1),TArticle[[#This Row],[مبلغ]],0)</f>
        <v>0</v>
      </c>
      <c r="AC720" s="84">
        <f>IF(TArticle[[#This Row],[کد بانک]]&gt;0,VLOOKUP(TArticle[[#This Row],[کد بانک]],TBank[],9,FALSE)+SUMIF($Y$2:Y720,Y720,$E$2:$E720),"")</f>
        <v>755693</v>
      </c>
      <c r="AD720" s="1">
        <f>IFERROR(IF(INT(LEFT(TArticle[[#This Row],[شناسه]]))=3,IF(TArticle[[#This Row],[کد وضعیت سند]]=1,TArticle[مبلغ],0),0),0)</f>
        <v>0</v>
      </c>
      <c r="AE720" s="1">
        <f>IFERROR(IF(((TArticle[[#This Row],[شناسه]]))="4.1.1",IF(TArticle[[#This Row],[کد وضعیت سند]]=1,TArticle[مبلغ],0),0),0)</f>
        <v>0</v>
      </c>
      <c r="AF720" s="1">
        <f>IFERROR(IF(((TArticle[[#This Row],[شناسه]]))="4.1.2",IF(TArticle[[#This Row],[کد وضعیت سند]]=1,TArticle[مبلغ],0),0),0)</f>
        <v>0</v>
      </c>
      <c r="AG720" s="1">
        <f>IFERROR(IF(INT(LEFT(TArticle[[#This Row],[شناسه]]))=1,IF(TArticle[[#This Row],[کد وضعیت سند]]=1,TArticle[مبلغ],0),0),0)</f>
        <v>0</v>
      </c>
      <c r="AH720" s="1">
        <f>IFERROR(IF(INT(LEFT(TArticle[[#This Row],[شناسه]]))=2,IF(TArticle[[#This Row],[کد وضعیت سند]]=1,TArticle[مبلغ],0),0),0)</f>
        <v>0</v>
      </c>
      <c r="AI720" s="1">
        <f>IFERROR(IF((LEFT(TArticle[[#This Row],[شناسه]],3))="5.2",IF(TArticle[[#This Row],[کد وضعیت سند]]=1,TArticle[مبلغ],0),0),0)</f>
        <v>0</v>
      </c>
      <c r="AJ720" s="1">
        <f>IF(TArticle[[#This Row],[کد وضعیت سند]]=1,1,0)</f>
        <v>0</v>
      </c>
      <c r="AK720" s="1">
        <f>IF(AND(TArticle[[#This Row],[کد وضعیت سند]]&lt;&gt;1,TArticle[[#This Row],[مبلغ]]&lt;&gt;0),1,0)</f>
        <v>1</v>
      </c>
      <c r="AL720" s="51">
        <f>IF(TArticle[[#This Row],[کد بانک]]&gt;0,TArticle[[#This Row],[مانده بانک]]-VLOOKUP(TArticle[[#This Row],[کد بانک]],TBank[],7,FALSE),"")</f>
        <v>755693</v>
      </c>
      <c r="AM720" s="49" t="str">
        <f>LEFT(TArticle[[#This Row],[تاریخ]],7)</f>
        <v>1404-01</v>
      </c>
    </row>
    <row r="721" spans="1:39" x14ac:dyDescent="0.25">
      <c r="A721" s="24" t="s">
        <v>1013</v>
      </c>
      <c r="B721" s="49" t="str">
        <f>VLOOKUP(TArticle[[#This Row],[شناسه]],TAccount[],2,TRUE)</f>
        <v>یارانه</v>
      </c>
      <c r="C721" s="49" t="str">
        <f>VLOOKUP(TArticle[[#This Row],[تاریخ]],TDays[],7,FALSE)</f>
        <v>چهارشنبه</v>
      </c>
      <c r="D721" s="21" t="s">
        <v>1709</v>
      </c>
      <c r="E721" s="1">
        <v>1500</v>
      </c>
      <c r="F721" s="1">
        <f>TArticle[[#This Row],[مبلغ]]+IFERROR(INT(F720),30181+3667+958)</f>
        <v>715541</v>
      </c>
      <c r="G721" s="49"/>
      <c r="H721" s="64"/>
      <c r="J721" s="65"/>
      <c r="K721" s="64">
        <v>2</v>
      </c>
      <c r="L721" s="171" t="str">
        <f>IF(TArticle[[#This Row],[کد وضعیت سند]]&gt;0,VLOOKUP(TArticle[[#This Row],[کد وضعیت سند]],TDocState[],2,FALSE),"")</f>
        <v>قطعی</v>
      </c>
      <c r="M721" s="67"/>
      <c r="N721" s="171" t="str">
        <f>IF(TArticle[[#This Row],[کد طرف حساب]]&gt;0,VLOOKUP(TArticle[[#This Row],[کد طرف حساب]],TContact[],2,FALSE),"")</f>
        <v/>
      </c>
      <c r="O721" s="68" t="str">
        <f>IF(TArticle[[#This Row],[کد طرف حساب]]&gt;0,VLOOKUP(TArticle[[#This Row],[کد طرف حساب]],TContact[],7,FALSE)-SUMIF($M$2:M721,M721,$E$2:$E721),"")</f>
        <v/>
      </c>
      <c r="P721" s="67" t="str">
        <f>RIGHT(TArticle[[#This Row],[تاریخ]],2)</f>
        <v>20</v>
      </c>
      <c r="Q721" s="67">
        <f>VLOOKUP(TArticle[[#This Row],[تاریخ]],TDays[],16,FALSE)</f>
        <v>4</v>
      </c>
      <c r="R721" s="67" t="str">
        <f>RIGHT(LEFT(TArticle[[#This Row],[تاریخ]],7),2)</f>
        <v>01</v>
      </c>
      <c r="S721" s="67" t="str">
        <f>LEFT(TArticle[[#This Row],[تاریخ]],4)</f>
        <v>1404</v>
      </c>
      <c r="T721" s="64"/>
      <c r="U721" s="64">
        <f>VLOOKUP(TArticle[[#This Row],[شناسه]],TAccount[],7,TRUE)</f>
        <v>12565</v>
      </c>
      <c r="V721" s="64"/>
      <c r="W721" s="64">
        <f>IF(AND(TArticle[[#This Row],[مبلغ]]&gt;0, TArticle[[#This Row],[کد وضعیت سند]]=1),TArticle[[#This Row],[مبلغ]],0)</f>
        <v>0</v>
      </c>
      <c r="X721" s="67">
        <f>IF(AND(TArticle[[#This Row],[مبلغ]]&lt;0,TArticle[[#This Row],[کد وضعیت سند]]=1),0-TArticle[[#This Row],[مبلغ]],0)</f>
        <v>0</v>
      </c>
      <c r="Y721" s="27">
        <v>2</v>
      </c>
      <c r="Z721" s="171" t="str">
        <f>IF(TArticle[[#This Row],[کد بانک]]&gt;0,VLOOKUP(TArticle[[#This Row],[کد بانک]],TBank[],2,FALSE),"")</f>
        <v>ملی جاری</v>
      </c>
      <c r="AA721">
        <f>IF(AND(TArticle[[#This Row],[مبلغ]]&lt;0,TArticle[[#This Row],[کد وضعیت سند]]=1),0-TArticle[[#This Row],[مبلغ]],0)</f>
        <v>0</v>
      </c>
      <c r="AB721">
        <f>IF(AND(TArticle[[#This Row],[مبلغ]]&gt;0, TArticle[[#This Row],[کد وضعیت سند]]=1),TArticle[[#This Row],[مبلغ]],0)</f>
        <v>0</v>
      </c>
      <c r="AC721" s="93">
        <f>IF(TArticle[[#This Row],[کد بانک]]&gt;0,VLOOKUP(TArticle[[#This Row],[کد بانک]],TBank[],9,FALSE)+SUMIF($Y$2:Y721,Y721,$E$2:$E721),"")</f>
        <v>757193</v>
      </c>
      <c r="AD721" s="1">
        <f>IFERROR(IF(INT(LEFT(TArticle[[#This Row],[شناسه]]))=3,IF(TArticle[[#This Row],[کد وضعیت سند]]=1,TArticle[مبلغ],0),0),0)</f>
        <v>0</v>
      </c>
      <c r="AE721" s="1">
        <f>IFERROR(IF(((TArticle[[#This Row],[شناسه]]))="4.1.1",IF(TArticle[[#This Row],[کد وضعیت سند]]=1,TArticle[مبلغ],0),0),0)</f>
        <v>0</v>
      </c>
      <c r="AF721" s="1">
        <f>IFERROR(IF(((TArticle[[#This Row],[شناسه]]))="4.1.2",IF(TArticle[[#This Row],[کد وضعیت سند]]=1,TArticle[مبلغ],0),0),0)</f>
        <v>0</v>
      </c>
      <c r="AG721" s="1">
        <f>IFERROR(IF(INT(LEFT(TArticle[[#This Row],[شناسه]]))=1,IF(TArticle[[#This Row],[کد وضعیت سند]]=1,TArticle[مبلغ],0),0),0)</f>
        <v>0</v>
      </c>
      <c r="AH721" s="1">
        <f>IFERROR(IF(INT(LEFT(TArticle[[#This Row],[شناسه]]))=2,IF(TArticle[[#This Row],[کد وضعیت سند]]=1,TArticle[مبلغ],0),0),0)</f>
        <v>0</v>
      </c>
      <c r="AI721" s="1">
        <f>IFERROR(IF((LEFT(TArticle[[#This Row],[شناسه]],3))="5.2",IF(TArticle[[#This Row],[کد وضعیت سند]]=1,TArticle[مبلغ],0),0),0)</f>
        <v>0</v>
      </c>
      <c r="AJ721" s="1">
        <f>IF(TArticle[[#This Row],[کد وضعیت سند]]=1,1,0)</f>
        <v>0</v>
      </c>
      <c r="AK721" s="1">
        <f>IF(AND(TArticle[[#This Row],[کد وضعیت سند]]&lt;&gt;1,TArticle[[#This Row],[مبلغ]]&lt;&gt;0),1,0)</f>
        <v>1</v>
      </c>
      <c r="AL721" s="78">
        <f>IF(TArticle[[#This Row],[کد بانک]]&gt;0,TArticle[[#This Row],[مانده بانک]]-VLOOKUP(TArticle[[#This Row],[کد بانک]],TBank[],7,FALSE),"")</f>
        <v>757193</v>
      </c>
      <c r="AM721" s="69" t="str">
        <f>LEFT(TArticle[[#This Row],[تاریخ]],7)</f>
        <v>1404-01</v>
      </c>
    </row>
    <row r="722" spans="1:39" x14ac:dyDescent="0.25">
      <c r="A722" s="24" t="s">
        <v>43</v>
      </c>
      <c r="B722" s="49" t="str">
        <f>VLOOKUP(TArticle[[#This Row],[شناسه]],TAccount[],2,TRUE)</f>
        <v>حقوق</v>
      </c>
      <c r="C722" s="49" t="str">
        <f>VLOOKUP(TArticle[[#This Row],[تاریخ]],TDays[],7,FALSE)</f>
        <v>دوشنبه</v>
      </c>
      <c r="D722" s="21" t="s">
        <v>1721</v>
      </c>
      <c r="E722" s="1">
        <v>50000</v>
      </c>
      <c r="F722" s="1">
        <f>TArticle[[#This Row],[مبلغ]]+IFERROR(INT(F721),30181+3667+958)</f>
        <v>765541</v>
      </c>
      <c r="G722" s="49"/>
      <c r="J722" s="51"/>
      <c r="K722" s="64">
        <v>2</v>
      </c>
      <c r="L722" s="171" t="str">
        <f>IF(TArticle[[#This Row],[کد وضعیت سند]]&gt;0,VLOOKUP(TArticle[[#This Row],[کد وضعیت سند]],TDocState[],2,FALSE),"")</f>
        <v>قطعی</v>
      </c>
      <c r="N722" s="171" t="str">
        <f>IF(TArticle[[#This Row],[کد طرف حساب]]&gt;0,VLOOKUP(TArticle[[#This Row],[کد طرف حساب]],TContact[],2,FALSE),"")</f>
        <v/>
      </c>
      <c r="O722" s="61" t="str">
        <f>IF(TArticle[[#This Row],[کد طرف حساب]]&gt;0,VLOOKUP(TArticle[[#This Row],[کد طرف حساب]],TContact[],7,FALSE)-SUMIF($M$2:M722,M722,$E$2:$E722),"")</f>
        <v/>
      </c>
      <c r="P722" s="27" t="str">
        <f>RIGHT(TArticle[[#This Row],[تاریخ]],2)</f>
        <v>01</v>
      </c>
      <c r="Q722" s="27">
        <f>VLOOKUP(TArticle[[#This Row],[تاریخ]],TDays[],16,FALSE)</f>
        <v>5</v>
      </c>
      <c r="R722" s="27" t="str">
        <f>RIGHT(LEFT(TArticle[[#This Row],[تاریخ]],7),2)</f>
        <v>02</v>
      </c>
      <c r="S722" s="27" t="str">
        <f>LEFT(TArticle[[#This Row],[تاریخ]],4)</f>
        <v>1404</v>
      </c>
      <c r="U722" s="21">
        <f>VLOOKUP(TArticle[[#This Row],[شناسه]],TAccount[],7,TRUE)</f>
        <v>416023</v>
      </c>
      <c r="W722" s="21">
        <f>IF(AND(TArticle[[#This Row],[مبلغ]]&gt;0, TArticle[[#This Row],[کد وضعیت سند]]=1),TArticle[[#This Row],[مبلغ]],0)</f>
        <v>0</v>
      </c>
      <c r="X722" s="21">
        <f>IF(AND(TArticle[[#This Row],[مبلغ]]&lt;0,TArticle[[#This Row],[کد وضعیت سند]]=1),0-TArticle[[#This Row],[مبلغ]],0)</f>
        <v>0</v>
      </c>
      <c r="Y722" s="27">
        <v>2</v>
      </c>
      <c r="Z722" s="171" t="str">
        <f>IF(TArticle[[#This Row],[کد بانک]]&gt;0,VLOOKUP(TArticle[[#This Row],[کد بانک]],TBank[],2,FALSE),"")</f>
        <v>ملی جاری</v>
      </c>
      <c r="AA722">
        <f>IF(AND(TArticle[[#This Row],[مبلغ]]&lt;0,TArticle[[#This Row],[کد وضعیت سند]]=1),0-TArticle[[#This Row],[مبلغ]],0)</f>
        <v>0</v>
      </c>
      <c r="AB722">
        <f>IF(AND(TArticle[[#This Row],[مبلغ]]&gt;0, TArticle[[#This Row],[کد وضعیت سند]]=1),TArticle[[#This Row],[مبلغ]],0)</f>
        <v>0</v>
      </c>
      <c r="AC722" s="92">
        <f>IF(TArticle[[#This Row],[کد بانک]]&gt;0,VLOOKUP(TArticle[[#This Row],[کد بانک]],TBank[],9,FALSE)+SUMIF($Y$2:Y722,Y722,$E$2:$E722),"")</f>
        <v>807193</v>
      </c>
      <c r="AD722" s="1">
        <f>IFERROR(IF(INT(LEFT(TArticle[[#This Row],[شناسه]]))=3,IF(TArticle[[#This Row],[کد وضعیت سند]]=1,TArticle[مبلغ],0),0),0)</f>
        <v>0</v>
      </c>
      <c r="AE722" s="1">
        <f>IFERROR(IF(((TArticle[[#This Row],[شناسه]]))="4.1.1",IF(TArticle[[#This Row],[کد وضعیت سند]]=1,TArticle[مبلغ],0),0),0)</f>
        <v>0</v>
      </c>
      <c r="AF722" s="1">
        <f>IFERROR(IF(((TArticle[[#This Row],[شناسه]]))="4.1.2",IF(TArticle[[#This Row],[کد وضعیت سند]]=1,TArticle[مبلغ],0),0),0)</f>
        <v>0</v>
      </c>
      <c r="AG722" s="1">
        <f>IFERROR(IF(INT(LEFT(TArticle[[#This Row],[شناسه]]))=1,IF(TArticle[[#This Row],[کد وضعیت سند]]=1,TArticle[مبلغ],0),0),0)</f>
        <v>0</v>
      </c>
      <c r="AH722" s="1">
        <f>IFERROR(IF(INT(LEFT(TArticle[[#This Row],[شناسه]]))=2,IF(TArticle[[#This Row],[کد وضعیت سند]]=1,TArticle[مبلغ],0),0),0)</f>
        <v>0</v>
      </c>
      <c r="AI722" s="1">
        <f>IFERROR(IF((LEFT(TArticle[[#This Row],[شناسه]],3))="5.2",IF(TArticle[[#This Row],[کد وضعیت سند]]=1,TArticle[مبلغ],0),0),0)</f>
        <v>0</v>
      </c>
      <c r="AJ722" s="1">
        <f>IF(TArticle[[#This Row],[کد وضعیت سند]]=1,1,0)</f>
        <v>0</v>
      </c>
      <c r="AK722" s="1">
        <f>IF(AND(TArticle[[#This Row],[کد وضعیت سند]]&lt;&gt;1,TArticle[[#This Row],[مبلغ]]&lt;&gt;0),1,0)</f>
        <v>1</v>
      </c>
      <c r="AL722" s="51">
        <f>IF(TArticle[[#This Row],[کد بانک]]&gt;0,TArticle[[#This Row],[مانده بانک]]-VLOOKUP(TArticle[[#This Row],[کد بانک]],TBank[],7,FALSE),"")</f>
        <v>807193</v>
      </c>
      <c r="AM722" s="58" t="str">
        <f>LEFT(TArticle[[#This Row],[تاریخ]],7)</f>
        <v>1404-02</v>
      </c>
    </row>
    <row r="723" spans="1:39" x14ac:dyDescent="0.25">
      <c r="A723" s="24" t="s">
        <v>1608</v>
      </c>
      <c r="B723" s="49" t="str">
        <f>VLOOKUP(TArticle[[#This Row],[شناسه]],TAccount[],2,TRUE)</f>
        <v>بن کارت</v>
      </c>
      <c r="C723" s="49" t="str">
        <f>VLOOKUP(TArticle[[#This Row],[تاریخ]],TDays[],7,FALSE)</f>
        <v>دوشنبه</v>
      </c>
      <c r="D723" s="21" t="s">
        <v>1721</v>
      </c>
      <c r="E723" s="1">
        <v>3600</v>
      </c>
      <c r="F723" s="1">
        <f>TArticle[[#This Row],[مبلغ]]+IFERROR(INT(F722),30181+3667+958)</f>
        <v>769141</v>
      </c>
      <c r="G723" s="49"/>
      <c r="H723" s="64"/>
      <c r="J723" s="65"/>
      <c r="K723" s="64">
        <v>2</v>
      </c>
      <c r="L723" s="171" t="str">
        <f>IF(TArticle[[#This Row],[کد وضعیت سند]]&gt;0,VLOOKUP(TArticle[[#This Row],[کد وضعیت سند]],TDocState[],2,FALSE),"")</f>
        <v>قطعی</v>
      </c>
      <c r="M723" s="67"/>
      <c r="N723" s="171" t="str">
        <f>IF(TArticle[[#This Row],[کد طرف حساب]]&gt;0,VLOOKUP(TArticle[[#This Row],[کد طرف حساب]],TContact[],2,FALSE),"")</f>
        <v/>
      </c>
      <c r="O723" s="68" t="str">
        <f>IF(TArticle[[#This Row],[کد طرف حساب]]&gt;0,VLOOKUP(TArticle[[#This Row],[کد طرف حساب]],TContact[],7,FALSE)-SUMIF($M$2:M723,M723,$E$2:$E723),"")</f>
        <v/>
      </c>
      <c r="P723" s="67" t="str">
        <f>RIGHT(TArticle[[#This Row],[تاریخ]],2)</f>
        <v>01</v>
      </c>
      <c r="Q723" s="67">
        <f>VLOOKUP(TArticle[[#This Row],[تاریخ]],TDays[],16,FALSE)</f>
        <v>5</v>
      </c>
      <c r="R723" s="67" t="str">
        <f>RIGHT(LEFT(TArticle[[#This Row],[تاریخ]],7),2)</f>
        <v>02</v>
      </c>
      <c r="S723" s="67" t="str">
        <f>LEFT(TArticle[[#This Row],[تاریخ]],4)</f>
        <v>1404</v>
      </c>
      <c r="T723" s="64"/>
      <c r="U723" s="64">
        <f>VLOOKUP(TArticle[[#This Row],[شناسه]],TAccount[],7,TRUE)</f>
        <v>3000</v>
      </c>
      <c r="V723" s="64"/>
      <c r="W723" s="64">
        <f>IF(AND(TArticle[[#This Row],[مبلغ]]&gt;0, TArticle[[#This Row],[کد وضعیت سند]]=1),TArticle[[#This Row],[مبلغ]],0)</f>
        <v>0</v>
      </c>
      <c r="X723" s="67">
        <f>IF(AND(TArticle[[#This Row],[مبلغ]]&lt;0,TArticle[[#This Row],[کد وضعیت سند]]=1),0-TArticle[[#This Row],[مبلغ]],0)</f>
        <v>0</v>
      </c>
      <c r="Y723" s="27">
        <v>2</v>
      </c>
      <c r="Z723" s="171" t="str">
        <f>IF(TArticle[[#This Row],[کد بانک]]&gt;0,VLOOKUP(TArticle[[#This Row],[کد بانک]],TBank[],2,FALSE),"")</f>
        <v>ملی جاری</v>
      </c>
      <c r="AA723">
        <f>IF(AND(TArticle[[#This Row],[مبلغ]]&lt;0,TArticle[[#This Row],[کد وضعیت سند]]=1),0-TArticle[[#This Row],[مبلغ]],0)</f>
        <v>0</v>
      </c>
      <c r="AB723">
        <f>IF(AND(TArticle[[#This Row],[مبلغ]]&gt;0, TArticle[[#This Row],[کد وضعیت سند]]=1),TArticle[[#This Row],[مبلغ]],0)</f>
        <v>0</v>
      </c>
      <c r="AC723" s="93">
        <f>IF(TArticle[[#This Row],[کد بانک]]&gt;0,VLOOKUP(TArticle[[#This Row],[کد بانک]],TBank[],9,FALSE)+SUMIF($Y$2:Y723,Y723,$E$2:$E723),"")</f>
        <v>810793</v>
      </c>
      <c r="AD723" s="1">
        <f>IFERROR(IF(INT(LEFT(TArticle[[#This Row],[شناسه]]))=3,IF(TArticle[[#This Row],[کد وضعیت سند]]=1,TArticle[مبلغ],0),0),0)</f>
        <v>0</v>
      </c>
      <c r="AE723" s="1">
        <f>IFERROR(IF(((TArticle[[#This Row],[شناسه]]))="4.1.1",IF(TArticle[[#This Row],[کد وضعیت سند]]=1,TArticle[مبلغ],0),0),0)</f>
        <v>0</v>
      </c>
      <c r="AF723" s="1">
        <f>IFERROR(IF(((TArticle[[#This Row],[شناسه]]))="4.1.2",IF(TArticle[[#This Row],[کد وضعیت سند]]=1,TArticle[مبلغ],0),0),0)</f>
        <v>0</v>
      </c>
      <c r="AG723" s="1">
        <f>IFERROR(IF(INT(LEFT(TArticle[[#This Row],[شناسه]]))=1,IF(TArticle[[#This Row],[کد وضعیت سند]]=1,TArticle[مبلغ],0),0),0)</f>
        <v>0</v>
      </c>
      <c r="AH723" s="1">
        <f>IFERROR(IF(INT(LEFT(TArticle[[#This Row],[شناسه]]))=2,IF(TArticle[[#This Row],[کد وضعیت سند]]=1,TArticle[مبلغ],0),0),0)</f>
        <v>0</v>
      </c>
      <c r="AI723" s="1">
        <f>IFERROR(IF((LEFT(TArticle[[#This Row],[شناسه]],3))="5.2",IF(TArticle[[#This Row],[کد وضعیت سند]]=1,TArticle[مبلغ],0),0),0)</f>
        <v>0</v>
      </c>
      <c r="AJ723" s="1">
        <f>IF(TArticle[[#This Row],[کد وضعیت سند]]=1,1,0)</f>
        <v>0</v>
      </c>
      <c r="AK723" s="1">
        <f>IF(AND(TArticle[[#This Row],[کد وضعیت سند]]&lt;&gt;1,TArticle[[#This Row],[مبلغ]]&lt;&gt;0),1,0)</f>
        <v>1</v>
      </c>
      <c r="AL723" s="78">
        <f>IF(TArticle[[#This Row],[کد بانک]]&gt;0,TArticle[[#This Row],[مانده بانک]]-VLOOKUP(TArticle[[#This Row],[کد بانک]],TBank[],7,FALSE),"")</f>
        <v>810793</v>
      </c>
      <c r="AM723" s="69" t="str">
        <f>LEFT(TArticle[[#This Row],[تاریخ]],7)</f>
        <v>1404-02</v>
      </c>
    </row>
    <row r="724" spans="1:39" x14ac:dyDescent="0.25">
      <c r="A724" s="24" t="s">
        <v>1110</v>
      </c>
      <c r="B724" s="49" t="str">
        <f>VLOOKUP(TArticle[[#This Row],[شناسه]],TAccount[],2,TRUE)</f>
        <v>قسط وام بانکی</v>
      </c>
      <c r="C724" s="49" t="str">
        <f>VLOOKUP(TArticle[[#This Row],[تاریخ]],TDays[],7,FALSE)</f>
        <v>چهارشنبه</v>
      </c>
      <c r="D724" s="21" t="s">
        <v>1723</v>
      </c>
      <c r="E724" s="1">
        <v>-1224</v>
      </c>
      <c r="F724" s="1">
        <f>TArticle[[#This Row],[مبلغ]]+IFERROR(INT(F723),30181+3667+958)</f>
        <v>767917</v>
      </c>
      <c r="G724" s="49"/>
      <c r="H724" s="21">
        <v>20</v>
      </c>
      <c r="K724" s="64">
        <v>2</v>
      </c>
      <c r="L724" s="171" t="str">
        <f>IF(TArticle[[#This Row],[کد وضعیت سند]]&gt;0,VLOOKUP(TArticle[[#This Row],[کد وضعیت سند]],TDocState[],2,FALSE),"")</f>
        <v>قطعی</v>
      </c>
      <c r="M724" s="27">
        <v>115</v>
      </c>
      <c r="N724" s="171" t="str">
        <f>IF(TArticle[[#This Row],[کد طرف حساب]]&gt;0,VLOOKUP(TArticle[[#This Row],[کد طرف حساب]],TContact[],2,FALSE),"")</f>
        <v>وام فرزند مهر</v>
      </c>
      <c r="O724" s="51">
        <f>IF(TArticle[[#This Row],[کد طرف حساب]]&gt;0,VLOOKUP(TArticle[[#This Row],[کد طرف حساب]],TContact[],7,FALSE)-SUMIF($M$2:M724,M724,$E$2:$E724),"")</f>
        <v>-37968</v>
      </c>
      <c r="P724" s="27" t="str">
        <f>RIGHT(TArticle[[#This Row],[تاریخ]],2)</f>
        <v>03</v>
      </c>
      <c r="Q724" s="27">
        <f>VLOOKUP(TArticle[[#This Row],[تاریخ]],TDays[],16,FALSE)</f>
        <v>6</v>
      </c>
      <c r="R724" s="27" t="str">
        <f>RIGHT(LEFT(TArticle[[#This Row],[تاریخ]],7),2)</f>
        <v>02</v>
      </c>
      <c r="S724" s="27" t="str">
        <f>LEFT(TArticle[[#This Row],[تاریخ]],4)</f>
        <v>1404</v>
      </c>
      <c r="U724" s="21">
        <f>VLOOKUP(TArticle[[#This Row],[شناسه]],TAccount[],7,TRUE)</f>
        <v>81652</v>
      </c>
      <c r="W724" s="21">
        <f>IF(AND(TArticle[[#This Row],[مبلغ]]&gt;0, TArticle[[#This Row],[کد وضعیت سند]]=1),TArticle[[#This Row],[مبلغ]],0)</f>
        <v>0</v>
      </c>
      <c r="X724" s="27">
        <f>IF(AND(TArticle[[#This Row],[مبلغ]]&lt;0,TArticle[[#This Row],[کد وضعیت سند]]=1),0-TArticle[[#This Row],[مبلغ]],0)</f>
        <v>0</v>
      </c>
      <c r="Y724" s="27">
        <v>2</v>
      </c>
      <c r="Z724" s="171" t="str">
        <f>IF(TArticle[[#This Row],[کد بانک]]&gt;0,VLOOKUP(TArticle[[#This Row],[کد بانک]],TBank[],2,FALSE),"")</f>
        <v>ملی جاری</v>
      </c>
      <c r="AA724">
        <f>IF(AND(TArticle[[#This Row],[مبلغ]]&lt;0,TArticle[[#This Row],[کد وضعیت سند]]=1),0-TArticle[[#This Row],[مبلغ]],0)</f>
        <v>0</v>
      </c>
      <c r="AB724">
        <f>IF(AND(TArticle[[#This Row],[مبلغ]]&gt;0, TArticle[[#This Row],[کد وضعیت سند]]=1),TArticle[[#This Row],[مبلغ]],0)</f>
        <v>0</v>
      </c>
      <c r="AC724" s="84">
        <f>IF(TArticle[[#This Row],[کد بانک]]&gt;0,VLOOKUP(TArticle[[#This Row],[کد بانک]],TBank[],9,FALSE)+SUMIF($Y$2:Y724,Y724,$E$2:$E724),"")</f>
        <v>809569</v>
      </c>
      <c r="AD724" s="1">
        <f>IFERROR(IF(INT(LEFT(TArticle[[#This Row],[شناسه]]))=3,IF(TArticle[[#This Row],[کد وضعیت سند]]=1,TArticle[مبلغ],0),0),0)</f>
        <v>0</v>
      </c>
      <c r="AE724" s="1">
        <f>IFERROR(IF(((TArticle[[#This Row],[شناسه]]))="4.1.1",IF(TArticle[[#This Row],[کد وضعیت سند]]=1,TArticle[مبلغ],0),0),0)</f>
        <v>0</v>
      </c>
      <c r="AF724" s="1">
        <f>IFERROR(IF(((TArticle[[#This Row],[شناسه]]))="4.1.2",IF(TArticle[[#This Row],[کد وضعیت سند]]=1,TArticle[مبلغ],0),0),0)</f>
        <v>0</v>
      </c>
      <c r="AG724" s="1">
        <f>IFERROR(IF(INT(LEFT(TArticle[[#This Row],[شناسه]]))=1,IF(TArticle[[#This Row],[کد وضعیت سند]]=1,TArticle[مبلغ],0),0),0)</f>
        <v>0</v>
      </c>
      <c r="AH724" s="1">
        <f>IFERROR(IF(INT(LEFT(TArticle[[#This Row],[شناسه]]))=2,IF(TArticle[[#This Row],[کد وضعیت سند]]=1,TArticle[مبلغ],0),0),0)</f>
        <v>0</v>
      </c>
      <c r="AI724" s="1">
        <f>IFERROR(IF((LEFT(TArticle[[#This Row],[شناسه]],3))="5.2",IF(TArticle[[#This Row],[کد وضعیت سند]]=1,TArticle[مبلغ],0),0),0)</f>
        <v>0</v>
      </c>
      <c r="AJ724" s="1">
        <f>IF(TArticle[[#This Row],[کد وضعیت سند]]=1,1,0)</f>
        <v>0</v>
      </c>
      <c r="AK724" s="1">
        <f>IF(AND(TArticle[[#This Row],[کد وضعیت سند]]&lt;&gt;1,TArticle[[#This Row],[مبلغ]]&lt;&gt;0),1,0)</f>
        <v>1</v>
      </c>
      <c r="AL724" s="51">
        <f>IF(TArticle[[#This Row],[کد بانک]]&gt;0,TArticle[[#This Row],[مانده بانک]]-VLOOKUP(TArticle[[#This Row],[کد بانک]],TBank[],7,FALSE),"")</f>
        <v>809569</v>
      </c>
      <c r="AM724" s="49" t="str">
        <f>LEFT(TArticle[[#This Row],[تاریخ]],7)</f>
        <v>1404-02</v>
      </c>
    </row>
    <row r="725" spans="1:39" x14ac:dyDescent="0.25">
      <c r="A725" s="24" t="s">
        <v>1110</v>
      </c>
      <c r="B725" s="49" t="str">
        <f>VLOOKUP(TArticle[[#This Row],[شناسه]],TAccount[],2,TRUE)</f>
        <v>قسط وام بانکی</v>
      </c>
      <c r="C725" s="49" t="str">
        <f>VLOOKUP(TArticle[[#This Row],[تاریخ]],TDays[],7,FALSE)</f>
        <v>سه شنبه</v>
      </c>
      <c r="D725" s="21" t="s">
        <v>1728</v>
      </c>
      <c r="E725" s="1">
        <f>'طرف حساب'!$J$29</f>
        <v>-3616</v>
      </c>
      <c r="F725" s="1">
        <f>TArticle[[#This Row],[مبلغ]]+IFERROR(INT(F724),30181+3667+958)</f>
        <v>764301</v>
      </c>
      <c r="G725" s="49"/>
      <c r="H725" s="21">
        <v>27</v>
      </c>
      <c r="J725" s="65"/>
      <c r="K725" s="64">
        <v>2</v>
      </c>
      <c r="L725" s="171" t="str">
        <f>IF(TArticle[[#This Row],[کد وضعیت سند]]&gt;0,VLOOKUP(TArticle[[#This Row],[کد وضعیت سند]],TDocState[],2,FALSE),"")</f>
        <v>قطعی</v>
      </c>
      <c r="M725" s="67">
        <v>114</v>
      </c>
      <c r="N725" s="171" t="str">
        <f>IF(TArticle[[#This Row],[کد طرف حساب]]&gt;0,VLOOKUP(TArticle[[#This Row],[کد طرف حساب]],TContact[],2,FALSE),"")</f>
        <v>وام کارت ملی ف</v>
      </c>
      <c r="O725" s="68">
        <f>IF(TArticle[[#This Row],[کد طرف حساب]]&gt;0,VLOOKUP(TArticle[[#This Row],[کد طرف حساب]],TContact[],7,FALSE)-SUMIF($M$2:M725,M725,$E$2:$E725),"")</f>
        <v>-33826</v>
      </c>
      <c r="P725" s="67" t="str">
        <f>RIGHT(TArticle[[#This Row],[تاریخ]],2)</f>
        <v>09</v>
      </c>
      <c r="Q725" s="67">
        <f>VLOOKUP(TArticle[[#This Row],[تاریخ]],TDays[],16,FALSE)</f>
        <v>6</v>
      </c>
      <c r="R725" s="67" t="str">
        <f>RIGHT(LEFT(TArticle[[#This Row],[تاریخ]],7),2)</f>
        <v>02</v>
      </c>
      <c r="S725" s="67" t="str">
        <f>LEFT(TArticle[[#This Row],[تاریخ]],4)</f>
        <v>1404</v>
      </c>
      <c r="T725" s="64"/>
      <c r="U725" s="64">
        <f>VLOOKUP(TArticle[[#This Row],[شناسه]],TAccount[],7,TRUE)</f>
        <v>81652</v>
      </c>
      <c r="V725" s="64"/>
      <c r="W725" s="64">
        <f>IF(AND(TArticle[[#This Row],[مبلغ]]&gt;0, TArticle[[#This Row],[کد وضعیت سند]]=1),TArticle[[#This Row],[مبلغ]],0)</f>
        <v>0</v>
      </c>
      <c r="X725" s="67">
        <f>IF(AND(TArticle[[#This Row],[مبلغ]]&lt;0,TArticle[[#This Row],[کد وضعیت سند]]=1),0-TArticle[[#This Row],[مبلغ]],0)</f>
        <v>0</v>
      </c>
      <c r="Y725" s="27">
        <v>2</v>
      </c>
      <c r="Z725" s="171" t="str">
        <f>IF(TArticle[[#This Row],[کد بانک]]&gt;0,VLOOKUP(TArticle[[#This Row],[کد بانک]],TBank[],2,FALSE),"")</f>
        <v>ملی جاری</v>
      </c>
      <c r="AA725">
        <f>IF(AND(TArticle[[#This Row],[مبلغ]]&lt;0,TArticle[[#This Row],[کد وضعیت سند]]=1),0-TArticle[[#This Row],[مبلغ]],0)</f>
        <v>0</v>
      </c>
      <c r="AB725">
        <f>IF(AND(TArticle[[#This Row],[مبلغ]]&gt;0, TArticle[[#This Row],[کد وضعیت سند]]=1),TArticle[[#This Row],[مبلغ]],0)</f>
        <v>0</v>
      </c>
      <c r="AC725" s="93">
        <f>IF(TArticle[[#This Row],[کد بانک]]&gt;0,VLOOKUP(TArticle[[#This Row],[کد بانک]],TBank[],9,FALSE)+SUMIF($Y$2:Y725,Y725,$E$2:$E725),"")</f>
        <v>805953</v>
      </c>
      <c r="AD725" s="1">
        <f>IFERROR(IF(INT(LEFT(TArticle[[#This Row],[شناسه]]))=3,IF(TArticle[[#This Row],[کد وضعیت سند]]=1,TArticle[مبلغ],0),0),0)</f>
        <v>0</v>
      </c>
      <c r="AE725" s="1">
        <f>IFERROR(IF(((TArticle[[#This Row],[شناسه]]))="4.1.1",IF(TArticle[[#This Row],[کد وضعیت سند]]=1,TArticle[مبلغ],0),0),0)</f>
        <v>0</v>
      </c>
      <c r="AF725" s="1">
        <f>IFERROR(IF(((TArticle[[#This Row],[شناسه]]))="4.1.2",IF(TArticle[[#This Row],[کد وضعیت سند]]=1,TArticle[مبلغ],0),0),0)</f>
        <v>0</v>
      </c>
      <c r="AG725" s="1">
        <f>IFERROR(IF(INT(LEFT(TArticle[[#This Row],[شناسه]]))=1,IF(TArticle[[#This Row],[کد وضعیت سند]]=1,TArticle[مبلغ],0),0),0)</f>
        <v>0</v>
      </c>
      <c r="AH725" s="1">
        <f>IFERROR(IF(INT(LEFT(TArticle[[#This Row],[شناسه]]))=2,IF(TArticle[[#This Row],[کد وضعیت سند]]=1,TArticle[مبلغ],0),0),0)</f>
        <v>0</v>
      </c>
      <c r="AI725" s="1">
        <f>IFERROR(IF((LEFT(TArticle[[#This Row],[شناسه]],3))="5.2",IF(TArticle[[#This Row],[کد وضعیت سند]]=1,TArticle[مبلغ],0),0),0)</f>
        <v>0</v>
      </c>
      <c r="AJ725" s="1">
        <f>IF(TArticle[[#This Row],[کد وضعیت سند]]=1,1,0)</f>
        <v>0</v>
      </c>
      <c r="AK725" s="1">
        <f>IF(AND(TArticle[[#This Row],[کد وضعیت سند]]&lt;&gt;1,TArticle[[#This Row],[مبلغ]]&lt;&gt;0),1,0)</f>
        <v>1</v>
      </c>
      <c r="AL725" s="78">
        <f>IF(TArticle[[#This Row],[کد بانک]]&gt;0,TArticle[[#This Row],[مانده بانک]]-VLOOKUP(TArticle[[#This Row],[کد بانک]],TBank[],7,FALSE),"")</f>
        <v>805953</v>
      </c>
      <c r="AM725" s="69" t="str">
        <f>LEFT(TArticle[[#This Row],[تاریخ]],7)</f>
        <v>1404-02</v>
      </c>
    </row>
    <row r="726" spans="1:39" x14ac:dyDescent="0.25">
      <c r="A726" s="24" t="s">
        <v>1013</v>
      </c>
      <c r="B726" s="49" t="str">
        <f>VLOOKUP(TArticle[[#This Row],[شناسه]],TAccount[],2,TRUE)</f>
        <v>یارانه</v>
      </c>
      <c r="C726" s="49" t="str">
        <f>VLOOKUP(TArticle[[#This Row],[تاریخ]],TDays[],7,FALSE)</f>
        <v>شنبه</v>
      </c>
      <c r="D726" s="21" t="s">
        <v>1739</v>
      </c>
      <c r="E726" s="1">
        <v>1500</v>
      </c>
      <c r="F726" s="1">
        <f>TArticle[[#This Row],[مبلغ]]+IFERROR(INT(F725),30181+3667+958)</f>
        <v>765801</v>
      </c>
      <c r="G726" s="49"/>
      <c r="H726" s="64"/>
      <c r="J726" s="65"/>
      <c r="K726" s="64">
        <v>2</v>
      </c>
      <c r="L726" s="171" t="str">
        <f>IF(TArticle[[#This Row],[کد وضعیت سند]]&gt;0,VLOOKUP(TArticle[[#This Row],[کد وضعیت سند]],TDocState[],2,FALSE),"")</f>
        <v>قطعی</v>
      </c>
      <c r="M726" s="67"/>
      <c r="N726" s="171" t="str">
        <f>IF(TArticle[[#This Row],[کد طرف حساب]]&gt;0,VLOOKUP(TArticle[[#This Row],[کد طرف حساب]],TContact[],2,FALSE),"")</f>
        <v/>
      </c>
      <c r="O726" s="68" t="str">
        <f>IF(TArticle[[#This Row],[کد طرف حساب]]&gt;0,VLOOKUP(TArticle[[#This Row],[کد طرف حساب]],TContact[],7,FALSE)-SUMIF($M$2:M726,M726,$E$2:$E726),"")</f>
        <v/>
      </c>
      <c r="P726" s="67" t="str">
        <f>RIGHT(TArticle[[#This Row],[تاریخ]],2)</f>
        <v>20</v>
      </c>
      <c r="Q726" s="67">
        <f>VLOOKUP(TArticle[[#This Row],[تاریخ]],TDays[],16,FALSE)</f>
        <v>8</v>
      </c>
      <c r="R726" s="67" t="str">
        <f>RIGHT(LEFT(TArticle[[#This Row],[تاریخ]],7),2)</f>
        <v>02</v>
      </c>
      <c r="S726" s="67" t="str">
        <f>LEFT(TArticle[[#This Row],[تاریخ]],4)</f>
        <v>1404</v>
      </c>
      <c r="T726" s="64"/>
      <c r="U726" s="64">
        <f>VLOOKUP(TArticle[[#This Row],[شناسه]],TAccount[],7,TRUE)</f>
        <v>12565</v>
      </c>
      <c r="V726" s="64"/>
      <c r="W726" s="64">
        <f>IF(AND(TArticle[[#This Row],[مبلغ]]&gt;0, TArticle[[#This Row],[کد وضعیت سند]]=1),TArticle[[#This Row],[مبلغ]],0)</f>
        <v>0</v>
      </c>
      <c r="X726" s="67">
        <f>IF(AND(TArticle[[#This Row],[مبلغ]]&lt;0,TArticle[[#This Row],[کد وضعیت سند]]=1),0-TArticle[[#This Row],[مبلغ]],0)</f>
        <v>0</v>
      </c>
      <c r="Y726" s="27">
        <v>2</v>
      </c>
      <c r="Z726" s="171" t="str">
        <f>IF(TArticle[[#This Row],[کد بانک]]&gt;0,VLOOKUP(TArticle[[#This Row],[کد بانک]],TBank[],2,FALSE),"")</f>
        <v>ملی جاری</v>
      </c>
      <c r="AA726">
        <f>IF(AND(TArticle[[#This Row],[مبلغ]]&lt;0,TArticle[[#This Row],[کد وضعیت سند]]=1),0-TArticle[[#This Row],[مبلغ]],0)</f>
        <v>0</v>
      </c>
      <c r="AB726">
        <f>IF(AND(TArticle[[#This Row],[مبلغ]]&gt;0, TArticle[[#This Row],[کد وضعیت سند]]=1),TArticle[[#This Row],[مبلغ]],0)</f>
        <v>0</v>
      </c>
      <c r="AC726" s="93">
        <f>IF(TArticle[[#This Row],[کد بانک]]&gt;0,VLOOKUP(TArticle[[#This Row],[کد بانک]],TBank[],9,FALSE)+SUMIF($Y$2:Y726,Y726,$E$2:$E726),"")</f>
        <v>807453</v>
      </c>
      <c r="AD726" s="1">
        <f>IFERROR(IF(INT(LEFT(TArticle[[#This Row],[شناسه]]))=3,IF(TArticle[[#This Row],[کد وضعیت سند]]=1,TArticle[مبلغ],0),0),0)</f>
        <v>0</v>
      </c>
      <c r="AE726" s="1">
        <f>IFERROR(IF(((TArticle[[#This Row],[شناسه]]))="4.1.1",IF(TArticle[[#This Row],[کد وضعیت سند]]=1,TArticle[مبلغ],0),0),0)</f>
        <v>0</v>
      </c>
      <c r="AF726" s="1">
        <f>IFERROR(IF(((TArticle[[#This Row],[شناسه]]))="4.1.2",IF(TArticle[[#This Row],[کد وضعیت سند]]=1,TArticle[مبلغ],0),0),0)</f>
        <v>0</v>
      </c>
      <c r="AG726" s="1">
        <f>IFERROR(IF(INT(LEFT(TArticle[[#This Row],[شناسه]]))=1,IF(TArticle[[#This Row],[کد وضعیت سند]]=1,TArticle[مبلغ],0),0),0)</f>
        <v>0</v>
      </c>
      <c r="AH726" s="1">
        <f>IFERROR(IF(INT(LEFT(TArticle[[#This Row],[شناسه]]))=2,IF(TArticle[[#This Row],[کد وضعیت سند]]=1,TArticle[مبلغ],0),0),0)</f>
        <v>0</v>
      </c>
      <c r="AI726" s="1">
        <f>IFERROR(IF((LEFT(TArticle[[#This Row],[شناسه]],3))="5.2",IF(TArticle[[#This Row],[کد وضعیت سند]]=1,TArticle[مبلغ],0),0),0)</f>
        <v>0</v>
      </c>
      <c r="AJ726" s="1">
        <f>IF(TArticle[[#This Row],[کد وضعیت سند]]=1,1,0)</f>
        <v>0</v>
      </c>
      <c r="AK726" s="1">
        <f>IF(AND(TArticle[[#This Row],[کد وضعیت سند]]&lt;&gt;1,TArticle[[#This Row],[مبلغ]]&lt;&gt;0),1,0)</f>
        <v>1</v>
      </c>
      <c r="AL726" s="78">
        <f>IF(TArticle[[#This Row],[کد بانک]]&gt;0,TArticle[[#This Row],[مانده بانک]]-VLOOKUP(TArticle[[#This Row],[کد بانک]],TBank[],7,FALSE),"")</f>
        <v>807453</v>
      </c>
      <c r="AM726" s="69" t="str">
        <f>LEFT(TArticle[[#This Row],[تاریخ]],7)</f>
        <v>1404-02</v>
      </c>
    </row>
    <row r="727" spans="1:39" x14ac:dyDescent="0.25">
      <c r="A727" s="24" t="s">
        <v>43</v>
      </c>
      <c r="B727" s="49" t="str">
        <f>VLOOKUP(TArticle[[#This Row],[شناسه]],TAccount[],2,TRUE)</f>
        <v>حقوق</v>
      </c>
      <c r="C727" s="49" t="str">
        <f>VLOOKUP(TArticle[[#This Row],[تاریخ]],TDays[],7,FALSE)</f>
        <v>پنجشنبه</v>
      </c>
      <c r="D727" s="21" t="s">
        <v>1751</v>
      </c>
      <c r="E727" s="1">
        <v>50000</v>
      </c>
      <c r="F727" s="1">
        <f>TArticle[[#This Row],[مبلغ]]+IFERROR(INT(F726),30181+3667+958)</f>
        <v>815801</v>
      </c>
      <c r="G727" s="49"/>
      <c r="K727" s="64">
        <v>2</v>
      </c>
      <c r="L727" s="171" t="str">
        <f>IF(TArticle[[#This Row],[کد وضعیت سند]]&gt;0,VLOOKUP(TArticle[[#This Row],[کد وضعیت سند]],TDocState[],2,FALSE),"")</f>
        <v>قطعی</v>
      </c>
      <c r="N727" s="171" t="str">
        <f>IF(TArticle[[#This Row],[کد طرف حساب]]&gt;0,VLOOKUP(TArticle[[#This Row],[کد طرف حساب]],TContact[],2,FALSE),"")</f>
        <v/>
      </c>
      <c r="O727" s="51" t="str">
        <f>IF(TArticle[[#This Row],[کد طرف حساب]]&gt;0,VLOOKUP(TArticle[[#This Row],[کد طرف حساب]],TContact[],7,FALSE)-SUMIF($M$2:M727,M727,$E$2:$E727),"")</f>
        <v/>
      </c>
      <c r="P727" s="27" t="str">
        <f>RIGHT(TArticle[[#This Row],[تاریخ]],2)</f>
        <v>01</v>
      </c>
      <c r="Q727" s="27">
        <f>VLOOKUP(TArticle[[#This Row],[تاریخ]],TDays[],16,FALSE)</f>
        <v>10</v>
      </c>
      <c r="R727" s="27" t="str">
        <f>RIGHT(LEFT(TArticle[[#This Row],[تاریخ]],7),2)</f>
        <v>03</v>
      </c>
      <c r="S727" s="27" t="str">
        <f>LEFT(TArticle[[#This Row],[تاریخ]],4)</f>
        <v>1404</v>
      </c>
      <c r="U727" s="21">
        <f>VLOOKUP(TArticle[[#This Row],[شناسه]],TAccount[],7,TRUE)</f>
        <v>416023</v>
      </c>
      <c r="W727" s="21">
        <f>IF(AND(TArticle[[#This Row],[مبلغ]]&gt;0, TArticle[[#This Row],[کد وضعیت سند]]=1),TArticle[[#This Row],[مبلغ]],0)</f>
        <v>0</v>
      </c>
      <c r="X727" s="27">
        <f>IF(AND(TArticle[[#This Row],[مبلغ]]&lt;0,TArticle[[#This Row],[کد وضعیت سند]]=1),0-TArticle[[#This Row],[مبلغ]],0)</f>
        <v>0</v>
      </c>
      <c r="Y727" s="27">
        <v>2</v>
      </c>
      <c r="Z727" s="171" t="str">
        <f>IF(TArticle[[#This Row],[کد بانک]]&gt;0,VLOOKUP(TArticle[[#This Row],[کد بانک]],TBank[],2,FALSE),"")</f>
        <v>ملی جاری</v>
      </c>
      <c r="AA727">
        <f>IF(AND(TArticle[[#This Row],[مبلغ]]&lt;0,TArticle[[#This Row],[کد وضعیت سند]]=1),0-TArticle[[#This Row],[مبلغ]],0)</f>
        <v>0</v>
      </c>
      <c r="AB727">
        <f>IF(AND(TArticle[[#This Row],[مبلغ]]&gt;0, TArticle[[#This Row],[کد وضعیت سند]]=1),TArticle[[#This Row],[مبلغ]],0)</f>
        <v>0</v>
      </c>
      <c r="AC727" s="84">
        <f>IF(TArticle[[#This Row],[کد بانک]]&gt;0,VLOOKUP(TArticle[[#This Row],[کد بانک]],TBank[],9,FALSE)+SUMIF($Y$2:Y727,Y727,$E$2:$E727),"")</f>
        <v>857453</v>
      </c>
      <c r="AD727" s="1">
        <f>IFERROR(IF(INT(LEFT(TArticle[[#This Row],[شناسه]]))=3,IF(TArticle[[#This Row],[کد وضعیت سند]]=1,TArticle[مبلغ],0),0),0)</f>
        <v>0</v>
      </c>
      <c r="AE727" s="1">
        <f>IFERROR(IF(((TArticle[[#This Row],[شناسه]]))="4.1.1",IF(TArticle[[#This Row],[کد وضعیت سند]]=1,TArticle[مبلغ],0),0),0)</f>
        <v>0</v>
      </c>
      <c r="AF727" s="1">
        <f>IFERROR(IF(((TArticle[[#This Row],[شناسه]]))="4.1.2",IF(TArticle[[#This Row],[کد وضعیت سند]]=1,TArticle[مبلغ],0),0),0)</f>
        <v>0</v>
      </c>
      <c r="AG727" s="1">
        <f>IFERROR(IF(INT(LEFT(TArticle[[#This Row],[شناسه]]))=1,IF(TArticle[[#This Row],[کد وضعیت سند]]=1,TArticle[مبلغ],0),0),0)</f>
        <v>0</v>
      </c>
      <c r="AH727" s="1">
        <f>IFERROR(IF(INT(LEFT(TArticle[[#This Row],[شناسه]]))=2,IF(TArticle[[#This Row],[کد وضعیت سند]]=1,TArticle[مبلغ],0),0),0)</f>
        <v>0</v>
      </c>
      <c r="AI727" s="1">
        <f>IFERROR(IF((LEFT(TArticle[[#This Row],[شناسه]],3))="5.2",IF(TArticle[[#This Row],[کد وضعیت سند]]=1,TArticle[مبلغ],0),0),0)</f>
        <v>0</v>
      </c>
      <c r="AJ727" s="1">
        <f>IF(TArticle[[#This Row],[کد وضعیت سند]]=1,1,0)</f>
        <v>0</v>
      </c>
      <c r="AK727" s="1">
        <f>IF(AND(TArticle[[#This Row],[کد وضعیت سند]]&lt;&gt;1,TArticle[[#This Row],[مبلغ]]&lt;&gt;0),1,0)</f>
        <v>1</v>
      </c>
      <c r="AL727" s="51">
        <f>IF(TArticle[[#This Row],[کد بانک]]&gt;0,TArticle[[#This Row],[مانده بانک]]-VLOOKUP(TArticle[[#This Row],[کد بانک]],TBank[],7,FALSE),"")</f>
        <v>857453</v>
      </c>
      <c r="AM727" s="49" t="str">
        <f>LEFT(TArticle[[#This Row],[تاریخ]],7)</f>
        <v>1404-03</v>
      </c>
    </row>
    <row r="728" spans="1:39" x14ac:dyDescent="0.25">
      <c r="A728" s="24" t="s">
        <v>1608</v>
      </c>
      <c r="B728" s="49" t="str">
        <f>VLOOKUP(TArticle[[#This Row],[شناسه]],TAccount[],2,TRUE)</f>
        <v>بن کارت</v>
      </c>
      <c r="C728" s="49" t="str">
        <f>VLOOKUP(TArticle[[#This Row],[تاریخ]],TDays[],7,FALSE)</f>
        <v>پنجشنبه</v>
      </c>
      <c r="D728" s="21" t="s">
        <v>1751</v>
      </c>
      <c r="E728" s="1">
        <v>3600</v>
      </c>
      <c r="F728" s="1">
        <f>TArticle[[#This Row],[مبلغ]]+IFERROR(INT(F727),30181+3667+958)</f>
        <v>819401</v>
      </c>
      <c r="G728" s="49"/>
      <c r="H728" s="64"/>
      <c r="J728" s="65"/>
      <c r="K728" s="64">
        <v>2</v>
      </c>
      <c r="L728" s="171" t="str">
        <f>IF(TArticle[[#This Row],[کد وضعیت سند]]&gt;0,VLOOKUP(TArticle[[#This Row],[کد وضعیت سند]],TDocState[],2,FALSE),"")</f>
        <v>قطعی</v>
      </c>
      <c r="M728" s="67"/>
      <c r="N728" s="171" t="str">
        <f>IF(TArticle[[#This Row],[کد طرف حساب]]&gt;0,VLOOKUP(TArticle[[#This Row],[کد طرف حساب]],TContact[],2,FALSE),"")</f>
        <v/>
      </c>
      <c r="O728" s="68" t="str">
        <f>IF(TArticle[[#This Row],[کد طرف حساب]]&gt;0,VLOOKUP(TArticle[[#This Row],[کد طرف حساب]],TContact[],7,FALSE)-SUMIF($M$2:M728,M728,$E$2:$E728),"")</f>
        <v/>
      </c>
      <c r="P728" s="67" t="str">
        <f>RIGHT(TArticle[[#This Row],[تاریخ]],2)</f>
        <v>01</v>
      </c>
      <c r="Q728" s="67">
        <f>VLOOKUP(TArticle[[#This Row],[تاریخ]],TDays[],16,FALSE)</f>
        <v>10</v>
      </c>
      <c r="R728" s="67" t="str">
        <f>RIGHT(LEFT(TArticle[[#This Row],[تاریخ]],7),2)</f>
        <v>03</v>
      </c>
      <c r="S728" s="67" t="str">
        <f>LEFT(TArticle[[#This Row],[تاریخ]],4)</f>
        <v>1404</v>
      </c>
      <c r="T728" s="64"/>
      <c r="U728" s="64">
        <f>VLOOKUP(TArticle[[#This Row],[شناسه]],TAccount[],7,TRUE)</f>
        <v>3000</v>
      </c>
      <c r="V728" s="64"/>
      <c r="W728" s="64">
        <f>IF(AND(TArticle[[#This Row],[مبلغ]]&gt;0, TArticle[[#This Row],[کد وضعیت سند]]=1),TArticle[[#This Row],[مبلغ]],0)</f>
        <v>0</v>
      </c>
      <c r="X728" s="67">
        <f>IF(AND(TArticle[[#This Row],[مبلغ]]&lt;0,TArticle[[#This Row],[کد وضعیت سند]]=1),0-TArticle[[#This Row],[مبلغ]],0)</f>
        <v>0</v>
      </c>
      <c r="Y728" s="27">
        <v>2</v>
      </c>
      <c r="Z728" s="171" t="str">
        <f>IF(TArticle[[#This Row],[کد بانک]]&gt;0,VLOOKUP(TArticle[[#This Row],[کد بانک]],TBank[],2,FALSE),"")</f>
        <v>ملی جاری</v>
      </c>
      <c r="AA728">
        <f>IF(AND(TArticle[[#This Row],[مبلغ]]&lt;0,TArticle[[#This Row],[کد وضعیت سند]]=1),0-TArticle[[#This Row],[مبلغ]],0)</f>
        <v>0</v>
      </c>
      <c r="AB728">
        <f>IF(AND(TArticle[[#This Row],[مبلغ]]&gt;0, TArticle[[#This Row],[کد وضعیت سند]]=1),TArticle[[#This Row],[مبلغ]],0)</f>
        <v>0</v>
      </c>
      <c r="AC728" s="93">
        <f>IF(TArticle[[#This Row],[کد بانک]]&gt;0,VLOOKUP(TArticle[[#This Row],[کد بانک]],TBank[],9,FALSE)+SUMIF($Y$2:Y728,Y728,$E$2:$E728),"")</f>
        <v>861053</v>
      </c>
      <c r="AD728" s="1">
        <f>IFERROR(IF(INT(LEFT(TArticle[[#This Row],[شناسه]]))=3,IF(TArticle[[#This Row],[کد وضعیت سند]]=1,TArticle[مبلغ],0),0),0)</f>
        <v>0</v>
      </c>
      <c r="AE728" s="1">
        <f>IFERROR(IF(((TArticle[[#This Row],[شناسه]]))="4.1.1",IF(TArticle[[#This Row],[کد وضعیت سند]]=1,TArticle[مبلغ],0),0),0)</f>
        <v>0</v>
      </c>
      <c r="AF728" s="1">
        <f>IFERROR(IF(((TArticle[[#This Row],[شناسه]]))="4.1.2",IF(TArticle[[#This Row],[کد وضعیت سند]]=1,TArticle[مبلغ],0),0),0)</f>
        <v>0</v>
      </c>
      <c r="AG728" s="1">
        <f>IFERROR(IF(INT(LEFT(TArticle[[#This Row],[شناسه]]))=1,IF(TArticle[[#This Row],[کد وضعیت سند]]=1,TArticle[مبلغ],0),0),0)</f>
        <v>0</v>
      </c>
      <c r="AH728" s="1">
        <f>IFERROR(IF(INT(LEFT(TArticle[[#This Row],[شناسه]]))=2,IF(TArticle[[#This Row],[کد وضعیت سند]]=1,TArticle[مبلغ],0),0),0)</f>
        <v>0</v>
      </c>
      <c r="AI728" s="1">
        <f>IFERROR(IF((LEFT(TArticle[[#This Row],[شناسه]],3))="5.2",IF(TArticle[[#This Row],[کد وضعیت سند]]=1,TArticle[مبلغ],0),0),0)</f>
        <v>0</v>
      </c>
      <c r="AJ728" s="1">
        <f>IF(TArticle[[#This Row],[کد وضعیت سند]]=1,1,0)</f>
        <v>0</v>
      </c>
      <c r="AK728" s="1">
        <f>IF(AND(TArticle[[#This Row],[کد وضعیت سند]]&lt;&gt;1,TArticle[[#This Row],[مبلغ]]&lt;&gt;0),1,0)</f>
        <v>1</v>
      </c>
      <c r="AL728" s="78">
        <f>IF(TArticle[[#This Row],[کد بانک]]&gt;0,TArticle[[#This Row],[مانده بانک]]-VLOOKUP(TArticle[[#This Row],[کد بانک]],TBank[],7,FALSE),"")</f>
        <v>861053</v>
      </c>
      <c r="AM728" s="69" t="str">
        <f>LEFT(TArticle[[#This Row],[تاریخ]],7)</f>
        <v>1404-03</v>
      </c>
    </row>
    <row r="729" spans="1:39" x14ac:dyDescent="0.25">
      <c r="A729" s="24" t="s">
        <v>1110</v>
      </c>
      <c r="B729" s="49" t="str">
        <f>VLOOKUP(TArticle[[#This Row],[شناسه]],TAccount[],2,TRUE)</f>
        <v>قسط وام بانکی</v>
      </c>
      <c r="C729" s="49" t="str">
        <f>VLOOKUP(TArticle[[#This Row],[تاریخ]],TDays[],7,FALSE)</f>
        <v>شنبه</v>
      </c>
      <c r="D729" s="21" t="s">
        <v>1753</v>
      </c>
      <c r="E729" s="1">
        <v>-1224</v>
      </c>
      <c r="F729" s="1">
        <f>TArticle[[#This Row],[مبلغ]]+IFERROR(INT(F728),30181+3667+958)</f>
        <v>818177</v>
      </c>
      <c r="G729" s="49"/>
      <c r="H729" s="21">
        <v>21</v>
      </c>
      <c r="K729" s="64">
        <v>2</v>
      </c>
      <c r="L729" s="171" t="str">
        <f>IF(TArticle[[#This Row],[کد وضعیت سند]]&gt;0,VLOOKUP(TArticle[[#This Row],[کد وضعیت سند]],TDocState[],2,FALSE),"")</f>
        <v>قطعی</v>
      </c>
      <c r="M729" s="27">
        <v>115</v>
      </c>
      <c r="N729" s="171" t="str">
        <f>IF(TArticle[[#This Row],[کد طرف حساب]]&gt;0,VLOOKUP(TArticle[[#This Row],[کد طرف حساب]],TContact[],2,FALSE),"")</f>
        <v>وام فرزند مهر</v>
      </c>
      <c r="O729" s="51">
        <f>IF(TArticle[[#This Row],[کد طرف حساب]]&gt;0,VLOOKUP(TArticle[[#This Row],[کد طرف حساب]],TContact[],7,FALSE)-SUMIF($M$2:M729,M729,$E$2:$E729),"")</f>
        <v>-36744</v>
      </c>
      <c r="P729" s="27" t="str">
        <f>RIGHT(TArticle[[#This Row],[تاریخ]],2)</f>
        <v>03</v>
      </c>
      <c r="Q729" s="27">
        <f>VLOOKUP(TArticle[[#This Row],[تاریخ]],TDays[],16,FALSE)</f>
        <v>10</v>
      </c>
      <c r="R729" s="27" t="str">
        <f>RIGHT(LEFT(TArticle[[#This Row],[تاریخ]],7),2)</f>
        <v>03</v>
      </c>
      <c r="S729" s="27" t="str">
        <f>LEFT(TArticle[[#This Row],[تاریخ]],4)</f>
        <v>1404</v>
      </c>
      <c r="U729" s="21">
        <f>VLOOKUP(TArticle[[#This Row],[شناسه]],TAccount[],7,TRUE)</f>
        <v>81652</v>
      </c>
      <c r="W729" s="21">
        <f>IF(AND(TArticle[[#This Row],[مبلغ]]&gt;0, TArticle[[#This Row],[کد وضعیت سند]]=1),TArticle[[#This Row],[مبلغ]],0)</f>
        <v>0</v>
      </c>
      <c r="X729" s="27">
        <f>IF(AND(TArticle[[#This Row],[مبلغ]]&lt;0,TArticle[[#This Row],[کد وضعیت سند]]=1),0-TArticle[[#This Row],[مبلغ]],0)</f>
        <v>0</v>
      </c>
      <c r="Y729" s="27">
        <v>2</v>
      </c>
      <c r="Z729" s="171" t="str">
        <f>IF(TArticle[[#This Row],[کد بانک]]&gt;0,VLOOKUP(TArticle[[#This Row],[کد بانک]],TBank[],2,FALSE),"")</f>
        <v>ملی جاری</v>
      </c>
      <c r="AA729">
        <f>IF(AND(TArticle[[#This Row],[مبلغ]]&lt;0,TArticle[[#This Row],[کد وضعیت سند]]=1),0-TArticle[[#This Row],[مبلغ]],0)</f>
        <v>0</v>
      </c>
      <c r="AB729">
        <f>IF(AND(TArticle[[#This Row],[مبلغ]]&gt;0, TArticle[[#This Row],[کد وضعیت سند]]=1),TArticle[[#This Row],[مبلغ]],0)</f>
        <v>0</v>
      </c>
      <c r="AC729" s="84">
        <f>IF(TArticle[[#This Row],[کد بانک]]&gt;0,VLOOKUP(TArticle[[#This Row],[کد بانک]],TBank[],9,FALSE)+SUMIF($Y$2:Y729,Y729,$E$2:$E729),"")</f>
        <v>859829</v>
      </c>
      <c r="AD729" s="1">
        <f>IFERROR(IF(INT(LEFT(TArticle[[#This Row],[شناسه]]))=3,IF(TArticle[[#This Row],[کد وضعیت سند]]=1,TArticle[مبلغ],0),0),0)</f>
        <v>0</v>
      </c>
      <c r="AE729" s="1">
        <f>IFERROR(IF(((TArticle[[#This Row],[شناسه]]))="4.1.1",IF(TArticle[[#This Row],[کد وضعیت سند]]=1,TArticle[مبلغ],0),0),0)</f>
        <v>0</v>
      </c>
      <c r="AF729" s="1">
        <f>IFERROR(IF(((TArticle[[#This Row],[شناسه]]))="4.1.2",IF(TArticle[[#This Row],[کد وضعیت سند]]=1,TArticle[مبلغ],0),0),0)</f>
        <v>0</v>
      </c>
      <c r="AG729" s="1">
        <f>IFERROR(IF(INT(LEFT(TArticle[[#This Row],[شناسه]]))=1,IF(TArticle[[#This Row],[کد وضعیت سند]]=1,TArticle[مبلغ],0),0),0)</f>
        <v>0</v>
      </c>
      <c r="AH729" s="1">
        <f>IFERROR(IF(INT(LEFT(TArticle[[#This Row],[شناسه]]))=2,IF(TArticle[[#This Row],[کد وضعیت سند]]=1,TArticle[مبلغ],0),0),0)</f>
        <v>0</v>
      </c>
      <c r="AI729" s="1">
        <f>IFERROR(IF((LEFT(TArticle[[#This Row],[شناسه]],3))="5.2",IF(TArticle[[#This Row],[کد وضعیت سند]]=1,TArticle[مبلغ],0),0),0)</f>
        <v>0</v>
      </c>
      <c r="AJ729" s="1">
        <f>IF(TArticle[[#This Row],[کد وضعیت سند]]=1,1,0)</f>
        <v>0</v>
      </c>
      <c r="AK729" s="1">
        <f>IF(AND(TArticle[[#This Row],[کد وضعیت سند]]&lt;&gt;1,TArticle[[#This Row],[مبلغ]]&lt;&gt;0),1,0)</f>
        <v>1</v>
      </c>
      <c r="AL729" s="51">
        <f>IF(TArticle[[#This Row],[کد بانک]]&gt;0,TArticle[[#This Row],[مانده بانک]]-VLOOKUP(TArticle[[#This Row],[کد بانک]],TBank[],7,FALSE),"")</f>
        <v>859829</v>
      </c>
      <c r="AM729" s="49" t="str">
        <f>LEFT(TArticle[[#This Row],[تاریخ]],7)</f>
        <v>1404-03</v>
      </c>
    </row>
    <row r="730" spans="1:39" x14ac:dyDescent="0.25">
      <c r="A730" s="24" t="s">
        <v>1110</v>
      </c>
      <c r="B730" s="49" t="str">
        <f>VLOOKUP(TArticle[[#This Row],[شناسه]],TAccount[],2,TRUE)</f>
        <v>قسط وام بانکی</v>
      </c>
      <c r="C730" s="49" t="str">
        <f>VLOOKUP(TArticle[[#This Row],[تاریخ]],TDays[],7,FALSE)</f>
        <v>جمعه</v>
      </c>
      <c r="D730" s="21" t="s">
        <v>1758</v>
      </c>
      <c r="E730" s="1">
        <f>'طرف حساب'!$J$29</f>
        <v>-3616</v>
      </c>
      <c r="F730" s="1">
        <f>TArticle[[#This Row],[مبلغ]]+IFERROR(INT(F729),30181+3667+958)</f>
        <v>814561</v>
      </c>
      <c r="G730" s="49"/>
      <c r="H730" s="21">
        <v>28</v>
      </c>
      <c r="J730" s="51"/>
      <c r="K730" s="64">
        <v>2</v>
      </c>
      <c r="L730" s="171" t="str">
        <f>IF(TArticle[[#This Row],[کد وضعیت سند]]&gt;0,VLOOKUP(TArticle[[#This Row],[کد وضعیت سند]],TDocState[],2,FALSE),"")</f>
        <v>قطعی</v>
      </c>
      <c r="M730" s="67">
        <v>114</v>
      </c>
      <c r="N730" s="171" t="str">
        <f>IF(TArticle[[#This Row],[کد طرف حساب]]&gt;0,VLOOKUP(TArticle[[#This Row],[کد طرف حساب]],TContact[],2,FALSE),"")</f>
        <v>وام کارت ملی ف</v>
      </c>
      <c r="O730" s="60">
        <f>IF(TArticle[[#This Row],[کد طرف حساب]]&gt;0,VLOOKUP(TArticle[[#This Row],[کد طرف حساب]],TContact[],7,FALSE)-SUMIF($M$2:M730,M730,$E$2:$E730),"")</f>
        <v>-30210</v>
      </c>
      <c r="P730" s="27" t="str">
        <f>RIGHT(TArticle[[#This Row],[تاریخ]],2)</f>
        <v>09</v>
      </c>
      <c r="Q730" s="27">
        <f>VLOOKUP(TArticle[[#This Row],[تاریخ]],TDays[],16,FALSE)</f>
        <v>11</v>
      </c>
      <c r="R730" s="27" t="str">
        <f>RIGHT(LEFT(TArticle[[#This Row],[تاریخ]],7),2)</f>
        <v>03</v>
      </c>
      <c r="S730" s="27" t="str">
        <f>LEFT(TArticle[[#This Row],[تاریخ]],4)</f>
        <v>1404</v>
      </c>
      <c r="U730" s="21">
        <f>VLOOKUP(TArticle[[#This Row],[شناسه]],TAccount[],7,TRUE)</f>
        <v>81652</v>
      </c>
      <c r="W730" s="21">
        <f>IF(AND(TArticle[[#This Row],[مبلغ]]&gt;0, TArticle[[#This Row],[کد وضعیت سند]]=1),TArticle[[#This Row],[مبلغ]],0)</f>
        <v>0</v>
      </c>
      <c r="X730" s="27">
        <f>IF(AND(TArticle[[#This Row],[مبلغ]]&lt;0,TArticle[[#This Row],[کد وضعیت سند]]=1),0-TArticle[[#This Row],[مبلغ]],0)</f>
        <v>0</v>
      </c>
      <c r="Y730" s="27">
        <v>2</v>
      </c>
      <c r="Z730" s="171" t="str">
        <f>IF(TArticle[[#This Row],[کد بانک]]&gt;0,VLOOKUP(TArticle[[#This Row],[کد بانک]],TBank[],2,FALSE),"")</f>
        <v>ملی جاری</v>
      </c>
      <c r="AA730">
        <f>IF(AND(TArticle[[#This Row],[مبلغ]]&lt;0,TArticle[[#This Row],[کد وضعیت سند]]=1),0-TArticle[[#This Row],[مبلغ]],0)</f>
        <v>0</v>
      </c>
      <c r="AB730">
        <f>IF(AND(TArticle[[#This Row],[مبلغ]]&gt;0, TArticle[[#This Row],[کد وضعیت سند]]=1),TArticle[[#This Row],[مبلغ]],0)</f>
        <v>0</v>
      </c>
      <c r="AC730" s="92">
        <f>IF(TArticle[[#This Row],[کد بانک]]&gt;0,VLOOKUP(TArticle[[#This Row],[کد بانک]],TBank[],9,FALSE)+SUMIF($Y$2:Y730,Y730,$E$2:$E730),"")</f>
        <v>856213</v>
      </c>
      <c r="AD730" s="1">
        <f>IFERROR(IF(INT(LEFT(TArticle[[#This Row],[شناسه]]))=3,IF(TArticle[[#This Row],[کد وضعیت سند]]=1,TArticle[مبلغ],0),0),0)</f>
        <v>0</v>
      </c>
      <c r="AE730" s="1">
        <f>IFERROR(IF(((TArticle[[#This Row],[شناسه]]))="4.1.1",IF(TArticle[[#This Row],[کد وضعیت سند]]=1,TArticle[مبلغ],0),0),0)</f>
        <v>0</v>
      </c>
      <c r="AF730" s="1">
        <f>IFERROR(IF(((TArticle[[#This Row],[شناسه]]))="4.1.2",IF(TArticle[[#This Row],[کد وضعیت سند]]=1,TArticle[مبلغ],0),0),0)</f>
        <v>0</v>
      </c>
      <c r="AG730" s="1">
        <f>IFERROR(IF(INT(LEFT(TArticle[[#This Row],[شناسه]]))=1,IF(TArticle[[#This Row],[کد وضعیت سند]]=1,TArticle[مبلغ],0),0),0)</f>
        <v>0</v>
      </c>
      <c r="AH730" s="1">
        <f>IFERROR(IF(INT(LEFT(TArticle[[#This Row],[شناسه]]))=2,IF(TArticle[[#This Row],[کد وضعیت سند]]=1,TArticle[مبلغ],0),0),0)</f>
        <v>0</v>
      </c>
      <c r="AI730" s="1">
        <f>IFERROR(IF((LEFT(TArticle[[#This Row],[شناسه]],3))="5.2",IF(TArticle[[#This Row],[کد وضعیت سند]]=1,TArticle[مبلغ],0),0),0)</f>
        <v>0</v>
      </c>
      <c r="AJ730" s="1">
        <f>IF(TArticle[[#This Row],[کد وضعیت سند]]=1,1,0)</f>
        <v>0</v>
      </c>
      <c r="AK730" s="1">
        <f>IF(AND(TArticle[[#This Row],[کد وضعیت سند]]&lt;&gt;1,TArticle[[#This Row],[مبلغ]]&lt;&gt;0),1,0)</f>
        <v>1</v>
      </c>
      <c r="AL730" s="51">
        <f>IF(TArticle[[#This Row],[کد بانک]]&gt;0,TArticle[[#This Row],[مانده بانک]]-VLOOKUP(TArticle[[#This Row],[کد بانک]],TBank[],7,FALSE),"")</f>
        <v>856213</v>
      </c>
      <c r="AM730" s="58" t="str">
        <f>LEFT(TArticle[[#This Row],[تاریخ]],7)</f>
        <v>1404-03</v>
      </c>
    </row>
    <row r="731" spans="1:39" x14ac:dyDescent="0.25">
      <c r="A731" s="24" t="s">
        <v>1013</v>
      </c>
      <c r="B731" s="49" t="str">
        <f>VLOOKUP(TArticle[[#This Row],[شناسه]],TAccount[],2,TRUE)</f>
        <v>یارانه</v>
      </c>
      <c r="C731" s="49" t="str">
        <f>VLOOKUP(TArticle[[#This Row],[تاریخ]],TDays[],7,FALSE)</f>
        <v>سه شنبه</v>
      </c>
      <c r="D731" s="21" t="s">
        <v>1769</v>
      </c>
      <c r="E731" s="1">
        <v>1500</v>
      </c>
      <c r="F731" s="1">
        <f>TArticle[[#This Row],[مبلغ]]+IFERROR(INT(F730),30181+3667+958)</f>
        <v>816061</v>
      </c>
      <c r="G731" s="49"/>
      <c r="H731" s="64"/>
      <c r="J731" s="65"/>
      <c r="K731" s="64">
        <v>2</v>
      </c>
      <c r="L731" s="171" t="str">
        <f>IF(TArticle[[#This Row],[کد وضعیت سند]]&gt;0,VLOOKUP(TArticle[[#This Row],[کد وضعیت سند]],TDocState[],2,FALSE),"")</f>
        <v>قطعی</v>
      </c>
      <c r="M731" s="67"/>
      <c r="N731" s="171" t="str">
        <f>IF(TArticle[[#This Row],[کد طرف حساب]]&gt;0,VLOOKUP(TArticle[[#This Row],[کد طرف حساب]],TContact[],2,FALSE),"")</f>
        <v/>
      </c>
      <c r="O731" s="68" t="str">
        <f>IF(TArticle[[#This Row],[کد طرف حساب]]&gt;0,VLOOKUP(TArticle[[#This Row],[کد طرف حساب]],TContact[],7,FALSE)-SUMIF($M$2:M731,M731,$E$2:$E731),"")</f>
        <v/>
      </c>
      <c r="P731" s="67" t="str">
        <f>RIGHT(TArticle[[#This Row],[تاریخ]],2)</f>
        <v>20</v>
      </c>
      <c r="Q731" s="67">
        <f>VLOOKUP(TArticle[[#This Row],[تاریخ]],TDays[],16,FALSE)</f>
        <v>12</v>
      </c>
      <c r="R731" s="67" t="str">
        <f>RIGHT(LEFT(TArticle[[#This Row],[تاریخ]],7),2)</f>
        <v>03</v>
      </c>
      <c r="S731" s="67" t="str">
        <f>LEFT(TArticle[[#This Row],[تاریخ]],4)</f>
        <v>1404</v>
      </c>
      <c r="T731" s="64"/>
      <c r="U731" s="64">
        <f>VLOOKUP(TArticle[[#This Row],[شناسه]],TAccount[],7,TRUE)</f>
        <v>12565</v>
      </c>
      <c r="V731" s="64"/>
      <c r="W731" s="64">
        <f>IF(AND(TArticle[[#This Row],[مبلغ]]&gt;0, TArticle[[#This Row],[کد وضعیت سند]]=1),TArticle[[#This Row],[مبلغ]],0)</f>
        <v>0</v>
      </c>
      <c r="X731" s="67">
        <f>IF(AND(TArticle[[#This Row],[مبلغ]]&lt;0,TArticle[[#This Row],[کد وضعیت سند]]=1),0-TArticle[[#This Row],[مبلغ]],0)</f>
        <v>0</v>
      </c>
      <c r="Y731" s="27">
        <v>2</v>
      </c>
      <c r="Z731" s="171" t="str">
        <f>IF(TArticle[[#This Row],[کد بانک]]&gt;0,VLOOKUP(TArticle[[#This Row],[کد بانک]],TBank[],2,FALSE),"")</f>
        <v>ملی جاری</v>
      </c>
      <c r="AA731">
        <f>IF(AND(TArticle[[#This Row],[مبلغ]]&lt;0,TArticle[[#This Row],[کد وضعیت سند]]=1),0-TArticle[[#This Row],[مبلغ]],0)</f>
        <v>0</v>
      </c>
      <c r="AB731">
        <f>IF(AND(TArticle[[#This Row],[مبلغ]]&gt;0, TArticle[[#This Row],[کد وضعیت سند]]=1),TArticle[[#This Row],[مبلغ]],0)</f>
        <v>0</v>
      </c>
      <c r="AC731" s="93">
        <f>IF(TArticle[[#This Row],[کد بانک]]&gt;0,VLOOKUP(TArticle[[#This Row],[کد بانک]],TBank[],9,FALSE)+SUMIF($Y$2:Y731,Y731,$E$2:$E731),"")</f>
        <v>857713</v>
      </c>
      <c r="AD731" s="1">
        <f>IFERROR(IF(INT(LEFT(TArticle[[#This Row],[شناسه]]))=3,IF(TArticle[[#This Row],[کد وضعیت سند]]=1,TArticle[مبلغ],0),0),0)</f>
        <v>0</v>
      </c>
      <c r="AE731" s="1">
        <f>IFERROR(IF(((TArticle[[#This Row],[شناسه]]))="4.1.1",IF(TArticle[[#This Row],[کد وضعیت سند]]=1,TArticle[مبلغ],0),0),0)</f>
        <v>0</v>
      </c>
      <c r="AF731" s="1">
        <f>IFERROR(IF(((TArticle[[#This Row],[شناسه]]))="4.1.2",IF(TArticle[[#This Row],[کد وضعیت سند]]=1,TArticle[مبلغ],0),0),0)</f>
        <v>0</v>
      </c>
      <c r="AG731" s="1">
        <f>IFERROR(IF(INT(LEFT(TArticle[[#This Row],[شناسه]]))=1,IF(TArticle[[#This Row],[کد وضعیت سند]]=1,TArticle[مبلغ],0),0),0)</f>
        <v>0</v>
      </c>
      <c r="AH731" s="1">
        <f>IFERROR(IF(INT(LEFT(TArticle[[#This Row],[شناسه]]))=2,IF(TArticle[[#This Row],[کد وضعیت سند]]=1,TArticle[مبلغ],0),0),0)</f>
        <v>0</v>
      </c>
      <c r="AI731" s="1">
        <f>IFERROR(IF((LEFT(TArticle[[#This Row],[شناسه]],3))="5.2",IF(TArticle[[#This Row],[کد وضعیت سند]]=1,TArticle[مبلغ],0),0),0)</f>
        <v>0</v>
      </c>
      <c r="AJ731" s="1">
        <f>IF(TArticle[[#This Row],[کد وضعیت سند]]=1,1,0)</f>
        <v>0</v>
      </c>
      <c r="AK731" s="1">
        <f>IF(AND(TArticle[[#This Row],[کد وضعیت سند]]&lt;&gt;1,TArticle[[#This Row],[مبلغ]]&lt;&gt;0),1,0)</f>
        <v>1</v>
      </c>
      <c r="AL731" s="78">
        <f>IF(TArticle[[#This Row],[کد بانک]]&gt;0,TArticle[[#This Row],[مانده بانک]]-VLOOKUP(TArticle[[#This Row],[کد بانک]],TBank[],7,FALSE),"")</f>
        <v>857713</v>
      </c>
      <c r="AM731" s="69" t="str">
        <f>LEFT(TArticle[[#This Row],[تاریخ]],7)</f>
        <v>1404-03</v>
      </c>
    </row>
    <row r="732" spans="1:39" x14ac:dyDescent="0.25">
      <c r="A732" s="24" t="s">
        <v>43</v>
      </c>
      <c r="B732" s="49" t="str">
        <f>VLOOKUP(TArticle[[#This Row],[شناسه]],TAccount[],2,TRUE)</f>
        <v>حقوق</v>
      </c>
      <c r="C732" s="49" t="str">
        <f>VLOOKUP(TArticle[[#This Row],[تاریخ]],TDays[],7,FALSE)</f>
        <v>یکشنبه</v>
      </c>
      <c r="D732" s="21" t="s">
        <v>1781</v>
      </c>
      <c r="E732" s="1">
        <v>50000</v>
      </c>
      <c r="F732" s="1">
        <f>TArticle[[#This Row],[مبلغ]]+IFERROR(INT(F731),30181+3667+958)</f>
        <v>866061</v>
      </c>
      <c r="G732" s="49"/>
      <c r="K732" s="64">
        <v>2</v>
      </c>
      <c r="L732" s="171" t="str">
        <f>IF(TArticle[[#This Row],[کد وضعیت سند]]&gt;0,VLOOKUP(TArticle[[#This Row],[کد وضعیت سند]],TDocState[],2,FALSE),"")</f>
        <v>قطعی</v>
      </c>
      <c r="N732" s="171" t="str">
        <f>IF(TArticle[[#This Row],[کد طرف حساب]]&gt;0,VLOOKUP(TArticle[[#This Row],[کد طرف حساب]],TContact[],2,FALSE),"")</f>
        <v/>
      </c>
      <c r="O732" s="51" t="str">
        <f>IF(TArticle[[#This Row],[کد طرف حساب]]&gt;0,VLOOKUP(TArticle[[#This Row],[کد طرف حساب]],TContact[],7,FALSE)-SUMIF($M$2:M732,M732,$E$2:$E732),"")</f>
        <v/>
      </c>
      <c r="P732" s="27" t="str">
        <f>RIGHT(TArticle[[#This Row],[تاریخ]],2)</f>
        <v>01</v>
      </c>
      <c r="Q732" s="27">
        <f>VLOOKUP(TArticle[[#This Row],[تاریخ]],TDays[],16,FALSE)</f>
        <v>14</v>
      </c>
      <c r="R732" s="27" t="str">
        <f>RIGHT(LEFT(TArticle[[#This Row],[تاریخ]],7),2)</f>
        <v>04</v>
      </c>
      <c r="S732" s="27" t="str">
        <f>LEFT(TArticle[[#This Row],[تاریخ]],4)</f>
        <v>1404</v>
      </c>
      <c r="U732" s="21">
        <f>VLOOKUP(TArticle[[#This Row],[شناسه]],TAccount[],7,TRUE)</f>
        <v>416023</v>
      </c>
      <c r="W732" s="21">
        <f>IF(AND(TArticle[[#This Row],[مبلغ]]&gt;0, TArticle[[#This Row],[کد وضعیت سند]]=1),TArticle[[#This Row],[مبلغ]],0)</f>
        <v>0</v>
      </c>
      <c r="X732" s="27">
        <f>IF(AND(TArticle[[#This Row],[مبلغ]]&lt;0,TArticle[[#This Row],[کد وضعیت سند]]=1),0-TArticle[[#This Row],[مبلغ]],0)</f>
        <v>0</v>
      </c>
      <c r="Y732" s="27">
        <v>2</v>
      </c>
      <c r="Z732" s="171" t="str">
        <f>IF(TArticle[[#This Row],[کد بانک]]&gt;0,VLOOKUP(TArticle[[#This Row],[کد بانک]],TBank[],2,FALSE),"")</f>
        <v>ملی جاری</v>
      </c>
      <c r="AA732">
        <f>IF(AND(TArticle[[#This Row],[مبلغ]]&lt;0,TArticle[[#This Row],[کد وضعیت سند]]=1),0-TArticle[[#This Row],[مبلغ]],0)</f>
        <v>0</v>
      </c>
      <c r="AB732">
        <f>IF(AND(TArticle[[#This Row],[مبلغ]]&gt;0, TArticle[[#This Row],[کد وضعیت سند]]=1),TArticle[[#This Row],[مبلغ]],0)</f>
        <v>0</v>
      </c>
      <c r="AC732" s="84">
        <f>IF(TArticle[[#This Row],[کد بانک]]&gt;0,VLOOKUP(TArticle[[#This Row],[کد بانک]],TBank[],9,FALSE)+SUMIF($Y$2:Y732,Y732,$E$2:$E732),"")</f>
        <v>907713</v>
      </c>
      <c r="AD732" s="1">
        <f>IFERROR(IF(INT(LEFT(TArticle[[#This Row],[شناسه]]))=3,IF(TArticle[[#This Row],[کد وضعیت سند]]=1,TArticle[مبلغ],0),0),0)</f>
        <v>0</v>
      </c>
      <c r="AE732" s="1">
        <f>IFERROR(IF(((TArticle[[#This Row],[شناسه]]))="4.1.1",IF(TArticle[[#This Row],[کد وضعیت سند]]=1,TArticle[مبلغ],0),0),0)</f>
        <v>0</v>
      </c>
      <c r="AF732" s="1">
        <f>IFERROR(IF(((TArticle[[#This Row],[شناسه]]))="4.1.2",IF(TArticle[[#This Row],[کد وضعیت سند]]=1,TArticle[مبلغ],0),0),0)</f>
        <v>0</v>
      </c>
      <c r="AG732" s="1">
        <f>IFERROR(IF(INT(LEFT(TArticle[[#This Row],[شناسه]]))=1,IF(TArticle[[#This Row],[کد وضعیت سند]]=1,TArticle[مبلغ],0),0),0)</f>
        <v>0</v>
      </c>
      <c r="AH732" s="1">
        <f>IFERROR(IF(INT(LEFT(TArticle[[#This Row],[شناسه]]))=2,IF(TArticle[[#This Row],[کد وضعیت سند]]=1,TArticle[مبلغ],0),0),0)</f>
        <v>0</v>
      </c>
      <c r="AI732" s="1">
        <f>IFERROR(IF((LEFT(TArticle[[#This Row],[شناسه]],3))="5.2",IF(TArticle[[#This Row],[کد وضعیت سند]]=1,TArticle[مبلغ],0),0),0)</f>
        <v>0</v>
      </c>
      <c r="AJ732" s="1">
        <f>IF(TArticle[[#This Row],[کد وضعیت سند]]=1,1,0)</f>
        <v>0</v>
      </c>
      <c r="AK732" s="1">
        <f>IF(AND(TArticle[[#This Row],[کد وضعیت سند]]&lt;&gt;1,TArticle[[#This Row],[مبلغ]]&lt;&gt;0),1,0)</f>
        <v>1</v>
      </c>
      <c r="AL732" s="51">
        <f>IF(TArticle[[#This Row],[کد بانک]]&gt;0,TArticle[[#This Row],[مانده بانک]]-VLOOKUP(TArticle[[#This Row],[کد بانک]],TBank[],7,FALSE),"")</f>
        <v>907713</v>
      </c>
      <c r="AM732" s="49" t="str">
        <f>LEFT(TArticle[[#This Row],[تاریخ]],7)</f>
        <v>1404-04</v>
      </c>
    </row>
    <row r="733" spans="1:39" x14ac:dyDescent="0.25">
      <c r="A733" s="24" t="s">
        <v>1608</v>
      </c>
      <c r="B733" s="49" t="str">
        <f>VLOOKUP(TArticle[[#This Row],[شناسه]],TAccount[],2,TRUE)</f>
        <v>بن کارت</v>
      </c>
      <c r="C733" s="49" t="str">
        <f>VLOOKUP(TArticle[[#This Row],[تاریخ]],TDays[],7,FALSE)</f>
        <v>یکشنبه</v>
      </c>
      <c r="D733" s="21" t="s">
        <v>1781</v>
      </c>
      <c r="E733" s="1">
        <v>3600</v>
      </c>
      <c r="F733" s="1">
        <f>TArticle[[#This Row],[مبلغ]]+IFERROR(INT(F732),30181+3667+958)</f>
        <v>869661</v>
      </c>
      <c r="G733" s="49"/>
      <c r="H733" s="64"/>
      <c r="J733" s="65"/>
      <c r="K733" s="64">
        <v>2</v>
      </c>
      <c r="L733" s="171" t="str">
        <f>IF(TArticle[[#This Row],[کد وضعیت سند]]&gt;0,VLOOKUP(TArticle[[#This Row],[کد وضعیت سند]],TDocState[],2,FALSE),"")</f>
        <v>قطعی</v>
      </c>
      <c r="M733" s="67"/>
      <c r="N733" s="171" t="str">
        <f>IF(TArticle[[#This Row],[کد طرف حساب]]&gt;0,VLOOKUP(TArticle[[#This Row],[کد طرف حساب]],TContact[],2,FALSE),"")</f>
        <v/>
      </c>
      <c r="O733" s="68" t="str">
        <f>IF(TArticle[[#This Row],[کد طرف حساب]]&gt;0,VLOOKUP(TArticle[[#This Row],[کد طرف حساب]],TContact[],7,FALSE)-SUMIF($M$2:M733,M733,$E$2:$E733),"")</f>
        <v/>
      </c>
      <c r="P733" s="67" t="str">
        <f>RIGHT(TArticle[[#This Row],[تاریخ]],2)</f>
        <v>01</v>
      </c>
      <c r="Q733" s="67">
        <f>VLOOKUP(TArticle[[#This Row],[تاریخ]],TDays[],16,FALSE)</f>
        <v>14</v>
      </c>
      <c r="R733" s="67" t="str">
        <f>RIGHT(LEFT(TArticle[[#This Row],[تاریخ]],7),2)</f>
        <v>04</v>
      </c>
      <c r="S733" s="67" t="str">
        <f>LEFT(TArticle[[#This Row],[تاریخ]],4)</f>
        <v>1404</v>
      </c>
      <c r="T733" s="64"/>
      <c r="U733" s="64">
        <f>VLOOKUP(TArticle[[#This Row],[شناسه]],TAccount[],7,TRUE)</f>
        <v>3000</v>
      </c>
      <c r="V733" s="64"/>
      <c r="W733" s="64">
        <f>IF(AND(TArticle[[#This Row],[مبلغ]]&gt;0, TArticle[[#This Row],[کد وضعیت سند]]=1),TArticle[[#This Row],[مبلغ]],0)</f>
        <v>0</v>
      </c>
      <c r="X733" s="67">
        <f>IF(AND(TArticle[[#This Row],[مبلغ]]&lt;0,TArticle[[#This Row],[کد وضعیت سند]]=1),0-TArticle[[#This Row],[مبلغ]],0)</f>
        <v>0</v>
      </c>
      <c r="Y733" s="27">
        <v>2</v>
      </c>
      <c r="Z733" s="171" t="str">
        <f>IF(TArticle[[#This Row],[کد بانک]]&gt;0,VLOOKUP(TArticle[[#This Row],[کد بانک]],TBank[],2,FALSE),"")</f>
        <v>ملی جاری</v>
      </c>
      <c r="AA733">
        <f>IF(AND(TArticle[[#This Row],[مبلغ]]&lt;0,TArticle[[#This Row],[کد وضعیت سند]]=1),0-TArticle[[#This Row],[مبلغ]],0)</f>
        <v>0</v>
      </c>
      <c r="AB733">
        <f>IF(AND(TArticle[[#This Row],[مبلغ]]&gt;0, TArticle[[#This Row],[کد وضعیت سند]]=1),TArticle[[#This Row],[مبلغ]],0)</f>
        <v>0</v>
      </c>
      <c r="AC733" s="93">
        <f>IF(TArticle[[#This Row],[کد بانک]]&gt;0,VLOOKUP(TArticle[[#This Row],[کد بانک]],TBank[],9,FALSE)+SUMIF($Y$2:Y733,Y733,$E$2:$E733),"")</f>
        <v>911313</v>
      </c>
      <c r="AD733" s="1">
        <f>IFERROR(IF(INT(LEFT(TArticle[[#This Row],[شناسه]]))=3,IF(TArticle[[#This Row],[کد وضعیت سند]]=1,TArticle[مبلغ],0),0),0)</f>
        <v>0</v>
      </c>
      <c r="AE733" s="1">
        <f>IFERROR(IF(((TArticle[[#This Row],[شناسه]]))="4.1.1",IF(TArticle[[#This Row],[کد وضعیت سند]]=1,TArticle[مبلغ],0),0),0)</f>
        <v>0</v>
      </c>
      <c r="AF733" s="1">
        <f>IFERROR(IF(((TArticle[[#This Row],[شناسه]]))="4.1.2",IF(TArticle[[#This Row],[کد وضعیت سند]]=1,TArticle[مبلغ],0),0),0)</f>
        <v>0</v>
      </c>
      <c r="AG733" s="1">
        <f>IFERROR(IF(INT(LEFT(TArticle[[#This Row],[شناسه]]))=1,IF(TArticle[[#This Row],[کد وضعیت سند]]=1,TArticle[مبلغ],0),0),0)</f>
        <v>0</v>
      </c>
      <c r="AH733" s="1">
        <f>IFERROR(IF(INT(LEFT(TArticle[[#This Row],[شناسه]]))=2,IF(TArticle[[#This Row],[کد وضعیت سند]]=1,TArticle[مبلغ],0),0),0)</f>
        <v>0</v>
      </c>
      <c r="AI733" s="1">
        <f>IFERROR(IF((LEFT(TArticle[[#This Row],[شناسه]],3))="5.2",IF(TArticle[[#This Row],[کد وضعیت سند]]=1,TArticle[مبلغ],0),0),0)</f>
        <v>0</v>
      </c>
      <c r="AJ733" s="1">
        <f>IF(TArticle[[#This Row],[کد وضعیت سند]]=1,1,0)</f>
        <v>0</v>
      </c>
      <c r="AK733" s="1">
        <f>IF(AND(TArticle[[#This Row],[کد وضعیت سند]]&lt;&gt;1,TArticle[[#This Row],[مبلغ]]&lt;&gt;0),1,0)</f>
        <v>1</v>
      </c>
      <c r="AL733" s="78">
        <f>IF(TArticle[[#This Row],[کد بانک]]&gt;0,TArticle[[#This Row],[مانده بانک]]-VLOOKUP(TArticle[[#This Row],[کد بانک]],TBank[],7,FALSE),"")</f>
        <v>911313</v>
      </c>
      <c r="AM733" s="69" t="str">
        <f>LEFT(TArticle[[#This Row],[تاریخ]],7)</f>
        <v>1404-04</v>
      </c>
    </row>
    <row r="734" spans="1:39" x14ac:dyDescent="0.25">
      <c r="A734" s="24" t="s">
        <v>1110</v>
      </c>
      <c r="B734" s="49" t="str">
        <f>VLOOKUP(TArticle[[#This Row],[شناسه]],TAccount[],2,TRUE)</f>
        <v>قسط وام بانکی</v>
      </c>
      <c r="C734" s="49" t="str">
        <f>VLOOKUP(TArticle[[#This Row],[تاریخ]],TDays[],7,FALSE)</f>
        <v>سه شنبه</v>
      </c>
      <c r="D734" s="21" t="s">
        <v>1783</v>
      </c>
      <c r="E734" s="1">
        <v>-1224</v>
      </c>
      <c r="F734" s="1">
        <f>TArticle[[#This Row],[مبلغ]]+IFERROR(INT(F733),30181+3667+958)</f>
        <v>868437</v>
      </c>
      <c r="G734" s="49"/>
      <c r="H734" s="21">
        <v>22</v>
      </c>
      <c r="J734" s="65"/>
      <c r="K734" s="64">
        <v>2</v>
      </c>
      <c r="L734" s="171" t="str">
        <f>IF(TArticle[[#This Row],[کد وضعیت سند]]&gt;0,VLOOKUP(TArticle[[#This Row],[کد وضعیت سند]],TDocState[],2,FALSE),"")</f>
        <v>قطعی</v>
      </c>
      <c r="M734" s="27">
        <v>115</v>
      </c>
      <c r="N734" s="171" t="str">
        <f>IF(TArticle[[#This Row],[کد طرف حساب]]&gt;0,VLOOKUP(TArticle[[#This Row],[کد طرف حساب]],TContact[],2,FALSE),"")</f>
        <v>وام فرزند مهر</v>
      </c>
      <c r="O734" s="68">
        <f>IF(TArticle[[#This Row],[کد طرف حساب]]&gt;0,VLOOKUP(TArticle[[#This Row],[کد طرف حساب]],TContact[],7,FALSE)-SUMIF($M$2:M734,M734,$E$2:$E734),"")</f>
        <v>-35520</v>
      </c>
      <c r="P734" s="67" t="str">
        <f>RIGHT(TArticle[[#This Row],[تاریخ]],2)</f>
        <v>03</v>
      </c>
      <c r="Q734" s="67">
        <f>VLOOKUP(TArticle[[#This Row],[تاریخ]],TDays[],16,FALSE)</f>
        <v>14</v>
      </c>
      <c r="R734" s="67" t="str">
        <f>RIGHT(LEFT(TArticle[[#This Row],[تاریخ]],7),2)</f>
        <v>04</v>
      </c>
      <c r="S734" s="67" t="str">
        <f>LEFT(TArticle[[#This Row],[تاریخ]],4)</f>
        <v>1404</v>
      </c>
      <c r="T734" s="64"/>
      <c r="U734" s="64">
        <f>VLOOKUP(TArticle[[#This Row],[شناسه]],TAccount[],7,TRUE)</f>
        <v>81652</v>
      </c>
      <c r="V734" s="64"/>
      <c r="W734" s="64">
        <f>IF(AND(TArticle[[#This Row],[مبلغ]]&gt;0, TArticle[[#This Row],[کد وضعیت سند]]=1),TArticle[[#This Row],[مبلغ]],0)</f>
        <v>0</v>
      </c>
      <c r="X734" s="67">
        <f>IF(AND(TArticle[[#This Row],[مبلغ]]&lt;0,TArticle[[#This Row],[کد وضعیت سند]]=1),0-TArticle[[#This Row],[مبلغ]],0)</f>
        <v>0</v>
      </c>
      <c r="Y734" s="27">
        <v>2</v>
      </c>
      <c r="Z734" s="171" t="str">
        <f>IF(TArticle[[#This Row],[کد بانک]]&gt;0,VLOOKUP(TArticle[[#This Row],[کد بانک]],TBank[],2,FALSE),"")</f>
        <v>ملی جاری</v>
      </c>
      <c r="AA734">
        <f>IF(AND(TArticle[[#This Row],[مبلغ]]&lt;0,TArticle[[#This Row],[کد وضعیت سند]]=1),0-TArticle[[#This Row],[مبلغ]],0)</f>
        <v>0</v>
      </c>
      <c r="AB734">
        <f>IF(AND(TArticle[[#This Row],[مبلغ]]&gt;0, TArticle[[#This Row],[کد وضعیت سند]]=1),TArticle[[#This Row],[مبلغ]],0)</f>
        <v>0</v>
      </c>
      <c r="AC734" s="93">
        <f>IF(TArticle[[#This Row],[کد بانک]]&gt;0,VLOOKUP(TArticle[[#This Row],[کد بانک]],TBank[],9,FALSE)+SUMIF($Y$2:Y734,Y734,$E$2:$E734),"")</f>
        <v>910089</v>
      </c>
      <c r="AD734" s="1">
        <f>IFERROR(IF(INT(LEFT(TArticle[[#This Row],[شناسه]]))=3,IF(TArticle[[#This Row],[کد وضعیت سند]]=1,TArticle[مبلغ],0),0),0)</f>
        <v>0</v>
      </c>
      <c r="AE734" s="1">
        <f>IFERROR(IF(((TArticle[[#This Row],[شناسه]]))="4.1.1",IF(TArticle[[#This Row],[کد وضعیت سند]]=1,TArticle[مبلغ],0),0),0)</f>
        <v>0</v>
      </c>
      <c r="AF734" s="1">
        <f>IFERROR(IF(((TArticle[[#This Row],[شناسه]]))="4.1.2",IF(TArticle[[#This Row],[کد وضعیت سند]]=1,TArticle[مبلغ],0),0),0)</f>
        <v>0</v>
      </c>
      <c r="AG734" s="1">
        <f>IFERROR(IF(INT(LEFT(TArticle[[#This Row],[شناسه]]))=1,IF(TArticle[[#This Row],[کد وضعیت سند]]=1,TArticle[مبلغ],0),0),0)</f>
        <v>0</v>
      </c>
      <c r="AH734" s="1">
        <f>IFERROR(IF(INT(LEFT(TArticle[[#This Row],[شناسه]]))=2,IF(TArticle[[#This Row],[کد وضعیت سند]]=1,TArticle[مبلغ],0),0),0)</f>
        <v>0</v>
      </c>
      <c r="AI734" s="1">
        <f>IFERROR(IF((LEFT(TArticle[[#This Row],[شناسه]],3))="5.2",IF(TArticle[[#This Row],[کد وضعیت سند]]=1,TArticle[مبلغ],0),0),0)</f>
        <v>0</v>
      </c>
      <c r="AJ734" s="1">
        <f>IF(TArticle[[#This Row],[کد وضعیت سند]]=1,1,0)</f>
        <v>0</v>
      </c>
      <c r="AK734" s="1">
        <f>IF(AND(TArticle[[#This Row],[کد وضعیت سند]]&lt;&gt;1,TArticle[[#This Row],[مبلغ]]&lt;&gt;0),1,0)</f>
        <v>1</v>
      </c>
      <c r="AL734" s="78">
        <f>IF(TArticle[[#This Row],[کد بانک]]&gt;0,TArticle[[#This Row],[مانده بانک]]-VLOOKUP(TArticle[[#This Row],[کد بانک]],TBank[],7,FALSE),"")</f>
        <v>910089</v>
      </c>
      <c r="AM734" s="69" t="str">
        <f>LEFT(TArticle[[#This Row],[تاریخ]],7)</f>
        <v>1404-04</v>
      </c>
    </row>
    <row r="735" spans="1:39" x14ac:dyDescent="0.25">
      <c r="A735" s="24" t="s">
        <v>1110</v>
      </c>
      <c r="B735" s="49" t="str">
        <f>VLOOKUP(TArticle[[#This Row],[شناسه]],TAccount[],2,TRUE)</f>
        <v>قسط وام بانکی</v>
      </c>
      <c r="C735" s="49" t="str">
        <f>VLOOKUP(TArticle[[#This Row],[تاریخ]],TDays[],7,FALSE)</f>
        <v>دوشنبه</v>
      </c>
      <c r="D735" s="21" t="s">
        <v>1788</v>
      </c>
      <c r="E735" s="1">
        <f>'طرف حساب'!$J$29</f>
        <v>-3616</v>
      </c>
      <c r="F735" s="1">
        <f>TArticle[[#This Row],[مبلغ]]+IFERROR(INT(F734),30181+3667+958)</f>
        <v>864821</v>
      </c>
      <c r="G735" s="49"/>
      <c r="H735" s="21">
        <v>29</v>
      </c>
      <c r="J735" s="65"/>
      <c r="K735" s="64">
        <v>2</v>
      </c>
      <c r="L735" s="171" t="str">
        <f>IF(TArticle[[#This Row],[کد وضعیت سند]]&gt;0,VLOOKUP(TArticle[[#This Row],[کد وضعیت سند]],TDocState[],2,FALSE),"")</f>
        <v>قطعی</v>
      </c>
      <c r="M735" s="67">
        <v>114</v>
      </c>
      <c r="N735" s="171" t="str">
        <f>IF(TArticle[[#This Row],[کد طرف حساب]]&gt;0,VLOOKUP(TArticle[[#This Row],[کد طرف حساب]],TContact[],2,FALSE),"")</f>
        <v>وام کارت ملی ف</v>
      </c>
      <c r="O735" s="68">
        <f>IF(TArticle[[#This Row],[کد طرف حساب]]&gt;0,VLOOKUP(TArticle[[#This Row],[کد طرف حساب]],TContact[],7,FALSE)-SUMIF($M$2:M735,M735,$E$2:$E735),"")</f>
        <v>-26594</v>
      </c>
      <c r="P735" s="67" t="str">
        <f>RIGHT(TArticle[[#This Row],[تاریخ]],2)</f>
        <v>09</v>
      </c>
      <c r="Q735" s="67">
        <f>VLOOKUP(TArticle[[#This Row],[تاریخ]],TDays[],16,FALSE)</f>
        <v>15</v>
      </c>
      <c r="R735" s="67" t="str">
        <f>RIGHT(LEFT(TArticle[[#This Row],[تاریخ]],7),2)</f>
        <v>04</v>
      </c>
      <c r="S735" s="67" t="str">
        <f>LEFT(TArticle[[#This Row],[تاریخ]],4)</f>
        <v>1404</v>
      </c>
      <c r="T735" s="64"/>
      <c r="U735" s="64">
        <f>VLOOKUP(TArticle[[#This Row],[شناسه]],TAccount[],7,TRUE)</f>
        <v>81652</v>
      </c>
      <c r="V735" s="64"/>
      <c r="W735" s="64">
        <f>IF(AND(TArticle[[#This Row],[مبلغ]]&gt;0, TArticle[[#This Row],[کد وضعیت سند]]=1),TArticle[[#This Row],[مبلغ]],0)</f>
        <v>0</v>
      </c>
      <c r="X735" s="67">
        <f>IF(AND(TArticle[[#This Row],[مبلغ]]&lt;0,TArticle[[#This Row],[کد وضعیت سند]]=1),0-TArticle[[#This Row],[مبلغ]],0)</f>
        <v>0</v>
      </c>
      <c r="Y735" s="27">
        <v>2</v>
      </c>
      <c r="Z735" s="171" t="str">
        <f>IF(TArticle[[#This Row],[کد بانک]]&gt;0,VLOOKUP(TArticle[[#This Row],[کد بانک]],TBank[],2,FALSE),"")</f>
        <v>ملی جاری</v>
      </c>
      <c r="AA735">
        <f>IF(AND(TArticle[[#This Row],[مبلغ]]&lt;0,TArticle[[#This Row],[کد وضعیت سند]]=1),0-TArticle[[#This Row],[مبلغ]],0)</f>
        <v>0</v>
      </c>
      <c r="AB735">
        <f>IF(AND(TArticle[[#This Row],[مبلغ]]&gt;0, TArticle[[#This Row],[کد وضعیت سند]]=1),TArticle[[#This Row],[مبلغ]],0)</f>
        <v>0</v>
      </c>
      <c r="AC735" s="93">
        <f>IF(TArticle[[#This Row],[کد بانک]]&gt;0,VLOOKUP(TArticle[[#This Row],[کد بانک]],TBank[],9,FALSE)+SUMIF($Y$2:Y735,Y735,$E$2:$E735),"")</f>
        <v>906473</v>
      </c>
      <c r="AD735" s="1">
        <f>IFERROR(IF(INT(LEFT(TArticle[[#This Row],[شناسه]]))=3,IF(TArticle[[#This Row],[کد وضعیت سند]]=1,TArticle[مبلغ],0),0),0)</f>
        <v>0</v>
      </c>
      <c r="AE735" s="1">
        <f>IFERROR(IF(((TArticle[[#This Row],[شناسه]]))="4.1.1",IF(TArticle[[#This Row],[کد وضعیت سند]]=1,TArticle[مبلغ],0),0),0)</f>
        <v>0</v>
      </c>
      <c r="AF735" s="1">
        <f>IFERROR(IF(((TArticle[[#This Row],[شناسه]]))="4.1.2",IF(TArticle[[#This Row],[کد وضعیت سند]]=1,TArticle[مبلغ],0),0),0)</f>
        <v>0</v>
      </c>
      <c r="AG735" s="1">
        <f>IFERROR(IF(INT(LEFT(TArticle[[#This Row],[شناسه]]))=1,IF(TArticle[[#This Row],[کد وضعیت سند]]=1,TArticle[مبلغ],0),0),0)</f>
        <v>0</v>
      </c>
      <c r="AH735" s="1">
        <f>IFERROR(IF(INT(LEFT(TArticle[[#This Row],[شناسه]]))=2,IF(TArticle[[#This Row],[کد وضعیت سند]]=1,TArticle[مبلغ],0),0),0)</f>
        <v>0</v>
      </c>
      <c r="AI735" s="1">
        <f>IFERROR(IF((LEFT(TArticle[[#This Row],[شناسه]],3))="5.2",IF(TArticle[[#This Row],[کد وضعیت سند]]=1,TArticle[مبلغ],0),0),0)</f>
        <v>0</v>
      </c>
      <c r="AJ735" s="1">
        <f>IF(TArticle[[#This Row],[کد وضعیت سند]]=1,1,0)</f>
        <v>0</v>
      </c>
      <c r="AK735" s="1">
        <f>IF(AND(TArticle[[#This Row],[کد وضعیت سند]]&lt;&gt;1,TArticle[[#This Row],[مبلغ]]&lt;&gt;0),1,0)</f>
        <v>1</v>
      </c>
      <c r="AL735" s="78">
        <f>IF(TArticle[[#This Row],[کد بانک]]&gt;0,TArticle[[#This Row],[مانده بانک]]-VLOOKUP(TArticle[[#This Row],[کد بانک]],TBank[],7,FALSE),"")</f>
        <v>906473</v>
      </c>
      <c r="AM735" s="69" t="str">
        <f>LEFT(TArticle[[#This Row],[تاریخ]],7)</f>
        <v>1404-04</v>
      </c>
    </row>
    <row r="736" spans="1:39" x14ac:dyDescent="0.25">
      <c r="A736" s="24" t="s">
        <v>1013</v>
      </c>
      <c r="B736" s="49" t="str">
        <f>VLOOKUP(TArticle[[#This Row],[شناسه]],TAccount[],2,TRUE)</f>
        <v>یارانه</v>
      </c>
      <c r="C736" s="49" t="str">
        <f>VLOOKUP(TArticle[[#This Row],[تاریخ]],TDays[],7,FALSE)</f>
        <v>جمعه</v>
      </c>
      <c r="D736" s="21" t="s">
        <v>1799</v>
      </c>
      <c r="E736" s="1">
        <v>1500</v>
      </c>
      <c r="F736" s="1">
        <f>TArticle[[#This Row],[مبلغ]]+IFERROR(INT(F735),30181+3667+958)</f>
        <v>866321</v>
      </c>
      <c r="G736" s="49"/>
      <c r="H736" s="64"/>
      <c r="J736" s="65"/>
      <c r="K736" s="64">
        <v>2</v>
      </c>
      <c r="L736" s="171" t="str">
        <f>IF(TArticle[[#This Row],[کد وضعیت سند]]&gt;0,VLOOKUP(TArticle[[#This Row],[کد وضعیت سند]],TDocState[],2,FALSE),"")</f>
        <v>قطعی</v>
      </c>
      <c r="M736" s="67"/>
      <c r="N736" s="171" t="str">
        <f>IF(TArticle[[#This Row],[کد طرف حساب]]&gt;0,VLOOKUP(TArticle[[#This Row],[کد طرف حساب]],TContact[],2,FALSE),"")</f>
        <v/>
      </c>
      <c r="O736" s="68" t="str">
        <f>IF(TArticle[[#This Row],[کد طرف حساب]]&gt;0,VLOOKUP(TArticle[[#This Row],[کد طرف حساب]],TContact[],7,FALSE)-SUMIF($M$2:M736,M736,$E$2:$E736),"")</f>
        <v/>
      </c>
      <c r="P736" s="67" t="str">
        <f>RIGHT(TArticle[[#This Row],[تاریخ]],2)</f>
        <v>20</v>
      </c>
      <c r="Q736" s="67">
        <f>VLOOKUP(TArticle[[#This Row],[تاریخ]],TDays[],16,FALSE)</f>
        <v>17</v>
      </c>
      <c r="R736" s="67" t="str">
        <f>RIGHT(LEFT(TArticle[[#This Row],[تاریخ]],7),2)</f>
        <v>04</v>
      </c>
      <c r="S736" s="67" t="str">
        <f>LEFT(TArticle[[#This Row],[تاریخ]],4)</f>
        <v>1404</v>
      </c>
      <c r="T736" s="64"/>
      <c r="U736" s="64">
        <f>VLOOKUP(TArticle[[#This Row],[شناسه]],TAccount[],7,TRUE)</f>
        <v>12565</v>
      </c>
      <c r="V736" s="64"/>
      <c r="W736" s="64">
        <f>IF(AND(TArticle[[#This Row],[مبلغ]]&gt;0, TArticle[[#This Row],[کد وضعیت سند]]=1),TArticle[[#This Row],[مبلغ]],0)</f>
        <v>0</v>
      </c>
      <c r="X736" s="67">
        <f>IF(AND(TArticle[[#This Row],[مبلغ]]&lt;0,TArticle[[#This Row],[کد وضعیت سند]]=1),0-TArticle[[#This Row],[مبلغ]],0)</f>
        <v>0</v>
      </c>
      <c r="Y736" s="27">
        <v>2</v>
      </c>
      <c r="Z736" s="171" t="str">
        <f>IF(TArticle[[#This Row],[کد بانک]]&gt;0,VLOOKUP(TArticle[[#This Row],[کد بانک]],TBank[],2,FALSE),"")</f>
        <v>ملی جاری</v>
      </c>
      <c r="AA736">
        <f>IF(AND(TArticle[[#This Row],[مبلغ]]&lt;0,TArticle[[#This Row],[کد وضعیت سند]]=1),0-TArticle[[#This Row],[مبلغ]],0)</f>
        <v>0</v>
      </c>
      <c r="AB736">
        <f>IF(AND(TArticle[[#This Row],[مبلغ]]&gt;0, TArticle[[#This Row],[کد وضعیت سند]]=1),TArticle[[#This Row],[مبلغ]],0)</f>
        <v>0</v>
      </c>
      <c r="AC736" s="93">
        <f>IF(TArticle[[#This Row],[کد بانک]]&gt;0,VLOOKUP(TArticle[[#This Row],[کد بانک]],TBank[],9,FALSE)+SUMIF($Y$2:Y736,Y736,$E$2:$E736),"")</f>
        <v>907973</v>
      </c>
      <c r="AD736" s="1">
        <f>IFERROR(IF(INT(LEFT(TArticle[[#This Row],[شناسه]]))=3,IF(TArticle[[#This Row],[کد وضعیت سند]]=1,TArticle[مبلغ],0),0),0)</f>
        <v>0</v>
      </c>
      <c r="AE736" s="1">
        <f>IFERROR(IF(((TArticle[[#This Row],[شناسه]]))="4.1.1",IF(TArticle[[#This Row],[کد وضعیت سند]]=1,TArticle[مبلغ],0),0),0)</f>
        <v>0</v>
      </c>
      <c r="AF736" s="1">
        <f>IFERROR(IF(((TArticle[[#This Row],[شناسه]]))="4.1.2",IF(TArticle[[#This Row],[کد وضعیت سند]]=1,TArticle[مبلغ],0),0),0)</f>
        <v>0</v>
      </c>
      <c r="AG736" s="1">
        <f>IFERROR(IF(INT(LEFT(TArticle[[#This Row],[شناسه]]))=1,IF(TArticle[[#This Row],[کد وضعیت سند]]=1,TArticle[مبلغ],0),0),0)</f>
        <v>0</v>
      </c>
      <c r="AH736" s="1">
        <f>IFERROR(IF(INT(LEFT(TArticle[[#This Row],[شناسه]]))=2,IF(TArticle[[#This Row],[کد وضعیت سند]]=1,TArticle[مبلغ],0),0),0)</f>
        <v>0</v>
      </c>
      <c r="AI736" s="1">
        <f>IFERROR(IF((LEFT(TArticle[[#This Row],[شناسه]],3))="5.2",IF(TArticle[[#This Row],[کد وضعیت سند]]=1,TArticle[مبلغ],0),0),0)</f>
        <v>0</v>
      </c>
      <c r="AJ736" s="1">
        <f>IF(TArticle[[#This Row],[کد وضعیت سند]]=1,1,0)</f>
        <v>0</v>
      </c>
      <c r="AK736" s="1">
        <f>IF(AND(TArticle[[#This Row],[کد وضعیت سند]]&lt;&gt;1,TArticle[[#This Row],[مبلغ]]&lt;&gt;0),1,0)</f>
        <v>1</v>
      </c>
      <c r="AL736" s="78">
        <f>IF(TArticle[[#This Row],[کد بانک]]&gt;0,TArticle[[#This Row],[مانده بانک]]-VLOOKUP(TArticle[[#This Row],[کد بانک]],TBank[],7,FALSE),"")</f>
        <v>907973</v>
      </c>
      <c r="AM736" s="69" t="str">
        <f>LEFT(TArticle[[#This Row],[تاریخ]],7)</f>
        <v>1404-04</v>
      </c>
    </row>
    <row r="737" spans="1:39" x14ac:dyDescent="0.25">
      <c r="A737" s="24" t="s">
        <v>43</v>
      </c>
      <c r="B737" s="49" t="str">
        <f>VLOOKUP(TArticle[[#This Row],[شناسه]],TAccount[],2,TRUE)</f>
        <v>حقوق</v>
      </c>
      <c r="C737" s="49" t="str">
        <f>VLOOKUP(TArticle[[#This Row],[تاریخ]],TDays[],7,FALSE)</f>
        <v>چهارشنبه</v>
      </c>
      <c r="D737" s="21" t="s">
        <v>1811</v>
      </c>
      <c r="E737" s="1">
        <v>50000</v>
      </c>
      <c r="F737" s="1">
        <f>TArticle[[#This Row],[مبلغ]]+IFERROR(INT(F736),30181+3667+958)</f>
        <v>916321</v>
      </c>
      <c r="G737" s="49"/>
      <c r="H737" s="64"/>
      <c r="J737" s="65"/>
      <c r="K737" s="64">
        <v>2</v>
      </c>
      <c r="L737" s="171" t="str">
        <f>IF(TArticle[[#This Row],[کد وضعیت سند]]&gt;0,VLOOKUP(TArticle[[#This Row],[کد وضعیت سند]],TDocState[],2,FALSE),"")</f>
        <v>قطعی</v>
      </c>
      <c r="M737" s="67"/>
      <c r="N737" s="171" t="str">
        <f>IF(TArticle[[#This Row],[کد طرف حساب]]&gt;0,VLOOKUP(TArticle[[#This Row],[کد طرف حساب]],TContact[],2,FALSE),"")</f>
        <v/>
      </c>
      <c r="O737" s="68" t="str">
        <f>IF(TArticle[[#This Row],[کد طرف حساب]]&gt;0,VLOOKUP(TArticle[[#This Row],[کد طرف حساب]],TContact[],7,FALSE)-SUMIF($M$2:M737,M737,$E$2:$E737),"")</f>
        <v/>
      </c>
      <c r="P737" s="67" t="str">
        <f>RIGHT(TArticle[[#This Row],[تاریخ]],2)</f>
        <v>01</v>
      </c>
      <c r="Q737" s="67">
        <f>VLOOKUP(TArticle[[#This Row],[تاریخ]],TDays[],16,FALSE)</f>
        <v>19</v>
      </c>
      <c r="R737" s="67" t="str">
        <f>RIGHT(LEFT(TArticle[[#This Row],[تاریخ]],7),2)</f>
        <v>05</v>
      </c>
      <c r="S737" s="67" t="str">
        <f>LEFT(TArticle[[#This Row],[تاریخ]],4)</f>
        <v>1404</v>
      </c>
      <c r="T737" s="64"/>
      <c r="U737" s="64">
        <f>VLOOKUP(TArticle[[#This Row],[شناسه]],TAccount[],7,TRUE)</f>
        <v>416023</v>
      </c>
      <c r="V737" s="64"/>
      <c r="W737" s="64">
        <f>IF(AND(TArticle[[#This Row],[مبلغ]]&gt;0, TArticle[[#This Row],[کد وضعیت سند]]=1),TArticle[[#This Row],[مبلغ]],0)</f>
        <v>0</v>
      </c>
      <c r="X737" s="67">
        <f>IF(AND(TArticle[[#This Row],[مبلغ]]&lt;0,TArticle[[#This Row],[کد وضعیت سند]]=1),0-TArticle[[#This Row],[مبلغ]],0)</f>
        <v>0</v>
      </c>
      <c r="Y737" s="27">
        <v>2</v>
      </c>
      <c r="Z737" s="171" t="str">
        <f>IF(TArticle[[#This Row],[کد بانک]]&gt;0,VLOOKUP(TArticle[[#This Row],[کد بانک]],TBank[],2,FALSE),"")</f>
        <v>ملی جاری</v>
      </c>
      <c r="AA737">
        <f>IF(AND(TArticle[[#This Row],[مبلغ]]&lt;0,TArticle[[#This Row],[کد وضعیت سند]]=1),0-TArticle[[#This Row],[مبلغ]],0)</f>
        <v>0</v>
      </c>
      <c r="AB737">
        <f>IF(AND(TArticle[[#This Row],[مبلغ]]&gt;0, TArticle[[#This Row],[کد وضعیت سند]]=1),TArticle[[#This Row],[مبلغ]],0)</f>
        <v>0</v>
      </c>
      <c r="AC737" s="93">
        <f>IF(TArticle[[#This Row],[کد بانک]]&gt;0,VLOOKUP(TArticle[[#This Row],[کد بانک]],TBank[],9,FALSE)+SUMIF($Y$2:Y737,Y737,$E$2:$E737),"")</f>
        <v>957973</v>
      </c>
      <c r="AD737" s="1">
        <f>IFERROR(IF(INT(LEFT(TArticle[[#This Row],[شناسه]]))=3,IF(TArticle[[#This Row],[کد وضعیت سند]]=1,TArticle[مبلغ],0),0),0)</f>
        <v>0</v>
      </c>
      <c r="AE737" s="1">
        <f>IFERROR(IF(((TArticle[[#This Row],[شناسه]]))="4.1.1",IF(TArticle[[#This Row],[کد وضعیت سند]]=1,TArticle[مبلغ],0),0),0)</f>
        <v>0</v>
      </c>
      <c r="AF737" s="1">
        <f>IFERROR(IF(((TArticle[[#This Row],[شناسه]]))="4.1.2",IF(TArticle[[#This Row],[کد وضعیت سند]]=1,TArticle[مبلغ],0),0),0)</f>
        <v>0</v>
      </c>
      <c r="AG737" s="1">
        <f>IFERROR(IF(INT(LEFT(TArticle[[#This Row],[شناسه]]))=1,IF(TArticle[[#This Row],[کد وضعیت سند]]=1,TArticle[مبلغ],0),0),0)</f>
        <v>0</v>
      </c>
      <c r="AH737" s="1">
        <f>IFERROR(IF(INT(LEFT(TArticle[[#This Row],[شناسه]]))=2,IF(TArticle[[#This Row],[کد وضعیت سند]]=1,TArticle[مبلغ],0),0),0)</f>
        <v>0</v>
      </c>
      <c r="AI737" s="1">
        <f>IFERROR(IF((LEFT(TArticle[[#This Row],[شناسه]],3))="5.2",IF(TArticle[[#This Row],[کد وضعیت سند]]=1,TArticle[مبلغ],0),0),0)</f>
        <v>0</v>
      </c>
      <c r="AJ737" s="1">
        <f>IF(TArticle[[#This Row],[کد وضعیت سند]]=1,1,0)</f>
        <v>0</v>
      </c>
      <c r="AK737" s="1">
        <f>IF(AND(TArticle[[#This Row],[کد وضعیت سند]]&lt;&gt;1,TArticle[[#This Row],[مبلغ]]&lt;&gt;0),1,0)</f>
        <v>1</v>
      </c>
      <c r="AL737" s="78">
        <f>IF(TArticle[[#This Row],[کد بانک]]&gt;0,TArticle[[#This Row],[مانده بانک]]-VLOOKUP(TArticle[[#This Row],[کد بانک]],TBank[],7,FALSE),"")</f>
        <v>957973</v>
      </c>
      <c r="AM737" s="69" t="str">
        <f>LEFT(TArticle[[#This Row],[تاریخ]],7)</f>
        <v>1404-05</v>
      </c>
    </row>
    <row r="738" spans="1:39" x14ac:dyDescent="0.25">
      <c r="A738" s="24" t="s">
        <v>1608</v>
      </c>
      <c r="B738" s="49" t="str">
        <f>VLOOKUP(TArticle[[#This Row],[شناسه]],TAccount[],2,TRUE)</f>
        <v>بن کارت</v>
      </c>
      <c r="C738" s="49" t="str">
        <f>VLOOKUP(TArticle[[#This Row],[تاریخ]],TDays[],7,FALSE)</f>
        <v>چهارشنبه</v>
      </c>
      <c r="D738" s="21" t="s">
        <v>1811</v>
      </c>
      <c r="E738" s="1">
        <v>3600</v>
      </c>
      <c r="F738" s="1">
        <f>TArticle[[#This Row],[مبلغ]]+IFERROR(INT(F737),30181+3667+958)</f>
        <v>919921</v>
      </c>
      <c r="G738" s="49"/>
      <c r="H738" s="64"/>
      <c r="J738" s="65"/>
      <c r="K738" s="64">
        <v>2</v>
      </c>
      <c r="L738" s="171" t="str">
        <f>IF(TArticle[[#This Row],[کد وضعیت سند]]&gt;0,VLOOKUP(TArticle[[#This Row],[کد وضعیت سند]],TDocState[],2,FALSE),"")</f>
        <v>قطعی</v>
      </c>
      <c r="M738" s="67"/>
      <c r="N738" s="171" t="str">
        <f>IF(TArticle[[#This Row],[کد طرف حساب]]&gt;0,VLOOKUP(TArticle[[#This Row],[کد طرف حساب]],TContact[],2,FALSE),"")</f>
        <v/>
      </c>
      <c r="O738" s="68" t="str">
        <f>IF(TArticle[[#This Row],[کد طرف حساب]]&gt;0,VLOOKUP(TArticle[[#This Row],[کد طرف حساب]],TContact[],7,FALSE)-SUMIF($M$2:M738,M738,$E$2:$E738),"")</f>
        <v/>
      </c>
      <c r="P738" s="67" t="str">
        <f>RIGHT(TArticle[[#This Row],[تاریخ]],2)</f>
        <v>01</v>
      </c>
      <c r="Q738" s="67">
        <f>VLOOKUP(TArticle[[#This Row],[تاریخ]],TDays[],16,FALSE)</f>
        <v>19</v>
      </c>
      <c r="R738" s="67" t="str">
        <f>RIGHT(LEFT(TArticle[[#This Row],[تاریخ]],7),2)</f>
        <v>05</v>
      </c>
      <c r="S738" s="67" t="str">
        <f>LEFT(TArticle[[#This Row],[تاریخ]],4)</f>
        <v>1404</v>
      </c>
      <c r="T738" s="64"/>
      <c r="U738" s="64">
        <f>VLOOKUP(TArticle[[#This Row],[شناسه]],TAccount[],7,TRUE)</f>
        <v>3000</v>
      </c>
      <c r="V738" s="64"/>
      <c r="W738" s="64">
        <f>IF(AND(TArticle[[#This Row],[مبلغ]]&gt;0, TArticle[[#This Row],[کد وضعیت سند]]=1),TArticle[[#This Row],[مبلغ]],0)</f>
        <v>0</v>
      </c>
      <c r="X738" s="67">
        <f>IF(AND(TArticle[[#This Row],[مبلغ]]&lt;0,TArticle[[#This Row],[کد وضعیت سند]]=1),0-TArticle[[#This Row],[مبلغ]],0)</f>
        <v>0</v>
      </c>
      <c r="Y738" s="27">
        <v>2</v>
      </c>
      <c r="Z738" s="171" t="str">
        <f>IF(TArticle[[#This Row],[کد بانک]]&gt;0,VLOOKUP(TArticle[[#This Row],[کد بانک]],TBank[],2,FALSE),"")</f>
        <v>ملی جاری</v>
      </c>
      <c r="AA738">
        <f>IF(AND(TArticle[[#This Row],[مبلغ]]&lt;0,TArticle[[#This Row],[کد وضعیت سند]]=1),0-TArticle[[#This Row],[مبلغ]],0)</f>
        <v>0</v>
      </c>
      <c r="AB738">
        <f>IF(AND(TArticle[[#This Row],[مبلغ]]&gt;0, TArticle[[#This Row],[کد وضعیت سند]]=1),TArticle[[#This Row],[مبلغ]],0)</f>
        <v>0</v>
      </c>
      <c r="AC738" s="93">
        <f>IF(TArticle[[#This Row],[کد بانک]]&gt;0,VLOOKUP(TArticle[[#This Row],[کد بانک]],TBank[],9,FALSE)+SUMIF($Y$2:Y738,Y738,$E$2:$E738),"")</f>
        <v>961573</v>
      </c>
      <c r="AD738" s="1">
        <f>IFERROR(IF(INT(LEFT(TArticle[[#This Row],[شناسه]]))=3,IF(TArticle[[#This Row],[کد وضعیت سند]]=1,TArticle[مبلغ],0),0),0)</f>
        <v>0</v>
      </c>
      <c r="AE738" s="1">
        <f>IFERROR(IF(((TArticle[[#This Row],[شناسه]]))="4.1.1",IF(TArticle[[#This Row],[کد وضعیت سند]]=1,TArticle[مبلغ],0),0),0)</f>
        <v>0</v>
      </c>
      <c r="AF738" s="1">
        <f>IFERROR(IF(((TArticle[[#This Row],[شناسه]]))="4.1.2",IF(TArticle[[#This Row],[کد وضعیت سند]]=1,TArticle[مبلغ],0),0),0)</f>
        <v>0</v>
      </c>
      <c r="AG738" s="1">
        <f>IFERROR(IF(INT(LEFT(TArticle[[#This Row],[شناسه]]))=1,IF(TArticle[[#This Row],[کد وضعیت سند]]=1,TArticle[مبلغ],0),0),0)</f>
        <v>0</v>
      </c>
      <c r="AH738" s="1">
        <f>IFERROR(IF(INT(LEFT(TArticle[[#This Row],[شناسه]]))=2,IF(TArticle[[#This Row],[کد وضعیت سند]]=1,TArticle[مبلغ],0),0),0)</f>
        <v>0</v>
      </c>
      <c r="AI738" s="1">
        <f>IFERROR(IF((LEFT(TArticle[[#This Row],[شناسه]],3))="5.2",IF(TArticle[[#This Row],[کد وضعیت سند]]=1,TArticle[مبلغ],0),0),0)</f>
        <v>0</v>
      </c>
      <c r="AJ738" s="1">
        <f>IF(TArticle[[#This Row],[کد وضعیت سند]]=1,1,0)</f>
        <v>0</v>
      </c>
      <c r="AK738" s="1">
        <f>IF(AND(TArticle[[#This Row],[کد وضعیت سند]]&lt;&gt;1,TArticle[[#This Row],[مبلغ]]&lt;&gt;0),1,0)</f>
        <v>1</v>
      </c>
      <c r="AL738" s="78">
        <f>IF(TArticle[[#This Row],[کد بانک]]&gt;0,TArticle[[#This Row],[مانده بانک]]-VLOOKUP(TArticle[[#This Row],[کد بانک]],TBank[],7,FALSE),"")</f>
        <v>961573</v>
      </c>
      <c r="AM738" s="69" t="str">
        <f>LEFT(TArticle[[#This Row],[تاریخ]],7)</f>
        <v>1404-05</v>
      </c>
    </row>
    <row r="739" spans="1:39" x14ac:dyDescent="0.25">
      <c r="A739" s="24" t="s">
        <v>1110</v>
      </c>
      <c r="B739" s="49" t="str">
        <f>VLOOKUP(TArticle[[#This Row],[شناسه]],TAccount[],2,TRUE)</f>
        <v>قسط وام بانکی</v>
      </c>
      <c r="C739" s="49" t="str">
        <f>VLOOKUP(TArticle[[#This Row],[تاریخ]],TDays[],7,FALSE)</f>
        <v>جمعه</v>
      </c>
      <c r="D739" s="21" t="s">
        <v>1813</v>
      </c>
      <c r="E739" s="1">
        <v>-1224</v>
      </c>
      <c r="F739" s="1">
        <f>TArticle[[#This Row],[مبلغ]]+IFERROR(INT(F738),30181+3667+958)</f>
        <v>918697</v>
      </c>
      <c r="G739" s="49"/>
      <c r="H739" s="21">
        <v>23</v>
      </c>
      <c r="J739" s="51"/>
      <c r="K739" s="64">
        <v>2</v>
      </c>
      <c r="L739" s="171" t="str">
        <f>IF(TArticle[[#This Row],[کد وضعیت سند]]&gt;0,VLOOKUP(TArticle[[#This Row],[کد وضعیت سند]],TDocState[],2,FALSE),"")</f>
        <v>قطعی</v>
      </c>
      <c r="M739" s="27">
        <v>115</v>
      </c>
      <c r="N739" s="171" t="str">
        <f>IF(TArticle[[#This Row],[کد طرف حساب]]&gt;0,VLOOKUP(TArticle[[#This Row],[کد طرف حساب]],TContact[],2,FALSE),"")</f>
        <v>وام فرزند مهر</v>
      </c>
      <c r="O739" s="60">
        <f>IF(TArticle[[#This Row],[کد طرف حساب]]&gt;0,VLOOKUP(TArticle[[#This Row],[کد طرف حساب]],TContact[],7,FALSE)-SUMIF($M$2:M739,M739,$E$2:$E739),"")</f>
        <v>-34296</v>
      </c>
      <c r="P739" s="27" t="str">
        <f>RIGHT(TArticle[[#This Row],[تاریخ]],2)</f>
        <v>03</v>
      </c>
      <c r="Q739" s="27">
        <f>VLOOKUP(TArticle[[#This Row],[تاریخ]],TDays[],16,FALSE)</f>
        <v>19</v>
      </c>
      <c r="R739" s="27" t="str">
        <f>RIGHT(LEFT(TArticle[[#This Row],[تاریخ]],7),2)</f>
        <v>05</v>
      </c>
      <c r="S739" s="27" t="str">
        <f>LEFT(TArticle[[#This Row],[تاریخ]],4)</f>
        <v>1404</v>
      </c>
      <c r="U739" s="21">
        <f>VLOOKUP(TArticle[[#This Row],[شناسه]],TAccount[],7,TRUE)</f>
        <v>81652</v>
      </c>
      <c r="W739" s="21">
        <f>IF(AND(TArticle[[#This Row],[مبلغ]]&gt;0, TArticle[[#This Row],[کد وضعیت سند]]=1),TArticle[[#This Row],[مبلغ]],0)</f>
        <v>0</v>
      </c>
      <c r="X739" s="27">
        <f>IF(AND(TArticle[[#This Row],[مبلغ]]&lt;0,TArticle[[#This Row],[کد وضعیت سند]]=1),0-TArticle[[#This Row],[مبلغ]],0)</f>
        <v>0</v>
      </c>
      <c r="Y739" s="27">
        <v>2</v>
      </c>
      <c r="Z739" s="171" t="str">
        <f>IF(TArticle[[#This Row],[کد بانک]]&gt;0,VLOOKUP(TArticle[[#This Row],[کد بانک]],TBank[],2,FALSE),"")</f>
        <v>ملی جاری</v>
      </c>
      <c r="AA739">
        <f>IF(AND(TArticle[[#This Row],[مبلغ]]&lt;0,TArticle[[#This Row],[کد وضعیت سند]]=1),0-TArticle[[#This Row],[مبلغ]],0)</f>
        <v>0</v>
      </c>
      <c r="AB739">
        <f>IF(AND(TArticle[[#This Row],[مبلغ]]&gt;0, TArticle[[#This Row],[کد وضعیت سند]]=1),TArticle[[#This Row],[مبلغ]],0)</f>
        <v>0</v>
      </c>
      <c r="AC739" s="92">
        <f>IF(TArticle[[#This Row],[کد بانک]]&gt;0,VLOOKUP(TArticle[[#This Row],[کد بانک]],TBank[],9,FALSE)+SUMIF($Y$2:Y739,Y739,$E$2:$E739),"")</f>
        <v>960349</v>
      </c>
      <c r="AD739" s="1">
        <f>IFERROR(IF(INT(LEFT(TArticle[[#This Row],[شناسه]]))=3,IF(TArticle[[#This Row],[کد وضعیت سند]]=1,TArticle[مبلغ],0),0),0)</f>
        <v>0</v>
      </c>
      <c r="AE739" s="1">
        <f>IFERROR(IF(((TArticle[[#This Row],[شناسه]]))="4.1.1",IF(TArticle[[#This Row],[کد وضعیت سند]]=1,TArticle[مبلغ],0),0),0)</f>
        <v>0</v>
      </c>
      <c r="AF739" s="1">
        <f>IFERROR(IF(((TArticle[[#This Row],[شناسه]]))="4.1.2",IF(TArticle[[#This Row],[کد وضعیت سند]]=1,TArticle[مبلغ],0),0),0)</f>
        <v>0</v>
      </c>
      <c r="AG739" s="1">
        <f>IFERROR(IF(INT(LEFT(TArticle[[#This Row],[شناسه]]))=1,IF(TArticle[[#This Row],[کد وضعیت سند]]=1,TArticle[مبلغ],0),0),0)</f>
        <v>0</v>
      </c>
      <c r="AH739" s="1">
        <f>IFERROR(IF(INT(LEFT(TArticle[[#This Row],[شناسه]]))=2,IF(TArticle[[#This Row],[کد وضعیت سند]]=1,TArticle[مبلغ],0),0),0)</f>
        <v>0</v>
      </c>
      <c r="AI739" s="1">
        <f>IFERROR(IF((LEFT(TArticle[[#This Row],[شناسه]],3))="5.2",IF(TArticle[[#This Row],[کد وضعیت سند]]=1,TArticle[مبلغ],0),0),0)</f>
        <v>0</v>
      </c>
      <c r="AJ739" s="1">
        <f>IF(TArticle[[#This Row],[کد وضعیت سند]]=1,1,0)</f>
        <v>0</v>
      </c>
      <c r="AK739" s="1">
        <f>IF(AND(TArticle[[#This Row],[کد وضعیت سند]]&lt;&gt;1,TArticle[[#This Row],[مبلغ]]&lt;&gt;0),1,0)</f>
        <v>1</v>
      </c>
      <c r="AL739" s="51">
        <f>IF(TArticle[[#This Row],[کد بانک]]&gt;0,TArticle[[#This Row],[مانده بانک]]-VLOOKUP(TArticle[[#This Row],[کد بانک]],TBank[],7,FALSE),"")</f>
        <v>960349</v>
      </c>
      <c r="AM739" s="58" t="str">
        <f>LEFT(TArticle[[#This Row],[تاریخ]],7)</f>
        <v>1404-05</v>
      </c>
    </row>
    <row r="740" spans="1:39" x14ac:dyDescent="0.25">
      <c r="A740" s="24" t="s">
        <v>1110</v>
      </c>
      <c r="B740" s="49" t="str">
        <f>VLOOKUP(TArticle[[#This Row],[شناسه]],TAccount[],2,TRUE)</f>
        <v>قسط وام بانکی</v>
      </c>
      <c r="C740" s="49" t="str">
        <f>VLOOKUP(TArticle[[#This Row],[تاریخ]],TDays[],7,FALSE)</f>
        <v>پنجشنبه</v>
      </c>
      <c r="D740" s="21" t="s">
        <v>1818</v>
      </c>
      <c r="E740" s="1">
        <f>'طرف حساب'!$J$29</f>
        <v>-3616</v>
      </c>
      <c r="F740" s="1">
        <f>TArticle[[#This Row],[مبلغ]]+IFERROR(INT(F739),30181+3667+958)</f>
        <v>915081</v>
      </c>
      <c r="G740" s="49"/>
      <c r="H740" s="21">
        <v>30</v>
      </c>
      <c r="J740" s="65"/>
      <c r="K740" s="64">
        <v>2</v>
      </c>
      <c r="L740" s="171" t="str">
        <f>IF(TArticle[[#This Row],[کد وضعیت سند]]&gt;0,VLOOKUP(TArticle[[#This Row],[کد وضعیت سند]],TDocState[],2,FALSE),"")</f>
        <v>قطعی</v>
      </c>
      <c r="M740" s="67">
        <v>114</v>
      </c>
      <c r="N740" s="171" t="str">
        <f>IF(TArticle[[#This Row],[کد طرف حساب]]&gt;0,VLOOKUP(TArticle[[#This Row],[کد طرف حساب]],TContact[],2,FALSE),"")</f>
        <v>وام کارت ملی ف</v>
      </c>
      <c r="O740" s="68">
        <f>IF(TArticle[[#This Row],[کد طرف حساب]]&gt;0,VLOOKUP(TArticle[[#This Row],[کد طرف حساب]],TContact[],7,FALSE)-SUMIF($M$2:M740,M740,$E$2:$E740),"")</f>
        <v>-22978</v>
      </c>
      <c r="P740" s="67" t="str">
        <f>RIGHT(TArticle[[#This Row],[تاریخ]],2)</f>
        <v>09</v>
      </c>
      <c r="Q740" s="67">
        <f>VLOOKUP(TArticle[[#This Row],[تاریخ]],TDays[],16,FALSE)</f>
        <v>20</v>
      </c>
      <c r="R740" s="67" t="str">
        <f>RIGHT(LEFT(TArticle[[#This Row],[تاریخ]],7),2)</f>
        <v>05</v>
      </c>
      <c r="S740" s="67" t="str">
        <f>LEFT(TArticle[[#This Row],[تاریخ]],4)</f>
        <v>1404</v>
      </c>
      <c r="T740" s="64"/>
      <c r="U740" s="64">
        <f>VLOOKUP(TArticle[[#This Row],[شناسه]],TAccount[],7,TRUE)</f>
        <v>81652</v>
      </c>
      <c r="V740" s="64"/>
      <c r="W740" s="64">
        <f>IF(AND(TArticle[[#This Row],[مبلغ]]&gt;0, TArticle[[#This Row],[کد وضعیت سند]]=1),TArticle[[#This Row],[مبلغ]],0)</f>
        <v>0</v>
      </c>
      <c r="X740" s="67">
        <f>IF(AND(TArticle[[#This Row],[مبلغ]]&lt;0,TArticle[[#This Row],[کد وضعیت سند]]=1),0-TArticle[[#This Row],[مبلغ]],0)</f>
        <v>0</v>
      </c>
      <c r="Y740" s="27">
        <v>2</v>
      </c>
      <c r="Z740" s="171" t="str">
        <f>IF(TArticle[[#This Row],[کد بانک]]&gt;0,VLOOKUP(TArticle[[#This Row],[کد بانک]],TBank[],2,FALSE),"")</f>
        <v>ملی جاری</v>
      </c>
      <c r="AA740">
        <f>IF(AND(TArticle[[#This Row],[مبلغ]]&lt;0,TArticle[[#This Row],[کد وضعیت سند]]=1),0-TArticle[[#This Row],[مبلغ]],0)</f>
        <v>0</v>
      </c>
      <c r="AB740">
        <f>IF(AND(TArticle[[#This Row],[مبلغ]]&gt;0, TArticle[[#This Row],[کد وضعیت سند]]=1),TArticle[[#This Row],[مبلغ]],0)</f>
        <v>0</v>
      </c>
      <c r="AC740" s="93">
        <f>IF(TArticle[[#This Row],[کد بانک]]&gt;0,VLOOKUP(TArticle[[#This Row],[کد بانک]],TBank[],9,FALSE)+SUMIF($Y$2:Y740,Y740,$E$2:$E740),"")</f>
        <v>956733</v>
      </c>
      <c r="AD740" s="1">
        <f>IFERROR(IF(INT(LEFT(TArticle[[#This Row],[شناسه]]))=3,IF(TArticle[[#This Row],[کد وضعیت سند]]=1,TArticle[مبلغ],0),0),0)</f>
        <v>0</v>
      </c>
      <c r="AE740" s="1">
        <f>IFERROR(IF(((TArticle[[#This Row],[شناسه]]))="4.1.1",IF(TArticle[[#This Row],[کد وضعیت سند]]=1,TArticle[مبلغ],0),0),0)</f>
        <v>0</v>
      </c>
      <c r="AF740" s="1">
        <f>IFERROR(IF(((TArticle[[#This Row],[شناسه]]))="4.1.2",IF(TArticle[[#This Row],[کد وضعیت سند]]=1,TArticle[مبلغ],0),0),0)</f>
        <v>0</v>
      </c>
      <c r="AG740" s="1">
        <f>IFERROR(IF(INT(LEFT(TArticle[[#This Row],[شناسه]]))=1,IF(TArticle[[#This Row],[کد وضعیت سند]]=1,TArticle[مبلغ],0),0),0)</f>
        <v>0</v>
      </c>
      <c r="AH740" s="1">
        <f>IFERROR(IF(INT(LEFT(TArticle[[#This Row],[شناسه]]))=2,IF(TArticle[[#This Row],[کد وضعیت سند]]=1,TArticle[مبلغ],0),0),0)</f>
        <v>0</v>
      </c>
      <c r="AI740" s="1">
        <f>IFERROR(IF((LEFT(TArticle[[#This Row],[شناسه]],3))="5.2",IF(TArticle[[#This Row],[کد وضعیت سند]]=1,TArticle[مبلغ],0),0),0)</f>
        <v>0</v>
      </c>
      <c r="AJ740" s="1">
        <f>IF(TArticle[[#This Row],[کد وضعیت سند]]=1,1,0)</f>
        <v>0</v>
      </c>
      <c r="AK740" s="1">
        <f>IF(AND(TArticle[[#This Row],[کد وضعیت سند]]&lt;&gt;1,TArticle[[#This Row],[مبلغ]]&lt;&gt;0),1,0)</f>
        <v>1</v>
      </c>
      <c r="AL740" s="78">
        <f>IF(TArticle[[#This Row],[کد بانک]]&gt;0,TArticle[[#This Row],[مانده بانک]]-VLOOKUP(TArticle[[#This Row],[کد بانک]],TBank[],7,FALSE),"")</f>
        <v>956733</v>
      </c>
      <c r="AM740" s="69" t="str">
        <f>LEFT(TArticle[[#This Row],[تاریخ]],7)</f>
        <v>1404-05</v>
      </c>
    </row>
    <row r="741" spans="1:39" x14ac:dyDescent="0.25">
      <c r="A741" s="24" t="s">
        <v>1013</v>
      </c>
      <c r="B741" s="49" t="str">
        <f>VLOOKUP(TArticle[[#This Row],[شناسه]],TAccount[],2,TRUE)</f>
        <v>یارانه</v>
      </c>
      <c r="C741" s="49" t="str">
        <f>VLOOKUP(TArticle[[#This Row],[تاریخ]],TDays[],7,FALSE)</f>
        <v>دوشنبه</v>
      </c>
      <c r="D741" s="21" t="s">
        <v>1829</v>
      </c>
      <c r="E741" s="1">
        <v>1500</v>
      </c>
      <c r="F741" s="1">
        <f>TArticle[[#This Row],[مبلغ]]+IFERROR(INT(F740),30181+3667+958)</f>
        <v>916581</v>
      </c>
      <c r="G741" s="49"/>
      <c r="H741" s="64"/>
      <c r="J741" s="65"/>
      <c r="K741" s="64">
        <v>2</v>
      </c>
      <c r="L741" s="171" t="str">
        <f>IF(TArticle[[#This Row],[کد وضعیت سند]]&gt;0,VLOOKUP(TArticle[[#This Row],[کد وضعیت سند]],TDocState[],2,FALSE),"")</f>
        <v>قطعی</v>
      </c>
      <c r="M741" s="67"/>
      <c r="N741" s="171" t="str">
        <f>IF(TArticle[[#This Row],[کد طرف حساب]]&gt;0,VLOOKUP(TArticle[[#This Row],[کد طرف حساب]],TContact[],2,FALSE),"")</f>
        <v/>
      </c>
      <c r="O741" s="68" t="str">
        <f>IF(TArticle[[#This Row],[کد طرف حساب]]&gt;0,VLOOKUP(TArticle[[#This Row],[کد طرف حساب]],TContact[],7,FALSE)-SUMIF($M$2:M741,M741,$E$2:$E741),"")</f>
        <v/>
      </c>
      <c r="P741" s="67" t="str">
        <f>RIGHT(TArticle[[#This Row],[تاریخ]],2)</f>
        <v>20</v>
      </c>
      <c r="Q741" s="67">
        <f>VLOOKUP(TArticle[[#This Row],[تاریخ]],TDays[],16,FALSE)</f>
        <v>21</v>
      </c>
      <c r="R741" s="67" t="str">
        <f>RIGHT(LEFT(TArticle[[#This Row],[تاریخ]],7),2)</f>
        <v>05</v>
      </c>
      <c r="S741" s="67" t="str">
        <f>LEFT(TArticle[[#This Row],[تاریخ]],4)</f>
        <v>1404</v>
      </c>
      <c r="T741" s="64"/>
      <c r="U741" s="64">
        <f>VLOOKUP(TArticle[[#This Row],[شناسه]],TAccount[],7,TRUE)</f>
        <v>12565</v>
      </c>
      <c r="V741" s="64"/>
      <c r="W741" s="64">
        <f>IF(AND(TArticle[[#This Row],[مبلغ]]&gt;0, TArticle[[#This Row],[کد وضعیت سند]]=1),TArticle[[#This Row],[مبلغ]],0)</f>
        <v>0</v>
      </c>
      <c r="X741" s="67">
        <f>IF(AND(TArticle[[#This Row],[مبلغ]]&lt;0,TArticle[[#This Row],[کد وضعیت سند]]=1),0-TArticle[[#This Row],[مبلغ]],0)</f>
        <v>0</v>
      </c>
      <c r="Y741" s="27">
        <v>2</v>
      </c>
      <c r="Z741" s="171" t="str">
        <f>IF(TArticle[[#This Row],[کد بانک]]&gt;0,VLOOKUP(TArticle[[#This Row],[کد بانک]],TBank[],2,FALSE),"")</f>
        <v>ملی جاری</v>
      </c>
      <c r="AA741">
        <f>IF(AND(TArticle[[#This Row],[مبلغ]]&lt;0,TArticle[[#This Row],[کد وضعیت سند]]=1),0-TArticle[[#This Row],[مبلغ]],0)</f>
        <v>0</v>
      </c>
      <c r="AB741">
        <f>IF(AND(TArticle[[#This Row],[مبلغ]]&gt;0, TArticle[[#This Row],[کد وضعیت سند]]=1),TArticle[[#This Row],[مبلغ]],0)</f>
        <v>0</v>
      </c>
      <c r="AC741" s="93">
        <f>IF(TArticle[[#This Row],[کد بانک]]&gt;0,VLOOKUP(TArticle[[#This Row],[کد بانک]],TBank[],9,FALSE)+SUMIF($Y$2:Y741,Y741,$E$2:$E741),"")</f>
        <v>958233</v>
      </c>
      <c r="AD741" s="1">
        <f>IFERROR(IF(INT(LEFT(TArticle[[#This Row],[شناسه]]))=3,IF(TArticle[[#This Row],[کد وضعیت سند]]=1,TArticle[مبلغ],0),0),0)</f>
        <v>0</v>
      </c>
      <c r="AE741" s="1">
        <f>IFERROR(IF(((TArticle[[#This Row],[شناسه]]))="4.1.1",IF(TArticle[[#This Row],[کد وضعیت سند]]=1,TArticle[مبلغ],0),0),0)</f>
        <v>0</v>
      </c>
      <c r="AF741" s="1">
        <f>IFERROR(IF(((TArticle[[#This Row],[شناسه]]))="4.1.2",IF(TArticle[[#This Row],[کد وضعیت سند]]=1,TArticle[مبلغ],0),0),0)</f>
        <v>0</v>
      </c>
      <c r="AG741" s="1">
        <f>IFERROR(IF(INT(LEFT(TArticle[[#This Row],[شناسه]]))=1,IF(TArticle[[#This Row],[کد وضعیت سند]]=1,TArticle[مبلغ],0),0),0)</f>
        <v>0</v>
      </c>
      <c r="AH741" s="1">
        <f>IFERROR(IF(INT(LEFT(TArticle[[#This Row],[شناسه]]))=2,IF(TArticle[[#This Row],[کد وضعیت سند]]=1,TArticle[مبلغ],0),0),0)</f>
        <v>0</v>
      </c>
      <c r="AI741" s="1">
        <f>IFERROR(IF((LEFT(TArticle[[#This Row],[شناسه]],3))="5.2",IF(TArticle[[#This Row],[کد وضعیت سند]]=1,TArticle[مبلغ],0),0),0)</f>
        <v>0</v>
      </c>
      <c r="AJ741" s="1">
        <f>IF(TArticle[[#This Row],[کد وضعیت سند]]=1,1,0)</f>
        <v>0</v>
      </c>
      <c r="AK741" s="1">
        <f>IF(AND(TArticle[[#This Row],[کد وضعیت سند]]&lt;&gt;1,TArticle[[#This Row],[مبلغ]]&lt;&gt;0),1,0)</f>
        <v>1</v>
      </c>
      <c r="AL741" s="78">
        <f>IF(TArticle[[#This Row],[کد بانک]]&gt;0,TArticle[[#This Row],[مانده بانک]]-VLOOKUP(TArticle[[#This Row],[کد بانک]],TBank[],7,FALSE),"")</f>
        <v>958233</v>
      </c>
      <c r="AM741" s="69" t="str">
        <f>LEFT(TArticle[[#This Row],[تاریخ]],7)</f>
        <v>1404-05</v>
      </c>
    </row>
    <row r="742" spans="1:39" x14ac:dyDescent="0.25">
      <c r="A742" s="24" t="s">
        <v>43</v>
      </c>
      <c r="B742" s="49" t="str">
        <f>VLOOKUP(TArticle[[#This Row],[شناسه]],TAccount[],2,TRUE)</f>
        <v>حقوق</v>
      </c>
      <c r="C742" s="49" t="str">
        <f>VLOOKUP(TArticle[[#This Row],[تاریخ]],TDays[],7,FALSE)</f>
        <v>شنبه</v>
      </c>
      <c r="D742" s="21" t="s">
        <v>1841</v>
      </c>
      <c r="E742" s="1">
        <v>50000</v>
      </c>
      <c r="F742" s="1">
        <f>TArticle[[#This Row],[مبلغ]]+IFERROR(INT(F741),30181+3667+958)</f>
        <v>966581</v>
      </c>
      <c r="G742" s="169"/>
      <c r="H742" s="64"/>
      <c r="J742" s="65"/>
      <c r="K742" s="64">
        <v>2</v>
      </c>
      <c r="L742" s="171" t="str">
        <f>IF(TArticle[[#This Row],[کد وضعیت سند]]&gt;0,VLOOKUP(TArticle[[#This Row],[کد وضعیت سند]],TDocState[],2,FALSE),"")</f>
        <v>قطعی</v>
      </c>
      <c r="M742" s="67"/>
      <c r="N742" s="171" t="str">
        <f>IF(TArticle[[#This Row],[کد طرف حساب]]&gt;0,VLOOKUP(TArticle[[#This Row],[کد طرف حساب]],TContact[],2,FALSE),"")</f>
        <v/>
      </c>
      <c r="O742" s="68" t="str">
        <f>IF(TArticle[[#This Row],[کد طرف حساب]]&gt;0,VLOOKUP(TArticle[[#This Row],[کد طرف حساب]],TContact[],7,FALSE)-SUMIF($M$2:M742,M742,$E$2:$E742),"")</f>
        <v/>
      </c>
      <c r="P742" s="67" t="str">
        <f>RIGHT(TArticle[[#This Row],[تاریخ]],2)</f>
        <v>01</v>
      </c>
      <c r="Q742" s="67">
        <f>VLOOKUP(TArticle[[#This Row],[تاریخ]],TDays[],16,FALSE)</f>
        <v>23</v>
      </c>
      <c r="R742" s="67" t="str">
        <f>RIGHT(LEFT(TArticle[[#This Row],[تاریخ]],7),2)</f>
        <v>06</v>
      </c>
      <c r="S742" s="67" t="str">
        <f>LEFT(TArticle[[#This Row],[تاریخ]],4)</f>
        <v>1404</v>
      </c>
      <c r="T742" s="64"/>
      <c r="U742" s="64">
        <f>VLOOKUP(TArticle[[#This Row],[شناسه]],TAccount[],7,TRUE)</f>
        <v>416023</v>
      </c>
      <c r="V742" s="64"/>
      <c r="W742" s="64">
        <f>IF(AND(TArticle[[#This Row],[مبلغ]]&gt;0, TArticle[[#This Row],[کد وضعیت سند]]=1),TArticle[[#This Row],[مبلغ]],0)</f>
        <v>0</v>
      </c>
      <c r="X742" s="67">
        <f>IF(AND(TArticle[[#This Row],[مبلغ]]&lt;0,TArticle[[#This Row],[کد وضعیت سند]]=1),0-TArticle[[#This Row],[مبلغ]],0)</f>
        <v>0</v>
      </c>
      <c r="Y742" s="27">
        <v>2</v>
      </c>
      <c r="Z742" s="171" t="str">
        <f>IF(TArticle[[#This Row],[کد بانک]]&gt;0,VLOOKUP(TArticle[[#This Row],[کد بانک]],TBank[],2,FALSE),"")</f>
        <v>ملی جاری</v>
      </c>
      <c r="AA742">
        <f>IF(AND(TArticle[[#This Row],[مبلغ]]&lt;0,TArticle[[#This Row],[کد وضعیت سند]]=1),0-TArticle[[#This Row],[مبلغ]],0)</f>
        <v>0</v>
      </c>
      <c r="AB742">
        <f>IF(AND(TArticle[[#This Row],[مبلغ]]&gt;0, TArticle[[#This Row],[کد وضعیت سند]]=1),TArticle[[#This Row],[مبلغ]],0)</f>
        <v>0</v>
      </c>
      <c r="AC742" s="93">
        <f>IF(TArticle[[#This Row],[کد بانک]]&gt;0,VLOOKUP(TArticle[[#This Row],[کد بانک]],TBank[],9,FALSE)+SUMIF($Y$2:Y742,Y742,$E$2:$E742),"")</f>
        <v>1008233</v>
      </c>
      <c r="AD742" s="1">
        <f>IFERROR(IF(INT(LEFT(TArticle[[#This Row],[شناسه]]))=3,IF(TArticle[[#This Row],[کد وضعیت سند]]=1,TArticle[مبلغ],0),0),0)</f>
        <v>0</v>
      </c>
      <c r="AE742" s="1">
        <f>IFERROR(IF(((TArticle[[#This Row],[شناسه]]))="4.1.1",IF(TArticle[[#This Row],[کد وضعیت سند]]=1,TArticle[مبلغ],0),0),0)</f>
        <v>0</v>
      </c>
      <c r="AF742" s="1">
        <f>IFERROR(IF(((TArticle[[#This Row],[شناسه]]))="4.1.2",IF(TArticle[[#This Row],[کد وضعیت سند]]=1,TArticle[مبلغ],0),0),0)</f>
        <v>0</v>
      </c>
      <c r="AG742" s="1">
        <f>IFERROR(IF(INT(LEFT(TArticle[[#This Row],[شناسه]]))=1,IF(TArticle[[#This Row],[کد وضعیت سند]]=1,TArticle[مبلغ],0),0),0)</f>
        <v>0</v>
      </c>
      <c r="AH742" s="1">
        <f>IFERROR(IF(INT(LEFT(TArticle[[#This Row],[شناسه]]))=2,IF(TArticle[[#This Row],[کد وضعیت سند]]=1,TArticle[مبلغ],0),0),0)</f>
        <v>0</v>
      </c>
      <c r="AI742" s="1">
        <f>IFERROR(IF((LEFT(TArticle[[#This Row],[شناسه]],3))="5.2",IF(TArticle[[#This Row],[کد وضعیت سند]]=1,TArticle[مبلغ],0),0),0)</f>
        <v>0</v>
      </c>
      <c r="AJ742" s="1">
        <f>IF(TArticle[[#This Row],[کد وضعیت سند]]=1,1,0)</f>
        <v>0</v>
      </c>
      <c r="AK742" s="1">
        <f>IF(AND(TArticle[[#This Row],[کد وضعیت سند]]&lt;&gt;1,TArticle[[#This Row],[مبلغ]]&lt;&gt;0),1,0)</f>
        <v>1</v>
      </c>
      <c r="AL742" s="78">
        <f>IF(TArticle[[#This Row],[کد بانک]]&gt;0,TArticle[[#This Row],[مانده بانک]]-VLOOKUP(TArticle[[#This Row],[کد بانک]],TBank[],7,FALSE),"")</f>
        <v>1008233</v>
      </c>
      <c r="AM742" s="69" t="str">
        <f>LEFT(TArticle[[#This Row],[تاریخ]],7)</f>
        <v>1404-06</v>
      </c>
    </row>
    <row r="743" spans="1:39" x14ac:dyDescent="0.25">
      <c r="A743" s="24" t="s">
        <v>1608</v>
      </c>
      <c r="B743" s="49" t="str">
        <f>VLOOKUP(TArticle[[#This Row],[شناسه]],TAccount[],2,TRUE)</f>
        <v>بن کارت</v>
      </c>
      <c r="C743" s="49" t="str">
        <f>VLOOKUP(TArticle[[#This Row],[تاریخ]],TDays[],7,FALSE)</f>
        <v>شنبه</v>
      </c>
      <c r="D743" s="21" t="s">
        <v>1841</v>
      </c>
      <c r="E743" s="1">
        <v>3600</v>
      </c>
      <c r="F743" s="1">
        <f>TArticle[[#This Row],[مبلغ]]+IFERROR(INT(F742),30181+3667+958)</f>
        <v>970181</v>
      </c>
      <c r="G743" s="49"/>
      <c r="K743" s="64">
        <v>2</v>
      </c>
      <c r="L743" s="171" t="str">
        <f>IF(TArticle[[#This Row],[کد وضعیت سند]]&gt;0,VLOOKUP(TArticle[[#This Row],[کد وضعیت سند]],TDocState[],2,FALSE),"")</f>
        <v>قطعی</v>
      </c>
      <c r="N743" s="171" t="str">
        <f>IF(TArticle[[#This Row],[کد طرف حساب]]&gt;0,VLOOKUP(TArticle[[#This Row],[کد طرف حساب]],TContact[],2,FALSE),"")</f>
        <v/>
      </c>
      <c r="O743" s="61" t="str">
        <f>IF(TArticle[[#This Row],[کد طرف حساب]]&gt;0,VLOOKUP(TArticle[[#This Row],[کد طرف حساب]],TContact[],7,FALSE)-SUMIF($M$2:M743,M743,$E$2:$E743),"")</f>
        <v/>
      </c>
      <c r="P743" s="27" t="str">
        <f>RIGHT(TArticle[[#This Row],[تاریخ]],2)</f>
        <v>01</v>
      </c>
      <c r="Q743" s="27">
        <f>VLOOKUP(TArticle[[#This Row],[تاریخ]],TDays[],16,FALSE)</f>
        <v>23</v>
      </c>
      <c r="R743" s="27" t="str">
        <f>RIGHT(LEFT(TArticle[[#This Row],[تاریخ]],7),2)</f>
        <v>06</v>
      </c>
      <c r="S743" s="27" t="str">
        <f>LEFT(TArticle[[#This Row],[تاریخ]],4)</f>
        <v>1404</v>
      </c>
      <c r="U743" s="21">
        <f>VLOOKUP(TArticle[[#This Row],[شناسه]],TAccount[],7,TRUE)</f>
        <v>3000</v>
      </c>
      <c r="W743" s="21">
        <f>IF(AND(TArticle[[#This Row],[مبلغ]]&gt;0, TArticle[[#This Row],[کد وضعیت سند]]=1),TArticle[[#This Row],[مبلغ]],0)</f>
        <v>0</v>
      </c>
      <c r="X743" s="27">
        <f>IF(AND(TArticle[[#This Row],[مبلغ]]&lt;0,TArticle[[#This Row],[کد وضعیت سند]]=1),0-TArticle[[#This Row],[مبلغ]],0)</f>
        <v>0</v>
      </c>
      <c r="Y743" s="27">
        <v>2</v>
      </c>
      <c r="Z743" s="171" t="str">
        <f>IF(TArticle[[#This Row],[کد بانک]]&gt;0,VLOOKUP(TArticle[[#This Row],[کد بانک]],TBank[],2,FALSE),"")</f>
        <v>ملی جاری</v>
      </c>
      <c r="AA743">
        <f>IF(AND(TArticle[[#This Row],[مبلغ]]&lt;0,TArticle[[#This Row],[کد وضعیت سند]]=1),0-TArticle[[#This Row],[مبلغ]],0)</f>
        <v>0</v>
      </c>
      <c r="AB743">
        <f>IF(AND(TArticle[[#This Row],[مبلغ]]&gt;0, TArticle[[#This Row],[کد وضعیت سند]]=1),TArticle[[#This Row],[مبلغ]],0)</f>
        <v>0</v>
      </c>
      <c r="AC743" s="84">
        <f>IF(TArticle[[#This Row],[کد بانک]]&gt;0,VLOOKUP(TArticle[[#This Row],[کد بانک]],TBank[],9,FALSE)+SUMIF($Y$2:Y743,Y743,$E$2:$E743),"")</f>
        <v>1011833</v>
      </c>
      <c r="AD743" s="1">
        <f>IFERROR(IF(INT(LEFT(TArticle[[#This Row],[شناسه]]))=3,IF(TArticle[[#This Row],[کد وضعیت سند]]=1,TArticle[مبلغ],0),0),0)</f>
        <v>0</v>
      </c>
      <c r="AE743" s="1">
        <f>IFERROR(IF(((TArticle[[#This Row],[شناسه]]))="4.1.1",IF(TArticle[[#This Row],[کد وضعیت سند]]=1,TArticle[مبلغ],0),0),0)</f>
        <v>0</v>
      </c>
      <c r="AF743" s="1">
        <f>IFERROR(IF(((TArticle[[#This Row],[شناسه]]))="4.1.2",IF(TArticle[[#This Row],[کد وضعیت سند]]=1,TArticle[مبلغ],0),0),0)</f>
        <v>0</v>
      </c>
      <c r="AG743" s="1">
        <f>IFERROR(IF(INT(LEFT(TArticle[[#This Row],[شناسه]]))=1,IF(TArticle[[#This Row],[کد وضعیت سند]]=1,TArticle[مبلغ],0),0),0)</f>
        <v>0</v>
      </c>
      <c r="AH743" s="1">
        <f>IFERROR(IF(INT(LEFT(TArticle[[#This Row],[شناسه]]))=2,IF(TArticle[[#This Row],[کد وضعیت سند]]=1,TArticle[مبلغ],0),0),0)</f>
        <v>0</v>
      </c>
      <c r="AI743" s="1">
        <f>IFERROR(IF((LEFT(TArticle[[#This Row],[شناسه]],3))="5.2",IF(TArticle[[#This Row],[کد وضعیت سند]]=1,TArticle[مبلغ],0),0),0)</f>
        <v>0</v>
      </c>
      <c r="AJ743" s="1">
        <f>IF(TArticle[[#This Row],[کد وضعیت سند]]=1,1,0)</f>
        <v>0</v>
      </c>
      <c r="AK743" s="1">
        <f>IF(AND(TArticle[[#This Row],[کد وضعیت سند]]&lt;&gt;1,TArticle[[#This Row],[مبلغ]]&lt;&gt;0),1,0)</f>
        <v>1</v>
      </c>
      <c r="AL743" s="51">
        <f>IF(TArticle[[#This Row],[کد بانک]]&gt;0,TArticle[[#This Row],[مانده بانک]]-VLOOKUP(TArticle[[#This Row],[کد بانک]],TBank[],7,FALSE),"")</f>
        <v>1011833</v>
      </c>
      <c r="AM743" s="58" t="str">
        <f>LEFT(TArticle[[#This Row],[تاریخ]],7)</f>
        <v>1404-06</v>
      </c>
    </row>
    <row r="744" spans="1:39" x14ac:dyDescent="0.25">
      <c r="A744" s="24" t="s">
        <v>1110</v>
      </c>
      <c r="B744" s="49" t="str">
        <f>VLOOKUP(TArticle[[#This Row],[شناسه]],TAccount[],2,TRUE)</f>
        <v>قسط وام بانکی</v>
      </c>
      <c r="C744" s="49" t="str">
        <f>VLOOKUP(TArticle[[#This Row],[تاریخ]],TDays[],7,FALSE)</f>
        <v>دوشنبه</v>
      </c>
      <c r="D744" s="21" t="s">
        <v>1843</v>
      </c>
      <c r="E744" s="1">
        <v>-1224</v>
      </c>
      <c r="F744" s="1">
        <f>TArticle[[#This Row],[مبلغ]]+IFERROR(INT(F743),30181+3667+958)</f>
        <v>968957</v>
      </c>
      <c r="G744" s="49"/>
      <c r="H744" s="21">
        <v>24</v>
      </c>
      <c r="J744" s="51"/>
      <c r="K744" s="64">
        <v>2</v>
      </c>
      <c r="L744" s="171" t="str">
        <f>IF(TArticle[[#This Row],[کد وضعیت سند]]&gt;0,VLOOKUP(TArticle[[#This Row],[کد وضعیت سند]],TDocState[],2,FALSE),"")</f>
        <v>قطعی</v>
      </c>
      <c r="M744" s="27">
        <v>115</v>
      </c>
      <c r="N744" s="171" t="str">
        <f>IF(TArticle[[#This Row],[کد طرف حساب]]&gt;0,VLOOKUP(TArticle[[#This Row],[کد طرف حساب]],TContact[],2,FALSE),"")</f>
        <v>وام فرزند مهر</v>
      </c>
      <c r="O744" s="60">
        <f>IF(TArticle[[#This Row],[کد طرف حساب]]&gt;0,VLOOKUP(TArticle[[#This Row],[کد طرف حساب]],TContact[],7,FALSE)-SUMIF($M$2:M744,M744,$E$2:$E744),"")</f>
        <v>-33072</v>
      </c>
      <c r="P744" s="27" t="str">
        <f>RIGHT(TArticle[[#This Row],[تاریخ]],2)</f>
        <v>03</v>
      </c>
      <c r="Q744" s="27">
        <f>VLOOKUP(TArticle[[#This Row],[تاریخ]],TDays[],16,FALSE)</f>
        <v>23</v>
      </c>
      <c r="R744" s="27" t="str">
        <f>RIGHT(LEFT(TArticle[[#This Row],[تاریخ]],7),2)</f>
        <v>06</v>
      </c>
      <c r="S744" s="27" t="str">
        <f>LEFT(TArticle[[#This Row],[تاریخ]],4)</f>
        <v>1404</v>
      </c>
      <c r="U744" s="21">
        <f>VLOOKUP(TArticle[[#This Row],[شناسه]],TAccount[],7,TRUE)</f>
        <v>81652</v>
      </c>
      <c r="V744" s="28"/>
      <c r="W744" s="21">
        <f>IF(AND(TArticle[[#This Row],[مبلغ]]&gt;0, TArticle[[#This Row],[کد وضعیت سند]]=1),TArticle[[#This Row],[مبلغ]],0)</f>
        <v>0</v>
      </c>
      <c r="X744" s="27">
        <f>IF(AND(TArticle[[#This Row],[مبلغ]]&lt;0,TArticle[[#This Row],[کد وضعیت سند]]=1),0-TArticle[[#This Row],[مبلغ]],0)</f>
        <v>0</v>
      </c>
      <c r="Y744" s="27">
        <v>2</v>
      </c>
      <c r="Z744" s="171" t="str">
        <f>IF(TArticle[[#This Row],[کد بانک]]&gt;0,VLOOKUP(TArticle[[#This Row],[کد بانک]],TBank[],2,FALSE),"")</f>
        <v>ملی جاری</v>
      </c>
      <c r="AA744">
        <f>IF(AND(TArticle[[#This Row],[مبلغ]]&lt;0,TArticle[[#This Row],[کد وضعیت سند]]=1),0-TArticle[[#This Row],[مبلغ]],0)</f>
        <v>0</v>
      </c>
      <c r="AB744">
        <f>IF(AND(TArticle[[#This Row],[مبلغ]]&gt;0, TArticle[[#This Row],[کد وضعیت سند]]=1),TArticle[[#This Row],[مبلغ]],0)</f>
        <v>0</v>
      </c>
      <c r="AC744" s="92">
        <f>IF(TArticle[[#This Row],[کد بانک]]&gt;0,VLOOKUP(TArticle[[#This Row],[کد بانک]],TBank[],9,FALSE)+SUMIF($Y$2:Y744,Y744,$E$2:$E744),"")</f>
        <v>1010609</v>
      </c>
      <c r="AD744" s="1">
        <f>IFERROR(IF(INT(LEFT(TArticle[[#This Row],[شناسه]]))=3,IF(TArticle[[#This Row],[کد وضعیت سند]]=1,TArticle[مبلغ],0),0),0)</f>
        <v>0</v>
      </c>
      <c r="AE744" s="1">
        <f>IFERROR(IF(((TArticle[[#This Row],[شناسه]]))="4.1.1",IF(TArticle[[#This Row],[کد وضعیت سند]]=1,TArticle[مبلغ],0),0),0)</f>
        <v>0</v>
      </c>
      <c r="AF744" s="1">
        <f>IFERROR(IF(((TArticle[[#This Row],[شناسه]]))="4.1.2",IF(TArticle[[#This Row],[کد وضعیت سند]]=1,TArticle[مبلغ],0),0),0)</f>
        <v>0</v>
      </c>
      <c r="AG744" s="1">
        <f>IFERROR(IF(INT(LEFT(TArticle[[#This Row],[شناسه]]))=1,IF(TArticle[[#This Row],[کد وضعیت سند]]=1,TArticle[مبلغ],0),0),0)</f>
        <v>0</v>
      </c>
      <c r="AH744" s="1">
        <f>IFERROR(IF(INT(LEFT(TArticle[[#This Row],[شناسه]]))=2,IF(TArticle[[#This Row],[کد وضعیت سند]]=1,TArticle[مبلغ],0),0),0)</f>
        <v>0</v>
      </c>
      <c r="AI744" s="1">
        <f>IFERROR(IF((LEFT(TArticle[[#This Row],[شناسه]],3))="5.2",IF(TArticle[[#This Row],[کد وضعیت سند]]=1,TArticle[مبلغ],0),0),0)</f>
        <v>0</v>
      </c>
      <c r="AJ744" s="1">
        <f>IF(TArticle[[#This Row],[کد وضعیت سند]]=1,1,0)</f>
        <v>0</v>
      </c>
      <c r="AK744" s="1">
        <f>IF(AND(TArticle[[#This Row],[کد وضعیت سند]]&lt;&gt;1,TArticle[[#This Row],[مبلغ]]&lt;&gt;0),1,0)</f>
        <v>1</v>
      </c>
      <c r="AL744" s="51">
        <f>IF(TArticle[[#This Row],[کد بانک]]&gt;0,TArticle[[#This Row],[مانده بانک]]-VLOOKUP(TArticle[[#This Row],[کد بانک]],TBank[],7,FALSE),"")</f>
        <v>1010609</v>
      </c>
      <c r="AM744" s="58" t="str">
        <f>LEFT(TArticle[[#This Row],[تاریخ]],7)</f>
        <v>1404-06</v>
      </c>
    </row>
    <row r="745" spans="1:39" x14ac:dyDescent="0.25">
      <c r="A745" s="24" t="s">
        <v>1110</v>
      </c>
      <c r="B745" s="49" t="str">
        <f>VLOOKUP(TArticle[[#This Row],[شناسه]],TAccount[],2,TRUE)</f>
        <v>قسط وام بانکی</v>
      </c>
      <c r="C745" s="49" t="str">
        <f>VLOOKUP(TArticle[[#This Row],[تاریخ]],TDays[],7,FALSE)</f>
        <v>یکشنبه</v>
      </c>
      <c r="D745" s="21" t="s">
        <v>1848</v>
      </c>
      <c r="E745" s="1">
        <f>'طرف حساب'!$J$29</f>
        <v>-3616</v>
      </c>
      <c r="F745" s="1">
        <f>TArticle[[#This Row],[مبلغ]]+IFERROR(INT(F744),30181+3667+958)</f>
        <v>965341</v>
      </c>
      <c r="G745" s="49"/>
      <c r="H745" s="21">
        <v>31</v>
      </c>
      <c r="K745" s="64">
        <v>2</v>
      </c>
      <c r="L745" s="171" t="str">
        <f>IF(TArticle[[#This Row],[کد وضعیت سند]]&gt;0,VLOOKUP(TArticle[[#This Row],[کد وضعیت سند]],TDocState[],2,FALSE),"")</f>
        <v>قطعی</v>
      </c>
      <c r="M745" s="67">
        <v>114</v>
      </c>
      <c r="N745" s="171" t="str">
        <f>IF(TArticle[[#This Row],[کد طرف حساب]]&gt;0,VLOOKUP(TArticle[[#This Row],[کد طرف حساب]],TContact[],2,FALSE),"")</f>
        <v>وام کارت ملی ف</v>
      </c>
      <c r="O745" s="51">
        <f>IF(TArticle[[#This Row],[کد طرف حساب]]&gt;0,VLOOKUP(TArticle[[#This Row],[کد طرف حساب]],TContact[],7,FALSE)-SUMIF($M$2:M745,M745,$E$2:$E745),"")</f>
        <v>-19362</v>
      </c>
      <c r="P745" s="27" t="str">
        <f>RIGHT(TArticle[[#This Row],[تاریخ]],2)</f>
        <v>09</v>
      </c>
      <c r="Q745" s="27">
        <f>VLOOKUP(TArticle[[#This Row],[تاریخ]],TDays[],16,FALSE)</f>
        <v>24</v>
      </c>
      <c r="R745" s="27" t="str">
        <f>RIGHT(LEFT(TArticle[[#This Row],[تاریخ]],7),2)</f>
        <v>06</v>
      </c>
      <c r="S745" s="27" t="str">
        <f>LEFT(TArticle[[#This Row],[تاریخ]],4)</f>
        <v>1404</v>
      </c>
      <c r="U745" s="21">
        <f>VLOOKUP(TArticle[[#This Row],[شناسه]],TAccount[],7,TRUE)</f>
        <v>81652</v>
      </c>
      <c r="W745" s="21">
        <f>IF(AND(TArticle[[#This Row],[مبلغ]]&gt;0, TArticle[[#This Row],[کد وضعیت سند]]=1),TArticle[[#This Row],[مبلغ]],0)</f>
        <v>0</v>
      </c>
      <c r="X745" s="21">
        <f>IF(AND(TArticle[[#This Row],[مبلغ]]&lt;0,TArticle[[#This Row],[کد وضعیت سند]]=1),0-TArticle[[#This Row],[مبلغ]],0)</f>
        <v>0</v>
      </c>
      <c r="Y745" s="27">
        <v>2</v>
      </c>
      <c r="Z745" s="171" t="str">
        <f>IF(TArticle[[#This Row],[کد بانک]]&gt;0,VLOOKUP(TArticle[[#This Row],[کد بانک]],TBank[],2,FALSE),"")</f>
        <v>ملی جاری</v>
      </c>
      <c r="AA745">
        <f>IF(AND(TArticle[[#This Row],[مبلغ]]&lt;0,TArticle[[#This Row],[کد وضعیت سند]]=1),0-TArticle[[#This Row],[مبلغ]],0)</f>
        <v>0</v>
      </c>
      <c r="AB745">
        <f>IF(AND(TArticle[[#This Row],[مبلغ]]&gt;0, TArticle[[#This Row],[کد وضعیت سند]]=1),TArticle[[#This Row],[مبلغ]],0)</f>
        <v>0</v>
      </c>
      <c r="AC745" s="84">
        <f>IF(TArticle[[#This Row],[کد بانک]]&gt;0,VLOOKUP(TArticle[[#This Row],[کد بانک]],TBank[],9,FALSE)+SUMIF($Y$2:Y745,Y745,$E$2:$E745),"")</f>
        <v>1006993</v>
      </c>
      <c r="AD745" s="1">
        <f>IFERROR(IF(INT(LEFT(TArticle[[#This Row],[شناسه]]))=3,IF(TArticle[[#This Row],[کد وضعیت سند]]=1,TArticle[مبلغ],0),0),0)</f>
        <v>0</v>
      </c>
      <c r="AE745" s="1">
        <f>IFERROR(IF(((TArticle[[#This Row],[شناسه]]))="4.1.1",IF(TArticle[[#This Row],[کد وضعیت سند]]=1,TArticle[مبلغ],0),0),0)</f>
        <v>0</v>
      </c>
      <c r="AF745" s="1">
        <f>IFERROR(IF(((TArticle[[#This Row],[شناسه]]))="4.1.2",IF(TArticle[[#This Row],[کد وضعیت سند]]=1,TArticle[مبلغ],0),0),0)</f>
        <v>0</v>
      </c>
      <c r="AG745" s="1">
        <f>IFERROR(IF(INT(LEFT(TArticle[[#This Row],[شناسه]]))=1,IF(TArticle[[#This Row],[کد وضعیت سند]]=1,TArticle[مبلغ],0),0),0)</f>
        <v>0</v>
      </c>
      <c r="AH745" s="1">
        <f>IFERROR(IF(INT(LEFT(TArticle[[#This Row],[شناسه]]))=2,IF(TArticle[[#This Row],[کد وضعیت سند]]=1,TArticle[مبلغ],0),0),0)</f>
        <v>0</v>
      </c>
      <c r="AI745" s="1">
        <f>IFERROR(IF((LEFT(TArticle[[#This Row],[شناسه]],3))="5.2",IF(TArticle[[#This Row],[کد وضعیت سند]]=1,TArticle[مبلغ],0),0),0)</f>
        <v>0</v>
      </c>
      <c r="AJ745" s="1">
        <f>IF(TArticle[[#This Row],[کد وضعیت سند]]=1,1,0)</f>
        <v>0</v>
      </c>
      <c r="AK745" s="1">
        <f>IF(AND(TArticle[[#This Row],[کد وضعیت سند]]&lt;&gt;1,TArticle[[#This Row],[مبلغ]]&lt;&gt;0),1,0)</f>
        <v>1</v>
      </c>
      <c r="AL745" s="51">
        <f>IF(TArticle[[#This Row],[کد بانک]]&gt;0,TArticle[[#This Row],[مانده بانک]]-VLOOKUP(TArticle[[#This Row],[کد بانک]],TBank[],7,FALSE),"")</f>
        <v>1006993</v>
      </c>
      <c r="AM745" s="58" t="str">
        <f>LEFT(TArticle[[#This Row],[تاریخ]],7)</f>
        <v>1404-06</v>
      </c>
    </row>
    <row r="746" spans="1:39" x14ac:dyDescent="0.25">
      <c r="A746" s="24" t="s">
        <v>1013</v>
      </c>
      <c r="B746" s="49" t="str">
        <f>VLOOKUP(TArticle[[#This Row],[شناسه]],TAccount[],2,TRUE)</f>
        <v>یارانه</v>
      </c>
      <c r="C746" s="49" t="str">
        <f>VLOOKUP(TArticle[[#This Row],[تاریخ]],TDays[],7,FALSE)</f>
        <v>پنجشنبه</v>
      </c>
      <c r="D746" s="21" t="s">
        <v>1859</v>
      </c>
      <c r="E746" s="1">
        <v>1500</v>
      </c>
      <c r="F746" s="1">
        <f>TArticle[[#This Row],[مبلغ]]+IFERROR(INT(F745),30181+3667+958)</f>
        <v>966841</v>
      </c>
      <c r="G746" s="49"/>
      <c r="K746" s="64">
        <v>2</v>
      </c>
      <c r="L746" s="171" t="str">
        <f>IF(TArticle[[#This Row],[کد وضعیت سند]]&gt;0,VLOOKUP(TArticle[[#This Row],[کد وضعیت سند]],TDocState[],2,FALSE),"")</f>
        <v>قطعی</v>
      </c>
      <c r="N746" s="171" t="str">
        <f>IF(TArticle[[#This Row],[کد طرف حساب]]&gt;0,VLOOKUP(TArticle[[#This Row],[کد طرف حساب]],TContact[],2,FALSE),"")</f>
        <v/>
      </c>
      <c r="O746" s="61" t="str">
        <f>IF(TArticle[[#This Row],[کد طرف حساب]]&gt;0,VLOOKUP(TArticle[[#This Row],[کد طرف حساب]],TContact[],7,FALSE)-SUMIF($M$2:M746,M746,$E$2:$E746),"")</f>
        <v/>
      </c>
      <c r="P746" s="27" t="str">
        <f>RIGHT(TArticle[[#This Row],[تاریخ]],2)</f>
        <v>20</v>
      </c>
      <c r="Q746" s="27">
        <f>VLOOKUP(TArticle[[#This Row],[تاریخ]],TDays[],16,FALSE)</f>
        <v>26</v>
      </c>
      <c r="R746" s="27" t="str">
        <f>RIGHT(LEFT(TArticle[[#This Row],[تاریخ]],7),2)</f>
        <v>06</v>
      </c>
      <c r="S746" s="27" t="str">
        <f>LEFT(TArticle[[#This Row],[تاریخ]],4)</f>
        <v>1404</v>
      </c>
      <c r="U746" s="21">
        <f>VLOOKUP(TArticle[[#This Row],[شناسه]],TAccount[],7,TRUE)</f>
        <v>12565</v>
      </c>
      <c r="W746" s="21">
        <f>IF(AND(TArticle[[#This Row],[مبلغ]]&gt;0, TArticle[[#This Row],[کد وضعیت سند]]=1),TArticle[[#This Row],[مبلغ]],0)</f>
        <v>0</v>
      </c>
      <c r="X746" s="27">
        <f>IF(AND(TArticle[[#This Row],[مبلغ]]&lt;0,TArticle[[#This Row],[کد وضعیت سند]]=1),0-TArticle[[#This Row],[مبلغ]],0)</f>
        <v>0</v>
      </c>
      <c r="Y746" s="27">
        <v>2</v>
      </c>
      <c r="Z746" s="171" t="str">
        <f>IF(TArticle[[#This Row],[کد بانک]]&gt;0,VLOOKUP(TArticle[[#This Row],[کد بانک]],TBank[],2,FALSE),"")</f>
        <v>ملی جاری</v>
      </c>
      <c r="AA746">
        <f>IF(AND(TArticle[[#This Row],[مبلغ]]&lt;0,TArticle[[#This Row],[کد وضعیت سند]]=1),0-TArticle[[#This Row],[مبلغ]],0)</f>
        <v>0</v>
      </c>
      <c r="AB746">
        <f>IF(AND(TArticle[[#This Row],[مبلغ]]&gt;0, TArticle[[#This Row],[کد وضعیت سند]]=1),TArticle[[#This Row],[مبلغ]],0)</f>
        <v>0</v>
      </c>
      <c r="AC746" s="84">
        <f>IF(TArticle[[#This Row],[کد بانک]]&gt;0,VLOOKUP(TArticle[[#This Row],[کد بانک]],TBank[],9,FALSE)+SUMIF($Y$2:Y746,Y746,$E$2:$E746),"")</f>
        <v>1008493</v>
      </c>
      <c r="AD746" s="1">
        <f>IFERROR(IF(INT(LEFT(TArticle[[#This Row],[شناسه]]))=3,IF(TArticle[[#This Row],[کد وضعیت سند]]=1,TArticle[مبلغ],0),0),0)</f>
        <v>0</v>
      </c>
      <c r="AE746" s="1">
        <f>IFERROR(IF(((TArticle[[#This Row],[شناسه]]))="4.1.1",IF(TArticle[[#This Row],[کد وضعیت سند]]=1,TArticle[مبلغ],0),0),0)</f>
        <v>0</v>
      </c>
      <c r="AF746" s="1">
        <f>IFERROR(IF(((TArticle[[#This Row],[شناسه]]))="4.1.2",IF(TArticle[[#This Row],[کد وضعیت سند]]=1,TArticle[مبلغ],0),0),0)</f>
        <v>0</v>
      </c>
      <c r="AG746" s="1">
        <f>IFERROR(IF(INT(LEFT(TArticle[[#This Row],[شناسه]]))=1,IF(TArticle[[#This Row],[کد وضعیت سند]]=1,TArticle[مبلغ],0),0),0)</f>
        <v>0</v>
      </c>
      <c r="AH746" s="1">
        <f>IFERROR(IF(INT(LEFT(TArticle[[#This Row],[شناسه]]))=2,IF(TArticle[[#This Row],[کد وضعیت سند]]=1,TArticle[مبلغ],0),0),0)</f>
        <v>0</v>
      </c>
      <c r="AI746" s="1">
        <f>IFERROR(IF((LEFT(TArticle[[#This Row],[شناسه]],3))="5.2",IF(TArticle[[#This Row],[کد وضعیت سند]]=1,TArticle[مبلغ],0),0),0)</f>
        <v>0</v>
      </c>
      <c r="AJ746" s="1">
        <f>IF(TArticle[[#This Row],[کد وضعیت سند]]=1,1,0)</f>
        <v>0</v>
      </c>
      <c r="AK746" s="1">
        <f>IF(AND(TArticle[[#This Row],[کد وضعیت سند]]&lt;&gt;1,TArticle[[#This Row],[مبلغ]]&lt;&gt;0),1,0)</f>
        <v>1</v>
      </c>
      <c r="AL746" s="51">
        <f>IF(TArticle[[#This Row],[کد بانک]]&gt;0,TArticle[[#This Row],[مانده بانک]]-VLOOKUP(TArticle[[#This Row],[کد بانک]],TBank[],7,FALSE),"")</f>
        <v>1008493</v>
      </c>
      <c r="AM746" s="58" t="str">
        <f>LEFT(TArticle[[#This Row],[تاریخ]],7)</f>
        <v>1404-06</v>
      </c>
    </row>
    <row r="747" spans="1:39" x14ac:dyDescent="0.25">
      <c r="A747" s="24" t="s">
        <v>43</v>
      </c>
      <c r="B747" s="49" t="str">
        <f>VLOOKUP(TArticle[[#This Row],[شناسه]],TAccount[],2,TRUE)</f>
        <v>حقوق</v>
      </c>
      <c r="C747" s="49" t="str">
        <f>VLOOKUP(TArticle[[#This Row],[تاریخ]],TDays[],7,FALSE)</f>
        <v>سه شنبه</v>
      </c>
      <c r="D747" s="21" t="s">
        <v>1871</v>
      </c>
      <c r="E747" s="1">
        <v>50000</v>
      </c>
      <c r="F747" s="1">
        <f>TArticle[[#This Row],[مبلغ]]+IFERROR(INT(F746),30181+3667+958)</f>
        <v>1016841</v>
      </c>
      <c r="G747" s="49"/>
      <c r="H747" s="64"/>
      <c r="J747" s="65"/>
      <c r="K747" s="64">
        <v>2</v>
      </c>
      <c r="L747" s="171" t="str">
        <f>IF(TArticle[[#This Row],[کد وضعیت سند]]&gt;0,VLOOKUP(TArticle[[#This Row],[کد وضعیت سند]],TDocState[],2,FALSE),"")</f>
        <v>قطعی</v>
      </c>
      <c r="M747" s="67"/>
      <c r="N747" s="171" t="str">
        <f>IF(TArticle[[#This Row],[کد طرف حساب]]&gt;0,VLOOKUP(TArticle[[#This Row],[کد طرف حساب]],TContact[],2,FALSE),"")</f>
        <v/>
      </c>
      <c r="O747" s="68" t="str">
        <f>IF(TArticle[[#This Row],[کد طرف حساب]]&gt;0,VLOOKUP(TArticle[[#This Row],[کد طرف حساب]],TContact[],7,FALSE)-SUMIF($M$2:M747,M747,$E$2:$E747),"")</f>
        <v/>
      </c>
      <c r="P747" s="67" t="str">
        <f>RIGHT(TArticle[[#This Row],[تاریخ]],2)</f>
        <v>01</v>
      </c>
      <c r="Q747" s="67">
        <f>VLOOKUP(TArticle[[#This Row],[تاریخ]],TDays[],16,FALSE)</f>
        <v>27</v>
      </c>
      <c r="R747" s="67" t="str">
        <f>RIGHT(LEFT(TArticle[[#This Row],[تاریخ]],7),2)</f>
        <v>07</v>
      </c>
      <c r="S747" s="67" t="str">
        <f>LEFT(TArticle[[#This Row],[تاریخ]],4)</f>
        <v>1404</v>
      </c>
      <c r="T747" s="64"/>
      <c r="U747" s="64">
        <f>VLOOKUP(TArticle[[#This Row],[شناسه]],TAccount[],7,TRUE)</f>
        <v>416023</v>
      </c>
      <c r="V747" s="64"/>
      <c r="W747" s="64">
        <f>IF(AND(TArticle[[#This Row],[مبلغ]]&gt;0, TArticle[[#This Row],[کد وضعیت سند]]=1),TArticle[[#This Row],[مبلغ]],0)</f>
        <v>0</v>
      </c>
      <c r="X747" s="67">
        <f>IF(AND(TArticle[[#This Row],[مبلغ]]&lt;0,TArticle[[#This Row],[کد وضعیت سند]]=1),0-TArticle[[#This Row],[مبلغ]],0)</f>
        <v>0</v>
      </c>
      <c r="Y747" s="27">
        <v>2</v>
      </c>
      <c r="Z747" s="171" t="str">
        <f>IF(TArticle[[#This Row],[کد بانک]]&gt;0,VLOOKUP(TArticle[[#This Row],[کد بانک]],TBank[],2,FALSE),"")</f>
        <v>ملی جاری</v>
      </c>
      <c r="AA747">
        <f>IF(AND(TArticle[[#This Row],[مبلغ]]&lt;0,TArticle[[#This Row],[کد وضعیت سند]]=1),0-TArticle[[#This Row],[مبلغ]],0)</f>
        <v>0</v>
      </c>
      <c r="AB747">
        <f>IF(AND(TArticle[[#This Row],[مبلغ]]&gt;0, TArticle[[#This Row],[کد وضعیت سند]]=1),TArticle[[#This Row],[مبلغ]],0)</f>
        <v>0</v>
      </c>
      <c r="AC747" s="93">
        <f>IF(TArticle[[#This Row],[کد بانک]]&gt;0,VLOOKUP(TArticle[[#This Row],[کد بانک]],TBank[],9,FALSE)+SUMIF($Y$2:Y747,Y747,$E$2:$E747),"")</f>
        <v>1058493</v>
      </c>
      <c r="AD747" s="1">
        <f>IFERROR(IF(INT(LEFT(TArticle[[#This Row],[شناسه]]))=3,IF(TArticle[[#This Row],[کد وضعیت سند]]=1,TArticle[مبلغ],0),0),0)</f>
        <v>0</v>
      </c>
      <c r="AE747" s="1">
        <f>IFERROR(IF(((TArticle[[#This Row],[شناسه]]))="4.1.1",IF(TArticle[[#This Row],[کد وضعیت سند]]=1,TArticle[مبلغ],0),0),0)</f>
        <v>0</v>
      </c>
      <c r="AF747" s="1">
        <f>IFERROR(IF(((TArticle[[#This Row],[شناسه]]))="4.1.2",IF(TArticle[[#This Row],[کد وضعیت سند]]=1,TArticle[مبلغ],0),0),0)</f>
        <v>0</v>
      </c>
      <c r="AG747" s="1">
        <f>IFERROR(IF(INT(LEFT(TArticle[[#This Row],[شناسه]]))=1,IF(TArticle[[#This Row],[کد وضعیت سند]]=1,TArticle[مبلغ],0),0),0)</f>
        <v>0</v>
      </c>
      <c r="AH747" s="1">
        <f>IFERROR(IF(INT(LEFT(TArticle[[#This Row],[شناسه]]))=2,IF(TArticle[[#This Row],[کد وضعیت سند]]=1,TArticle[مبلغ],0),0),0)</f>
        <v>0</v>
      </c>
      <c r="AI747" s="1">
        <f>IFERROR(IF((LEFT(TArticle[[#This Row],[شناسه]],3))="5.2",IF(TArticle[[#This Row],[کد وضعیت سند]]=1,TArticle[مبلغ],0),0),0)</f>
        <v>0</v>
      </c>
      <c r="AJ747" s="1">
        <f>IF(TArticle[[#This Row],[کد وضعیت سند]]=1,1,0)</f>
        <v>0</v>
      </c>
      <c r="AK747" s="1">
        <f>IF(AND(TArticle[[#This Row],[کد وضعیت سند]]&lt;&gt;1,TArticle[[#This Row],[مبلغ]]&lt;&gt;0),1,0)</f>
        <v>1</v>
      </c>
      <c r="AL747" s="78">
        <f>IF(TArticle[[#This Row],[کد بانک]]&gt;0,TArticle[[#This Row],[مانده بانک]]-VLOOKUP(TArticle[[#This Row],[کد بانک]],TBank[],7,FALSE),"")</f>
        <v>1058493</v>
      </c>
      <c r="AM747" s="69" t="str">
        <f>LEFT(TArticle[[#This Row],[تاریخ]],7)</f>
        <v>1404-07</v>
      </c>
    </row>
    <row r="748" spans="1:39" x14ac:dyDescent="0.25">
      <c r="A748" s="24" t="s">
        <v>1608</v>
      </c>
      <c r="B748" s="49" t="str">
        <f>VLOOKUP(TArticle[[#This Row],[شناسه]],TAccount[],2,TRUE)</f>
        <v>بن کارت</v>
      </c>
      <c r="C748" s="49" t="str">
        <f>VLOOKUP(TArticle[[#This Row],[تاریخ]],TDays[],7,FALSE)</f>
        <v>سه شنبه</v>
      </c>
      <c r="D748" s="21" t="s">
        <v>1871</v>
      </c>
      <c r="E748" s="1">
        <v>3600</v>
      </c>
      <c r="F748" s="1">
        <f>TArticle[[#This Row],[مبلغ]]+IFERROR(INT(F747),30181+3667+958)</f>
        <v>1020441</v>
      </c>
      <c r="G748" s="49"/>
      <c r="J748" s="65"/>
      <c r="K748" s="64">
        <v>2</v>
      </c>
      <c r="L748" s="171" t="str">
        <f>IF(TArticle[[#This Row],[کد وضعیت سند]]&gt;0,VLOOKUP(TArticle[[#This Row],[کد وضعیت سند]],TDocState[],2,FALSE),"")</f>
        <v>قطعی</v>
      </c>
      <c r="M748" s="67"/>
      <c r="N748" s="171" t="str">
        <f>IF(TArticle[[#This Row],[کد طرف حساب]]&gt;0,VLOOKUP(TArticle[[#This Row],[کد طرف حساب]],TContact[],2,FALSE),"")</f>
        <v/>
      </c>
      <c r="O748" s="68" t="str">
        <f>IF(TArticle[[#This Row],[کد طرف حساب]]&gt;0,VLOOKUP(TArticle[[#This Row],[کد طرف حساب]],TContact[],7,FALSE)-SUMIF($M$2:M748,M748,$E$2:$E748),"")</f>
        <v/>
      </c>
      <c r="P748" s="67" t="str">
        <f>RIGHT(TArticle[[#This Row],[تاریخ]],2)</f>
        <v>01</v>
      </c>
      <c r="Q748" s="67">
        <f>VLOOKUP(TArticle[[#This Row],[تاریخ]],TDays[],16,FALSE)</f>
        <v>27</v>
      </c>
      <c r="R748" s="67" t="str">
        <f>RIGHT(LEFT(TArticle[[#This Row],[تاریخ]],7),2)</f>
        <v>07</v>
      </c>
      <c r="S748" s="67" t="str">
        <f>LEFT(TArticle[[#This Row],[تاریخ]],4)</f>
        <v>1404</v>
      </c>
      <c r="T748" s="64"/>
      <c r="U748" s="64">
        <f>VLOOKUP(TArticle[[#This Row],[شناسه]],TAccount[],7,TRUE)</f>
        <v>3000</v>
      </c>
      <c r="V748" s="64"/>
      <c r="W748" s="64">
        <f>IF(AND(TArticle[[#This Row],[مبلغ]]&gt;0, TArticle[[#This Row],[کد وضعیت سند]]=1),TArticle[[#This Row],[مبلغ]],0)</f>
        <v>0</v>
      </c>
      <c r="X748" s="67">
        <f>IF(AND(TArticle[[#This Row],[مبلغ]]&lt;0,TArticle[[#This Row],[کد وضعیت سند]]=1),0-TArticle[[#This Row],[مبلغ]],0)</f>
        <v>0</v>
      </c>
      <c r="Y748" s="27">
        <v>2</v>
      </c>
      <c r="Z748" s="171" t="str">
        <f>IF(TArticle[[#This Row],[کد بانک]]&gt;0,VLOOKUP(TArticle[[#This Row],[کد بانک]],TBank[],2,FALSE),"")</f>
        <v>ملی جاری</v>
      </c>
      <c r="AA748">
        <f>IF(AND(TArticle[[#This Row],[مبلغ]]&lt;0,TArticle[[#This Row],[کد وضعیت سند]]=1),0-TArticle[[#This Row],[مبلغ]],0)</f>
        <v>0</v>
      </c>
      <c r="AB748">
        <f>IF(AND(TArticle[[#This Row],[مبلغ]]&gt;0, TArticle[[#This Row],[کد وضعیت سند]]=1),TArticle[[#This Row],[مبلغ]],0)</f>
        <v>0</v>
      </c>
      <c r="AC748" s="93">
        <f>IF(TArticle[[#This Row],[کد بانک]]&gt;0,VLOOKUP(TArticle[[#This Row],[کد بانک]],TBank[],9,FALSE)+SUMIF($Y$2:Y748,Y748,$E$2:$E748),"")</f>
        <v>1062093</v>
      </c>
      <c r="AD748" s="1">
        <f>IFERROR(IF(INT(LEFT(TArticle[[#This Row],[شناسه]]))=3,IF(TArticle[[#This Row],[کد وضعیت سند]]=1,TArticle[مبلغ],0),0),0)</f>
        <v>0</v>
      </c>
      <c r="AE748" s="1">
        <f>IFERROR(IF(((TArticle[[#This Row],[شناسه]]))="4.1.1",IF(TArticle[[#This Row],[کد وضعیت سند]]=1,TArticle[مبلغ],0),0),0)</f>
        <v>0</v>
      </c>
      <c r="AF748" s="1">
        <f>IFERROR(IF(((TArticle[[#This Row],[شناسه]]))="4.1.2",IF(TArticle[[#This Row],[کد وضعیت سند]]=1,TArticle[مبلغ],0),0),0)</f>
        <v>0</v>
      </c>
      <c r="AG748" s="1">
        <f>IFERROR(IF(INT(LEFT(TArticle[[#This Row],[شناسه]]))=1,IF(TArticle[[#This Row],[کد وضعیت سند]]=1,TArticle[مبلغ],0),0),0)</f>
        <v>0</v>
      </c>
      <c r="AH748" s="1">
        <f>IFERROR(IF(INT(LEFT(TArticle[[#This Row],[شناسه]]))=2,IF(TArticle[[#This Row],[کد وضعیت سند]]=1,TArticle[مبلغ],0),0),0)</f>
        <v>0</v>
      </c>
      <c r="AI748" s="1">
        <f>IFERROR(IF((LEFT(TArticle[[#This Row],[شناسه]],3))="5.2",IF(TArticle[[#This Row],[کد وضعیت سند]]=1,TArticle[مبلغ],0),0),0)</f>
        <v>0</v>
      </c>
      <c r="AJ748" s="1">
        <f>IF(TArticle[[#This Row],[کد وضعیت سند]]=1,1,0)</f>
        <v>0</v>
      </c>
      <c r="AK748" s="1">
        <f>IF(AND(TArticle[[#This Row],[کد وضعیت سند]]&lt;&gt;1,TArticle[[#This Row],[مبلغ]]&lt;&gt;0),1,0)</f>
        <v>1</v>
      </c>
      <c r="AL748" s="78">
        <f>IF(TArticle[[#This Row],[کد بانک]]&gt;0,TArticle[[#This Row],[مانده بانک]]-VLOOKUP(TArticle[[#This Row],[کد بانک]],TBank[],7,FALSE),"")</f>
        <v>1062093</v>
      </c>
      <c r="AM748" s="69" t="str">
        <f>LEFT(TArticle[[#This Row],[تاریخ]],7)</f>
        <v>1404-07</v>
      </c>
    </row>
    <row r="749" spans="1:39" x14ac:dyDescent="0.25">
      <c r="A749" s="24" t="s">
        <v>1110</v>
      </c>
      <c r="B749" s="49" t="str">
        <f>VLOOKUP(TArticle[[#This Row],[شناسه]],TAccount[],2,TRUE)</f>
        <v>قسط وام بانکی</v>
      </c>
      <c r="C749" s="49" t="str">
        <f>VLOOKUP(TArticle[[#This Row],[تاریخ]],TDays[],7,FALSE)</f>
        <v>پنجشنبه</v>
      </c>
      <c r="D749" s="21" t="s">
        <v>1873</v>
      </c>
      <c r="E749" s="1">
        <v>-1322</v>
      </c>
      <c r="F749" s="1">
        <f>TArticle[[#This Row],[مبلغ]]+IFERROR(INT(F748),30181+3667+958)</f>
        <v>1019119</v>
      </c>
      <c r="G749" s="61" t="s">
        <v>1108</v>
      </c>
      <c r="H749" s="21">
        <v>25</v>
      </c>
      <c r="J749" s="65"/>
      <c r="K749" s="64">
        <v>2</v>
      </c>
      <c r="L749" s="171" t="str">
        <f>IF(TArticle[[#This Row],[کد وضعیت سند]]&gt;0,VLOOKUP(TArticle[[#This Row],[کد وضعیت سند]],TDocState[],2,FALSE),"")</f>
        <v>قطعی</v>
      </c>
      <c r="M749" s="27">
        <v>115.1</v>
      </c>
      <c r="N749" s="171" t="str">
        <f>IF(TArticle[[#This Row],[کد طرف حساب]]&gt;0,VLOOKUP(TArticle[[#This Row],[کد طرف حساب]],TContact[],2,FALSE),"")</f>
        <v>سود فرزند مهر</v>
      </c>
      <c r="O749" s="68">
        <f>IF(TArticle[[#This Row],[کد طرف حساب]]&gt;0,VLOOKUP(TArticle[[#This Row],[کد طرف حساب]],TContact[],7,FALSE)-SUMIF($M$2:M749,M749,$E$2:$E749),"")</f>
        <v>-907</v>
      </c>
      <c r="P749" s="67" t="str">
        <f>RIGHT(TArticle[[#This Row],[تاریخ]],2)</f>
        <v>03</v>
      </c>
      <c r="Q749" s="67">
        <f>VLOOKUP(TArticle[[#This Row],[تاریخ]],TDays[],16,FALSE)</f>
        <v>28</v>
      </c>
      <c r="R749" s="67" t="str">
        <f>RIGHT(LEFT(TArticle[[#This Row],[تاریخ]],7),2)</f>
        <v>07</v>
      </c>
      <c r="S749" s="67" t="str">
        <f>LEFT(TArticle[[#This Row],[تاریخ]],4)</f>
        <v>1404</v>
      </c>
      <c r="T749" s="64"/>
      <c r="U749" s="64">
        <f>VLOOKUP(TArticle[[#This Row],[شناسه]],TAccount[],7,TRUE)</f>
        <v>81652</v>
      </c>
      <c r="V749" s="28"/>
      <c r="W749" s="64">
        <f>IF(AND(TArticle[[#This Row],[مبلغ]]&gt;0, TArticle[[#This Row],[کد وضعیت سند]]=1),TArticle[[#This Row],[مبلغ]],0)</f>
        <v>0</v>
      </c>
      <c r="X749" s="67">
        <f>IF(AND(TArticle[[#This Row],[مبلغ]]&lt;0,TArticle[[#This Row],[کد وضعیت سند]]=1),0-TArticle[[#This Row],[مبلغ]],0)</f>
        <v>0</v>
      </c>
      <c r="Y749" s="27">
        <v>2</v>
      </c>
      <c r="Z749" s="171" t="str">
        <f>IF(TArticle[[#This Row],[کد بانک]]&gt;0,VLOOKUP(TArticle[[#This Row],[کد بانک]],TBank[],2,FALSE),"")</f>
        <v>ملی جاری</v>
      </c>
      <c r="AA749">
        <f>IF(AND(TArticle[[#This Row],[مبلغ]]&lt;0,TArticle[[#This Row],[کد وضعیت سند]]=1),0-TArticle[[#This Row],[مبلغ]],0)</f>
        <v>0</v>
      </c>
      <c r="AB749">
        <f>IF(AND(TArticle[[#This Row],[مبلغ]]&gt;0, TArticle[[#This Row],[کد وضعیت سند]]=1),TArticle[[#This Row],[مبلغ]],0)</f>
        <v>0</v>
      </c>
      <c r="AC749" s="93">
        <f>IF(TArticle[[#This Row],[کد بانک]]&gt;0,VLOOKUP(TArticle[[#This Row],[کد بانک]],TBank[],9,FALSE)+SUMIF($Y$2:Y749,Y749,$E$2:$E749),"")</f>
        <v>1060771</v>
      </c>
      <c r="AD749" s="1">
        <f>IFERROR(IF(INT(LEFT(TArticle[[#This Row],[شناسه]]))=3,IF(TArticle[[#This Row],[کد وضعیت سند]]=1,TArticle[مبلغ],0),0),0)</f>
        <v>0</v>
      </c>
      <c r="AE749" s="1">
        <f>IFERROR(IF(((TArticle[[#This Row],[شناسه]]))="4.1.1",IF(TArticle[[#This Row],[کد وضعیت سند]]=1,TArticle[مبلغ],0),0),0)</f>
        <v>0</v>
      </c>
      <c r="AF749" s="1">
        <f>IFERROR(IF(((TArticle[[#This Row],[شناسه]]))="4.1.2",IF(TArticle[[#This Row],[کد وضعیت سند]]=1,TArticle[مبلغ],0),0),0)</f>
        <v>0</v>
      </c>
      <c r="AG749" s="1">
        <f>IFERROR(IF(INT(LEFT(TArticle[[#This Row],[شناسه]]))=1,IF(TArticle[[#This Row],[کد وضعیت سند]]=1,TArticle[مبلغ],0),0),0)</f>
        <v>0</v>
      </c>
      <c r="AH749" s="1">
        <f>IFERROR(IF(INT(LEFT(TArticle[[#This Row],[شناسه]]))=2,IF(TArticle[[#This Row],[کد وضعیت سند]]=1,TArticle[مبلغ],0),0),0)</f>
        <v>0</v>
      </c>
      <c r="AI749" s="1">
        <f>IFERROR(IF((LEFT(TArticle[[#This Row],[شناسه]],3))="5.2",IF(TArticle[[#This Row],[کد وضعیت سند]]=1,TArticle[مبلغ],0),0),0)</f>
        <v>0</v>
      </c>
      <c r="AJ749" s="1">
        <f>IF(TArticle[[#This Row],[کد وضعیت سند]]=1,1,0)</f>
        <v>0</v>
      </c>
      <c r="AK749" s="1">
        <f>IF(AND(TArticle[[#This Row],[کد وضعیت سند]]&lt;&gt;1,TArticle[[#This Row],[مبلغ]]&lt;&gt;0),1,0)</f>
        <v>1</v>
      </c>
      <c r="AL749" s="78">
        <f>IF(TArticle[[#This Row],[کد بانک]]&gt;0,TArticle[[#This Row],[مانده بانک]]-VLOOKUP(TArticle[[#This Row],[کد بانک]],TBank[],7,FALSE),"")</f>
        <v>1060771</v>
      </c>
      <c r="AM749" s="69" t="str">
        <f>LEFT(TArticle[[#This Row],[تاریخ]],7)</f>
        <v>1404-07</v>
      </c>
    </row>
    <row r="750" spans="1:39" x14ac:dyDescent="0.25">
      <c r="A750" s="24" t="s">
        <v>1110</v>
      </c>
      <c r="B750" s="49" t="str">
        <f>VLOOKUP(TArticle[[#This Row],[شناسه]],TAccount[],2,TRUE)</f>
        <v>قسط وام بانکی</v>
      </c>
      <c r="C750" s="49" t="str">
        <f>VLOOKUP(TArticle[[#This Row],[تاریخ]],TDays[],7,FALSE)</f>
        <v>چهارشنبه</v>
      </c>
      <c r="D750" s="21" t="s">
        <v>1878</v>
      </c>
      <c r="E750" s="1">
        <f>'طرف حساب'!$J$29</f>
        <v>-3616</v>
      </c>
      <c r="F750" s="1">
        <f>TArticle[[#This Row],[مبلغ]]+IFERROR(INT(F749),30181+3667+958)</f>
        <v>1015503</v>
      </c>
      <c r="G750" s="49"/>
      <c r="H750" s="64">
        <v>32</v>
      </c>
      <c r="J750" s="65"/>
      <c r="K750" s="64">
        <v>2</v>
      </c>
      <c r="L750" s="171" t="str">
        <f>IF(TArticle[[#This Row],[کد وضعیت سند]]&gt;0,VLOOKUP(TArticle[[#This Row],[کد وضعیت سند]],TDocState[],2,FALSE),"")</f>
        <v>قطعی</v>
      </c>
      <c r="M750" s="67">
        <v>114</v>
      </c>
      <c r="N750" s="171" t="str">
        <f>IF(TArticle[[#This Row],[کد طرف حساب]]&gt;0,VLOOKUP(TArticle[[#This Row],[کد طرف حساب]],TContact[],2,FALSE),"")</f>
        <v>وام کارت ملی ف</v>
      </c>
      <c r="O750" s="68">
        <f>IF(TArticle[[#This Row],[کد طرف حساب]]&gt;0,VLOOKUP(TArticle[[#This Row],[کد طرف حساب]],TContact[],7,FALSE)-SUMIF($M$2:M750,M750,$E$2:$E750),"")</f>
        <v>-15746</v>
      </c>
      <c r="P750" s="67" t="str">
        <f>RIGHT(TArticle[[#This Row],[تاریخ]],2)</f>
        <v>09</v>
      </c>
      <c r="Q750" s="67">
        <f>VLOOKUP(TArticle[[#This Row],[تاریخ]],TDays[],16,FALSE)</f>
        <v>29</v>
      </c>
      <c r="R750" s="67" t="str">
        <f>RIGHT(LEFT(TArticle[[#This Row],[تاریخ]],7),2)</f>
        <v>07</v>
      </c>
      <c r="S750" s="67" t="str">
        <f>LEFT(TArticle[[#This Row],[تاریخ]],4)</f>
        <v>1404</v>
      </c>
      <c r="T750" s="64"/>
      <c r="U750" s="64">
        <f>VLOOKUP(TArticle[[#This Row],[شناسه]],TAccount[],7,TRUE)</f>
        <v>81652</v>
      </c>
      <c r="V750" s="64"/>
      <c r="W750" s="64">
        <f>IF(AND(TArticle[[#This Row],[مبلغ]]&gt;0, TArticle[[#This Row],[کد وضعیت سند]]=1),TArticle[[#This Row],[مبلغ]],0)</f>
        <v>0</v>
      </c>
      <c r="X750" s="67">
        <f>IF(AND(TArticle[[#This Row],[مبلغ]]&lt;0,TArticle[[#This Row],[کد وضعیت سند]]=1),0-TArticle[[#This Row],[مبلغ]],0)</f>
        <v>0</v>
      </c>
      <c r="Y750" s="27">
        <v>2</v>
      </c>
      <c r="Z750" s="171" t="str">
        <f>IF(TArticle[[#This Row],[کد بانک]]&gt;0,VLOOKUP(TArticle[[#This Row],[کد بانک]],TBank[],2,FALSE),"")</f>
        <v>ملی جاری</v>
      </c>
      <c r="AA750">
        <f>IF(AND(TArticle[[#This Row],[مبلغ]]&lt;0,TArticle[[#This Row],[کد وضعیت سند]]=1),0-TArticle[[#This Row],[مبلغ]],0)</f>
        <v>0</v>
      </c>
      <c r="AB750">
        <f>IF(AND(TArticle[[#This Row],[مبلغ]]&gt;0, TArticle[[#This Row],[کد وضعیت سند]]=1),TArticle[[#This Row],[مبلغ]],0)</f>
        <v>0</v>
      </c>
      <c r="AC750" s="93">
        <f>IF(TArticle[[#This Row],[کد بانک]]&gt;0,VLOOKUP(TArticle[[#This Row],[کد بانک]],TBank[],9,FALSE)+SUMIF($Y$2:Y750,Y750,$E$2:$E750),"")</f>
        <v>1057155</v>
      </c>
      <c r="AD750" s="1">
        <f>IFERROR(IF(INT(LEFT(TArticle[[#This Row],[شناسه]]))=3,IF(TArticle[[#This Row],[کد وضعیت سند]]=1,TArticle[مبلغ],0),0),0)</f>
        <v>0</v>
      </c>
      <c r="AE750" s="1">
        <f>IFERROR(IF(((TArticle[[#This Row],[شناسه]]))="4.1.1",IF(TArticle[[#This Row],[کد وضعیت سند]]=1,TArticle[مبلغ],0),0),0)</f>
        <v>0</v>
      </c>
      <c r="AF750" s="1">
        <f>IFERROR(IF(((TArticle[[#This Row],[شناسه]]))="4.1.2",IF(TArticle[[#This Row],[کد وضعیت سند]]=1,TArticle[مبلغ],0),0),0)</f>
        <v>0</v>
      </c>
      <c r="AG750" s="1">
        <f>IFERROR(IF(INT(LEFT(TArticle[[#This Row],[شناسه]]))=1,IF(TArticle[[#This Row],[کد وضعیت سند]]=1,TArticle[مبلغ],0),0),0)</f>
        <v>0</v>
      </c>
      <c r="AH750" s="1">
        <f>IFERROR(IF(INT(LEFT(TArticle[[#This Row],[شناسه]]))=2,IF(TArticle[[#This Row],[کد وضعیت سند]]=1,TArticle[مبلغ],0),0),0)</f>
        <v>0</v>
      </c>
      <c r="AI750" s="1">
        <f>IFERROR(IF((LEFT(TArticle[[#This Row],[شناسه]],3))="5.2",IF(TArticle[[#This Row],[کد وضعیت سند]]=1,TArticle[مبلغ],0),0),0)</f>
        <v>0</v>
      </c>
      <c r="AJ750" s="1">
        <f>IF(TArticle[[#This Row],[کد وضعیت سند]]=1,1,0)</f>
        <v>0</v>
      </c>
      <c r="AK750" s="1">
        <f>IF(AND(TArticle[[#This Row],[کد وضعیت سند]]&lt;&gt;1,TArticle[[#This Row],[مبلغ]]&lt;&gt;0),1,0)</f>
        <v>1</v>
      </c>
      <c r="AL750" s="78">
        <f>IF(TArticle[[#This Row],[کد بانک]]&gt;0,TArticle[[#This Row],[مانده بانک]]-VLOOKUP(TArticle[[#This Row],[کد بانک]],TBank[],7,FALSE),"")</f>
        <v>1057155</v>
      </c>
      <c r="AM750" s="69" t="str">
        <f>LEFT(TArticle[[#This Row],[تاریخ]],7)</f>
        <v>1404-07</v>
      </c>
    </row>
    <row r="751" spans="1:39" x14ac:dyDescent="0.25">
      <c r="A751" s="24" t="s">
        <v>1013</v>
      </c>
      <c r="B751" s="49" t="str">
        <f>VLOOKUP(TArticle[[#This Row],[شناسه]],TAccount[],2,TRUE)</f>
        <v>یارانه</v>
      </c>
      <c r="C751" s="49" t="str">
        <f>VLOOKUP(TArticle[[#This Row],[تاریخ]],TDays[],7,FALSE)</f>
        <v>یکشنبه</v>
      </c>
      <c r="D751" s="21" t="s">
        <v>1889</v>
      </c>
      <c r="E751" s="1">
        <v>1500</v>
      </c>
      <c r="F751" s="1">
        <f>TArticle[[#This Row],[مبلغ]]+IFERROR(INT(F750),30181+3667+958)</f>
        <v>1017003</v>
      </c>
      <c r="G751" s="49"/>
      <c r="K751" s="64">
        <v>2</v>
      </c>
      <c r="L751" s="171" t="str">
        <f>IF(TArticle[[#This Row],[کد وضعیت سند]]&gt;0,VLOOKUP(TArticle[[#This Row],[کد وضعیت سند]],TDocState[],2,FALSE),"")</f>
        <v>قطعی</v>
      </c>
      <c r="N751" s="171" t="str">
        <f>IF(TArticle[[#This Row],[کد طرف حساب]]&gt;0,VLOOKUP(TArticle[[#This Row],[کد طرف حساب]],TContact[],2,FALSE),"")</f>
        <v/>
      </c>
      <c r="O751" s="51" t="str">
        <f>IF(TArticle[[#This Row],[کد طرف حساب]]&gt;0,VLOOKUP(TArticle[[#This Row],[کد طرف حساب]],TContact[],7,FALSE)-SUMIF($M$2:M751,M751,$E$2:$E751),"")</f>
        <v/>
      </c>
      <c r="P751" s="27" t="str">
        <f>RIGHT(TArticle[[#This Row],[تاریخ]],2)</f>
        <v>20</v>
      </c>
      <c r="Q751" s="27">
        <f>VLOOKUP(TArticle[[#This Row],[تاریخ]],TDays[],16,FALSE)</f>
        <v>30</v>
      </c>
      <c r="R751" s="27" t="str">
        <f>RIGHT(LEFT(TArticle[[#This Row],[تاریخ]],7),2)</f>
        <v>07</v>
      </c>
      <c r="S751" s="27" t="str">
        <f>LEFT(TArticle[[#This Row],[تاریخ]],4)</f>
        <v>1404</v>
      </c>
      <c r="U751" s="21">
        <f>VLOOKUP(TArticle[[#This Row],[شناسه]],TAccount[],7,TRUE)</f>
        <v>12565</v>
      </c>
      <c r="W751" s="21">
        <f>IF(AND(TArticle[[#This Row],[مبلغ]]&gt;0, TArticle[[#This Row],[کد وضعیت سند]]=1),TArticle[[#This Row],[مبلغ]],0)</f>
        <v>0</v>
      </c>
      <c r="X751" s="21">
        <f>IF(AND(TArticle[[#This Row],[مبلغ]]&lt;0,TArticle[[#This Row],[کد وضعیت سند]]=1),0-TArticle[[#This Row],[مبلغ]],0)</f>
        <v>0</v>
      </c>
      <c r="Y751" s="27">
        <v>2</v>
      </c>
      <c r="Z751" s="171" t="str">
        <f>IF(TArticle[[#This Row],[کد بانک]]&gt;0,VLOOKUP(TArticle[[#This Row],[کد بانک]],TBank[],2,FALSE),"")</f>
        <v>ملی جاری</v>
      </c>
      <c r="AA751">
        <f>IF(AND(TArticle[[#This Row],[مبلغ]]&lt;0,TArticle[[#This Row],[کد وضعیت سند]]=1),0-TArticle[[#This Row],[مبلغ]],0)</f>
        <v>0</v>
      </c>
      <c r="AB751">
        <f>IF(AND(TArticle[[#This Row],[مبلغ]]&gt;0, TArticle[[#This Row],[کد وضعیت سند]]=1),TArticle[[#This Row],[مبلغ]],0)</f>
        <v>0</v>
      </c>
      <c r="AC751" s="93">
        <f>IF(TArticle[[#This Row],[کد بانک]]&gt;0,VLOOKUP(TArticle[[#This Row],[کد بانک]],TBank[],9,FALSE)+SUMIF($Y$2:Y751,Y751,$E$2:$E751),"")</f>
        <v>1058655</v>
      </c>
      <c r="AD751" s="1">
        <f>IFERROR(IF(INT(LEFT(TArticle[[#This Row],[شناسه]]))=3,IF(TArticle[[#This Row],[کد وضعیت سند]]=1,TArticle[مبلغ],0),0),0)</f>
        <v>0</v>
      </c>
      <c r="AE751" s="1">
        <f>IFERROR(IF(((TArticle[[#This Row],[شناسه]]))="4.1.1",IF(TArticle[[#This Row],[کد وضعیت سند]]=1,TArticle[مبلغ],0),0),0)</f>
        <v>0</v>
      </c>
      <c r="AF751" s="1">
        <f>IFERROR(IF(((TArticle[[#This Row],[شناسه]]))="4.1.2",IF(TArticle[[#This Row],[کد وضعیت سند]]=1,TArticle[مبلغ],0),0),0)</f>
        <v>0</v>
      </c>
      <c r="AG751" s="1">
        <f>IFERROR(IF(INT(LEFT(TArticle[[#This Row],[شناسه]]))=1,IF(TArticle[[#This Row],[کد وضعیت سند]]=1,TArticle[مبلغ],0),0),0)</f>
        <v>0</v>
      </c>
      <c r="AH751" s="1">
        <f>IFERROR(IF(INT(LEFT(TArticle[[#This Row],[شناسه]]))=2,IF(TArticle[[#This Row],[کد وضعیت سند]]=1,TArticle[مبلغ],0),0),0)</f>
        <v>0</v>
      </c>
      <c r="AI751" s="1">
        <f>IFERROR(IF((LEFT(TArticle[[#This Row],[شناسه]],3))="5.2",IF(TArticle[[#This Row],[کد وضعیت سند]]=1,TArticle[مبلغ],0),0),0)</f>
        <v>0</v>
      </c>
      <c r="AJ751" s="1">
        <f>IF(TArticle[[#This Row],[کد وضعیت سند]]=1,1,0)</f>
        <v>0</v>
      </c>
      <c r="AK751" s="1">
        <f>IF(AND(TArticle[[#This Row],[کد وضعیت سند]]&lt;&gt;1,TArticle[[#This Row],[مبلغ]]&lt;&gt;0),1,0)</f>
        <v>1</v>
      </c>
      <c r="AL751" s="51">
        <f>IF(TArticle[[#This Row],[کد بانک]]&gt;0,TArticle[[#This Row],[مانده بانک]]-VLOOKUP(TArticle[[#This Row],[کد بانک]],TBank[],7,FALSE),"")</f>
        <v>1058655</v>
      </c>
      <c r="AM751" s="58" t="str">
        <f>LEFT(TArticle[[#This Row],[تاریخ]],7)</f>
        <v>1404-07</v>
      </c>
    </row>
    <row r="752" spans="1:39" x14ac:dyDescent="0.25">
      <c r="A752" s="24" t="s">
        <v>43</v>
      </c>
      <c r="B752" s="49" t="str">
        <f>VLOOKUP(TArticle[[#This Row],[شناسه]],TAccount[],2,TRUE)</f>
        <v>حقوق</v>
      </c>
      <c r="C752" s="49" t="str">
        <f>VLOOKUP(TArticle[[#This Row],[تاریخ]],TDays[],7,FALSE)</f>
        <v>پنجشنبه</v>
      </c>
      <c r="D752" s="21" t="s">
        <v>1900</v>
      </c>
      <c r="E752" s="1">
        <v>50000</v>
      </c>
      <c r="F752" s="1">
        <f>TArticle[[#This Row],[مبلغ]]+IFERROR(INT(F751),30181+3667+958)</f>
        <v>1067003</v>
      </c>
      <c r="G752" s="49"/>
      <c r="H752" s="64"/>
      <c r="J752" s="65"/>
      <c r="K752" s="64">
        <v>2</v>
      </c>
      <c r="L752" s="171" t="str">
        <f>IF(TArticle[[#This Row],[کد وضعیت سند]]&gt;0,VLOOKUP(TArticle[[#This Row],[کد وضعیت سند]],TDocState[],2,FALSE),"")</f>
        <v>قطعی</v>
      </c>
      <c r="M752" s="67"/>
      <c r="N752" s="171" t="str">
        <f>IF(TArticle[[#This Row],[کد طرف حساب]]&gt;0,VLOOKUP(TArticle[[#This Row],[کد طرف حساب]],TContact[],2,FALSE),"")</f>
        <v/>
      </c>
      <c r="O752" s="68" t="str">
        <f>IF(TArticle[[#This Row],[کد طرف حساب]]&gt;0,VLOOKUP(TArticle[[#This Row],[کد طرف حساب]],TContact[],7,FALSE)-SUMIF($M$2:M752,M752,$E$2:$E752),"")</f>
        <v/>
      </c>
      <c r="P752" s="67" t="str">
        <f>RIGHT(TArticle[[#This Row],[تاریخ]],2)</f>
        <v>01</v>
      </c>
      <c r="Q752" s="67">
        <f>VLOOKUP(TArticle[[#This Row],[تاریخ]],TDays[],16,FALSE)</f>
        <v>32</v>
      </c>
      <c r="R752" s="67" t="str">
        <f>RIGHT(LEFT(TArticle[[#This Row],[تاریخ]],7),2)</f>
        <v>08</v>
      </c>
      <c r="S752" s="67" t="str">
        <f>LEFT(TArticle[[#This Row],[تاریخ]],4)</f>
        <v>1404</v>
      </c>
      <c r="T752" s="64"/>
      <c r="U752" s="64">
        <f>VLOOKUP(TArticle[[#This Row],[شناسه]],TAccount[],7,TRUE)</f>
        <v>416023</v>
      </c>
      <c r="V752" s="64"/>
      <c r="W752" s="64">
        <f>IF(AND(TArticle[[#This Row],[مبلغ]]&gt;0, TArticle[[#This Row],[کد وضعیت سند]]=1),TArticle[[#This Row],[مبلغ]],0)</f>
        <v>0</v>
      </c>
      <c r="X752" s="67">
        <f>IF(AND(TArticle[[#This Row],[مبلغ]]&lt;0,TArticle[[#This Row],[کد وضعیت سند]]=1),0-TArticle[[#This Row],[مبلغ]],0)</f>
        <v>0</v>
      </c>
      <c r="Y752" s="27">
        <v>2</v>
      </c>
      <c r="Z752" s="171" t="str">
        <f>IF(TArticle[[#This Row],[کد بانک]]&gt;0,VLOOKUP(TArticle[[#This Row],[کد بانک]],TBank[],2,FALSE),"")</f>
        <v>ملی جاری</v>
      </c>
      <c r="AA752">
        <f>IF(AND(TArticle[[#This Row],[مبلغ]]&lt;0,TArticle[[#This Row],[کد وضعیت سند]]=1),0-TArticle[[#This Row],[مبلغ]],0)</f>
        <v>0</v>
      </c>
      <c r="AB752">
        <f>IF(AND(TArticle[[#This Row],[مبلغ]]&gt;0, TArticle[[#This Row],[کد وضعیت سند]]=1),TArticle[[#This Row],[مبلغ]],0)</f>
        <v>0</v>
      </c>
      <c r="AC752" s="93">
        <f>IF(TArticle[[#This Row],[کد بانک]]&gt;0,VLOOKUP(TArticle[[#This Row],[کد بانک]],TBank[],9,FALSE)+SUMIF($Y$2:Y752,Y752,$E$2:$E752),"")</f>
        <v>1108655</v>
      </c>
      <c r="AD752" s="1">
        <f>IFERROR(IF(INT(LEFT(TArticle[[#This Row],[شناسه]]))=3,IF(TArticle[[#This Row],[کد وضعیت سند]]=1,TArticle[مبلغ],0),0),0)</f>
        <v>0</v>
      </c>
      <c r="AE752" s="1">
        <f>IFERROR(IF(((TArticle[[#This Row],[شناسه]]))="4.1.1",IF(TArticle[[#This Row],[کد وضعیت سند]]=1,TArticle[مبلغ],0),0),0)</f>
        <v>0</v>
      </c>
      <c r="AF752" s="1">
        <f>IFERROR(IF(((TArticle[[#This Row],[شناسه]]))="4.1.2",IF(TArticle[[#This Row],[کد وضعیت سند]]=1,TArticle[مبلغ],0),0),0)</f>
        <v>0</v>
      </c>
      <c r="AG752" s="1">
        <f>IFERROR(IF(INT(LEFT(TArticle[[#This Row],[شناسه]]))=1,IF(TArticle[[#This Row],[کد وضعیت سند]]=1,TArticle[مبلغ],0),0),0)</f>
        <v>0</v>
      </c>
      <c r="AH752" s="1">
        <f>IFERROR(IF(INT(LEFT(TArticle[[#This Row],[شناسه]]))=2,IF(TArticle[[#This Row],[کد وضعیت سند]]=1,TArticle[مبلغ],0),0),0)</f>
        <v>0</v>
      </c>
      <c r="AI752" s="1">
        <f>IFERROR(IF((LEFT(TArticle[[#This Row],[شناسه]],3))="5.2",IF(TArticle[[#This Row],[کد وضعیت سند]]=1,TArticle[مبلغ],0),0),0)</f>
        <v>0</v>
      </c>
      <c r="AJ752" s="1">
        <f>IF(TArticle[[#This Row],[کد وضعیت سند]]=1,1,0)</f>
        <v>0</v>
      </c>
      <c r="AK752" s="1">
        <f>IF(AND(TArticle[[#This Row],[کد وضعیت سند]]&lt;&gt;1,TArticle[[#This Row],[مبلغ]]&lt;&gt;0),1,0)</f>
        <v>1</v>
      </c>
      <c r="AL752" s="78">
        <f>IF(TArticle[[#This Row],[کد بانک]]&gt;0,TArticle[[#This Row],[مانده بانک]]-VLOOKUP(TArticle[[#This Row],[کد بانک]],TBank[],7,FALSE),"")</f>
        <v>1108655</v>
      </c>
      <c r="AM752" s="69" t="str">
        <f>LEFT(TArticle[[#This Row],[تاریخ]],7)</f>
        <v>1404-08</v>
      </c>
    </row>
    <row r="753" spans="1:39" x14ac:dyDescent="0.25">
      <c r="A753" s="24" t="s">
        <v>1608</v>
      </c>
      <c r="B753" s="49" t="str">
        <f>VLOOKUP(TArticle[[#This Row],[شناسه]],TAccount[],2,TRUE)</f>
        <v>بن کارت</v>
      </c>
      <c r="C753" s="49" t="str">
        <f>VLOOKUP(TArticle[[#This Row],[تاریخ]],TDays[],7,FALSE)</f>
        <v>پنجشنبه</v>
      </c>
      <c r="D753" s="21" t="s">
        <v>1900</v>
      </c>
      <c r="E753" s="1">
        <v>3600</v>
      </c>
      <c r="F753" s="1">
        <f>TArticle[[#This Row],[مبلغ]]+IFERROR(INT(F752),30181+3667+958)</f>
        <v>1070603</v>
      </c>
      <c r="G753" s="49"/>
      <c r="H753" s="64"/>
      <c r="J753" s="65"/>
      <c r="K753" s="64">
        <v>2</v>
      </c>
      <c r="L753" s="171" t="str">
        <f>IF(TArticle[[#This Row],[کد وضعیت سند]]&gt;0,VLOOKUP(TArticle[[#This Row],[کد وضعیت سند]],TDocState[],2,FALSE),"")</f>
        <v>قطعی</v>
      </c>
      <c r="M753" s="67"/>
      <c r="N753" s="171" t="str">
        <f>IF(TArticle[[#This Row],[کد طرف حساب]]&gt;0,VLOOKUP(TArticle[[#This Row],[کد طرف حساب]],TContact[],2,FALSE),"")</f>
        <v/>
      </c>
      <c r="O753" s="68" t="str">
        <f>IF(TArticle[[#This Row],[کد طرف حساب]]&gt;0,VLOOKUP(TArticle[[#This Row],[کد طرف حساب]],TContact[],7,FALSE)-SUMIF($M$2:M753,M753,$E$2:$E753),"")</f>
        <v/>
      </c>
      <c r="P753" s="67" t="str">
        <f>RIGHT(TArticle[[#This Row],[تاریخ]],2)</f>
        <v>01</v>
      </c>
      <c r="Q753" s="67">
        <f>VLOOKUP(TArticle[[#This Row],[تاریخ]],TDays[],16,FALSE)</f>
        <v>32</v>
      </c>
      <c r="R753" s="67" t="str">
        <f>RIGHT(LEFT(TArticle[[#This Row],[تاریخ]],7),2)</f>
        <v>08</v>
      </c>
      <c r="S753" s="67" t="str">
        <f>LEFT(TArticle[[#This Row],[تاریخ]],4)</f>
        <v>1404</v>
      </c>
      <c r="T753" s="64"/>
      <c r="U753" s="64">
        <f>VLOOKUP(TArticle[[#This Row],[شناسه]],TAccount[],7,TRUE)</f>
        <v>3000</v>
      </c>
      <c r="V753" s="64"/>
      <c r="W753" s="64">
        <f>IF(AND(TArticle[[#This Row],[مبلغ]]&gt;0, TArticle[[#This Row],[کد وضعیت سند]]=1),TArticle[[#This Row],[مبلغ]],0)</f>
        <v>0</v>
      </c>
      <c r="X753" s="67">
        <f>IF(AND(TArticle[[#This Row],[مبلغ]]&lt;0,TArticle[[#This Row],[کد وضعیت سند]]=1),0-TArticle[[#This Row],[مبلغ]],0)</f>
        <v>0</v>
      </c>
      <c r="Y753" s="27">
        <v>2</v>
      </c>
      <c r="Z753" s="171" t="str">
        <f>IF(TArticle[[#This Row],[کد بانک]]&gt;0,VLOOKUP(TArticle[[#This Row],[کد بانک]],TBank[],2,FALSE),"")</f>
        <v>ملی جاری</v>
      </c>
      <c r="AA753">
        <f>IF(AND(TArticle[[#This Row],[مبلغ]]&lt;0,TArticle[[#This Row],[کد وضعیت سند]]=1),0-TArticle[[#This Row],[مبلغ]],0)</f>
        <v>0</v>
      </c>
      <c r="AB753">
        <f>IF(AND(TArticle[[#This Row],[مبلغ]]&gt;0, TArticle[[#This Row],[کد وضعیت سند]]=1),TArticle[[#This Row],[مبلغ]],0)</f>
        <v>0</v>
      </c>
      <c r="AC753" s="93">
        <f>IF(TArticle[[#This Row],[کد بانک]]&gt;0,VLOOKUP(TArticle[[#This Row],[کد بانک]],TBank[],9,FALSE)+SUMIF($Y$2:Y753,Y753,$E$2:$E753),"")</f>
        <v>1112255</v>
      </c>
      <c r="AD753" s="1">
        <f>IFERROR(IF(INT(LEFT(TArticle[[#This Row],[شناسه]]))=3,IF(TArticle[[#This Row],[کد وضعیت سند]]=1,TArticle[مبلغ],0),0),0)</f>
        <v>0</v>
      </c>
      <c r="AE753" s="1">
        <f>IFERROR(IF(((TArticle[[#This Row],[شناسه]]))="4.1.1",IF(TArticle[[#This Row],[کد وضعیت سند]]=1,TArticle[مبلغ],0),0),0)</f>
        <v>0</v>
      </c>
      <c r="AF753" s="1">
        <f>IFERROR(IF(((TArticle[[#This Row],[شناسه]]))="4.1.2",IF(TArticle[[#This Row],[کد وضعیت سند]]=1,TArticle[مبلغ],0),0),0)</f>
        <v>0</v>
      </c>
      <c r="AG753" s="1">
        <f>IFERROR(IF(INT(LEFT(TArticle[[#This Row],[شناسه]]))=1,IF(TArticle[[#This Row],[کد وضعیت سند]]=1,TArticle[مبلغ],0),0),0)</f>
        <v>0</v>
      </c>
      <c r="AH753" s="1">
        <f>IFERROR(IF(INT(LEFT(TArticle[[#This Row],[شناسه]]))=2,IF(TArticle[[#This Row],[کد وضعیت سند]]=1,TArticle[مبلغ],0),0),0)</f>
        <v>0</v>
      </c>
      <c r="AI753" s="1">
        <f>IFERROR(IF((LEFT(TArticle[[#This Row],[شناسه]],3))="5.2",IF(TArticle[[#This Row],[کد وضعیت سند]]=1,TArticle[مبلغ],0),0),0)</f>
        <v>0</v>
      </c>
      <c r="AJ753" s="1">
        <f>IF(TArticle[[#This Row],[کد وضعیت سند]]=1,1,0)</f>
        <v>0</v>
      </c>
      <c r="AK753" s="1">
        <f>IF(AND(TArticle[[#This Row],[کد وضعیت سند]]&lt;&gt;1,TArticle[[#This Row],[مبلغ]]&lt;&gt;0),1,0)</f>
        <v>1</v>
      </c>
      <c r="AL753" s="78">
        <f>IF(TArticle[[#This Row],[کد بانک]]&gt;0,TArticle[[#This Row],[مانده بانک]]-VLOOKUP(TArticle[[#This Row],[کد بانک]],TBank[],7,FALSE),"")</f>
        <v>1112255</v>
      </c>
      <c r="AM753" s="69" t="str">
        <f>LEFT(TArticle[[#This Row],[تاریخ]],7)</f>
        <v>1404-08</v>
      </c>
    </row>
    <row r="754" spans="1:39" x14ac:dyDescent="0.25">
      <c r="A754" s="24" t="s">
        <v>1110</v>
      </c>
      <c r="B754" s="49" t="str">
        <f>VLOOKUP(TArticle[[#This Row],[شناسه]],TAccount[],2,TRUE)</f>
        <v>قسط وام بانکی</v>
      </c>
      <c r="C754" s="49" t="str">
        <f>VLOOKUP(TArticle[[#This Row],[تاریخ]],TDays[],7,FALSE)</f>
        <v>شنبه</v>
      </c>
      <c r="D754" s="21" t="s">
        <v>1902</v>
      </c>
      <c r="E754" s="1">
        <v>-1224</v>
      </c>
      <c r="F754" s="1">
        <f>TArticle[[#This Row],[مبلغ]]+IFERROR(INT(F753),30181+3667+958)</f>
        <v>1069379</v>
      </c>
      <c r="G754" s="49"/>
      <c r="H754" s="21">
        <v>26</v>
      </c>
      <c r="J754" s="65"/>
      <c r="K754" s="64">
        <v>2</v>
      </c>
      <c r="L754" s="171" t="str">
        <f>IF(TArticle[[#This Row],[کد وضعیت سند]]&gt;0,VLOOKUP(TArticle[[#This Row],[کد وضعیت سند]],TDocState[],2,FALSE),"")</f>
        <v>قطعی</v>
      </c>
      <c r="M754" s="27">
        <v>115</v>
      </c>
      <c r="N754" s="171" t="str">
        <f>IF(TArticle[[#This Row],[کد طرف حساب]]&gt;0,VLOOKUP(TArticle[[#This Row],[کد طرف حساب]],TContact[],2,FALSE),"")</f>
        <v>وام فرزند مهر</v>
      </c>
      <c r="O754" s="68">
        <f>IF(TArticle[[#This Row],[کد طرف حساب]]&gt;0,VLOOKUP(TArticle[[#This Row],[کد طرف حساب]],TContact[],7,FALSE)-SUMIF($M$2:M754,M754,$E$2:$E754),"")</f>
        <v>-31848</v>
      </c>
      <c r="P754" s="67" t="str">
        <f>RIGHT(TArticle[[#This Row],[تاریخ]],2)</f>
        <v>03</v>
      </c>
      <c r="Q754" s="67">
        <f>VLOOKUP(TArticle[[#This Row],[تاریخ]],TDays[],16,FALSE)</f>
        <v>32</v>
      </c>
      <c r="R754" s="67" t="str">
        <f>RIGHT(LEFT(TArticle[[#This Row],[تاریخ]],7),2)</f>
        <v>08</v>
      </c>
      <c r="S754" s="67" t="str">
        <f>LEFT(TArticle[[#This Row],[تاریخ]],4)</f>
        <v>1404</v>
      </c>
      <c r="T754" s="64"/>
      <c r="U754" s="64">
        <f>VLOOKUP(TArticle[[#This Row],[شناسه]],TAccount[],7,TRUE)</f>
        <v>81652</v>
      </c>
      <c r="V754" s="64"/>
      <c r="W754" s="64">
        <f>IF(AND(TArticle[[#This Row],[مبلغ]]&gt;0, TArticle[[#This Row],[کد وضعیت سند]]=1),TArticle[[#This Row],[مبلغ]],0)</f>
        <v>0</v>
      </c>
      <c r="X754" s="67">
        <f>IF(AND(TArticle[[#This Row],[مبلغ]]&lt;0,TArticle[[#This Row],[کد وضعیت سند]]=1),0-TArticle[[#This Row],[مبلغ]],0)</f>
        <v>0</v>
      </c>
      <c r="Y754" s="27">
        <v>2</v>
      </c>
      <c r="Z754" s="171" t="str">
        <f>IF(TArticle[[#This Row],[کد بانک]]&gt;0,VLOOKUP(TArticle[[#This Row],[کد بانک]],TBank[],2,FALSE),"")</f>
        <v>ملی جاری</v>
      </c>
      <c r="AA754">
        <f>IF(AND(TArticle[[#This Row],[مبلغ]]&lt;0,TArticle[[#This Row],[کد وضعیت سند]]=1),0-TArticle[[#This Row],[مبلغ]],0)</f>
        <v>0</v>
      </c>
      <c r="AB754">
        <f>IF(AND(TArticle[[#This Row],[مبلغ]]&gt;0, TArticle[[#This Row],[کد وضعیت سند]]=1),TArticle[[#This Row],[مبلغ]],0)</f>
        <v>0</v>
      </c>
      <c r="AC754" s="93">
        <f>IF(TArticle[[#This Row],[کد بانک]]&gt;0,VLOOKUP(TArticle[[#This Row],[کد بانک]],TBank[],9,FALSE)+SUMIF($Y$2:Y754,Y754,$E$2:$E754),"")</f>
        <v>1111031</v>
      </c>
      <c r="AD754" s="1">
        <f>IFERROR(IF(INT(LEFT(TArticle[[#This Row],[شناسه]]))=3,IF(TArticle[[#This Row],[کد وضعیت سند]]=1,TArticle[مبلغ],0),0),0)</f>
        <v>0</v>
      </c>
      <c r="AE754" s="1">
        <f>IFERROR(IF(((TArticle[[#This Row],[شناسه]]))="4.1.1",IF(TArticle[[#This Row],[کد وضعیت سند]]=1,TArticle[مبلغ],0),0),0)</f>
        <v>0</v>
      </c>
      <c r="AF754" s="1">
        <f>IFERROR(IF(((TArticle[[#This Row],[شناسه]]))="4.1.2",IF(TArticle[[#This Row],[کد وضعیت سند]]=1,TArticle[مبلغ],0),0),0)</f>
        <v>0</v>
      </c>
      <c r="AG754" s="1">
        <f>IFERROR(IF(INT(LEFT(TArticle[[#This Row],[شناسه]]))=1,IF(TArticle[[#This Row],[کد وضعیت سند]]=1,TArticle[مبلغ],0),0),0)</f>
        <v>0</v>
      </c>
      <c r="AH754" s="1">
        <f>IFERROR(IF(INT(LEFT(TArticle[[#This Row],[شناسه]]))=2,IF(TArticle[[#This Row],[کد وضعیت سند]]=1,TArticle[مبلغ],0),0),0)</f>
        <v>0</v>
      </c>
      <c r="AI754" s="1">
        <f>IFERROR(IF((LEFT(TArticle[[#This Row],[شناسه]],3))="5.2",IF(TArticle[[#This Row],[کد وضعیت سند]]=1,TArticle[مبلغ],0),0),0)</f>
        <v>0</v>
      </c>
      <c r="AJ754" s="1">
        <f>IF(TArticle[[#This Row],[کد وضعیت سند]]=1,1,0)</f>
        <v>0</v>
      </c>
      <c r="AK754" s="1">
        <f>IF(AND(TArticle[[#This Row],[کد وضعیت سند]]&lt;&gt;1,TArticle[[#This Row],[مبلغ]]&lt;&gt;0),1,0)</f>
        <v>1</v>
      </c>
      <c r="AL754" s="78">
        <f>IF(TArticle[[#This Row],[کد بانک]]&gt;0,TArticle[[#This Row],[مانده بانک]]-VLOOKUP(TArticle[[#This Row],[کد بانک]],TBank[],7,FALSE),"")</f>
        <v>1111031</v>
      </c>
      <c r="AM754" s="69" t="str">
        <f>LEFT(TArticle[[#This Row],[تاریخ]],7)</f>
        <v>1404-08</v>
      </c>
    </row>
    <row r="755" spans="1:39" x14ac:dyDescent="0.25">
      <c r="A755" s="24" t="s">
        <v>1110</v>
      </c>
      <c r="B755" s="49" t="str">
        <f>VLOOKUP(TArticle[[#This Row],[شناسه]],TAccount[],2,TRUE)</f>
        <v>قسط وام بانکی</v>
      </c>
      <c r="C755" s="49" t="str">
        <f>VLOOKUP(TArticle[[#This Row],[تاریخ]],TDays[],7,FALSE)</f>
        <v>جمعه</v>
      </c>
      <c r="D755" s="21" t="s">
        <v>1907</v>
      </c>
      <c r="E755" s="1">
        <f>'طرف حساب'!$J$29</f>
        <v>-3616</v>
      </c>
      <c r="F755" s="1">
        <f>TArticle[[#This Row],[مبلغ]]+IFERROR(INT(F754),30181+3667+958)</f>
        <v>1065763</v>
      </c>
      <c r="G755" s="49"/>
      <c r="H755" s="64">
        <v>33</v>
      </c>
      <c r="J755" s="65"/>
      <c r="K755" s="64">
        <v>2</v>
      </c>
      <c r="L755" s="171" t="str">
        <f>IF(TArticle[[#This Row],[کد وضعیت سند]]&gt;0,VLOOKUP(TArticle[[#This Row],[کد وضعیت سند]],TDocState[],2,FALSE),"")</f>
        <v>قطعی</v>
      </c>
      <c r="M755" s="67">
        <v>114</v>
      </c>
      <c r="N755" s="171" t="str">
        <f>IF(TArticle[[#This Row],[کد طرف حساب]]&gt;0,VLOOKUP(TArticle[[#This Row],[کد طرف حساب]],TContact[],2,FALSE),"")</f>
        <v>وام کارت ملی ف</v>
      </c>
      <c r="O755" s="68">
        <f>IF(TArticle[[#This Row],[کد طرف حساب]]&gt;0,VLOOKUP(TArticle[[#This Row],[کد طرف حساب]],TContact[],7,FALSE)-SUMIF($M$2:M755,M755,$E$2:$E755),"")</f>
        <v>-12130</v>
      </c>
      <c r="P755" s="67" t="str">
        <f>RIGHT(TArticle[[#This Row],[تاریخ]],2)</f>
        <v>09</v>
      </c>
      <c r="Q755" s="67">
        <f>VLOOKUP(TArticle[[#This Row],[تاریخ]],TDays[],16,FALSE)</f>
        <v>33</v>
      </c>
      <c r="R755" s="67" t="str">
        <f>RIGHT(LEFT(TArticle[[#This Row],[تاریخ]],7),2)</f>
        <v>08</v>
      </c>
      <c r="S755" s="67" t="str">
        <f>LEFT(TArticle[[#This Row],[تاریخ]],4)</f>
        <v>1404</v>
      </c>
      <c r="T755" s="64"/>
      <c r="U755" s="64">
        <f>VLOOKUP(TArticle[[#This Row],[شناسه]],TAccount[],7,TRUE)</f>
        <v>81652</v>
      </c>
      <c r="V755" s="64"/>
      <c r="W755" s="64">
        <f>IF(AND(TArticle[[#This Row],[مبلغ]]&gt;0, TArticle[[#This Row],[کد وضعیت سند]]=1),TArticle[[#This Row],[مبلغ]],0)</f>
        <v>0</v>
      </c>
      <c r="X755" s="67">
        <f>IF(AND(TArticle[[#This Row],[مبلغ]]&lt;0,TArticle[[#This Row],[کد وضعیت سند]]=1),0-TArticle[[#This Row],[مبلغ]],0)</f>
        <v>0</v>
      </c>
      <c r="Y755" s="27">
        <v>2</v>
      </c>
      <c r="Z755" s="171" t="str">
        <f>IF(TArticle[[#This Row],[کد بانک]]&gt;0,VLOOKUP(TArticle[[#This Row],[کد بانک]],TBank[],2,FALSE),"")</f>
        <v>ملی جاری</v>
      </c>
      <c r="AA755">
        <f>IF(AND(TArticle[[#This Row],[مبلغ]]&lt;0,TArticle[[#This Row],[کد وضعیت سند]]=1),0-TArticle[[#This Row],[مبلغ]],0)</f>
        <v>0</v>
      </c>
      <c r="AB755">
        <f>IF(AND(TArticle[[#This Row],[مبلغ]]&gt;0, TArticle[[#This Row],[کد وضعیت سند]]=1),TArticle[[#This Row],[مبلغ]],0)</f>
        <v>0</v>
      </c>
      <c r="AC755" s="93">
        <f>IF(TArticle[[#This Row],[کد بانک]]&gt;0,VLOOKUP(TArticle[[#This Row],[کد بانک]],TBank[],9,FALSE)+SUMIF($Y$2:Y755,Y755,$E$2:$E755),"")</f>
        <v>1107415</v>
      </c>
      <c r="AD755" s="1">
        <f>IFERROR(IF(INT(LEFT(TArticle[[#This Row],[شناسه]]))=3,IF(TArticle[[#This Row],[کد وضعیت سند]]=1,TArticle[مبلغ],0),0),0)</f>
        <v>0</v>
      </c>
      <c r="AE755" s="1">
        <f>IFERROR(IF(((TArticle[[#This Row],[شناسه]]))="4.1.1",IF(TArticle[[#This Row],[کد وضعیت سند]]=1,TArticle[مبلغ],0),0),0)</f>
        <v>0</v>
      </c>
      <c r="AF755" s="1">
        <f>IFERROR(IF(((TArticle[[#This Row],[شناسه]]))="4.1.2",IF(TArticle[[#This Row],[کد وضعیت سند]]=1,TArticle[مبلغ],0),0),0)</f>
        <v>0</v>
      </c>
      <c r="AG755" s="1">
        <f>IFERROR(IF(INT(LEFT(TArticle[[#This Row],[شناسه]]))=1,IF(TArticle[[#This Row],[کد وضعیت سند]]=1,TArticle[مبلغ],0),0),0)</f>
        <v>0</v>
      </c>
      <c r="AH755" s="1">
        <f>IFERROR(IF(INT(LEFT(TArticle[[#This Row],[شناسه]]))=2,IF(TArticle[[#This Row],[کد وضعیت سند]]=1,TArticle[مبلغ],0),0),0)</f>
        <v>0</v>
      </c>
      <c r="AI755" s="1">
        <f>IFERROR(IF((LEFT(TArticle[[#This Row],[شناسه]],3))="5.2",IF(TArticle[[#This Row],[کد وضعیت سند]]=1,TArticle[مبلغ],0),0),0)</f>
        <v>0</v>
      </c>
      <c r="AJ755" s="1">
        <f>IF(TArticle[[#This Row],[کد وضعیت سند]]=1,1,0)</f>
        <v>0</v>
      </c>
      <c r="AK755" s="1">
        <f>IF(AND(TArticle[[#This Row],[کد وضعیت سند]]&lt;&gt;1,TArticle[[#This Row],[مبلغ]]&lt;&gt;0),1,0)</f>
        <v>1</v>
      </c>
      <c r="AL755" s="78">
        <f>IF(TArticle[[#This Row],[کد بانک]]&gt;0,TArticle[[#This Row],[مانده بانک]]-VLOOKUP(TArticle[[#This Row],[کد بانک]],TBank[],7,FALSE),"")</f>
        <v>1107415</v>
      </c>
      <c r="AM755" s="69" t="str">
        <f>LEFT(TArticle[[#This Row],[تاریخ]],7)</f>
        <v>1404-08</v>
      </c>
    </row>
    <row r="756" spans="1:39" x14ac:dyDescent="0.25">
      <c r="A756" s="24" t="s">
        <v>1013</v>
      </c>
      <c r="B756" s="49" t="str">
        <f>VLOOKUP(TArticle[[#This Row],[شناسه]],TAccount[],2,TRUE)</f>
        <v>یارانه</v>
      </c>
      <c r="C756" s="49" t="str">
        <f>VLOOKUP(TArticle[[#This Row],[تاریخ]],TDays[],7,FALSE)</f>
        <v>سه شنبه</v>
      </c>
      <c r="D756" s="21" t="s">
        <v>1918</v>
      </c>
      <c r="E756" s="1">
        <v>1500</v>
      </c>
      <c r="F756" s="1">
        <f>TArticle[[#This Row],[مبلغ]]+IFERROR(INT(F755),30181+3667+958)</f>
        <v>1067263</v>
      </c>
      <c r="G756" s="49"/>
      <c r="J756" s="51"/>
      <c r="K756" s="64">
        <v>2</v>
      </c>
      <c r="L756" s="171" t="str">
        <f>IF(TArticle[[#This Row],[کد وضعیت سند]]&gt;0,VLOOKUP(TArticle[[#This Row],[کد وضعیت سند]],TDocState[],2,FALSE),"")</f>
        <v>قطعی</v>
      </c>
      <c r="N756" s="171" t="str">
        <f>IF(TArticle[[#This Row],[کد طرف حساب]]&gt;0,VLOOKUP(TArticle[[#This Row],[کد طرف حساب]],TContact[],2,FALSE),"")</f>
        <v/>
      </c>
      <c r="O756" s="60" t="str">
        <f>IF(TArticle[[#This Row],[کد طرف حساب]]&gt;0,VLOOKUP(TArticle[[#This Row],[کد طرف حساب]],TContact[],7,FALSE)-SUMIF($M$2:M756,M756,$E$2:$E756),"")</f>
        <v/>
      </c>
      <c r="P756" s="27" t="str">
        <f>RIGHT(TArticle[[#This Row],[تاریخ]],2)</f>
        <v>20</v>
      </c>
      <c r="Q756" s="27">
        <f>VLOOKUP(TArticle[[#This Row],[تاریخ]],TDays[],16,FALSE)</f>
        <v>35</v>
      </c>
      <c r="R756" s="27" t="str">
        <f>RIGHT(LEFT(TArticle[[#This Row],[تاریخ]],7),2)</f>
        <v>08</v>
      </c>
      <c r="S756" s="27" t="str">
        <f>LEFT(TArticle[[#This Row],[تاریخ]],4)</f>
        <v>1404</v>
      </c>
      <c r="U756" s="21">
        <f>VLOOKUP(TArticle[[#This Row],[شناسه]],TAccount[],7,TRUE)</f>
        <v>12565</v>
      </c>
      <c r="W756" s="21">
        <f>IF(AND(TArticle[[#This Row],[مبلغ]]&gt;0, TArticle[[#This Row],[کد وضعیت سند]]=1),TArticle[[#This Row],[مبلغ]],0)</f>
        <v>0</v>
      </c>
      <c r="X756" s="27">
        <f>IF(AND(TArticle[[#This Row],[مبلغ]]&lt;0,TArticle[[#This Row],[کد وضعیت سند]]=1),0-TArticle[[#This Row],[مبلغ]],0)</f>
        <v>0</v>
      </c>
      <c r="Y756" s="27">
        <v>2</v>
      </c>
      <c r="Z756" s="171" t="str">
        <f>IF(TArticle[[#This Row],[کد بانک]]&gt;0,VLOOKUP(TArticle[[#This Row],[کد بانک]],TBank[],2,FALSE),"")</f>
        <v>ملی جاری</v>
      </c>
      <c r="AA756">
        <f>IF(AND(TArticle[[#This Row],[مبلغ]]&lt;0,TArticle[[#This Row],[کد وضعیت سند]]=1),0-TArticle[[#This Row],[مبلغ]],0)</f>
        <v>0</v>
      </c>
      <c r="AB756">
        <f>IF(AND(TArticle[[#This Row],[مبلغ]]&gt;0, TArticle[[#This Row],[کد وضعیت سند]]=1),TArticle[[#This Row],[مبلغ]],0)</f>
        <v>0</v>
      </c>
      <c r="AC756" s="92">
        <f>IF(TArticle[[#This Row],[کد بانک]]&gt;0,VLOOKUP(TArticle[[#This Row],[کد بانک]],TBank[],9,FALSE)+SUMIF($Y$2:Y756,Y756,$E$2:$E756),"")</f>
        <v>1108915</v>
      </c>
      <c r="AD756" s="1">
        <f>IFERROR(IF(INT(LEFT(TArticle[[#This Row],[شناسه]]))=3,IF(TArticle[[#This Row],[کد وضعیت سند]]=1,TArticle[مبلغ],0),0),0)</f>
        <v>0</v>
      </c>
      <c r="AE756" s="1">
        <f>IFERROR(IF(((TArticle[[#This Row],[شناسه]]))="4.1.1",IF(TArticle[[#This Row],[کد وضعیت سند]]=1,TArticle[مبلغ],0),0),0)</f>
        <v>0</v>
      </c>
      <c r="AF756" s="1">
        <f>IFERROR(IF(((TArticle[[#This Row],[شناسه]]))="4.1.2",IF(TArticle[[#This Row],[کد وضعیت سند]]=1,TArticle[مبلغ],0),0),0)</f>
        <v>0</v>
      </c>
      <c r="AG756" s="1">
        <f>IFERROR(IF(INT(LEFT(TArticle[[#This Row],[شناسه]]))=1,IF(TArticle[[#This Row],[کد وضعیت سند]]=1,TArticle[مبلغ],0),0),0)</f>
        <v>0</v>
      </c>
      <c r="AH756" s="1">
        <f>IFERROR(IF(INT(LEFT(TArticle[[#This Row],[شناسه]]))=2,IF(TArticle[[#This Row],[کد وضعیت سند]]=1,TArticle[مبلغ],0),0),0)</f>
        <v>0</v>
      </c>
      <c r="AI756" s="1">
        <f>IFERROR(IF((LEFT(TArticle[[#This Row],[شناسه]],3))="5.2",IF(TArticle[[#This Row],[کد وضعیت سند]]=1,TArticle[مبلغ],0),0),0)</f>
        <v>0</v>
      </c>
      <c r="AJ756" s="1">
        <f>IF(TArticle[[#This Row],[کد وضعیت سند]]=1,1,0)</f>
        <v>0</v>
      </c>
      <c r="AK756" s="1">
        <f>IF(AND(TArticle[[#This Row],[کد وضعیت سند]]&lt;&gt;1,TArticle[[#This Row],[مبلغ]]&lt;&gt;0),1,0)</f>
        <v>1</v>
      </c>
      <c r="AL756" s="51">
        <f>IF(TArticle[[#This Row],[کد بانک]]&gt;0,TArticle[[#This Row],[مانده بانک]]-VLOOKUP(TArticle[[#This Row],[کد بانک]],TBank[],7,FALSE),"")</f>
        <v>1108915</v>
      </c>
      <c r="AM756" s="58" t="str">
        <f>LEFT(TArticle[[#This Row],[تاریخ]],7)</f>
        <v>1404-08</v>
      </c>
    </row>
    <row r="757" spans="1:39" x14ac:dyDescent="0.25">
      <c r="A757" s="24" t="s">
        <v>43</v>
      </c>
      <c r="B757" s="49" t="str">
        <f>VLOOKUP(TArticle[[#This Row],[شناسه]],TAccount[],2,TRUE)</f>
        <v>حقوق</v>
      </c>
      <c r="C757" s="49" t="str">
        <f>VLOOKUP(TArticle[[#This Row],[تاریخ]],TDays[],7,FALSE)</f>
        <v>شنبه</v>
      </c>
      <c r="D757" s="21" t="s">
        <v>1929</v>
      </c>
      <c r="E757" s="1">
        <v>50000</v>
      </c>
      <c r="F757" s="1">
        <f>TArticle[[#This Row],[مبلغ]]+IFERROR(INT(F756),30181+3667+958)</f>
        <v>1117263</v>
      </c>
      <c r="G757" s="49"/>
      <c r="H757" s="64"/>
      <c r="J757" s="65"/>
      <c r="K757" s="64">
        <v>2</v>
      </c>
      <c r="L757" s="171" t="str">
        <f>IF(TArticle[[#This Row],[کد وضعیت سند]]&gt;0,VLOOKUP(TArticle[[#This Row],[کد وضعیت سند]],TDocState[],2,FALSE),"")</f>
        <v>قطعی</v>
      </c>
      <c r="M757" s="67"/>
      <c r="N757" s="171" t="str">
        <f>IF(TArticle[[#This Row],[کد طرف حساب]]&gt;0,VLOOKUP(TArticle[[#This Row],[کد طرف حساب]],TContact[],2,FALSE),"")</f>
        <v/>
      </c>
      <c r="O757" s="68" t="str">
        <f>IF(TArticle[[#This Row],[کد طرف حساب]]&gt;0,VLOOKUP(TArticle[[#This Row],[کد طرف حساب]],TContact[],7,FALSE)-SUMIF($M$2:M757,M757,$E$2:$E757),"")</f>
        <v/>
      </c>
      <c r="P757" s="67" t="str">
        <f>RIGHT(TArticle[[#This Row],[تاریخ]],2)</f>
        <v>01</v>
      </c>
      <c r="Q757" s="67">
        <f>VLOOKUP(TArticle[[#This Row],[تاریخ]],TDays[],16,FALSE)</f>
        <v>36</v>
      </c>
      <c r="R757" s="67" t="str">
        <f>RIGHT(LEFT(TArticle[[#This Row],[تاریخ]],7),2)</f>
        <v>09</v>
      </c>
      <c r="S757" s="67" t="str">
        <f>LEFT(TArticle[[#This Row],[تاریخ]],4)</f>
        <v>1404</v>
      </c>
      <c r="T757" s="64"/>
      <c r="U757" s="64">
        <f>VLOOKUP(TArticle[[#This Row],[شناسه]],TAccount[],7,TRUE)</f>
        <v>416023</v>
      </c>
      <c r="V757" s="64"/>
      <c r="W757" s="64">
        <f>IF(AND(TArticle[[#This Row],[مبلغ]]&gt;0, TArticle[[#This Row],[کد وضعیت سند]]=1),TArticle[[#This Row],[مبلغ]],0)</f>
        <v>0</v>
      </c>
      <c r="X757" s="67">
        <f>IF(AND(TArticle[[#This Row],[مبلغ]]&lt;0,TArticle[[#This Row],[کد وضعیت سند]]=1),0-TArticle[[#This Row],[مبلغ]],0)</f>
        <v>0</v>
      </c>
      <c r="Y757" s="27">
        <v>2</v>
      </c>
      <c r="Z757" s="171" t="str">
        <f>IF(TArticle[[#This Row],[کد بانک]]&gt;0,VLOOKUP(TArticle[[#This Row],[کد بانک]],TBank[],2,FALSE),"")</f>
        <v>ملی جاری</v>
      </c>
      <c r="AA757">
        <f>IF(AND(TArticle[[#This Row],[مبلغ]]&lt;0,TArticle[[#This Row],[کد وضعیت سند]]=1),0-TArticle[[#This Row],[مبلغ]],0)</f>
        <v>0</v>
      </c>
      <c r="AB757">
        <f>IF(AND(TArticle[[#This Row],[مبلغ]]&gt;0, TArticle[[#This Row],[کد وضعیت سند]]=1),TArticle[[#This Row],[مبلغ]],0)</f>
        <v>0</v>
      </c>
      <c r="AC757" s="93">
        <f>IF(TArticle[[#This Row],[کد بانک]]&gt;0,VLOOKUP(TArticle[[#This Row],[کد بانک]],TBank[],9,FALSE)+SUMIF($Y$2:Y757,Y757,$E$2:$E757),"")</f>
        <v>1158915</v>
      </c>
      <c r="AD757" s="1">
        <f>IFERROR(IF(INT(LEFT(TArticle[[#This Row],[شناسه]]))=3,IF(TArticle[[#This Row],[کد وضعیت سند]]=1,TArticle[مبلغ],0),0),0)</f>
        <v>0</v>
      </c>
      <c r="AE757" s="1">
        <f>IFERROR(IF(((TArticle[[#This Row],[شناسه]]))="4.1.1",IF(TArticle[[#This Row],[کد وضعیت سند]]=1,TArticle[مبلغ],0),0),0)</f>
        <v>0</v>
      </c>
      <c r="AF757" s="1">
        <f>IFERROR(IF(((TArticle[[#This Row],[شناسه]]))="4.1.2",IF(TArticle[[#This Row],[کد وضعیت سند]]=1,TArticle[مبلغ],0),0),0)</f>
        <v>0</v>
      </c>
      <c r="AG757" s="1">
        <f>IFERROR(IF(INT(LEFT(TArticle[[#This Row],[شناسه]]))=1,IF(TArticle[[#This Row],[کد وضعیت سند]]=1,TArticle[مبلغ],0),0),0)</f>
        <v>0</v>
      </c>
      <c r="AH757" s="1">
        <f>IFERROR(IF(INT(LEFT(TArticle[[#This Row],[شناسه]]))=2,IF(TArticle[[#This Row],[کد وضعیت سند]]=1,TArticle[مبلغ],0),0),0)</f>
        <v>0</v>
      </c>
      <c r="AI757" s="1">
        <f>IFERROR(IF((LEFT(TArticle[[#This Row],[شناسه]],3))="5.2",IF(TArticle[[#This Row],[کد وضعیت سند]]=1,TArticle[مبلغ],0),0),0)</f>
        <v>0</v>
      </c>
      <c r="AJ757" s="1">
        <f>IF(TArticle[[#This Row],[کد وضعیت سند]]=1,1,0)</f>
        <v>0</v>
      </c>
      <c r="AK757" s="1">
        <f>IF(AND(TArticle[[#This Row],[کد وضعیت سند]]&lt;&gt;1,TArticle[[#This Row],[مبلغ]]&lt;&gt;0),1,0)</f>
        <v>1</v>
      </c>
      <c r="AL757" s="78">
        <f>IF(TArticle[[#This Row],[کد بانک]]&gt;0,TArticle[[#This Row],[مانده بانک]]-VLOOKUP(TArticle[[#This Row],[کد بانک]],TBank[],7,FALSE),"")</f>
        <v>1158915</v>
      </c>
      <c r="AM757" s="69" t="str">
        <f>LEFT(TArticle[[#This Row],[تاریخ]],7)</f>
        <v>1404-09</v>
      </c>
    </row>
    <row r="758" spans="1:39" x14ac:dyDescent="0.25">
      <c r="A758" s="24" t="s">
        <v>1608</v>
      </c>
      <c r="B758" s="49" t="str">
        <f>VLOOKUP(TArticle[[#This Row],[شناسه]],TAccount[],2,TRUE)</f>
        <v>بن کارت</v>
      </c>
      <c r="C758" s="49" t="str">
        <f>VLOOKUP(TArticle[[#This Row],[تاریخ]],TDays[],7,FALSE)</f>
        <v>شنبه</v>
      </c>
      <c r="D758" s="21" t="s">
        <v>1929</v>
      </c>
      <c r="E758" s="1">
        <v>3600</v>
      </c>
      <c r="F758" s="1">
        <f>TArticle[[#This Row],[مبلغ]]+IFERROR(INT(F757),30181+3667+958)</f>
        <v>1120863</v>
      </c>
      <c r="G758" s="49"/>
      <c r="H758" s="64"/>
      <c r="J758" s="65"/>
      <c r="K758" s="64">
        <v>2</v>
      </c>
      <c r="L758" s="171" t="str">
        <f>IF(TArticle[[#This Row],[کد وضعیت سند]]&gt;0,VLOOKUP(TArticle[[#This Row],[کد وضعیت سند]],TDocState[],2,FALSE),"")</f>
        <v>قطعی</v>
      </c>
      <c r="M758" s="67"/>
      <c r="N758" s="171" t="str">
        <f>IF(TArticle[[#This Row],[کد طرف حساب]]&gt;0,VLOOKUP(TArticle[[#This Row],[کد طرف حساب]],TContact[],2,FALSE),"")</f>
        <v/>
      </c>
      <c r="O758" s="68" t="str">
        <f>IF(TArticle[[#This Row],[کد طرف حساب]]&gt;0,VLOOKUP(TArticle[[#This Row],[کد طرف حساب]],TContact[],7,FALSE)-SUMIF($M$2:M758,M758,$E$2:$E758),"")</f>
        <v/>
      </c>
      <c r="P758" s="67" t="str">
        <f>RIGHT(TArticle[[#This Row],[تاریخ]],2)</f>
        <v>01</v>
      </c>
      <c r="Q758" s="67">
        <f>VLOOKUP(TArticle[[#This Row],[تاریخ]],TDays[],16,FALSE)</f>
        <v>36</v>
      </c>
      <c r="R758" s="67" t="str">
        <f>RIGHT(LEFT(TArticle[[#This Row],[تاریخ]],7),2)</f>
        <v>09</v>
      </c>
      <c r="S758" s="67" t="str">
        <f>LEFT(TArticle[[#This Row],[تاریخ]],4)</f>
        <v>1404</v>
      </c>
      <c r="T758" s="64"/>
      <c r="U758" s="64">
        <f>VLOOKUP(TArticle[[#This Row],[شناسه]],TAccount[],7,TRUE)</f>
        <v>3000</v>
      </c>
      <c r="V758" s="64"/>
      <c r="W758" s="64">
        <f>IF(AND(TArticle[[#This Row],[مبلغ]]&gt;0, TArticle[[#This Row],[کد وضعیت سند]]=1),TArticle[[#This Row],[مبلغ]],0)</f>
        <v>0</v>
      </c>
      <c r="X758" s="67">
        <f>IF(AND(TArticle[[#This Row],[مبلغ]]&lt;0,TArticle[[#This Row],[کد وضعیت سند]]=1),0-TArticle[[#This Row],[مبلغ]],0)</f>
        <v>0</v>
      </c>
      <c r="Y758" s="27">
        <v>2</v>
      </c>
      <c r="Z758" s="171" t="str">
        <f>IF(TArticle[[#This Row],[کد بانک]]&gt;0,VLOOKUP(TArticle[[#This Row],[کد بانک]],TBank[],2,FALSE),"")</f>
        <v>ملی جاری</v>
      </c>
      <c r="AA758">
        <f>IF(AND(TArticle[[#This Row],[مبلغ]]&lt;0,TArticle[[#This Row],[کد وضعیت سند]]=1),0-TArticle[[#This Row],[مبلغ]],0)</f>
        <v>0</v>
      </c>
      <c r="AB758">
        <f>IF(AND(TArticle[[#This Row],[مبلغ]]&gt;0, TArticle[[#This Row],[کد وضعیت سند]]=1),TArticle[[#This Row],[مبلغ]],0)</f>
        <v>0</v>
      </c>
      <c r="AC758" s="93">
        <f>IF(TArticle[[#This Row],[کد بانک]]&gt;0,VLOOKUP(TArticle[[#This Row],[کد بانک]],TBank[],9,FALSE)+SUMIF($Y$2:Y758,Y758,$E$2:$E758),"")</f>
        <v>1162515</v>
      </c>
      <c r="AD758" s="1">
        <f>IFERROR(IF(INT(LEFT(TArticle[[#This Row],[شناسه]]))=3,IF(TArticle[[#This Row],[کد وضعیت سند]]=1,TArticle[مبلغ],0),0),0)</f>
        <v>0</v>
      </c>
      <c r="AE758" s="1">
        <f>IFERROR(IF(((TArticle[[#This Row],[شناسه]]))="4.1.1",IF(TArticle[[#This Row],[کد وضعیت سند]]=1,TArticle[مبلغ],0),0),0)</f>
        <v>0</v>
      </c>
      <c r="AF758" s="1">
        <f>IFERROR(IF(((TArticle[[#This Row],[شناسه]]))="4.1.2",IF(TArticle[[#This Row],[کد وضعیت سند]]=1,TArticle[مبلغ],0),0),0)</f>
        <v>0</v>
      </c>
      <c r="AG758" s="1">
        <f>IFERROR(IF(INT(LEFT(TArticle[[#This Row],[شناسه]]))=1,IF(TArticle[[#This Row],[کد وضعیت سند]]=1,TArticle[مبلغ],0),0),0)</f>
        <v>0</v>
      </c>
      <c r="AH758" s="1">
        <f>IFERROR(IF(INT(LEFT(TArticle[[#This Row],[شناسه]]))=2,IF(TArticle[[#This Row],[کد وضعیت سند]]=1,TArticle[مبلغ],0),0),0)</f>
        <v>0</v>
      </c>
      <c r="AI758" s="1">
        <f>IFERROR(IF((LEFT(TArticle[[#This Row],[شناسه]],3))="5.2",IF(TArticle[[#This Row],[کد وضعیت سند]]=1,TArticle[مبلغ],0),0),0)</f>
        <v>0</v>
      </c>
      <c r="AJ758" s="1">
        <f>IF(TArticle[[#This Row],[کد وضعیت سند]]=1,1,0)</f>
        <v>0</v>
      </c>
      <c r="AK758" s="1">
        <f>IF(AND(TArticle[[#This Row],[کد وضعیت سند]]&lt;&gt;1,TArticle[[#This Row],[مبلغ]]&lt;&gt;0),1,0)</f>
        <v>1</v>
      </c>
      <c r="AL758" s="78">
        <f>IF(TArticle[[#This Row],[کد بانک]]&gt;0,TArticle[[#This Row],[مانده بانک]]-VLOOKUP(TArticle[[#This Row],[کد بانک]],TBank[],7,FALSE),"")</f>
        <v>1162515</v>
      </c>
      <c r="AM758" s="69" t="str">
        <f>LEFT(TArticle[[#This Row],[تاریخ]],7)</f>
        <v>1404-09</v>
      </c>
    </row>
    <row r="759" spans="1:39" x14ac:dyDescent="0.25">
      <c r="A759" s="24" t="s">
        <v>1110</v>
      </c>
      <c r="B759" s="49" t="str">
        <f>VLOOKUP(TArticle[[#This Row],[شناسه]],TAccount[],2,TRUE)</f>
        <v>قسط وام بانکی</v>
      </c>
      <c r="C759" s="49" t="str">
        <f>VLOOKUP(TArticle[[#This Row],[تاریخ]],TDays[],7,FALSE)</f>
        <v>دوشنبه</v>
      </c>
      <c r="D759" s="21" t="s">
        <v>1931</v>
      </c>
      <c r="E759" s="1">
        <v>-1224</v>
      </c>
      <c r="F759" s="1">
        <f>TArticle[[#This Row],[مبلغ]]+IFERROR(INT(F758),30181+3667+958)</f>
        <v>1119639</v>
      </c>
      <c r="G759" s="49"/>
      <c r="H759" s="64">
        <v>27</v>
      </c>
      <c r="J759" s="65"/>
      <c r="K759" s="64">
        <v>2</v>
      </c>
      <c r="L759" s="171" t="str">
        <f>IF(TArticle[[#This Row],[کد وضعیت سند]]&gt;0,VLOOKUP(TArticle[[#This Row],[کد وضعیت سند]],TDocState[],2,FALSE),"")</f>
        <v>قطعی</v>
      </c>
      <c r="M759" s="27">
        <v>115</v>
      </c>
      <c r="N759" s="171" t="str">
        <f>IF(TArticle[[#This Row],[کد طرف حساب]]&gt;0,VLOOKUP(TArticle[[#This Row],[کد طرف حساب]],TContact[],2,FALSE),"")</f>
        <v>وام فرزند مهر</v>
      </c>
      <c r="O759" s="68">
        <f>IF(TArticle[[#This Row],[کد طرف حساب]]&gt;0,VLOOKUP(TArticle[[#This Row],[کد طرف حساب]],TContact[],7,FALSE)-SUMIF($M$2:M759,M759,$E$2:$E759),"")</f>
        <v>-30624</v>
      </c>
      <c r="P759" s="67" t="str">
        <f>RIGHT(TArticle[[#This Row],[تاریخ]],2)</f>
        <v>03</v>
      </c>
      <c r="Q759" s="67">
        <f>VLOOKUP(TArticle[[#This Row],[تاریخ]],TDays[],16,FALSE)</f>
        <v>37</v>
      </c>
      <c r="R759" s="67" t="str">
        <f>RIGHT(LEFT(TArticle[[#This Row],[تاریخ]],7),2)</f>
        <v>09</v>
      </c>
      <c r="S759" s="67" t="str">
        <f>LEFT(TArticle[[#This Row],[تاریخ]],4)</f>
        <v>1404</v>
      </c>
      <c r="T759" s="64"/>
      <c r="U759" s="64">
        <f>VLOOKUP(TArticle[[#This Row],[شناسه]],TAccount[],7,TRUE)</f>
        <v>81652</v>
      </c>
      <c r="V759" s="64"/>
      <c r="W759" s="64">
        <f>IF(AND(TArticle[[#This Row],[مبلغ]]&gt;0, TArticle[[#This Row],[کد وضعیت سند]]=1),TArticle[[#This Row],[مبلغ]],0)</f>
        <v>0</v>
      </c>
      <c r="X759" s="67">
        <f>IF(AND(TArticle[[#This Row],[مبلغ]]&lt;0,TArticle[[#This Row],[کد وضعیت سند]]=1),0-TArticle[[#This Row],[مبلغ]],0)</f>
        <v>0</v>
      </c>
      <c r="Y759" s="27">
        <v>2</v>
      </c>
      <c r="Z759" s="171" t="str">
        <f>IF(TArticle[[#This Row],[کد بانک]]&gt;0,VLOOKUP(TArticle[[#This Row],[کد بانک]],TBank[],2,FALSE),"")</f>
        <v>ملی جاری</v>
      </c>
      <c r="AA759">
        <f>IF(AND(TArticle[[#This Row],[مبلغ]]&lt;0,TArticle[[#This Row],[کد وضعیت سند]]=1),0-TArticle[[#This Row],[مبلغ]],0)</f>
        <v>0</v>
      </c>
      <c r="AB759">
        <f>IF(AND(TArticle[[#This Row],[مبلغ]]&gt;0, TArticle[[#This Row],[کد وضعیت سند]]=1),TArticle[[#This Row],[مبلغ]],0)</f>
        <v>0</v>
      </c>
      <c r="AC759" s="93">
        <f>IF(TArticle[[#This Row],[کد بانک]]&gt;0,VLOOKUP(TArticle[[#This Row],[کد بانک]],TBank[],9,FALSE)+SUMIF($Y$2:Y759,Y759,$E$2:$E759),"")</f>
        <v>1161291</v>
      </c>
      <c r="AD759" s="1">
        <f>IFERROR(IF(INT(LEFT(TArticle[[#This Row],[شناسه]]))=3,IF(TArticle[[#This Row],[کد وضعیت سند]]=1,TArticle[مبلغ],0),0),0)</f>
        <v>0</v>
      </c>
      <c r="AE759" s="1">
        <f>IFERROR(IF(((TArticle[[#This Row],[شناسه]]))="4.1.1",IF(TArticle[[#This Row],[کد وضعیت سند]]=1,TArticle[مبلغ],0),0),0)</f>
        <v>0</v>
      </c>
      <c r="AF759" s="1">
        <f>IFERROR(IF(((TArticle[[#This Row],[شناسه]]))="4.1.2",IF(TArticle[[#This Row],[کد وضعیت سند]]=1,TArticle[مبلغ],0),0),0)</f>
        <v>0</v>
      </c>
      <c r="AG759" s="1">
        <f>IFERROR(IF(INT(LEFT(TArticle[[#This Row],[شناسه]]))=1,IF(TArticle[[#This Row],[کد وضعیت سند]]=1,TArticle[مبلغ],0),0),0)</f>
        <v>0</v>
      </c>
      <c r="AH759" s="1">
        <f>IFERROR(IF(INT(LEFT(TArticle[[#This Row],[شناسه]]))=2,IF(TArticle[[#This Row],[کد وضعیت سند]]=1,TArticle[مبلغ],0),0),0)</f>
        <v>0</v>
      </c>
      <c r="AI759" s="1">
        <f>IFERROR(IF((LEFT(TArticle[[#This Row],[شناسه]],3))="5.2",IF(TArticle[[#This Row],[کد وضعیت سند]]=1,TArticle[مبلغ],0),0),0)</f>
        <v>0</v>
      </c>
      <c r="AJ759" s="1">
        <f>IF(TArticle[[#This Row],[کد وضعیت سند]]=1,1,0)</f>
        <v>0</v>
      </c>
      <c r="AK759" s="1">
        <f>IF(AND(TArticle[[#This Row],[کد وضعیت سند]]&lt;&gt;1,TArticle[[#This Row],[مبلغ]]&lt;&gt;0),1,0)</f>
        <v>1</v>
      </c>
      <c r="AL759" s="78">
        <f>IF(TArticle[[#This Row],[کد بانک]]&gt;0,TArticle[[#This Row],[مانده بانک]]-VLOOKUP(TArticle[[#This Row],[کد بانک]],TBank[],7,FALSE),"")</f>
        <v>1161291</v>
      </c>
      <c r="AM759" s="69" t="str">
        <f>LEFT(TArticle[[#This Row],[تاریخ]],7)</f>
        <v>1404-09</v>
      </c>
    </row>
    <row r="760" spans="1:39" x14ac:dyDescent="0.25">
      <c r="A760" s="24" t="s">
        <v>1110</v>
      </c>
      <c r="B760" s="49" t="str">
        <f>VLOOKUP(TArticle[[#This Row],[شناسه]],TAccount[],2,TRUE)</f>
        <v>قسط وام بانکی</v>
      </c>
      <c r="C760" s="49" t="str">
        <f>VLOOKUP(TArticle[[#This Row],[تاریخ]],TDays[],7,FALSE)</f>
        <v>یکشنبه</v>
      </c>
      <c r="D760" s="21" t="s">
        <v>1936</v>
      </c>
      <c r="E760" s="1">
        <f>'طرف حساب'!$J$29</f>
        <v>-3616</v>
      </c>
      <c r="F760" s="1">
        <f>TArticle[[#This Row],[مبلغ]]+IFERROR(INT(F759),30181+3667+958)</f>
        <v>1116023</v>
      </c>
      <c r="G760" s="49"/>
      <c r="H760" s="64">
        <v>34</v>
      </c>
      <c r="J760" s="65"/>
      <c r="K760" s="64">
        <v>2</v>
      </c>
      <c r="L760" s="171" t="str">
        <f>IF(TArticle[[#This Row],[کد وضعیت سند]]&gt;0,VLOOKUP(TArticle[[#This Row],[کد وضعیت سند]],TDocState[],2,FALSE),"")</f>
        <v>قطعی</v>
      </c>
      <c r="M760" s="67">
        <v>114</v>
      </c>
      <c r="N760" s="171" t="str">
        <f>IF(TArticle[[#This Row],[کد طرف حساب]]&gt;0,VLOOKUP(TArticle[[#This Row],[کد طرف حساب]],TContact[],2,FALSE),"")</f>
        <v>وام کارت ملی ف</v>
      </c>
      <c r="O760" s="51">
        <f>IF(TArticle[[#This Row],[کد طرف حساب]]&gt;0,VLOOKUP(TArticle[[#This Row],[کد طرف حساب]],TContact[],7,FALSE)-SUMIF($M$2:M760,M760,$E$2:$E760),"")</f>
        <v>-8514</v>
      </c>
      <c r="P760" s="67" t="str">
        <f>RIGHT(TArticle[[#This Row],[تاریخ]],2)</f>
        <v>09</v>
      </c>
      <c r="Q760" s="67">
        <f>VLOOKUP(TArticle[[#This Row],[تاریخ]],TDays[],16,FALSE)</f>
        <v>37</v>
      </c>
      <c r="R760" s="67" t="str">
        <f>RIGHT(LEFT(TArticle[[#This Row],[تاریخ]],7),2)</f>
        <v>09</v>
      </c>
      <c r="S760" s="67" t="str">
        <f>LEFT(TArticle[[#This Row],[تاریخ]],4)</f>
        <v>1404</v>
      </c>
      <c r="T760" s="64"/>
      <c r="U760" s="64">
        <f>VLOOKUP(TArticle[[#This Row],[شناسه]],TAccount[],7,TRUE)</f>
        <v>81652</v>
      </c>
      <c r="V760" s="64"/>
      <c r="W760" s="64">
        <f>IF(AND(TArticle[[#This Row],[مبلغ]]&gt;0, TArticle[[#This Row],[کد وضعیت سند]]=1),TArticle[[#This Row],[مبلغ]],0)</f>
        <v>0</v>
      </c>
      <c r="X760" s="67">
        <f>IF(AND(TArticle[[#This Row],[مبلغ]]&lt;0,TArticle[[#This Row],[کد وضعیت سند]]=1),0-TArticle[[#This Row],[مبلغ]],0)</f>
        <v>0</v>
      </c>
      <c r="Y760" s="27">
        <v>2</v>
      </c>
      <c r="Z760" s="171" t="str">
        <f>IF(TArticle[[#This Row],[کد بانک]]&gt;0,VLOOKUP(TArticle[[#This Row],[کد بانک]],TBank[],2,FALSE),"")</f>
        <v>ملی جاری</v>
      </c>
      <c r="AA760">
        <f>IF(AND(TArticle[[#This Row],[مبلغ]]&lt;0,TArticle[[#This Row],[کد وضعیت سند]]=1),0-TArticle[[#This Row],[مبلغ]],0)</f>
        <v>0</v>
      </c>
      <c r="AB760">
        <f>IF(AND(TArticle[[#This Row],[مبلغ]]&gt;0, TArticle[[#This Row],[کد وضعیت سند]]=1),TArticle[[#This Row],[مبلغ]],0)</f>
        <v>0</v>
      </c>
      <c r="AC760" s="84">
        <f>IF(TArticle[[#This Row],[کد بانک]]&gt;0,VLOOKUP(TArticle[[#This Row],[کد بانک]],TBank[],9,FALSE)+SUMIF($Y$2:Y760,Y760,$E$2:$E760),"")</f>
        <v>1157675</v>
      </c>
      <c r="AD760" s="1">
        <f>IFERROR(IF(INT(LEFT(TArticle[[#This Row],[شناسه]]))=3,IF(TArticle[[#This Row],[کد وضعیت سند]]=1,TArticle[مبلغ],0),0),0)</f>
        <v>0</v>
      </c>
      <c r="AE760" s="1">
        <f>IFERROR(IF(((TArticle[[#This Row],[شناسه]]))="4.1.1",IF(TArticle[[#This Row],[کد وضعیت سند]]=1,TArticle[مبلغ],0),0),0)</f>
        <v>0</v>
      </c>
      <c r="AF760" s="1">
        <f>IFERROR(IF(((TArticle[[#This Row],[شناسه]]))="4.1.2",IF(TArticle[[#This Row],[کد وضعیت سند]]=1,TArticle[مبلغ],0),0),0)</f>
        <v>0</v>
      </c>
      <c r="AG760" s="1">
        <f>IFERROR(IF(INT(LEFT(TArticle[[#This Row],[شناسه]]))=1,IF(TArticle[[#This Row],[کد وضعیت سند]]=1,TArticle[مبلغ],0),0),0)</f>
        <v>0</v>
      </c>
      <c r="AH760" s="1">
        <f>IFERROR(IF(INT(LEFT(TArticle[[#This Row],[شناسه]]))=2,IF(TArticle[[#This Row],[کد وضعیت سند]]=1,TArticle[مبلغ],0),0),0)</f>
        <v>0</v>
      </c>
      <c r="AI760" s="1">
        <f>IFERROR(IF((LEFT(TArticle[[#This Row],[شناسه]],3))="5.2",IF(TArticle[[#This Row],[کد وضعیت سند]]=1,TArticle[مبلغ],0),0),0)</f>
        <v>0</v>
      </c>
      <c r="AJ760" s="1">
        <f>IF(TArticle[[#This Row],[کد وضعیت سند]]=1,1,0)</f>
        <v>0</v>
      </c>
      <c r="AK760" s="1">
        <f>IF(AND(TArticle[[#This Row],[کد وضعیت سند]]&lt;&gt;1,TArticle[[#This Row],[مبلغ]]&lt;&gt;0),1,0)</f>
        <v>1</v>
      </c>
      <c r="AL760" s="78">
        <f>IF(TArticle[[#This Row],[کد بانک]]&gt;0,TArticle[[#This Row],[مانده بانک]]-VLOOKUP(TArticle[[#This Row],[کد بانک]],TBank[],7,FALSE),"")</f>
        <v>1157675</v>
      </c>
      <c r="AM760" s="69" t="str">
        <f>LEFT(TArticle[[#This Row],[تاریخ]],7)</f>
        <v>1404-09</v>
      </c>
    </row>
    <row r="761" spans="1:39" x14ac:dyDescent="0.25">
      <c r="A761" s="24" t="s">
        <v>1013</v>
      </c>
      <c r="B761" s="49" t="str">
        <f>VLOOKUP(TArticle[[#This Row],[شناسه]],TAccount[],2,TRUE)</f>
        <v>یارانه</v>
      </c>
      <c r="C761" s="49" t="str">
        <f>VLOOKUP(TArticle[[#This Row],[تاریخ]],TDays[],7,FALSE)</f>
        <v>پنجشنبه</v>
      </c>
      <c r="D761" s="21" t="s">
        <v>1947</v>
      </c>
      <c r="E761" s="1">
        <v>1500</v>
      </c>
      <c r="F761" s="1">
        <f>TArticle[[#This Row],[مبلغ]]+IFERROR(INT(F760),30181+3667+958)</f>
        <v>1117523</v>
      </c>
      <c r="G761" s="49"/>
      <c r="J761" s="51"/>
      <c r="K761" s="64">
        <v>2</v>
      </c>
      <c r="L761" s="171" t="str">
        <f>IF(TArticle[[#This Row],[کد وضعیت سند]]&gt;0,VLOOKUP(TArticle[[#This Row],[کد وضعیت سند]],TDocState[],2,FALSE),"")</f>
        <v>قطعی</v>
      </c>
      <c r="N761" s="171" t="str">
        <f>IF(TArticle[[#This Row],[کد طرف حساب]]&gt;0,VLOOKUP(TArticle[[#This Row],[کد طرف حساب]],TContact[],2,FALSE),"")</f>
        <v/>
      </c>
      <c r="O761" s="60" t="str">
        <f>IF(TArticle[[#This Row],[کد طرف حساب]]&gt;0,VLOOKUP(TArticle[[#This Row],[کد طرف حساب]],TContact[],7,FALSE)-SUMIF($M$2:M761,M761,$E$2:$E761),"")</f>
        <v/>
      </c>
      <c r="P761" s="27" t="str">
        <f>RIGHT(TArticle[[#This Row],[تاریخ]],2)</f>
        <v>20</v>
      </c>
      <c r="Q761" s="27">
        <f>VLOOKUP(TArticle[[#This Row],[تاریخ]],TDays[],16,FALSE)</f>
        <v>39</v>
      </c>
      <c r="R761" s="27" t="str">
        <f>RIGHT(LEFT(TArticle[[#This Row],[تاریخ]],7),2)</f>
        <v>09</v>
      </c>
      <c r="S761" s="27" t="str">
        <f>LEFT(TArticle[[#This Row],[تاریخ]],4)</f>
        <v>1404</v>
      </c>
      <c r="U761" s="21">
        <f>VLOOKUP(TArticle[[#This Row],[شناسه]],TAccount[],7,TRUE)</f>
        <v>12565</v>
      </c>
      <c r="W761" s="21">
        <f>IF(AND(TArticle[[#This Row],[مبلغ]]&gt;0, TArticle[[#This Row],[کد وضعیت سند]]=1),TArticle[[#This Row],[مبلغ]],0)</f>
        <v>0</v>
      </c>
      <c r="X761" s="27">
        <f>IF(AND(TArticle[[#This Row],[مبلغ]]&lt;0,TArticle[[#This Row],[کد وضعیت سند]]=1),0-TArticle[[#This Row],[مبلغ]],0)</f>
        <v>0</v>
      </c>
      <c r="Y761" s="27">
        <v>2</v>
      </c>
      <c r="Z761" s="171" t="str">
        <f>IF(TArticle[[#This Row],[کد بانک]]&gt;0,VLOOKUP(TArticle[[#This Row],[کد بانک]],TBank[],2,FALSE),"")</f>
        <v>ملی جاری</v>
      </c>
      <c r="AA761">
        <f>IF(AND(TArticle[[#This Row],[مبلغ]]&lt;0,TArticle[[#This Row],[کد وضعیت سند]]=1),0-TArticle[[#This Row],[مبلغ]],0)</f>
        <v>0</v>
      </c>
      <c r="AB761">
        <f>IF(AND(TArticle[[#This Row],[مبلغ]]&gt;0, TArticle[[#This Row],[کد وضعیت سند]]=1),TArticle[[#This Row],[مبلغ]],0)</f>
        <v>0</v>
      </c>
      <c r="AC761" s="92">
        <f>IF(TArticle[[#This Row],[کد بانک]]&gt;0,VLOOKUP(TArticle[[#This Row],[کد بانک]],TBank[],9,FALSE)+SUMIF($Y$2:Y761,Y761,$E$2:$E761),"")</f>
        <v>1159175</v>
      </c>
      <c r="AD761" s="1">
        <f>IFERROR(IF(INT(LEFT(TArticle[[#This Row],[شناسه]]))=3,IF(TArticle[[#This Row],[کد وضعیت سند]]=1,TArticle[مبلغ],0),0),0)</f>
        <v>0</v>
      </c>
      <c r="AE761" s="1">
        <f>IFERROR(IF(((TArticle[[#This Row],[شناسه]]))="4.1.1",IF(TArticle[[#This Row],[کد وضعیت سند]]=1,TArticle[مبلغ],0),0),0)</f>
        <v>0</v>
      </c>
      <c r="AF761" s="1">
        <f>IFERROR(IF(((TArticle[[#This Row],[شناسه]]))="4.1.2",IF(TArticle[[#This Row],[کد وضعیت سند]]=1,TArticle[مبلغ],0),0),0)</f>
        <v>0</v>
      </c>
      <c r="AG761" s="1">
        <f>IFERROR(IF(INT(LEFT(TArticle[[#This Row],[شناسه]]))=1,IF(TArticle[[#This Row],[کد وضعیت سند]]=1,TArticle[مبلغ],0),0),0)</f>
        <v>0</v>
      </c>
      <c r="AH761" s="1">
        <f>IFERROR(IF(INT(LEFT(TArticle[[#This Row],[شناسه]]))=2,IF(TArticle[[#This Row],[کد وضعیت سند]]=1,TArticle[مبلغ],0),0),0)</f>
        <v>0</v>
      </c>
      <c r="AI761" s="1">
        <f>IFERROR(IF((LEFT(TArticle[[#This Row],[شناسه]],3))="5.2",IF(TArticle[[#This Row],[کد وضعیت سند]]=1,TArticle[مبلغ],0),0),0)</f>
        <v>0</v>
      </c>
      <c r="AJ761" s="1">
        <f>IF(TArticle[[#This Row],[کد وضعیت سند]]=1,1,0)</f>
        <v>0</v>
      </c>
      <c r="AK761" s="1">
        <f>IF(AND(TArticle[[#This Row],[کد وضعیت سند]]&lt;&gt;1,TArticle[[#This Row],[مبلغ]]&lt;&gt;0),1,0)</f>
        <v>1</v>
      </c>
      <c r="AL761" s="51">
        <f>IF(TArticle[[#This Row],[کد بانک]]&gt;0,TArticle[[#This Row],[مانده بانک]]-VLOOKUP(TArticle[[#This Row],[کد بانک]],TBank[],7,FALSE),"")</f>
        <v>1159175</v>
      </c>
      <c r="AM761" s="58" t="str">
        <f>LEFT(TArticle[[#This Row],[تاریخ]],7)</f>
        <v>1404-09</v>
      </c>
    </row>
    <row r="762" spans="1:39" x14ac:dyDescent="0.25">
      <c r="A762" s="24" t="s">
        <v>43</v>
      </c>
      <c r="B762" s="49" t="str">
        <f>VLOOKUP(TArticle[[#This Row],[شناسه]],TAccount[],2,TRUE)</f>
        <v>حقوق</v>
      </c>
      <c r="C762" s="49" t="str">
        <f>VLOOKUP(TArticle[[#This Row],[تاریخ]],TDays[],7,FALSE)</f>
        <v>دوشنبه</v>
      </c>
      <c r="D762" s="21" t="s">
        <v>1958</v>
      </c>
      <c r="E762" s="1">
        <v>50000</v>
      </c>
      <c r="F762" s="1">
        <f>TArticle[[#This Row],[مبلغ]]+IFERROR(INT(F761),30181+3667+958)</f>
        <v>1167523</v>
      </c>
      <c r="G762" s="49"/>
      <c r="H762" s="64"/>
      <c r="J762" s="65"/>
      <c r="K762" s="64">
        <v>2</v>
      </c>
      <c r="L762" s="171" t="str">
        <f>IF(TArticle[[#This Row],[کد وضعیت سند]]&gt;0,VLOOKUP(TArticle[[#This Row],[کد وضعیت سند]],TDocState[],2,FALSE),"")</f>
        <v>قطعی</v>
      </c>
      <c r="M762" s="67"/>
      <c r="N762" s="171" t="str">
        <f>IF(TArticle[[#This Row],[کد طرف حساب]]&gt;0,VLOOKUP(TArticle[[#This Row],[کد طرف حساب]],TContact[],2,FALSE),"")</f>
        <v/>
      </c>
      <c r="O762" s="68" t="str">
        <f>IF(TArticle[[#This Row],[کد طرف حساب]]&gt;0,VLOOKUP(TArticle[[#This Row],[کد طرف حساب]],TContact[],7,FALSE)-SUMIF($M$2:M762,M762,$E$2:$E762),"")</f>
        <v/>
      </c>
      <c r="P762" s="67" t="str">
        <f>RIGHT(TArticle[[#This Row],[تاریخ]],2)</f>
        <v>01</v>
      </c>
      <c r="Q762" s="67">
        <f>VLOOKUP(TArticle[[#This Row],[تاریخ]],TDays[],16,FALSE)</f>
        <v>41</v>
      </c>
      <c r="R762" s="67" t="str">
        <f>RIGHT(LEFT(TArticle[[#This Row],[تاریخ]],7),2)</f>
        <v>10</v>
      </c>
      <c r="S762" s="67" t="str">
        <f>LEFT(TArticle[[#This Row],[تاریخ]],4)</f>
        <v>1404</v>
      </c>
      <c r="T762" s="64"/>
      <c r="U762" s="64">
        <f>VLOOKUP(TArticle[[#This Row],[شناسه]],TAccount[],7,TRUE)</f>
        <v>416023</v>
      </c>
      <c r="V762" s="64"/>
      <c r="W762" s="64">
        <f>IF(AND(TArticle[[#This Row],[مبلغ]]&gt;0, TArticle[[#This Row],[کد وضعیت سند]]=1),TArticle[[#This Row],[مبلغ]],0)</f>
        <v>0</v>
      </c>
      <c r="X762" s="67">
        <f>IF(AND(TArticle[[#This Row],[مبلغ]]&lt;0,TArticle[[#This Row],[کد وضعیت سند]]=1),0-TArticle[[#This Row],[مبلغ]],0)</f>
        <v>0</v>
      </c>
      <c r="Y762" s="27">
        <v>2</v>
      </c>
      <c r="Z762" s="171" t="str">
        <f>IF(TArticle[[#This Row],[کد بانک]]&gt;0,VLOOKUP(TArticle[[#This Row],[کد بانک]],TBank[],2,FALSE),"")</f>
        <v>ملی جاری</v>
      </c>
      <c r="AA762">
        <f>IF(AND(TArticle[[#This Row],[مبلغ]]&lt;0,TArticle[[#This Row],[کد وضعیت سند]]=1),0-TArticle[[#This Row],[مبلغ]],0)</f>
        <v>0</v>
      </c>
      <c r="AB762">
        <f>IF(AND(TArticle[[#This Row],[مبلغ]]&gt;0, TArticle[[#This Row],[کد وضعیت سند]]=1),TArticle[[#This Row],[مبلغ]],0)</f>
        <v>0</v>
      </c>
      <c r="AC762" s="93">
        <f>IF(TArticle[[#This Row],[کد بانک]]&gt;0,VLOOKUP(TArticle[[#This Row],[کد بانک]],TBank[],9,FALSE)+SUMIF($Y$2:Y762,Y762,$E$2:$E762),"")</f>
        <v>1209175</v>
      </c>
      <c r="AD762" s="1">
        <f>IFERROR(IF(INT(LEFT(TArticle[[#This Row],[شناسه]]))=3,IF(TArticle[[#This Row],[کد وضعیت سند]]=1,TArticle[مبلغ],0),0),0)</f>
        <v>0</v>
      </c>
      <c r="AE762" s="1">
        <f>IFERROR(IF(((TArticle[[#This Row],[شناسه]]))="4.1.1",IF(TArticle[[#This Row],[کد وضعیت سند]]=1,TArticle[مبلغ],0),0),0)</f>
        <v>0</v>
      </c>
      <c r="AF762" s="1">
        <f>IFERROR(IF(((TArticle[[#This Row],[شناسه]]))="4.1.2",IF(TArticle[[#This Row],[کد وضعیت سند]]=1,TArticle[مبلغ],0),0),0)</f>
        <v>0</v>
      </c>
      <c r="AG762" s="1">
        <f>IFERROR(IF(INT(LEFT(TArticle[[#This Row],[شناسه]]))=1,IF(TArticle[[#This Row],[کد وضعیت سند]]=1,TArticle[مبلغ],0),0),0)</f>
        <v>0</v>
      </c>
      <c r="AH762" s="1">
        <f>IFERROR(IF(INT(LEFT(TArticle[[#This Row],[شناسه]]))=2,IF(TArticle[[#This Row],[کد وضعیت سند]]=1,TArticle[مبلغ],0),0),0)</f>
        <v>0</v>
      </c>
      <c r="AI762" s="1">
        <f>IFERROR(IF((LEFT(TArticle[[#This Row],[شناسه]],3))="5.2",IF(TArticle[[#This Row],[کد وضعیت سند]]=1,TArticle[مبلغ],0),0),0)</f>
        <v>0</v>
      </c>
      <c r="AJ762" s="1">
        <f>IF(TArticle[[#This Row],[کد وضعیت سند]]=1,1,0)</f>
        <v>0</v>
      </c>
      <c r="AK762" s="1">
        <f>IF(AND(TArticle[[#This Row],[کد وضعیت سند]]&lt;&gt;1,TArticle[[#This Row],[مبلغ]]&lt;&gt;0),1,0)</f>
        <v>1</v>
      </c>
      <c r="AL762" s="78">
        <f>IF(TArticle[[#This Row],[کد بانک]]&gt;0,TArticle[[#This Row],[مانده بانک]]-VLOOKUP(TArticle[[#This Row],[کد بانک]],TBank[],7,FALSE),"")</f>
        <v>1209175</v>
      </c>
      <c r="AM762" s="69" t="str">
        <f>LEFT(TArticle[[#This Row],[تاریخ]],7)</f>
        <v>1404-10</v>
      </c>
    </row>
    <row r="763" spans="1:39" x14ac:dyDescent="0.25">
      <c r="A763" s="24" t="s">
        <v>1608</v>
      </c>
      <c r="B763" s="49" t="str">
        <f>VLOOKUP(TArticle[[#This Row],[شناسه]],TAccount[],2,TRUE)</f>
        <v>بن کارت</v>
      </c>
      <c r="C763" s="49" t="str">
        <f>VLOOKUP(TArticle[[#This Row],[تاریخ]],TDays[],7,FALSE)</f>
        <v>دوشنبه</v>
      </c>
      <c r="D763" s="21" t="s">
        <v>1958</v>
      </c>
      <c r="E763" s="1">
        <v>3600</v>
      </c>
      <c r="F763" s="1">
        <f>TArticle[[#This Row],[مبلغ]]+IFERROR(INT(F762),30181+3667+958)</f>
        <v>1171123</v>
      </c>
      <c r="G763" s="49"/>
      <c r="H763" s="64"/>
      <c r="J763" s="65"/>
      <c r="K763" s="64">
        <v>2</v>
      </c>
      <c r="L763" s="171" t="str">
        <f>IF(TArticle[[#This Row],[کد وضعیت سند]]&gt;0,VLOOKUP(TArticle[[#This Row],[کد وضعیت سند]],TDocState[],2,FALSE),"")</f>
        <v>قطعی</v>
      </c>
      <c r="M763" s="67"/>
      <c r="N763" s="171" t="str">
        <f>IF(TArticle[[#This Row],[کد طرف حساب]]&gt;0,VLOOKUP(TArticle[[#This Row],[کد طرف حساب]],TContact[],2,FALSE),"")</f>
        <v/>
      </c>
      <c r="O763" s="68" t="str">
        <f>IF(TArticle[[#This Row],[کد طرف حساب]]&gt;0,VLOOKUP(TArticle[[#This Row],[کد طرف حساب]],TContact[],7,FALSE)-SUMIF($M$2:M763,M763,$E$2:$E763),"")</f>
        <v/>
      </c>
      <c r="P763" s="67" t="str">
        <f>RIGHT(TArticle[[#This Row],[تاریخ]],2)</f>
        <v>01</v>
      </c>
      <c r="Q763" s="67">
        <f>VLOOKUP(TArticle[[#This Row],[تاریخ]],TDays[],16,FALSE)</f>
        <v>41</v>
      </c>
      <c r="R763" s="67" t="str">
        <f>RIGHT(LEFT(TArticle[[#This Row],[تاریخ]],7),2)</f>
        <v>10</v>
      </c>
      <c r="S763" s="67" t="str">
        <f>LEFT(TArticle[[#This Row],[تاریخ]],4)</f>
        <v>1404</v>
      </c>
      <c r="T763" s="64"/>
      <c r="U763" s="64">
        <f>VLOOKUP(TArticle[[#This Row],[شناسه]],TAccount[],7,TRUE)</f>
        <v>3000</v>
      </c>
      <c r="V763" s="64"/>
      <c r="W763" s="64">
        <f>IF(AND(TArticle[[#This Row],[مبلغ]]&gt;0, TArticle[[#This Row],[کد وضعیت سند]]=1),TArticle[[#This Row],[مبلغ]],0)</f>
        <v>0</v>
      </c>
      <c r="X763" s="67">
        <f>IF(AND(TArticle[[#This Row],[مبلغ]]&lt;0,TArticle[[#This Row],[کد وضعیت سند]]=1),0-TArticle[[#This Row],[مبلغ]],0)</f>
        <v>0</v>
      </c>
      <c r="Y763" s="27">
        <v>2</v>
      </c>
      <c r="Z763" s="171" t="str">
        <f>IF(TArticle[[#This Row],[کد بانک]]&gt;0,VLOOKUP(TArticle[[#This Row],[کد بانک]],TBank[],2,FALSE),"")</f>
        <v>ملی جاری</v>
      </c>
      <c r="AA763">
        <f>IF(AND(TArticle[[#This Row],[مبلغ]]&lt;0,TArticle[[#This Row],[کد وضعیت سند]]=1),0-TArticle[[#This Row],[مبلغ]],0)</f>
        <v>0</v>
      </c>
      <c r="AB763">
        <f>IF(AND(TArticle[[#This Row],[مبلغ]]&gt;0, TArticle[[#This Row],[کد وضعیت سند]]=1),TArticle[[#This Row],[مبلغ]],0)</f>
        <v>0</v>
      </c>
      <c r="AC763" s="93">
        <f>IF(TArticle[[#This Row],[کد بانک]]&gt;0,VLOOKUP(TArticle[[#This Row],[کد بانک]],TBank[],9,FALSE)+SUMIF($Y$2:Y763,Y763,$E$2:$E763),"")</f>
        <v>1212775</v>
      </c>
      <c r="AD763" s="1">
        <f>IFERROR(IF(INT(LEFT(TArticle[[#This Row],[شناسه]]))=3,IF(TArticle[[#This Row],[کد وضعیت سند]]=1,TArticle[مبلغ],0),0),0)</f>
        <v>0</v>
      </c>
      <c r="AE763" s="1">
        <f>IFERROR(IF(((TArticle[[#This Row],[شناسه]]))="4.1.1",IF(TArticle[[#This Row],[کد وضعیت سند]]=1,TArticle[مبلغ],0),0),0)</f>
        <v>0</v>
      </c>
      <c r="AF763" s="1">
        <f>IFERROR(IF(((TArticle[[#This Row],[شناسه]]))="4.1.2",IF(TArticle[[#This Row],[کد وضعیت سند]]=1,TArticle[مبلغ],0),0),0)</f>
        <v>0</v>
      </c>
      <c r="AG763" s="1">
        <f>IFERROR(IF(INT(LEFT(TArticle[[#This Row],[شناسه]]))=1,IF(TArticle[[#This Row],[کد وضعیت سند]]=1,TArticle[مبلغ],0),0),0)</f>
        <v>0</v>
      </c>
      <c r="AH763" s="1">
        <f>IFERROR(IF(INT(LEFT(TArticle[[#This Row],[شناسه]]))=2,IF(TArticle[[#This Row],[کد وضعیت سند]]=1,TArticle[مبلغ],0),0),0)</f>
        <v>0</v>
      </c>
      <c r="AI763" s="1">
        <f>IFERROR(IF((LEFT(TArticle[[#This Row],[شناسه]],3))="5.2",IF(TArticle[[#This Row],[کد وضعیت سند]]=1,TArticle[مبلغ],0),0),0)</f>
        <v>0</v>
      </c>
      <c r="AJ763" s="1">
        <f>IF(TArticle[[#This Row],[کد وضعیت سند]]=1,1,0)</f>
        <v>0</v>
      </c>
      <c r="AK763" s="1">
        <f>IF(AND(TArticle[[#This Row],[کد وضعیت سند]]&lt;&gt;1,TArticle[[#This Row],[مبلغ]]&lt;&gt;0),1,0)</f>
        <v>1</v>
      </c>
      <c r="AL763" s="78">
        <f>IF(TArticle[[#This Row],[کد بانک]]&gt;0,TArticle[[#This Row],[مانده بانک]]-VLOOKUP(TArticle[[#This Row],[کد بانک]],TBank[],7,FALSE),"")</f>
        <v>1212775</v>
      </c>
      <c r="AM763" s="69" t="str">
        <f>LEFT(TArticle[[#This Row],[تاریخ]],7)</f>
        <v>1404-10</v>
      </c>
    </row>
    <row r="764" spans="1:39" x14ac:dyDescent="0.25">
      <c r="A764" s="24" t="s">
        <v>1110</v>
      </c>
      <c r="B764" s="49" t="str">
        <f>VLOOKUP(TArticle[[#This Row],[شناسه]],TAccount[],2,TRUE)</f>
        <v>قسط وام بانکی</v>
      </c>
      <c r="C764" s="49" t="str">
        <f>VLOOKUP(TArticle[[#This Row],[تاریخ]],TDays[],7,FALSE)</f>
        <v>چهارشنبه</v>
      </c>
      <c r="D764" s="21" t="s">
        <v>1960</v>
      </c>
      <c r="E764" s="1">
        <v>-1224</v>
      </c>
      <c r="F764" s="1">
        <f>TArticle[[#This Row],[مبلغ]]+IFERROR(INT(F763),30181+3667+958)</f>
        <v>1169899</v>
      </c>
      <c r="G764" s="49"/>
      <c r="H764" s="64">
        <v>28</v>
      </c>
      <c r="J764" s="65"/>
      <c r="K764" s="64">
        <v>2</v>
      </c>
      <c r="L764" s="171" t="str">
        <f>IF(TArticle[[#This Row],[کد وضعیت سند]]&gt;0,VLOOKUP(TArticle[[#This Row],[کد وضعیت سند]],TDocState[],2,FALSE),"")</f>
        <v>قطعی</v>
      </c>
      <c r="M764" s="27">
        <v>115</v>
      </c>
      <c r="N764" s="171" t="str">
        <f>IF(TArticle[[#This Row],[کد طرف حساب]]&gt;0,VLOOKUP(TArticle[[#This Row],[کد طرف حساب]],TContact[],2,FALSE),"")</f>
        <v>وام فرزند مهر</v>
      </c>
      <c r="O764" s="68">
        <f>IF(TArticle[[#This Row],[کد طرف حساب]]&gt;0,VLOOKUP(TArticle[[#This Row],[کد طرف حساب]],TContact[],7,FALSE)-SUMIF($M$2:M764,M764,$E$2:$E764),"")</f>
        <v>-29400</v>
      </c>
      <c r="P764" s="67" t="str">
        <f>RIGHT(TArticle[[#This Row],[تاریخ]],2)</f>
        <v>03</v>
      </c>
      <c r="Q764" s="67">
        <f>VLOOKUP(TArticle[[#This Row],[تاریخ]],TDays[],16,FALSE)</f>
        <v>41</v>
      </c>
      <c r="R764" s="67" t="str">
        <f>RIGHT(LEFT(TArticle[[#This Row],[تاریخ]],7),2)</f>
        <v>10</v>
      </c>
      <c r="S764" s="67" t="str">
        <f>LEFT(TArticle[[#This Row],[تاریخ]],4)</f>
        <v>1404</v>
      </c>
      <c r="T764" s="64"/>
      <c r="U764" s="64">
        <f>VLOOKUP(TArticle[[#This Row],[شناسه]],TAccount[],7,TRUE)</f>
        <v>81652</v>
      </c>
      <c r="V764" s="64"/>
      <c r="W764" s="64">
        <f>IF(AND(TArticle[[#This Row],[مبلغ]]&gt;0, TArticle[[#This Row],[کد وضعیت سند]]=1),TArticle[[#This Row],[مبلغ]],0)</f>
        <v>0</v>
      </c>
      <c r="X764" s="67">
        <f>IF(AND(TArticle[[#This Row],[مبلغ]]&lt;0,TArticle[[#This Row],[کد وضعیت سند]]=1),0-TArticle[[#This Row],[مبلغ]],0)</f>
        <v>0</v>
      </c>
      <c r="Y764" s="27">
        <v>2</v>
      </c>
      <c r="Z764" s="171" t="str">
        <f>IF(TArticle[[#This Row],[کد بانک]]&gt;0,VLOOKUP(TArticle[[#This Row],[کد بانک]],TBank[],2,FALSE),"")</f>
        <v>ملی جاری</v>
      </c>
      <c r="AA764">
        <f>IF(AND(TArticle[[#This Row],[مبلغ]]&lt;0,TArticle[[#This Row],[کد وضعیت سند]]=1),0-TArticle[[#This Row],[مبلغ]],0)</f>
        <v>0</v>
      </c>
      <c r="AB764">
        <f>IF(AND(TArticle[[#This Row],[مبلغ]]&gt;0, TArticle[[#This Row],[کد وضعیت سند]]=1),TArticle[[#This Row],[مبلغ]],0)</f>
        <v>0</v>
      </c>
      <c r="AC764" s="93">
        <f>IF(TArticle[[#This Row],[کد بانک]]&gt;0,VLOOKUP(TArticle[[#This Row],[کد بانک]],TBank[],9,FALSE)+SUMIF($Y$2:Y764,Y764,$E$2:$E764),"")</f>
        <v>1211551</v>
      </c>
      <c r="AD764" s="1">
        <f>IFERROR(IF(INT(LEFT(TArticle[[#This Row],[شناسه]]))=3,IF(TArticle[[#This Row],[کد وضعیت سند]]=1,TArticle[مبلغ],0),0),0)</f>
        <v>0</v>
      </c>
      <c r="AE764" s="1">
        <f>IFERROR(IF(((TArticle[[#This Row],[شناسه]]))="4.1.1",IF(TArticle[[#This Row],[کد وضعیت سند]]=1,TArticle[مبلغ],0),0),0)</f>
        <v>0</v>
      </c>
      <c r="AF764" s="1">
        <f>IFERROR(IF(((TArticle[[#This Row],[شناسه]]))="4.1.2",IF(TArticle[[#This Row],[کد وضعیت سند]]=1,TArticle[مبلغ],0),0),0)</f>
        <v>0</v>
      </c>
      <c r="AG764" s="1">
        <f>IFERROR(IF(INT(LEFT(TArticle[[#This Row],[شناسه]]))=1,IF(TArticle[[#This Row],[کد وضعیت سند]]=1,TArticle[مبلغ],0),0),0)</f>
        <v>0</v>
      </c>
      <c r="AH764" s="1">
        <f>IFERROR(IF(INT(LEFT(TArticle[[#This Row],[شناسه]]))=2,IF(TArticle[[#This Row],[کد وضعیت سند]]=1,TArticle[مبلغ],0),0),0)</f>
        <v>0</v>
      </c>
      <c r="AI764" s="1">
        <f>IFERROR(IF((LEFT(TArticle[[#This Row],[شناسه]],3))="5.2",IF(TArticle[[#This Row],[کد وضعیت سند]]=1,TArticle[مبلغ],0),0),0)</f>
        <v>0</v>
      </c>
      <c r="AJ764" s="1">
        <f>IF(TArticle[[#This Row],[کد وضعیت سند]]=1,1,0)</f>
        <v>0</v>
      </c>
      <c r="AK764" s="1">
        <f>IF(AND(TArticle[[#This Row],[کد وضعیت سند]]&lt;&gt;1,TArticle[[#This Row],[مبلغ]]&lt;&gt;0),1,0)</f>
        <v>1</v>
      </c>
      <c r="AL764" s="78">
        <f>IF(TArticle[[#This Row],[کد بانک]]&gt;0,TArticle[[#This Row],[مانده بانک]]-VLOOKUP(TArticle[[#This Row],[کد بانک]],TBank[],7,FALSE),"")</f>
        <v>1211551</v>
      </c>
      <c r="AM764" s="69" t="str">
        <f>LEFT(TArticle[[#This Row],[تاریخ]],7)</f>
        <v>1404-10</v>
      </c>
    </row>
    <row r="765" spans="1:39" x14ac:dyDescent="0.25">
      <c r="A765" s="24" t="s">
        <v>1110</v>
      </c>
      <c r="B765" s="49" t="str">
        <f>VLOOKUP(TArticle[[#This Row],[شناسه]],TAccount[],2,TRUE)</f>
        <v>قسط وام بانکی</v>
      </c>
      <c r="C765" s="49" t="str">
        <f>VLOOKUP(TArticle[[#This Row],[تاریخ]],TDays[],7,FALSE)</f>
        <v>سه شنبه</v>
      </c>
      <c r="D765" s="21" t="s">
        <v>1965</v>
      </c>
      <c r="E765" s="1">
        <f>'طرف حساب'!$J$29</f>
        <v>-3616</v>
      </c>
      <c r="F765" s="1">
        <f>TArticle[[#This Row],[مبلغ]]+IFERROR(INT(F764),30181+3667+958)</f>
        <v>1166283</v>
      </c>
      <c r="G765" s="49"/>
      <c r="H765" s="21">
        <v>35</v>
      </c>
      <c r="J765" s="51"/>
      <c r="K765" s="64">
        <v>2</v>
      </c>
      <c r="L765" s="171" t="str">
        <f>IF(TArticle[[#This Row],[کد وضعیت سند]]&gt;0,VLOOKUP(TArticle[[#This Row],[کد وضعیت سند]],TDocState[],2,FALSE),"")</f>
        <v>قطعی</v>
      </c>
      <c r="M765" s="67">
        <v>114</v>
      </c>
      <c r="N765" s="171" t="str">
        <f>IF(TArticle[[#This Row],[کد طرف حساب]]&gt;0,VLOOKUP(TArticle[[#This Row],[کد طرف حساب]],TContact[],2,FALSE),"")</f>
        <v>وام کارت ملی ف</v>
      </c>
      <c r="O765" s="60">
        <f>IF(TArticle[[#This Row],[کد طرف حساب]]&gt;0,VLOOKUP(TArticle[[#This Row],[کد طرف حساب]],TContact[],7,FALSE)-SUMIF($M$2:M765,M765,$E$2:$E765),"")</f>
        <v>-4898</v>
      </c>
      <c r="P765" s="27" t="str">
        <f>RIGHT(TArticle[[#This Row],[تاریخ]],2)</f>
        <v>09</v>
      </c>
      <c r="Q765" s="27">
        <f>VLOOKUP(TArticle[[#This Row],[تاریخ]],TDays[],16,FALSE)</f>
        <v>42</v>
      </c>
      <c r="R765" s="27" t="str">
        <f>RIGHT(LEFT(TArticle[[#This Row],[تاریخ]],7),2)</f>
        <v>10</v>
      </c>
      <c r="S765" s="27" t="str">
        <f>LEFT(TArticle[[#This Row],[تاریخ]],4)</f>
        <v>1404</v>
      </c>
      <c r="U765" s="21">
        <f>VLOOKUP(TArticle[[#This Row],[شناسه]],TAccount[],7,TRUE)</f>
        <v>81652</v>
      </c>
      <c r="W765" s="21">
        <f>IF(AND(TArticle[[#This Row],[مبلغ]]&gt;0, TArticle[[#This Row],[کد وضعیت سند]]=1),TArticle[[#This Row],[مبلغ]],0)</f>
        <v>0</v>
      </c>
      <c r="X765" s="27">
        <f>IF(AND(TArticle[[#This Row],[مبلغ]]&lt;0,TArticle[[#This Row],[کد وضعیت سند]]=1),0-TArticle[[#This Row],[مبلغ]],0)</f>
        <v>0</v>
      </c>
      <c r="Y765" s="27">
        <v>2</v>
      </c>
      <c r="Z765" s="171" t="str">
        <f>IF(TArticle[[#This Row],[کد بانک]]&gt;0,VLOOKUP(TArticle[[#This Row],[کد بانک]],TBank[],2,FALSE),"")</f>
        <v>ملی جاری</v>
      </c>
      <c r="AA765">
        <f>IF(AND(TArticle[[#This Row],[مبلغ]]&lt;0,TArticle[[#This Row],[کد وضعیت سند]]=1),0-TArticle[[#This Row],[مبلغ]],0)</f>
        <v>0</v>
      </c>
      <c r="AB765">
        <f>IF(AND(TArticle[[#This Row],[مبلغ]]&gt;0, TArticle[[#This Row],[کد وضعیت سند]]=1),TArticle[[#This Row],[مبلغ]],0)</f>
        <v>0</v>
      </c>
      <c r="AC765" s="92">
        <f>IF(TArticle[[#This Row],[کد بانک]]&gt;0,VLOOKUP(TArticle[[#This Row],[کد بانک]],TBank[],9,FALSE)+SUMIF($Y$2:Y765,Y765,$E$2:$E765),"")</f>
        <v>1207935</v>
      </c>
      <c r="AD765" s="1">
        <f>IFERROR(IF(INT(LEFT(TArticle[[#This Row],[شناسه]]))=3,IF(TArticle[[#This Row],[کد وضعیت سند]]=1,TArticle[مبلغ],0),0),0)</f>
        <v>0</v>
      </c>
      <c r="AE765" s="1">
        <f>IFERROR(IF(((TArticle[[#This Row],[شناسه]]))="4.1.1",IF(TArticle[[#This Row],[کد وضعیت سند]]=1,TArticle[مبلغ],0),0),0)</f>
        <v>0</v>
      </c>
      <c r="AF765" s="1">
        <f>IFERROR(IF(((TArticle[[#This Row],[شناسه]]))="4.1.2",IF(TArticle[[#This Row],[کد وضعیت سند]]=1,TArticle[مبلغ],0),0),0)</f>
        <v>0</v>
      </c>
      <c r="AG765" s="1">
        <f>IFERROR(IF(INT(LEFT(TArticle[[#This Row],[شناسه]]))=1,IF(TArticle[[#This Row],[کد وضعیت سند]]=1,TArticle[مبلغ],0),0),0)</f>
        <v>0</v>
      </c>
      <c r="AH765" s="1">
        <f>IFERROR(IF(INT(LEFT(TArticle[[#This Row],[شناسه]]))=2,IF(TArticle[[#This Row],[کد وضعیت سند]]=1,TArticle[مبلغ],0),0),0)</f>
        <v>0</v>
      </c>
      <c r="AI765" s="1">
        <f>IFERROR(IF((LEFT(TArticle[[#This Row],[شناسه]],3))="5.2",IF(TArticle[[#This Row],[کد وضعیت سند]]=1,TArticle[مبلغ],0),0),0)</f>
        <v>0</v>
      </c>
      <c r="AJ765" s="1">
        <f>IF(TArticle[[#This Row],[کد وضعیت سند]]=1,1,0)</f>
        <v>0</v>
      </c>
      <c r="AK765" s="1">
        <f>IF(AND(TArticle[[#This Row],[کد وضعیت سند]]&lt;&gt;1,TArticle[[#This Row],[مبلغ]]&lt;&gt;0),1,0)</f>
        <v>1</v>
      </c>
      <c r="AL765" s="51">
        <f>IF(TArticle[[#This Row],[کد بانک]]&gt;0,TArticle[[#This Row],[مانده بانک]]-VLOOKUP(TArticle[[#This Row],[کد بانک]],TBank[],7,FALSE),"")</f>
        <v>1207935</v>
      </c>
      <c r="AM765" s="58" t="str">
        <f>LEFT(TArticle[[#This Row],[تاریخ]],7)</f>
        <v>1404-10</v>
      </c>
    </row>
    <row r="766" spans="1:39" x14ac:dyDescent="0.25">
      <c r="A766" s="24" t="s">
        <v>1013</v>
      </c>
      <c r="B766" s="49" t="str">
        <f>VLOOKUP(TArticle[[#This Row],[شناسه]],TAccount[],2,TRUE)</f>
        <v>یارانه</v>
      </c>
      <c r="C766" s="49" t="str">
        <f>VLOOKUP(TArticle[[#This Row],[تاریخ]],TDays[],7,FALSE)</f>
        <v>شنبه</v>
      </c>
      <c r="D766" s="21" t="s">
        <v>1976</v>
      </c>
      <c r="E766" s="1">
        <v>1500</v>
      </c>
      <c r="F766" s="1">
        <f>TArticle[[#This Row],[مبلغ]]+IFERROR(INT(F765),30181+3667+958)</f>
        <v>1167783</v>
      </c>
      <c r="G766" s="49"/>
      <c r="H766" s="64"/>
      <c r="J766" s="65"/>
      <c r="K766" s="64">
        <v>2</v>
      </c>
      <c r="L766" s="171" t="str">
        <f>IF(TArticle[[#This Row],[کد وضعیت سند]]&gt;0,VLOOKUP(TArticle[[#This Row],[کد وضعیت سند]],TDocState[],2,FALSE),"")</f>
        <v>قطعی</v>
      </c>
      <c r="M766" s="67"/>
      <c r="N766" s="171" t="str">
        <f>IF(TArticle[[#This Row],[کد طرف حساب]]&gt;0,VLOOKUP(TArticle[[#This Row],[کد طرف حساب]],TContact[],2,FALSE),"")</f>
        <v/>
      </c>
      <c r="O766" s="68" t="str">
        <f>IF(TArticle[[#This Row],[کد طرف حساب]]&gt;0,VLOOKUP(TArticle[[#This Row],[کد طرف حساب]],TContact[],7,FALSE)-SUMIF($M$2:M766,M766,$E$2:$E766),"")</f>
        <v/>
      </c>
      <c r="P766" s="67" t="str">
        <f>RIGHT(TArticle[[#This Row],[تاریخ]],2)</f>
        <v>20</v>
      </c>
      <c r="Q766" s="67">
        <f>VLOOKUP(TArticle[[#This Row],[تاریخ]],TDays[],16,FALSE)</f>
        <v>43</v>
      </c>
      <c r="R766" s="67" t="str">
        <f>RIGHT(LEFT(TArticle[[#This Row],[تاریخ]],7),2)</f>
        <v>10</v>
      </c>
      <c r="S766" s="67" t="str">
        <f>LEFT(TArticle[[#This Row],[تاریخ]],4)</f>
        <v>1404</v>
      </c>
      <c r="T766" s="64"/>
      <c r="U766" s="64">
        <f>VLOOKUP(TArticle[[#This Row],[شناسه]],TAccount[],7,TRUE)</f>
        <v>12565</v>
      </c>
      <c r="V766" s="64"/>
      <c r="W766" s="64">
        <f>IF(AND(TArticle[[#This Row],[مبلغ]]&gt;0, TArticle[[#This Row],[کد وضعیت سند]]=1),TArticle[[#This Row],[مبلغ]],0)</f>
        <v>0</v>
      </c>
      <c r="X766" s="67">
        <f>IF(AND(TArticle[[#This Row],[مبلغ]]&lt;0,TArticle[[#This Row],[کد وضعیت سند]]=1),0-TArticle[[#This Row],[مبلغ]],0)</f>
        <v>0</v>
      </c>
      <c r="Y766" s="27">
        <v>2</v>
      </c>
      <c r="Z766" s="171" t="str">
        <f>IF(TArticle[[#This Row],[کد بانک]]&gt;0,VLOOKUP(TArticle[[#This Row],[کد بانک]],TBank[],2,FALSE),"")</f>
        <v>ملی جاری</v>
      </c>
      <c r="AA766">
        <f>IF(AND(TArticle[[#This Row],[مبلغ]]&lt;0,TArticle[[#This Row],[کد وضعیت سند]]=1),0-TArticle[[#This Row],[مبلغ]],0)</f>
        <v>0</v>
      </c>
      <c r="AB766">
        <f>IF(AND(TArticle[[#This Row],[مبلغ]]&gt;0, TArticle[[#This Row],[کد وضعیت سند]]=1),TArticle[[#This Row],[مبلغ]],0)</f>
        <v>0</v>
      </c>
      <c r="AC766" s="93">
        <f>IF(TArticle[[#This Row],[کد بانک]]&gt;0,VLOOKUP(TArticle[[#This Row],[کد بانک]],TBank[],9,FALSE)+SUMIF($Y$2:Y766,Y766,$E$2:$E766),"")</f>
        <v>1209435</v>
      </c>
      <c r="AD766" s="1">
        <f>IFERROR(IF(INT(LEFT(TArticle[[#This Row],[شناسه]]))=3,IF(TArticle[[#This Row],[کد وضعیت سند]]=1,TArticle[مبلغ],0),0),0)</f>
        <v>0</v>
      </c>
      <c r="AE766" s="1">
        <f>IFERROR(IF(((TArticle[[#This Row],[شناسه]]))="4.1.1",IF(TArticle[[#This Row],[کد وضعیت سند]]=1,TArticle[مبلغ],0),0),0)</f>
        <v>0</v>
      </c>
      <c r="AF766" s="1">
        <f>IFERROR(IF(((TArticle[[#This Row],[شناسه]]))="4.1.2",IF(TArticle[[#This Row],[کد وضعیت سند]]=1,TArticle[مبلغ],0),0),0)</f>
        <v>0</v>
      </c>
      <c r="AG766" s="1">
        <f>IFERROR(IF(INT(LEFT(TArticle[[#This Row],[شناسه]]))=1,IF(TArticle[[#This Row],[کد وضعیت سند]]=1,TArticle[مبلغ],0),0),0)</f>
        <v>0</v>
      </c>
      <c r="AH766" s="1">
        <f>IFERROR(IF(INT(LEFT(TArticle[[#This Row],[شناسه]]))=2,IF(TArticle[[#This Row],[کد وضعیت سند]]=1,TArticle[مبلغ],0),0),0)</f>
        <v>0</v>
      </c>
      <c r="AI766" s="1">
        <f>IFERROR(IF((LEFT(TArticle[[#This Row],[شناسه]],3))="5.2",IF(TArticle[[#This Row],[کد وضعیت سند]]=1,TArticle[مبلغ],0),0),0)</f>
        <v>0</v>
      </c>
      <c r="AJ766" s="1">
        <f>IF(TArticle[[#This Row],[کد وضعیت سند]]=1,1,0)</f>
        <v>0</v>
      </c>
      <c r="AK766" s="1">
        <f>IF(AND(TArticle[[#This Row],[کد وضعیت سند]]&lt;&gt;1,TArticle[[#This Row],[مبلغ]]&lt;&gt;0),1,0)</f>
        <v>1</v>
      </c>
      <c r="AL766" s="78">
        <f>IF(TArticle[[#This Row],[کد بانک]]&gt;0,TArticle[[#This Row],[مانده بانک]]-VLOOKUP(TArticle[[#This Row],[کد بانک]],TBank[],7,FALSE),"")</f>
        <v>1209435</v>
      </c>
      <c r="AM766" s="69" t="str">
        <f>LEFT(TArticle[[#This Row],[تاریخ]],7)</f>
        <v>1404-10</v>
      </c>
    </row>
    <row r="767" spans="1:39" x14ac:dyDescent="0.25">
      <c r="A767" s="24" t="s">
        <v>43</v>
      </c>
      <c r="B767" s="49" t="str">
        <f>VLOOKUP(TArticle[[#This Row],[شناسه]],TAccount[],2,TRUE)</f>
        <v>حقوق</v>
      </c>
      <c r="C767" s="49" t="str">
        <f>VLOOKUP(TArticle[[#This Row],[تاریخ]],TDays[],7,FALSE)</f>
        <v>چهارشنبه</v>
      </c>
      <c r="D767" s="21" t="s">
        <v>1987</v>
      </c>
      <c r="E767" s="1">
        <v>50000</v>
      </c>
      <c r="F767" s="1">
        <f>TArticle[[#This Row],[مبلغ]]+IFERROR(INT(F766),30181+3667+958)</f>
        <v>1217783</v>
      </c>
      <c r="G767" s="49"/>
      <c r="J767" s="51"/>
      <c r="K767" s="64">
        <v>2</v>
      </c>
      <c r="L767" s="171" t="str">
        <f>IF(TArticle[[#This Row],[کد وضعیت سند]]&gt;0,VLOOKUP(TArticle[[#This Row],[کد وضعیت سند]],TDocState[],2,FALSE),"")</f>
        <v>قطعی</v>
      </c>
      <c r="N767" s="171" t="str">
        <f>IF(TArticle[[#This Row],[کد طرف حساب]]&gt;0,VLOOKUP(TArticle[[#This Row],[کد طرف حساب]],TContact[],2,FALSE),"")</f>
        <v/>
      </c>
      <c r="O767" s="60" t="str">
        <f>IF(TArticle[[#This Row],[کد طرف حساب]]&gt;0,VLOOKUP(TArticle[[#This Row],[کد طرف حساب]],TContact[],7,FALSE)-SUMIF($M$2:M767,M767,$E$2:$E767),"")</f>
        <v/>
      </c>
      <c r="P767" s="27" t="str">
        <f>RIGHT(TArticle[[#This Row],[تاریخ]],2)</f>
        <v>01</v>
      </c>
      <c r="Q767" s="27">
        <f>VLOOKUP(TArticle[[#This Row],[تاریخ]],TDays[],16,FALSE)</f>
        <v>45</v>
      </c>
      <c r="R767" s="27" t="str">
        <f>RIGHT(LEFT(TArticle[[#This Row],[تاریخ]],7),2)</f>
        <v>11</v>
      </c>
      <c r="S767" s="27" t="str">
        <f>LEFT(TArticle[[#This Row],[تاریخ]],4)</f>
        <v>1404</v>
      </c>
      <c r="U767" s="21">
        <f>VLOOKUP(TArticle[[#This Row],[شناسه]],TAccount[],7,TRUE)</f>
        <v>416023</v>
      </c>
      <c r="W767" s="21">
        <f>IF(AND(TArticle[[#This Row],[مبلغ]]&gt;0, TArticle[[#This Row],[کد وضعیت سند]]=1),TArticle[[#This Row],[مبلغ]],0)</f>
        <v>0</v>
      </c>
      <c r="X767" s="27">
        <f>IF(AND(TArticle[[#This Row],[مبلغ]]&lt;0,TArticle[[#This Row],[کد وضعیت سند]]=1),0-TArticle[[#This Row],[مبلغ]],0)</f>
        <v>0</v>
      </c>
      <c r="Y767" s="27">
        <v>2</v>
      </c>
      <c r="Z767" s="171" t="str">
        <f>IF(TArticle[[#This Row],[کد بانک]]&gt;0,VLOOKUP(TArticle[[#This Row],[کد بانک]],TBank[],2,FALSE),"")</f>
        <v>ملی جاری</v>
      </c>
      <c r="AA767">
        <f>IF(AND(TArticle[[#This Row],[مبلغ]]&lt;0,TArticle[[#This Row],[کد وضعیت سند]]=1),0-TArticle[[#This Row],[مبلغ]],0)</f>
        <v>0</v>
      </c>
      <c r="AB767">
        <f>IF(AND(TArticle[[#This Row],[مبلغ]]&gt;0, TArticle[[#This Row],[کد وضعیت سند]]=1),TArticle[[#This Row],[مبلغ]],0)</f>
        <v>0</v>
      </c>
      <c r="AC767" s="92">
        <f>IF(TArticle[[#This Row],[کد بانک]]&gt;0,VLOOKUP(TArticle[[#This Row],[کد بانک]],TBank[],9,FALSE)+SUMIF($Y$2:Y767,Y767,$E$2:$E767),"")</f>
        <v>1259435</v>
      </c>
      <c r="AD767" s="1">
        <f>IFERROR(IF(INT(LEFT(TArticle[[#This Row],[شناسه]]))=3,IF(TArticle[[#This Row],[کد وضعیت سند]]=1,TArticle[مبلغ],0),0),0)</f>
        <v>0</v>
      </c>
      <c r="AE767" s="1">
        <f>IFERROR(IF(((TArticle[[#This Row],[شناسه]]))="4.1.1",IF(TArticle[[#This Row],[کد وضعیت سند]]=1,TArticle[مبلغ],0),0),0)</f>
        <v>0</v>
      </c>
      <c r="AF767" s="1">
        <f>IFERROR(IF(((TArticle[[#This Row],[شناسه]]))="4.1.2",IF(TArticle[[#This Row],[کد وضعیت سند]]=1,TArticle[مبلغ],0),0),0)</f>
        <v>0</v>
      </c>
      <c r="AG767" s="1">
        <f>IFERROR(IF(INT(LEFT(TArticle[[#This Row],[شناسه]]))=1,IF(TArticle[[#This Row],[کد وضعیت سند]]=1,TArticle[مبلغ],0),0),0)</f>
        <v>0</v>
      </c>
      <c r="AH767" s="1">
        <f>IFERROR(IF(INT(LEFT(TArticle[[#This Row],[شناسه]]))=2,IF(TArticle[[#This Row],[کد وضعیت سند]]=1,TArticle[مبلغ],0),0),0)</f>
        <v>0</v>
      </c>
      <c r="AI767" s="1">
        <f>IFERROR(IF((LEFT(TArticle[[#This Row],[شناسه]],3))="5.2",IF(TArticle[[#This Row],[کد وضعیت سند]]=1,TArticle[مبلغ],0),0),0)</f>
        <v>0</v>
      </c>
      <c r="AJ767" s="1">
        <f>IF(TArticle[[#This Row],[کد وضعیت سند]]=1,1,0)</f>
        <v>0</v>
      </c>
      <c r="AK767" s="1">
        <f>IF(AND(TArticle[[#This Row],[کد وضعیت سند]]&lt;&gt;1,TArticle[[#This Row],[مبلغ]]&lt;&gt;0),1,0)</f>
        <v>1</v>
      </c>
      <c r="AL767" s="51">
        <f>IF(TArticle[[#This Row],[کد بانک]]&gt;0,TArticle[[#This Row],[مانده بانک]]-VLOOKUP(TArticle[[#This Row],[کد بانک]],TBank[],7,FALSE),"")</f>
        <v>1259435</v>
      </c>
      <c r="AM767" s="58" t="str">
        <f>LEFT(TArticle[[#This Row],[تاریخ]],7)</f>
        <v>1404-11</v>
      </c>
    </row>
    <row r="768" spans="1:39" x14ac:dyDescent="0.25">
      <c r="A768" s="24" t="s">
        <v>1608</v>
      </c>
      <c r="B768" s="49" t="str">
        <f>VLOOKUP(TArticle[[#This Row],[شناسه]],TAccount[],2,TRUE)</f>
        <v>بن کارت</v>
      </c>
      <c r="C768" s="49" t="str">
        <f>VLOOKUP(TArticle[[#This Row],[تاریخ]],TDays[],7,FALSE)</f>
        <v>چهارشنبه</v>
      </c>
      <c r="D768" s="21" t="s">
        <v>1987</v>
      </c>
      <c r="E768" s="1">
        <v>3600</v>
      </c>
      <c r="F768" s="1">
        <f>TArticle[[#This Row],[مبلغ]]+IFERROR(INT(F767),30181+3667+958)</f>
        <v>1221383</v>
      </c>
      <c r="G768" s="49"/>
      <c r="H768"/>
      <c r="J768" s="51"/>
      <c r="K768" s="64">
        <v>2</v>
      </c>
      <c r="L768" s="171" t="str">
        <f>IF(TArticle[[#This Row],[کد وضعیت سند]]&gt;0,VLOOKUP(TArticle[[#This Row],[کد وضعیت سند]],TDocState[],2,FALSE),"")</f>
        <v>قطعی</v>
      </c>
      <c r="N768" s="171" t="str">
        <f>IF(TArticle[[#This Row],[کد طرف حساب]]&gt;0,VLOOKUP(TArticle[[#This Row],[کد طرف حساب]],TContact[],2,FALSE),"")</f>
        <v/>
      </c>
      <c r="O768" s="60" t="str">
        <f>IF(TArticle[[#This Row],[کد طرف حساب]]&gt;0,VLOOKUP(TArticle[[#This Row],[کد طرف حساب]],TContact[],7,FALSE)-SUMIF($M$2:M768,M768,$E$2:$E768),"")</f>
        <v/>
      </c>
      <c r="P768" s="27" t="str">
        <f>RIGHT(TArticle[[#This Row],[تاریخ]],2)</f>
        <v>01</v>
      </c>
      <c r="Q768" s="27">
        <f>VLOOKUP(TArticle[[#This Row],[تاریخ]],TDays[],16,FALSE)</f>
        <v>45</v>
      </c>
      <c r="R768" s="27" t="str">
        <f>RIGHT(LEFT(TArticle[[#This Row],[تاریخ]],7),2)</f>
        <v>11</v>
      </c>
      <c r="S768" s="27" t="str">
        <f>LEFT(TArticle[[#This Row],[تاریخ]],4)</f>
        <v>1404</v>
      </c>
      <c r="U768" s="21">
        <f>VLOOKUP(TArticle[[#This Row],[شناسه]],TAccount[],7,TRUE)</f>
        <v>3000</v>
      </c>
      <c r="W768" s="21">
        <f>IF(AND(TArticle[[#This Row],[مبلغ]]&gt;0, TArticle[[#This Row],[کد وضعیت سند]]=1),TArticle[[#This Row],[مبلغ]],0)</f>
        <v>0</v>
      </c>
      <c r="X768" s="27">
        <f>IF(AND(TArticle[[#This Row],[مبلغ]]&lt;0,TArticle[[#This Row],[کد وضعیت سند]]=1),0-TArticle[[#This Row],[مبلغ]],0)</f>
        <v>0</v>
      </c>
      <c r="Y768" s="27">
        <v>2</v>
      </c>
      <c r="Z768" s="171" t="str">
        <f>IF(TArticle[[#This Row],[کد بانک]]&gt;0,VLOOKUP(TArticle[[#This Row],[کد بانک]],TBank[],2,FALSE),"")</f>
        <v>ملی جاری</v>
      </c>
      <c r="AA768">
        <f>IF(AND(TArticle[[#This Row],[مبلغ]]&lt;0,TArticle[[#This Row],[کد وضعیت سند]]=1),0-TArticle[[#This Row],[مبلغ]],0)</f>
        <v>0</v>
      </c>
      <c r="AB768">
        <f>IF(AND(TArticle[[#This Row],[مبلغ]]&gt;0, TArticle[[#This Row],[کد وضعیت سند]]=1),TArticle[[#This Row],[مبلغ]],0)</f>
        <v>0</v>
      </c>
      <c r="AC768" s="92">
        <f>IF(TArticle[[#This Row],[کد بانک]]&gt;0,VLOOKUP(TArticle[[#This Row],[کد بانک]],TBank[],9,FALSE)+SUMIF($Y$2:Y768,Y768,$E$2:$E768),"")</f>
        <v>1263035</v>
      </c>
      <c r="AD768" s="1">
        <f>IFERROR(IF(INT(LEFT(TArticle[[#This Row],[شناسه]]))=3,IF(TArticle[[#This Row],[کد وضعیت سند]]=1,TArticle[مبلغ],0),0),0)</f>
        <v>0</v>
      </c>
      <c r="AE768" s="1">
        <f>IFERROR(IF(((TArticle[[#This Row],[شناسه]]))="4.1.1",IF(TArticle[[#This Row],[کد وضعیت سند]]=1,TArticle[مبلغ],0),0),0)</f>
        <v>0</v>
      </c>
      <c r="AF768" s="1">
        <f>IFERROR(IF(((TArticle[[#This Row],[شناسه]]))="4.1.2",IF(TArticle[[#This Row],[کد وضعیت سند]]=1,TArticle[مبلغ],0),0),0)</f>
        <v>0</v>
      </c>
      <c r="AG768" s="1">
        <f>IFERROR(IF(INT(LEFT(TArticle[[#This Row],[شناسه]]))=1,IF(TArticle[[#This Row],[کد وضعیت سند]]=1,TArticle[مبلغ],0),0),0)</f>
        <v>0</v>
      </c>
      <c r="AH768" s="1">
        <f>IFERROR(IF(INT(LEFT(TArticle[[#This Row],[شناسه]]))=2,IF(TArticle[[#This Row],[کد وضعیت سند]]=1,TArticle[مبلغ],0),0),0)</f>
        <v>0</v>
      </c>
      <c r="AI768" s="1">
        <f>IFERROR(IF((LEFT(TArticle[[#This Row],[شناسه]],3))="5.2",IF(TArticle[[#This Row],[کد وضعیت سند]]=1,TArticle[مبلغ],0),0),0)</f>
        <v>0</v>
      </c>
      <c r="AJ768" s="1">
        <f>IF(TArticle[[#This Row],[کد وضعیت سند]]=1,1,0)</f>
        <v>0</v>
      </c>
      <c r="AK768" s="1">
        <f>IF(AND(TArticle[[#This Row],[کد وضعیت سند]]&lt;&gt;1,TArticle[[#This Row],[مبلغ]]&lt;&gt;0),1,0)</f>
        <v>1</v>
      </c>
      <c r="AL768" s="51">
        <f>IF(TArticle[[#This Row],[کد بانک]]&gt;0,TArticle[[#This Row],[مانده بانک]]-VLOOKUP(TArticle[[#This Row],[کد بانک]],TBank[],7,FALSE),"")</f>
        <v>1263035</v>
      </c>
      <c r="AM768" s="58" t="str">
        <f>LEFT(TArticle[[#This Row],[تاریخ]],7)</f>
        <v>1404-11</v>
      </c>
    </row>
    <row r="769" spans="1:39" x14ac:dyDescent="0.25">
      <c r="A769" s="24" t="s">
        <v>1110</v>
      </c>
      <c r="B769" s="49" t="str">
        <f>VLOOKUP(TArticle[[#This Row],[شناسه]],TAccount[],2,TRUE)</f>
        <v>قسط وام بانکی</v>
      </c>
      <c r="C769" s="49" t="str">
        <f>VLOOKUP(TArticle[[#This Row],[تاریخ]],TDays[],7,FALSE)</f>
        <v>جمعه</v>
      </c>
      <c r="D769" s="21" t="s">
        <v>1989</v>
      </c>
      <c r="E769" s="1">
        <v>-1224</v>
      </c>
      <c r="F769" s="1">
        <f>TArticle[[#This Row],[مبلغ]]+IFERROR(INT(F768),30181+3667+958)</f>
        <v>1220159</v>
      </c>
      <c r="G769" s="49"/>
      <c r="H769" s="64">
        <v>29</v>
      </c>
      <c r="J769" s="65"/>
      <c r="K769" s="64">
        <v>2</v>
      </c>
      <c r="L769" s="171" t="str">
        <f>IF(TArticle[[#This Row],[کد وضعیت سند]]&gt;0,VLOOKUP(TArticle[[#This Row],[کد وضعیت سند]],TDocState[],2,FALSE),"")</f>
        <v>قطعی</v>
      </c>
      <c r="M769" s="27">
        <v>115</v>
      </c>
      <c r="N769" s="171" t="str">
        <f>IF(TArticle[[#This Row],[کد طرف حساب]]&gt;0,VLOOKUP(TArticle[[#This Row],[کد طرف حساب]],TContact[],2,FALSE),"")</f>
        <v>وام فرزند مهر</v>
      </c>
      <c r="O769" s="68">
        <f>IF(TArticle[[#This Row],[کد طرف حساب]]&gt;0,VLOOKUP(TArticle[[#This Row],[کد طرف حساب]],TContact[],7,FALSE)-SUMIF($M$2:M769,M769,$E$2:$E769),"")</f>
        <v>-28176</v>
      </c>
      <c r="P769" s="67" t="str">
        <f>RIGHT(TArticle[[#This Row],[تاریخ]],2)</f>
        <v>03</v>
      </c>
      <c r="Q769" s="67">
        <f>VLOOKUP(TArticle[[#This Row],[تاریخ]],TDays[],16,FALSE)</f>
        <v>45</v>
      </c>
      <c r="R769" s="67" t="str">
        <f>RIGHT(LEFT(TArticle[[#This Row],[تاریخ]],7),2)</f>
        <v>11</v>
      </c>
      <c r="S769" s="67" t="str">
        <f>LEFT(TArticle[[#This Row],[تاریخ]],4)</f>
        <v>1404</v>
      </c>
      <c r="T769" s="64"/>
      <c r="U769" s="64">
        <f>VLOOKUP(TArticle[[#This Row],[شناسه]],TAccount[],7,TRUE)</f>
        <v>81652</v>
      </c>
      <c r="V769" s="64"/>
      <c r="W769" s="64">
        <f>IF(AND(TArticle[[#This Row],[مبلغ]]&gt;0, TArticle[[#This Row],[کد وضعیت سند]]=1),TArticle[[#This Row],[مبلغ]],0)</f>
        <v>0</v>
      </c>
      <c r="X769" s="67">
        <f>IF(AND(TArticle[[#This Row],[مبلغ]]&lt;0,TArticle[[#This Row],[کد وضعیت سند]]=1),0-TArticle[[#This Row],[مبلغ]],0)</f>
        <v>0</v>
      </c>
      <c r="Y769" s="27">
        <v>2</v>
      </c>
      <c r="Z769" s="171" t="str">
        <f>IF(TArticle[[#This Row],[کد بانک]]&gt;0,VLOOKUP(TArticle[[#This Row],[کد بانک]],TBank[],2,FALSE),"")</f>
        <v>ملی جاری</v>
      </c>
      <c r="AA769">
        <f>IF(AND(TArticle[[#This Row],[مبلغ]]&lt;0,TArticle[[#This Row],[کد وضعیت سند]]=1),0-TArticle[[#This Row],[مبلغ]],0)</f>
        <v>0</v>
      </c>
      <c r="AB769">
        <f>IF(AND(TArticle[[#This Row],[مبلغ]]&gt;0, TArticle[[#This Row],[کد وضعیت سند]]=1),TArticle[[#This Row],[مبلغ]],0)</f>
        <v>0</v>
      </c>
      <c r="AC769" s="93">
        <f>IF(TArticle[[#This Row],[کد بانک]]&gt;0,VLOOKUP(TArticle[[#This Row],[کد بانک]],TBank[],9,FALSE)+SUMIF($Y$2:Y769,Y769,$E$2:$E769),"")</f>
        <v>1261811</v>
      </c>
      <c r="AD769" s="1">
        <f>IFERROR(IF(INT(LEFT(TArticle[[#This Row],[شناسه]]))=3,IF(TArticle[[#This Row],[کد وضعیت سند]]=1,TArticle[مبلغ],0),0),0)</f>
        <v>0</v>
      </c>
      <c r="AE769" s="1">
        <f>IFERROR(IF(((TArticle[[#This Row],[شناسه]]))="4.1.1",IF(TArticle[[#This Row],[کد وضعیت سند]]=1,TArticle[مبلغ],0),0),0)</f>
        <v>0</v>
      </c>
      <c r="AF769" s="1">
        <f>IFERROR(IF(((TArticle[[#This Row],[شناسه]]))="4.1.2",IF(TArticle[[#This Row],[کد وضعیت سند]]=1,TArticle[مبلغ],0),0),0)</f>
        <v>0</v>
      </c>
      <c r="AG769" s="1">
        <f>IFERROR(IF(INT(LEFT(TArticle[[#This Row],[شناسه]]))=1,IF(TArticle[[#This Row],[کد وضعیت سند]]=1,TArticle[مبلغ],0),0),0)</f>
        <v>0</v>
      </c>
      <c r="AH769" s="1">
        <f>IFERROR(IF(INT(LEFT(TArticle[[#This Row],[شناسه]]))=2,IF(TArticle[[#This Row],[کد وضعیت سند]]=1,TArticle[مبلغ],0),0),0)</f>
        <v>0</v>
      </c>
      <c r="AI769" s="1">
        <f>IFERROR(IF((LEFT(TArticle[[#This Row],[شناسه]],3))="5.2",IF(TArticle[[#This Row],[کد وضعیت سند]]=1,TArticle[مبلغ],0),0),0)</f>
        <v>0</v>
      </c>
      <c r="AJ769" s="1">
        <f>IF(TArticle[[#This Row],[کد وضعیت سند]]=1,1,0)</f>
        <v>0</v>
      </c>
      <c r="AK769" s="1">
        <f>IF(AND(TArticle[[#This Row],[کد وضعیت سند]]&lt;&gt;1,TArticle[[#This Row],[مبلغ]]&lt;&gt;0),1,0)</f>
        <v>1</v>
      </c>
      <c r="AL769" s="78">
        <f>IF(TArticle[[#This Row],[کد بانک]]&gt;0,TArticle[[#This Row],[مانده بانک]]-VLOOKUP(TArticle[[#This Row],[کد بانک]],TBank[],7,FALSE),"")</f>
        <v>1261811</v>
      </c>
      <c r="AM769" s="69" t="str">
        <f>LEFT(TArticle[[#This Row],[تاریخ]],7)</f>
        <v>1404-11</v>
      </c>
    </row>
    <row r="770" spans="1:39" x14ac:dyDescent="0.25">
      <c r="A770" s="24" t="s">
        <v>1110</v>
      </c>
      <c r="B770" s="49" t="str">
        <f>VLOOKUP(TArticle[[#This Row],[شناسه]],TAccount[],2,TRUE)</f>
        <v>قسط وام بانکی</v>
      </c>
      <c r="C770" s="49" t="str">
        <f>VLOOKUP(TArticle[[#This Row],[تاریخ]],TDays[],7,FALSE)</f>
        <v>پنجشنبه</v>
      </c>
      <c r="D770" s="21" t="s">
        <v>1994</v>
      </c>
      <c r="E770" s="1">
        <f>'طرف حساب'!$J$29</f>
        <v>-3616</v>
      </c>
      <c r="F770" s="1">
        <f>TArticle[[#This Row],[مبلغ]]+IFERROR(INT(F769),30181+3667+958)</f>
        <v>1216543</v>
      </c>
      <c r="G770" s="49"/>
      <c r="H770" s="21">
        <v>36</v>
      </c>
      <c r="J770" s="51"/>
      <c r="K770" s="64">
        <v>2</v>
      </c>
      <c r="L770" s="171" t="str">
        <f>IF(TArticle[[#This Row],[کد وضعیت سند]]&gt;0,VLOOKUP(TArticle[[#This Row],[کد وضعیت سند]],TDocState[],2,FALSE),"")</f>
        <v>قطعی</v>
      </c>
      <c r="M770" s="67">
        <v>114</v>
      </c>
      <c r="N770" s="171" t="str">
        <f>IF(TArticle[[#This Row],[کد طرف حساب]]&gt;0,VLOOKUP(TArticle[[#This Row],[کد طرف حساب]],TContact[],2,FALSE),"")</f>
        <v>وام کارت ملی ف</v>
      </c>
      <c r="O770" s="60">
        <f>IF(TArticle[[#This Row],[کد طرف حساب]]&gt;0,VLOOKUP(TArticle[[#This Row],[کد طرف حساب]],TContact[],7,FALSE)-SUMIF($M$2:M770,M770,$E$2:$E770),"")</f>
        <v>-1282</v>
      </c>
      <c r="P770" s="27" t="str">
        <f>RIGHT(TArticle[[#This Row],[تاریخ]],2)</f>
        <v>09</v>
      </c>
      <c r="Q770" s="27">
        <f>VLOOKUP(TArticle[[#This Row],[تاریخ]],TDays[],16,FALSE)</f>
        <v>46</v>
      </c>
      <c r="R770" s="27" t="str">
        <f>RIGHT(LEFT(TArticle[[#This Row],[تاریخ]],7),2)</f>
        <v>11</v>
      </c>
      <c r="S770" s="27" t="str">
        <f>LEFT(TArticle[[#This Row],[تاریخ]],4)</f>
        <v>1404</v>
      </c>
      <c r="U770" s="21">
        <f>VLOOKUP(TArticle[[#This Row],[شناسه]],TAccount[],7,TRUE)</f>
        <v>81652</v>
      </c>
      <c r="W770" s="21">
        <f>IF(AND(TArticle[[#This Row],[مبلغ]]&gt;0, TArticle[[#This Row],[کد وضعیت سند]]=1),TArticle[[#This Row],[مبلغ]],0)</f>
        <v>0</v>
      </c>
      <c r="X770" s="27">
        <f>IF(AND(TArticle[[#This Row],[مبلغ]]&lt;0,TArticle[[#This Row],[کد وضعیت سند]]=1),0-TArticle[[#This Row],[مبلغ]],0)</f>
        <v>0</v>
      </c>
      <c r="Y770" s="27">
        <v>2</v>
      </c>
      <c r="Z770" s="171" t="str">
        <f>IF(TArticle[[#This Row],[کد بانک]]&gt;0,VLOOKUP(TArticle[[#This Row],[کد بانک]],TBank[],2,FALSE),"")</f>
        <v>ملی جاری</v>
      </c>
      <c r="AA770">
        <f>IF(AND(TArticle[[#This Row],[مبلغ]]&lt;0,TArticle[[#This Row],[کد وضعیت سند]]=1),0-TArticle[[#This Row],[مبلغ]],0)</f>
        <v>0</v>
      </c>
      <c r="AB770">
        <f>IF(AND(TArticle[[#This Row],[مبلغ]]&gt;0, TArticle[[#This Row],[کد وضعیت سند]]=1),TArticle[[#This Row],[مبلغ]],0)</f>
        <v>0</v>
      </c>
      <c r="AC770" s="92">
        <f>IF(TArticle[[#This Row],[کد بانک]]&gt;0,VLOOKUP(TArticle[[#This Row],[کد بانک]],TBank[],9,FALSE)+SUMIF($Y$2:Y770,Y770,$E$2:$E770),"")</f>
        <v>1258195</v>
      </c>
      <c r="AD770" s="1">
        <f>IFERROR(IF(INT(LEFT(TArticle[[#This Row],[شناسه]]))=3,IF(TArticle[[#This Row],[کد وضعیت سند]]=1,TArticle[مبلغ],0),0),0)</f>
        <v>0</v>
      </c>
      <c r="AE770" s="1">
        <f>IFERROR(IF(((TArticle[[#This Row],[شناسه]]))="4.1.1",IF(TArticle[[#This Row],[کد وضعیت سند]]=1,TArticle[مبلغ],0),0),0)</f>
        <v>0</v>
      </c>
      <c r="AF770" s="1">
        <f>IFERROR(IF(((TArticle[[#This Row],[شناسه]]))="4.1.2",IF(TArticle[[#This Row],[کد وضعیت سند]]=1,TArticle[مبلغ],0),0),0)</f>
        <v>0</v>
      </c>
      <c r="AG770" s="1">
        <f>IFERROR(IF(INT(LEFT(TArticle[[#This Row],[شناسه]]))=1,IF(TArticle[[#This Row],[کد وضعیت سند]]=1,TArticle[مبلغ],0),0),0)</f>
        <v>0</v>
      </c>
      <c r="AH770" s="1">
        <f>IFERROR(IF(INT(LEFT(TArticle[[#This Row],[شناسه]]))=2,IF(TArticle[[#This Row],[کد وضعیت سند]]=1,TArticle[مبلغ],0),0),0)</f>
        <v>0</v>
      </c>
      <c r="AI770" s="1">
        <f>IFERROR(IF((LEFT(TArticle[[#This Row],[شناسه]],3))="5.2",IF(TArticle[[#This Row],[کد وضعیت سند]]=1,TArticle[مبلغ],0),0),0)</f>
        <v>0</v>
      </c>
      <c r="AJ770" s="1">
        <f>IF(TArticle[[#This Row],[کد وضعیت سند]]=1,1,0)</f>
        <v>0</v>
      </c>
      <c r="AK770" s="1">
        <f>IF(AND(TArticle[[#This Row],[کد وضعیت سند]]&lt;&gt;1,TArticle[[#This Row],[مبلغ]]&lt;&gt;0),1,0)</f>
        <v>1</v>
      </c>
      <c r="AL770" s="51">
        <f>IF(TArticle[[#This Row],[کد بانک]]&gt;0,TArticle[[#This Row],[مانده بانک]]-VLOOKUP(TArticle[[#This Row],[کد بانک]],TBank[],7,FALSE),"")</f>
        <v>1258195</v>
      </c>
      <c r="AM770" s="58" t="str">
        <f>LEFT(TArticle[[#This Row],[تاریخ]],7)</f>
        <v>1404-11</v>
      </c>
    </row>
    <row r="771" spans="1:39" x14ac:dyDescent="0.25">
      <c r="A771" s="24" t="s">
        <v>1013</v>
      </c>
      <c r="B771" s="49" t="str">
        <f>VLOOKUP(TArticle[[#This Row],[شناسه]],TAccount[],2,TRUE)</f>
        <v>یارانه</v>
      </c>
      <c r="C771" s="49" t="str">
        <f>VLOOKUP(TArticle[[#This Row],[تاریخ]],TDays[],7,FALSE)</f>
        <v>دوشنبه</v>
      </c>
      <c r="D771" s="21" t="s">
        <v>2005</v>
      </c>
      <c r="E771" s="1">
        <v>1500</v>
      </c>
      <c r="F771" s="1">
        <f>TArticle[[#This Row],[مبلغ]]+IFERROR(INT(F770),30181+3667+958)</f>
        <v>1218043</v>
      </c>
      <c r="G771" s="49"/>
      <c r="H771" s="64"/>
      <c r="J771" s="65"/>
      <c r="K771" s="64">
        <v>2</v>
      </c>
      <c r="L771" s="171" t="str">
        <f>IF(TArticle[[#This Row],[کد وضعیت سند]]&gt;0,VLOOKUP(TArticle[[#This Row],[کد وضعیت سند]],TDocState[],2,FALSE),"")</f>
        <v>قطعی</v>
      </c>
      <c r="M771" s="67"/>
      <c r="N771" s="171" t="str">
        <f>IF(TArticle[[#This Row],[کد طرف حساب]]&gt;0,VLOOKUP(TArticle[[#This Row],[کد طرف حساب]],TContact[],2,FALSE),"")</f>
        <v/>
      </c>
      <c r="O771" s="68" t="str">
        <f>IF(TArticle[[#This Row],[کد طرف حساب]]&gt;0,VLOOKUP(TArticle[[#This Row],[کد طرف حساب]],TContact[],7,FALSE)-SUMIF($M$2:M771,M771,$E$2:$E771),"")</f>
        <v/>
      </c>
      <c r="P771" s="67" t="str">
        <f>RIGHT(TArticle[[#This Row],[تاریخ]],2)</f>
        <v>20</v>
      </c>
      <c r="Q771" s="67">
        <f>VLOOKUP(TArticle[[#This Row],[تاریخ]],TDays[],16,FALSE)</f>
        <v>48</v>
      </c>
      <c r="R771" s="67" t="str">
        <f>RIGHT(LEFT(TArticle[[#This Row],[تاریخ]],7),2)</f>
        <v>11</v>
      </c>
      <c r="S771" s="67" t="str">
        <f>LEFT(TArticle[[#This Row],[تاریخ]],4)</f>
        <v>1404</v>
      </c>
      <c r="T771" s="64"/>
      <c r="U771" s="64">
        <f>VLOOKUP(TArticle[[#This Row],[شناسه]],TAccount[],7,TRUE)</f>
        <v>12565</v>
      </c>
      <c r="V771" s="64"/>
      <c r="W771" s="64">
        <f>IF(AND(TArticle[[#This Row],[مبلغ]]&gt;0, TArticle[[#This Row],[کد وضعیت سند]]=1),TArticle[[#This Row],[مبلغ]],0)</f>
        <v>0</v>
      </c>
      <c r="X771" s="67">
        <f>IF(AND(TArticle[[#This Row],[مبلغ]]&lt;0,TArticle[[#This Row],[کد وضعیت سند]]=1),0-TArticle[[#This Row],[مبلغ]],0)</f>
        <v>0</v>
      </c>
      <c r="Y771" s="27">
        <v>2</v>
      </c>
      <c r="Z771" s="171" t="str">
        <f>IF(TArticle[[#This Row],[کد بانک]]&gt;0,VLOOKUP(TArticle[[#This Row],[کد بانک]],TBank[],2,FALSE),"")</f>
        <v>ملی جاری</v>
      </c>
      <c r="AA771">
        <f>IF(AND(TArticle[[#This Row],[مبلغ]]&lt;0,TArticle[[#This Row],[کد وضعیت سند]]=1),0-TArticle[[#This Row],[مبلغ]],0)</f>
        <v>0</v>
      </c>
      <c r="AB771">
        <f>IF(AND(TArticle[[#This Row],[مبلغ]]&gt;0, TArticle[[#This Row],[کد وضعیت سند]]=1),TArticle[[#This Row],[مبلغ]],0)</f>
        <v>0</v>
      </c>
      <c r="AC771" s="93">
        <f>IF(TArticle[[#This Row],[کد بانک]]&gt;0,VLOOKUP(TArticle[[#This Row],[کد بانک]],TBank[],9,FALSE)+SUMIF($Y$2:Y771,Y771,$E$2:$E771),"")</f>
        <v>1259695</v>
      </c>
      <c r="AD771" s="1">
        <f>IFERROR(IF(INT(LEFT(TArticle[[#This Row],[شناسه]]))=3,IF(TArticle[[#This Row],[کد وضعیت سند]]=1,TArticle[مبلغ],0),0),0)</f>
        <v>0</v>
      </c>
      <c r="AE771" s="1">
        <f>IFERROR(IF(((TArticle[[#This Row],[شناسه]]))="4.1.1",IF(TArticle[[#This Row],[کد وضعیت سند]]=1,TArticle[مبلغ],0),0),0)</f>
        <v>0</v>
      </c>
      <c r="AF771" s="1">
        <f>IFERROR(IF(((TArticle[[#This Row],[شناسه]]))="4.1.2",IF(TArticle[[#This Row],[کد وضعیت سند]]=1,TArticle[مبلغ],0),0),0)</f>
        <v>0</v>
      </c>
      <c r="AG771" s="1">
        <f>IFERROR(IF(INT(LEFT(TArticle[[#This Row],[شناسه]]))=1,IF(TArticle[[#This Row],[کد وضعیت سند]]=1,TArticle[مبلغ],0),0),0)</f>
        <v>0</v>
      </c>
      <c r="AH771" s="1">
        <f>IFERROR(IF(INT(LEFT(TArticle[[#This Row],[شناسه]]))=2,IF(TArticle[[#This Row],[کد وضعیت سند]]=1,TArticle[مبلغ],0),0),0)</f>
        <v>0</v>
      </c>
      <c r="AI771" s="1">
        <f>IFERROR(IF((LEFT(TArticle[[#This Row],[شناسه]],3))="5.2",IF(TArticle[[#This Row],[کد وضعیت سند]]=1,TArticle[مبلغ],0),0),0)</f>
        <v>0</v>
      </c>
      <c r="AJ771" s="1">
        <f>IF(TArticle[[#This Row],[کد وضعیت سند]]=1,1,0)</f>
        <v>0</v>
      </c>
      <c r="AK771" s="1">
        <f>IF(AND(TArticle[[#This Row],[کد وضعیت سند]]&lt;&gt;1,TArticle[[#This Row],[مبلغ]]&lt;&gt;0),1,0)</f>
        <v>1</v>
      </c>
      <c r="AL771" s="78">
        <f>IF(TArticle[[#This Row],[کد بانک]]&gt;0,TArticle[[#This Row],[مانده بانک]]-VLOOKUP(TArticle[[#This Row],[کد بانک]],TBank[],7,FALSE),"")</f>
        <v>1259695</v>
      </c>
      <c r="AM771" s="69" t="str">
        <f>LEFT(TArticle[[#This Row],[تاریخ]],7)</f>
        <v>1404-11</v>
      </c>
    </row>
    <row r="772" spans="1:39" x14ac:dyDescent="0.25">
      <c r="A772" s="24" t="s">
        <v>43</v>
      </c>
      <c r="B772" s="49" t="str">
        <f>VLOOKUP(TArticle[[#This Row],[شناسه]],TAccount[],2,TRUE)</f>
        <v>حقوق</v>
      </c>
      <c r="C772" s="49" t="str">
        <f>VLOOKUP(TArticle[[#This Row],[تاریخ]],TDays[],7,FALSE)</f>
        <v>جمعه</v>
      </c>
      <c r="D772" s="21" t="s">
        <v>2016</v>
      </c>
      <c r="E772" s="1">
        <v>50000</v>
      </c>
      <c r="F772" s="1">
        <f>TArticle[[#This Row],[مبلغ]]+IFERROR(INT(F771),30181+3667+958)</f>
        <v>1268043</v>
      </c>
      <c r="G772" s="49"/>
      <c r="H772" s="64"/>
      <c r="J772" s="65"/>
      <c r="K772" s="64">
        <v>2</v>
      </c>
      <c r="L772" s="171" t="str">
        <f>IF(TArticle[[#This Row],[کد وضعیت سند]]&gt;0,VLOOKUP(TArticle[[#This Row],[کد وضعیت سند]],TDocState[],2,FALSE),"")</f>
        <v>قطعی</v>
      </c>
      <c r="M772" s="67"/>
      <c r="N772" s="171" t="str">
        <f>IF(TArticle[[#This Row],[کد طرف حساب]]&gt;0,VLOOKUP(TArticle[[#This Row],[کد طرف حساب]],TContact[],2,FALSE),"")</f>
        <v/>
      </c>
      <c r="O772" s="68" t="str">
        <f>IF(TArticle[[#This Row],[کد طرف حساب]]&gt;0,VLOOKUP(TArticle[[#This Row],[کد طرف حساب]],TContact[],7,FALSE)-SUMIF($M$2:M772,M772,$E$2:$E772),"")</f>
        <v/>
      </c>
      <c r="P772" s="67" t="str">
        <f>RIGHT(TArticle[[#This Row],[تاریخ]],2)</f>
        <v>01</v>
      </c>
      <c r="Q772" s="67">
        <f>VLOOKUP(TArticle[[#This Row],[تاریخ]],TDays[],16,FALSE)</f>
        <v>50</v>
      </c>
      <c r="R772" s="67" t="str">
        <f>RIGHT(LEFT(TArticle[[#This Row],[تاریخ]],7),2)</f>
        <v>12</v>
      </c>
      <c r="S772" s="67" t="str">
        <f>LEFT(TArticle[[#This Row],[تاریخ]],4)</f>
        <v>1404</v>
      </c>
      <c r="T772" s="64"/>
      <c r="U772" s="64">
        <f>VLOOKUP(TArticle[[#This Row],[شناسه]],TAccount[],7,TRUE)</f>
        <v>416023</v>
      </c>
      <c r="V772" s="64"/>
      <c r="W772" s="64">
        <f>IF(AND(TArticle[[#This Row],[مبلغ]]&gt;0, TArticle[[#This Row],[کد وضعیت سند]]=1),TArticle[[#This Row],[مبلغ]],0)</f>
        <v>0</v>
      </c>
      <c r="X772" s="67">
        <f>IF(AND(TArticle[[#This Row],[مبلغ]]&lt;0,TArticle[[#This Row],[کد وضعیت سند]]=1),0-TArticle[[#This Row],[مبلغ]],0)</f>
        <v>0</v>
      </c>
      <c r="Y772" s="27">
        <v>2</v>
      </c>
      <c r="Z772" s="171" t="str">
        <f>IF(TArticle[[#This Row],[کد بانک]]&gt;0,VLOOKUP(TArticle[[#This Row],[کد بانک]],TBank[],2,FALSE),"")</f>
        <v>ملی جاری</v>
      </c>
      <c r="AA772">
        <f>IF(AND(TArticle[[#This Row],[مبلغ]]&lt;0,TArticle[[#This Row],[کد وضعیت سند]]=1),0-TArticle[[#This Row],[مبلغ]],0)</f>
        <v>0</v>
      </c>
      <c r="AB772">
        <f>IF(AND(TArticle[[#This Row],[مبلغ]]&gt;0, TArticle[[#This Row],[کد وضعیت سند]]=1),TArticle[[#This Row],[مبلغ]],0)</f>
        <v>0</v>
      </c>
      <c r="AC772" s="93">
        <f>IF(TArticle[[#This Row],[کد بانک]]&gt;0,VLOOKUP(TArticle[[#This Row],[کد بانک]],TBank[],9,FALSE)+SUMIF($Y$2:Y772,Y772,$E$2:$E772),"")</f>
        <v>1309695</v>
      </c>
      <c r="AD772" s="1">
        <f>IFERROR(IF(INT(LEFT(TArticle[[#This Row],[شناسه]]))=3,IF(TArticle[[#This Row],[کد وضعیت سند]]=1,TArticle[مبلغ],0),0),0)</f>
        <v>0</v>
      </c>
      <c r="AE772" s="1">
        <f>IFERROR(IF(((TArticle[[#This Row],[شناسه]]))="4.1.1",IF(TArticle[[#This Row],[کد وضعیت سند]]=1,TArticle[مبلغ],0),0),0)</f>
        <v>0</v>
      </c>
      <c r="AF772" s="1">
        <f>IFERROR(IF(((TArticle[[#This Row],[شناسه]]))="4.1.2",IF(TArticle[[#This Row],[کد وضعیت سند]]=1,TArticle[مبلغ],0),0),0)</f>
        <v>0</v>
      </c>
      <c r="AG772" s="1">
        <f>IFERROR(IF(INT(LEFT(TArticle[[#This Row],[شناسه]]))=1,IF(TArticle[[#This Row],[کد وضعیت سند]]=1,TArticle[مبلغ],0),0),0)</f>
        <v>0</v>
      </c>
      <c r="AH772" s="1">
        <f>IFERROR(IF(INT(LEFT(TArticle[[#This Row],[شناسه]]))=2,IF(TArticle[[#This Row],[کد وضعیت سند]]=1,TArticle[مبلغ],0),0),0)</f>
        <v>0</v>
      </c>
      <c r="AI772" s="1">
        <f>IFERROR(IF((LEFT(TArticle[[#This Row],[شناسه]],3))="5.2",IF(TArticle[[#This Row],[کد وضعیت سند]]=1,TArticle[مبلغ],0),0),0)</f>
        <v>0</v>
      </c>
      <c r="AJ772" s="1">
        <f>IF(TArticle[[#This Row],[کد وضعیت سند]]=1,1,0)</f>
        <v>0</v>
      </c>
      <c r="AK772" s="1">
        <f>IF(AND(TArticle[[#This Row],[کد وضعیت سند]]&lt;&gt;1,TArticle[[#This Row],[مبلغ]]&lt;&gt;0),1,0)</f>
        <v>1</v>
      </c>
      <c r="AL772" s="78">
        <f>IF(TArticle[[#This Row],[کد بانک]]&gt;0,TArticle[[#This Row],[مانده بانک]]-VLOOKUP(TArticle[[#This Row],[کد بانک]],TBank[],7,FALSE),"")</f>
        <v>1309695</v>
      </c>
      <c r="AM772" s="69" t="str">
        <f>LEFT(TArticle[[#This Row],[تاریخ]],7)</f>
        <v>1404-12</v>
      </c>
    </row>
    <row r="773" spans="1:39" x14ac:dyDescent="0.25">
      <c r="A773" s="24" t="s">
        <v>1608</v>
      </c>
      <c r="B773" s="49" t="str">
        <f>VLOOKUP(TArticle[[#This Row],[شناسه]],TAccount[],2,TRUE)</f>
        <v>بن کارت</v>
      </c>
      <c r="C773" s="49" t="str">
        <f>VLOOKUP(TArticle[[#This Row],[تاریخ]],TDays[],7,FALSE)</f>
        <v>جمعه</v>
      </c>
      <c r="D773" s="21" t="s">
        <v>2016</v>
      </c>
      <c r="E773" s="1">
        <v>3600</v>
      </c>
      <c r="F773" s="1">
        <f>TArticle[[#This Row],[مبلغ]]+IFERROR(INT(F772),30181+3667+958)</f>
        <v>1271643</v>
      </c>
      <c r="G773" s="49"/>
      <c r="H773"/>
      <c r="J773" s="51"/>
      <c r="K773" s="64">
        <v>2</v>
      </c>
      <c r="L773" s="171" t="str">
        <f>IF(TArticle[[#This Row],[کد وضعیت سند]]&gt;0,VLOOKUP(TArticle[[#This Row],[کد وضعیت سند]],TDocState[],2,FALSE),"")</f>
        <v>قطعی</v>
      </c>
      <c r="N773" s="171" t="str">
        <f>IF(TArticle[[#This Row],[کد طرف حساب]]&gt;0,VLOOKUP(TArticle[[#This Row],[کد طرف حساب]],TContact[],2,FALSE),"")</f>
        <v/>
      </c>
      <c r="O773" s="60" t="str">
        <f>IF(TArticle[[#This Row],[کد طرف حساب]]&gt;0,VLOOKUP(TArticle[[#This Row],[کد طرف حساب]],TContact[],7,FALSE)-SUMIF($M$2:M773,M773,$E$2:$E773),"")</f>
        <v/>
      </c>
      <c r="P773" s="27" t="str">
        <f>RIGHT(TArticle[[#This Row],[تاریخ]],2)</f>
        <v>01</v>
      </c>
      <c r="Q773" s="27">
        <f>VLOOKUP(TArticle[[#This Row],[تاریخ]],TDays[],16,FALSE)</f>
        <v>50</v>
      </c>
      <c r="R773" s="27" t="str">
        <f>RIGHT(LEFT(TArticle[[#This Row],[تاریخ]],7),2)</f>
        <v>12</v>
      </c>
      <c r="S773" s="27" t="str">
        <f>LEFT(TArticle[[#This Row],[تاریخ]],4)</f>
        <v>1404</v>
      </c>
      <c r="U773" s="21">
        <f>VLOOKUP(TArticle[[#This Row],[شناسه]],TAccount[],7,TRUE)</f>
        <v>3000</v>
      </c>
      <c r="W773" s="21">
        <f>IF(AND(TArticle[[#This Row],[مبلغ]]&gt;0, TArticle[[#This Row],[کد وضعیت سند]]=1),TArticle[[#This Row],[مبلغ]],0)</f>
        <v>0</v>
      </c>
      <c r="X773" s="27">
        <f>IF(AND(TArticle[[#This Row],[مبلغ]]&lt;0,TArticle[[#This Row],[کد وضعیت سند]]=1),0-TArticle[[#This Row],[مبلغ]],0)</f>
        <v>0</v>
      </c>
      <c r="Y773" s="27">
        <v>2</v>
      </c>
      <c r="Z773" s="171" t="str">
        <f>IF(TArticle[[#This Row],[کد بانک]]&gt;0,VLOOKUP(TArticle[[#This Row],[کد بانک]],TBank[],2,FALSE),"")</f>
        <v>ملی جاری</v>
      </c>
      <c r="AA773">
        <f>IF(AND(TArticle[[#This Row],[مبلغ]]&lt;0,TArticle[[#This Row],[کد وضعیت سند]]=1),0-TArticle[[#This Row],[مبلغ]],0)</f>
        <v>0</v>
      </c>
      <c r="AB773">
        <f>IF(AND(TArticle[[#This Row],[مبلغ]]&gt;0, TArticle[[#This Row],[کد وضعیت سند]]=1),TArticle[[#This Row],[مبلغ]],0)</f>
        <v>0</v>
      </c>
      <c r="AC773" s="92">
        <f>IF(TArticle[[#This Row],[کد بانک]]&gt;0,VLOOKUP(TArticle[[#This Row],[کد بانک]],TBank[],9,FALSE)+SUMIF($Y$2:Y773,Y773,$E$2:$E773),"")</f>
        <v>1313295</v>
      </c>
      <c r="AD773" s="1">
        <f>IFERROR(IF(INT(LEFT(TArticle[[#This Row],[شناسه]]))=3,IF(TArticle[[#This Row],[کد وضعیت سند]]=1,TArticle[مبلغ],0),0),0)</f>
        <v>0</v>
      </c>
      <c r="AE773" s="1">
        <f>IFERROR(IF(((TArticle[[#This Row],[شناسه]]))="4.1.1",IF(TArticle[[#This Row],[کد وضعیت سند]]=1,TArticle[مبلغ],0),0),0)</f>
        <v>0</v>
      </c>
      <c r="AF773" s="1">
        <f>IFERROR(IF(((TArticle[[#This Row],[شناسه]]))="4.1.2",IF(TArticle[[#This Row],[کد وضعیت سند]]=1,TArticle[مبلغ],0),0),0)</f>
        <v>0</v>
      </c>
      <c r="AG773" s="1">
        <f>IFERROR(IF(INT(LEFT(TArticle[[#This Row],[شناسه]]))=1,IF(TArticle[[#This Row],[کد وضعیت سند]]=1,TArticle[مبلغ],0),0),0)</f>
        <v>0</v>
      </c>
      <c r="AH773" s="1">
        <f>IFERROR(IF(INT(LEFT(TArticle[[#This Row],[شناسه]]))=2,IF(TArticle[[#This Row],[کد وضعیت سند]]=1,TArticle[مبلغ],0),0),0)</f>
        <v>0</v>
      </c>
      <c r="AI773" s="1">
        <f>IFERROR(IF((LEFT(TArticle[[#This Row],[شناسه]],3))="5.2",IF(TArticle[[#This Row],[کد وضعیت سند]]=1,TArticle[مبلغ],0),0),0)</f>
        <v>0</v>
      </c>
      <c r="AJ773" s="1">
        <f>IF(TArticle[[#This Row],[کد وضعیت سند]]=1,1,0)</f>
        <v>0</v>
      </c>
      <c r="AK773" s="1">
        <f>IF(AND(TArticle[[#This Row],[کد وضعیت سند]]&lt;&gt;1,TArticle[[#This Row],[مبلغ]]&lt;&gt;0),1,0)</f>
        <v>1</v>
      </c>
      <c r="AL773" s="51">
        <f>IF(TArticle[[#This Row],[کد بانک]]&gt;0,TArticle[[#This Row],[مانده بانک]]-VLOOKUP(TArticle[[#This Row],[کد بانک]],TBank[],7,FALSE),"")</f>
        <v>1313295</v>
      </c>
      <c r="AM773" s="58" t="str">
        <f>LEFT(TArticle[[#This Row],[تاریخ]],7)</f>
        <v>1404-12</v>
      </c>
    </row>
    <row r="774" spans="1:39" x14ac:dyDescent="0.25">
      <c r="A774" s="24" t="s">
        <v>1110</v>
      </c>
      <c r="B774" s="49" t="str">
        <f>VLOOKUP(TArticle[[#This Row],[شناسه]],TAccount[],2,TRUE)</f>
        <v>قسط وام بانکی</v>
      </c>
      <c r="C774" s="49" t="str">
        <f>VLOOKUP(TArticle[[#This Row],[تاریخ]],TDays[],7,FALSE)</f>
        <v>یکشنبه</v>
      </c>
      <c r="D774" s="21" t="s">
        <v>2018</v>
      </c>
      <c r="E774" s="1">
        <v>-1224</v>
      </c>
      <c r="F774" s="1">
        <f>TArticle[[#This Row],[مبلغ]]+IFERROR(INT(F773),30181+3667+958)</f>
        <v>1270419</v>
      </c>
      <c r="G774" s="49"/>
      <c r="H774" s="21">
        <v>30</v>
      </c>
      <c r="J774" s="65"/>
      <c r="K774" s="64">
        <v>2</v>
      </c>
      <c r="L774" s="171" t="str">
        <f>IF(TArticle[[#This Row],[کد وضعیت سند]]&gt;0,VLOOKUP(TArticle[[#This Row],[کد وضعیت سند]],TDocState[],2,FALSE),"")</f>
        <v>قطعی</v>
      </c>
      <c r="M774" s="27">
        <v>115</v>
      </c>
      <c r="N774" s="171" t="str">
        <f>IF(TArticle[[#This Row],[کد طرف حساب]]&gt;0,VLOOKUP(TArticle[[#This Row],[کد طرف حساب]],TContact[],2,FALSE),"")</f>
        <v>وام فرزند مهر</v>
      </c>
      <c r="O774" s="68">
        <f>IF(TArticle[[#This Row],[کد طرف حساب]]&gt;0,VLOOKUP(TArticle[[#This Row],[کد طرف حساب]],TContact[],7,FALSE)-SUMIF($M$2:M774,M774,$E$2:$E774),"")</f>
        <v>-26952</v>
      </c>
      <c r="P774" s="67" t="str">
        <f>RIGHT(TArticle[[#This Row],[تاریخ]],2)</f>
        <v>03</v>
      </c>
      <c r="Q774" s="67">
        <f>VLOOKUP(TArticle[[#This Row],[تاریخ]],TDays[],16,FALSE)</f>
        <v>50</v>
      </c>
      <c r="R774" s="67" t="str">
        <f>RIGHT(LEFT(TArticle[[#This Row],[تاریخ]],7),2)</f>
        <v>12</v>
      </c>
      <c r="S774" s="67" t="str">
        <f>LEFT(TArticle[[#This Row],[تاریخ]],4)</f>
        <v>1404</v>
      </c>
      <c r="T774" s="64"/>
      <c r="U774" s="64">
        <f>VLOOKUP(TArticle[[#This Row],[شناسه]],TAccount[],7,TRUE)</f>
        <v>81652</v>
      </c>
      <c r="V774" s="64"/>
      <c r="W774" s="64">
        <f>IF(AND(TArticle[[#This Row],[مبلغ]]&gt;0, TArticle[[#This Row],[کد وضعیت سند]]=1),TArticle[[#This Row],[مبلغ]],0)</f>
        <v>0</v>
      </c>
      <c r="X774" s="67">
        <f>IF(AND(TArticle[[#This Row],[مبلغ]]&lt;0,TArticle[[#This Row],[کد وضعیت سند]]=1),0-TArticle[[#This Row],[مبلغ]],0)</f>
        <v>0</v>
      </c>
      <c r="Y774" s="27">
        <v>2</v>
      </c>
      <c r="Z774" s="171" t="str">
        <f>IF(TArticle[[#This Row],[کد بانک]]&gt;0,VLOOKUP(TArticle[[#This Row],[کد بانک]],TBank[],2,FALSE),"")</f>
        <v>ملی جاری</v>
      </c>
      <c r="AA774">
        <f>IF(AND(TArticle[[#This Row],[مبلغ]]&lt;0,TArticle[[#This Row],[کد وضعیت سند]]=1),0-TArticle[[#This Row],[مبلغ]],0)</f>
        <v>0</v>
      </c>
      <c r="AB774">
        <f>IF(AND(TArticle[[#This Row],[مبلغ]]&gt;0, TArticle[[#This Row],[کد وضعیت سند]]=1),TArticle[[#This Row],[مبلغ]],0)</f>
        <v>0</v>
      </c>
      <c r="AC774" s="93">
        <f>IF(TArticle[[#This Row],[کد بانک]]&gt;0,VLOOKUP(TArticle[[#This Row],[کد بانک]],TBank[],9,FALSE)+SUMIF($Y$2:Y774,Y774,$E$2:$E774),"")</f>
        <v>1312071</v>
      </c>
      <c r="AD774" s="1">
        <f>IFERROR(IF(INT(LEFT(TArticle[[#This Row],[شناسه]]))=3,IF(TArticle[[#This Row],[کد وضعیت سند]]=1,TArticle[مبلغ],0),0),0)</f>
        <v>0</v>
      </c>
      <c r="AE774" s="1">
        <f>IFERROR(IF(((TArticle[[#This Row],[شناسه]]))="4.1.1",IF(TArticle[[#This Row],[کد وضعیت سند]]=1,TArticle[مبلغ],0),0),0)</f>
        <v>0</v>
      </c>
      <c r="AF774" s="1">
        <f>IFERROR(IF(((TArticle[[#This Row],[شناسه]]))="4.1.2",IF(TArticle[[#This Row],[کد وضعیت سند]]=1,TArticle[مبلغ],0),0),0)</f>
        <v>0</v>
      </c>
      <c r="AG774" s="1">
        <f>IFERROR(IF(INT(LEFT(TArticle[[#This Row],[شناسه]]))=1,IF(TArticle[[#This Row],[کد وضعیت سند]]=1,TArticle[مبلغ],0),0),0)</f>
        <v>0</v>
      </c>
      <c r="AH774" s="1">
        <f>IFERROR(IF(INT(LEFT(TArticle[[#This Row],[شناسه]]))=2,IF(TArticle[[#This Row],[کد وضعیت سند]]=1,TArticle[مبلغ],0),0),0)</f>
        <v>0</v>
      </c>
      <c r="AI774" s="1">
        <f>IFERROR(IF((LEFT(TArticle[[#This Row],[شناسه]],3))="5.2",IF(TArticle[[#This Row],[کد وضعیت سند]]=1,TArticle[مبلغ],0),0),0)</f>
        <v>0</v>
      </c>
      <c r="AJ774" s="1">
        <f>IF(TArticle[[#This Row],[کد وضعیت سند]]=1,1,0)</f>
        <v>0</v>
      </c>
      <c r="AK774" s="1">
        <f>IF(AND(TArticle[[#This Row],[کد وضعیت سند]]&lt;&gt;1,TArticle[[#This Row],[مبلغ]]&lt;&gt;0),1,0)</f>
        <v>1</v>
      </c>
      <c r="AL774" s="78">
        <f>IF(TArticle[[#This Row],[کد بانک]]&gt;0,TArticle[[#This Row],[مانده بانک]]-VLOOKUP(TArticle[[#This Row],[کد بانک]],TBank[],7,FALSE),"")</f>
        <v>1312071</v>
      </c>
      <c r="AM774" s="69" t="str">
        <f>LEFT(TArticle[[#This Row],[تاریخ]],7)</f>
        <v>1404-12</v>
      </c>
    </row>
    <row r="775" spans="1:39" x14ac:dyDescent="0.25">
      <c r="A775" s="24" t="s">
        <v>1013</v>
      </c>
      <c r="B775" s="49" t="str">
        <f>VLOOKUP(TArticle[[#This Row],[شناسه]],TAccount[],2,TRUE)</f>
        <v>یارانه</v>
      </c>
      <c r="C775" s="49" t="str">
        <f>VLOOKUP(TArticle[[#This Row],[تاریخ]],TDays[],7,FALSE)</f>
        <v>چهارشنبه</v>
      </c>
      <c r="D775" s="21" t="s">
        <v>2035</v>
      </c>
      <c r="E775" s="1">
        <v>1500</v>
      </c>
      <c r="F775" s="1">
        <f>TArticle[[#This Row],[مبلغ]]+IFERROR(INT(F774),30181+3667+958)</f>
        <v>1271919</v>
      </c>
      <c r="G775" s="49"/>
      <c r="J775" s="51"/>
      <c r="K775" s="64">
        <v>2</v>
      </c>
      <c r="L775" s="171" t="str">
        <f>IF(TArticle[[#This Row],[کد وضعیت سند]]&gt;0,VLOOKUP(TArticle[[#This Row],[کد وضعیت سند]],TDocState[],2,FALSE),"")</f>
        <v>قطعی</v>
      </c>
      <c r="N775" s="171" t="str">
        <f>IF(TArticle[[#This Row],[کد طرف حساب]]&gt;0,VLOOKUP(TArticle[[#This Row],[کد طرف حساب]],TContact[],2,FALSE),"")</f>
        <v/>
      </c>
      <c r="O775" s="60" t="str">
        <f>IF(TArticle[[#This Row],[کد طرف حساب]]&gt;0,VLOOKUP(TArticle[[#This Row],[کد طرف حساب]],TContact[],7,FALSE)-SUMIF($M$2:M775,M775,$E$2:$E775),"")</f>
        <v/>
      </c>
      <c r="P775" s="27" t="str">
        <f>RIGHT(TArticle[[#This Row],[تاریخ]],2)</f>
        <v>20</v>
      </c>
      <c r="Q775" s="27">
        <f>VLOOKUP(TArticle[[#This Row],[تاریخ]],TDays[],16,FALSE)</f>
        <v>52</v>
      </c>
      <c r="R775" s="27" t="str">
        <f>RIGHT(LEFT(TArticle[[#This Row],[تاریخ]],7),2)</f>
        <v>12</v>
      </c>
      <c r="S775" s="27" t="str">
        <f>LEFT(TArticle[[#This Row],[تاریخ]],4)</f>
        <v>1404</v>
      </c>
      <c r="U775" s="21">
        <f>VLOOKUP(TArticle[[#This Row],[شناسه]],TAccount[],7,TRUE)</f>
        <v>12565</v>
      </c>
      <c r="W775" s="21">
        <f>IF(AND(TArticle[[#This Row],[مبلغ]]&gt;0, TArticle[[#This Row],[کد وضعیت سند]]=1),TArticle[[#This Row],[مبلغ]],0)</f>
        <v>0</v>
      </c>
      <c r="X775" s="27">
        <f>IF(AND(TArticle[[#This Row],[مبلغ]]&lt;0,TArticle[[#This Row],[کد وضعیت سند]]=1),0-TArticle[[#This Row],[مبلغ]],0)</f>
        <v>0</v>
      </c>
      <c r="Y775" s="27">
        <v>2</v>
      </c>
      <c r="Z775" s="171" t="str">
        <f>IF(TArticle[[#This Row],[کد بانک]]&gt;0,VLOOKUP(TArticle[[#This Row],[کد بانک]],TBank[],2,FALSE),"")</f>
        <v>ملی جاری</v>
      </c>
      <c r="AA775">
        <f>IF(AND(TArticle[[#This Row],[مبلغ]]&lt;0,TArticle[[#This Row],[کد وضعیت سند]]=1),0-TArticle[[#This Row],[مبلغ]],0)</f>
        <v>0</v>
      </c>
      <c r="AB775">
        <f>IF(AND(TArticle[[#This Row],[مبلغ]]&gt;0, TArticle[[#This Row],[کد وضعیت سند]]=1),TArticle[[#This Row],[مبلغ]],0)</f>
        <v>0</v>
      </c>
      <c r="AC775" s="92">
        <f>IF(TArticle[[#This Row],[کد بانک]]&gt;0,VLOOKUP(TArticle[[#This Row],[کد بانک]],TBank[],9,FALSE)+SUMIF($Y$2:Y775,Y775,$E$2:$E775),"")</f>
        <v>1313571</v>
      </c>
      <c r="AD775" s="1">
        <f>IFERROR(IF(INT(LEFT(TArticle[[#This Row],[شناسه]]))=3,IF(TArticle[[#This Row],[کد وضعیت سند]]=1,TArticle[مبلغ],0),0),0)</f>
        <v>0</v>
      </c>
      <c r="AE775" s="1">
        <f>IFERROR(IF(((TArticle[[#This Row],[شناسه]]))="4.1.1",IF(TArticle[[#This Row],[کد وضعیت سند]]=1,TArticle[مبلغ],0),0),0)</f>
        <v>0</v>
      </c>
      <c r="AF775" s="1">
        <f>IFERROR(IF(((TArticle[[#This Row],[شناسه]]))="4.1.2",IF(TArticle[[#This Row],[کد وضعیت سند]]=1,TArticle[مبلغ],0),0),0)</f>
        <v>0</v>
      </c>
      <c r="AG775" s="1">
        <f>IFERROR(IF(INT(LEFT(TArticle[[#This Row],[شناسه]]))=1,IF(TArticle[[#This Row],[کد وضعیت سند]]=1,TArticle[مبلغ],0),0),0)</f>
        <v>0</v>
      </c>
      <c r="AH775" s="1">
        <f>IFERROR(IF(INT(LEFT(TArticle[[#This Row],[شناسه]]))=2,IF(TArticle[[#This Row],[کد وضعیت سند]]=1,TArticle[مبلغ],0),0),0)</f>
        <v>0</v>
      </c>
      <c r="AI775" s="1">
        <f>IFERROR(IF((LEFT(TArticle[[#This Row],[شناسه]],3))="5.2",IF(TArticle[[#This Row],[کد وضعیت سند]]=1,TArticle[مبلغ],0),0),0)</f>
        <v>0</v>
      </c>
      <c r="AJ775" s="1">
        <f>IF(TArticle[[#This Row],[کد وضعیت سند]]=1,1,0)</f>
        <v>0</v>
      </c>
      <c r="AK775" s="1">
        <f>IF(AND(TArticle[[#This Row],[کد وضعیت سند]]&lt;&gt;1,TArticle[[#This Row],[مبلغ]]&lt;&gt;0),1,0)</f>
        <v>1</v>
      </c>
      <c r="AL775" s="51">
        <f>IF(TArticle[[#This Row],[کد بانک]]&gt;0,TArticle[[#This Row],[مانده بانک]]-VLOOKUP(TArticle[[#This Row],[کد بانک]],TBank[],7,FALSE),"")</f>
        <v>1313571</v>
      </c>
      <c r="AM775" s="58" t="str">
        <f>LEFT(TArticle[[#This Row],[تاریخ]],7)</f>
        <v>1404-12</v>
      </c>
    </row>
    <row r="776" spans="1:39" x14ac:dyDescent="0.25">
      <c r="A776" s="24" t="s">
        <v>1110</v>
      </c>
      <c r="B776" s="49" t="str">
        <f>VLOOKUP(TArticle[[#This Row],[شناسه]],TAccount[],2,TRUE)</f>
        <v>قسط وام بانکی</v>
      </c>
      <c r="C776" s="49" t="str">
        <f>VLOOKUP(TArticle[[#This Row],[تاریخ]],TDays[],7,FALSE)</f>
        <v>یکشنبه</v>
      </c>
      <c r="D776" s="21" t="s">
        <v>2047</v>
      </c>
      <c r="E776" s="1">
        <v>-1224</v>
      </c>
      <c r="F776" s="1">
        <f>TArticle[[#This Row],[مبلغ]]+IFERROR(INT(F775),30181+3667+958)</f>
        <v>1270695</v>
      </c>
      <c r="G776" s="49"/>
      <c r="H776" s="21">
        <v>31</v>
      </c>
      <c r="K776" s="64">
        <v>2</v>
      </c>
      <c r="L776" s="171" t="str">
        <f>IF(TArticle[[#This Row],[کد وضعیت سند]]&gt;0,VLOOKUP(TArticle[[#This Row],[کد وضعیت سند]],TDocState[],2,FALSE),"")</f>
        <v>قطعی</v>
      </c>
      <c r="M776" s="27">
        <v>115</v>
      </c>
      <c r="N776" s="171" t="str">
        <f>IF(TArticle[[#This Row],[کد طرف حساب]]&gt;0,VLOOKUP(TArticle[[#This Row],[کد طرف حساب]],TContact[],2,FALSE),"")</f>
        <v>وام فرزند مهر</v>
      </c>
      <c r="O776" s="68">
        <f>IF(TArticle[[#This Row],[کد طرف حساب]]&gt;0,VLOOKUP(TArticle[[#This Row],[کد طرف حساب]],TContact[],7,FALSE)-SUMIF($M$2:M776,M776,$E$2:$E776),"")</f>
        <v>-25728</v>
      </c>
      <c r="P776" s="27" t="str">
        <f>RIGHT(TArticle[[#This Row],[تاریخ]],2)</f>
        <v>03</v>
      </c>
      <c r="Q776" s="27">
        <f>VLOOKUP(TArticle[[#This Row],[تاریخ]],TDays[],16,FALSE)</f>
        <v>1</v>
      </c>
      <c r="R776" s="27" t="str">
        <f>RIGHT(LEFT(TArticle[[#This Row],[تاریخ]],7),2)</f>
        <v>01</v>
      </c>
      <c r="S776" s="27" t="str">
        <f>LEFT(TArticle[[#This Row],[تاریخ]],4)</f>
        <v>1405</v>
      </c>
      <c r="U776" s="21">
        <f>VLOOKUP(TArticle[[#This Row],[شناسه]],TAccount[],7,TRUE)</f>
        <v>81652</v>
      </c>
      <c r="W776" s="21">
        <f>IF(AND(TArticle[[#This Row],[مبلغ]]&gt;0, TArticle[[#This Row],[کد وضعیت سند]]=1),TArticle[[#This Row],[مبلغ]],0)</f>
        <v>0</v>
      </c>
      <c r="X776" s="27">
        <f>IF(AND(TArticle[[#This Row],[مبلغ]]&lt;0,TArticle[[#This Row],[کد وضعیت سند]]=1),0-TArticle[[#This Row],[مبلغ]],0)</f>
        <v>0</v>
      </c>
      <c r="Y776" s="27">
        <v>2</v>
      </c>
      <c r="Z776" s="171" t="str">
        <f>IF(TArticle[[#This Row],[کد بانک]]&gt;0,VLOOKUP(TArticle[[#This Row],[کد بانک]],TBank[],2,FALSE),"")</f>
        <v>ملی جاری</v>
      </c>
      <c r="AA776">
        <f>IF(AND(TArticle[[#This Row],[مبلغ]]&lt;0,TArticle[[#This Row],[کد وضعیت سند]]=1),0-TArticle[[#This Row],[مبلغ]],0)</f>
        <v>0</v>
      </c>
      <c r="AB776">
        <f>IF(AND(TArticle[[#This Row],[مبلغ]]&gt;0, TArticle[[#This Row],[کد وضعیت سند]]=1),TArticle[[#This Row],[مبلغ]],0)</f>
        <v>0</v>
      </c>
      <c r="AC776" s="93">
        <f>IF(TArticle[[#This Row],[کد بانک]]&gt;0,VLOOKUP(TArticle[[#This Row],[کد بانک]],TBank[],9,FALSE)+SUMIF($Y$2:Y776,Y776,$E$2:$E776),"")</f>
        <v>1312347</v>
      </c>
      <c r="AD776" s="1">
        <f>IFERROR(IF(INT(LEFT(TArticle[[#This Row],[شناسه]]))=3,IF(TArticle[[#This Row],[کد وضعیت سند]]=1,TArticle[مبلغ],0),0),0)</f>
        <v>0</v>
      </c>
      <c r="AE776" s="1">
        <f>IFERROR(IF(((TArticle[[#This Row],[شناسه]]))="4.1.1",IF(TArticle[[#This Row],[کد وضعیت سند]]=1,TArticle[مبلغ],0),0),0)</f>
        <v>0</v>
      </c>
      <c r="AF776" s="1">
        <f>IFERROR(IF(((TArticle[[#This Row],[شناسه]]))="4.1.2",IF(TArticle[[#This Row],[کد وضعیت سند]]=1,TArticle[مبلغ],0),0),0)</f>
        <v>0</v>
      </c>
      <c r="AG776" s="1">
        <f>IFERROR(IF(INT(LEFT(TArticle[[#This Row],[شناسه]]))=1,IF(TArticle[[#This Row],[کد وضعیت سند]]=1,TArticle[مبلغ],0),0),0)</f>
        <v>0</v>
      </c>
      <c r="AH776" s="1">
        <f>IFERROR(IF(INT(LEFT(TArticle[[#This Row],[شناسه]]))=2,IF(TArticle[[#This Row],[کد وضعیت سند]]=1,TArticle[مبلغ],0),0),0)</f>
        <v>0</v>
      </c>
      <c r="AI776" s="1">
        <f>IFERROR(IF((LEFT(TArticle[[#This Row],[شناسه]],3))="5.2",IF(TArticle[[#This Row],[کد وضعیت سند]]=1,TArticle[مبلغ],0),0),0)</f>
        <v>0</v>
      </c>
      <c r="AJ776" s="1">
        <f>IF(TArticle[[#This Row],[کد وضعیت سند]]=1,1,0)</f>
        <v>0</v>
      </c>
      <c r="AK776" s="1">
        <f>IF(AND(TArticle[[#This Row],[کد وضعیت سند]]&lt;&gt;1,TArticle[[#This Row],[مبلغ]]&lt;&gt;0),1,0)</f>
        <v>1</v>
      </c>
      <c r="AL776" s="51">
        <f>IF(TArticle[[#This Row],[کد بانک]]&gt;0,TArticle[[#This Row],[مانده بانک]]-VLOOKUP(TArticle[[#This Row],[کد بانک]],TBank[],7,FALSE),"")</f>
        <v>1312347</v>
      </c>
      <c r="AM776" s="49" t="str">
        <f>LEFT(TArticle[[#This Row],[تاریخ]],7)</f>
        <v>1405-01</v>
      </c>
    </row>
    <row r="777" spans="1:39" x14ac:dyDescent="0.25">
      <c r="A777" s="24" t="s">
        <v>1110</v>
      </c>
      <c r="B777" s="49" t="str">
        <f>VLOOKUP(TArticle[[#This Row],[شناسه]],TAccount[],2,TRUE)</f>
        <v>قسط وام بانکی</v>
      </c>
      <c r="C777" s="49" t="str">
        <f>VLOOKUP(TArticle[[#This Row],[تاریخ]],TDays[],7,FALSE)</f>
        <v>چهارشنبه</v>
      </c>
      <c r="D777" s="21" t="s">
        <v>2078</v>
      </c>
      <c r="E777" s="1">
        <v>-1224</v>
      </c>
      <c r="F777" s="1">
        <f>TArticle[[#This Row],[مبلغ]]+IFERROR(INT(F776),30181+3667+958)</f>
        <v>1269471</v>
      </c>
      <c r="G777" s="49"/>
      <c r="H777" s="21">
        <v>32</v>
      </c>
      <c r="J777" s="65"/>
      <c r="K777" s="64">
        <v>2</v>
      </c>
      <c r="L777" s="171" t="str">
        <f>IF(TArticle[[#This Row],[کد وضعیت سند]]&gt;0,VLOOKUP(TArticle[[#This Row],[کد وضعیت سند]],TDocState[],2,FALSE),"")</f>
        <v>قطعی</v>
      </c>
      <c r="M777" s="27">
        <v>115</v>
      </c>
      <c r="N777" s="171" t="str">
        <f>IF(TArticle[[#This Row],[کد طرف حساب]]&gt;0,VLOOKUP(TArticle[[#This Row],[کد طرف حساب]],TContact[],2,FALSE),"")</f>
        <v>وام فرزند مهر</v>
      </c>
      <c r="O777" s="68">
        <f>IF(TArticle[[#This Row],[کد طرف حساب]]&gt;0,VLOOKUP(TArticle[[#This Row],[کد طرف حساب]],TContact[],7,FALSE)-SUMIF($M$2:M777,M777,$E$2:$E777),"")</f>
        <v>-24504</v>
      </c>
      <c r="P777" s="67" t="str">
        <f>RIGHT(TArticle[[#This Row],[تاریخ]],2)</f>
        <v>03</v>
      </c>
      <c r="Q777" s="67">
        <f>VLOOKUP(TArticle[[#This Row],[تاریخ]],TDays[],16,FALSE)</f>
        <v>6</v>
      </c>
      <c r="R777" s="67" t="str">
        <f>RIGHT(LEFT(TArticle[[#This Row],[تاریخ]],7),2)</f>
        <v>02</v>
      </c>
      <c r="S777" s="67" t="str">
        <f>LEFT(TArticle[[#This Row],[تاریخ]],4)</f>
        <v>1405</v>
      </c>
      <c r="T777" s="64"/>
      <c r="U777" s="64">
        <f>VLOOKUP(TArticle[[#This Row],[شناسه]],TAccount[],7,TRUE)</f>
        <v>81652</v>
      </c>
      <c r="V777" s="64"/>
      <c r="W777" s="64">
        <f>IF(AND(TArticle[[#This Row],[مبلغ]]&gt;0, TArticle[[#This Row],[کد وضعیت سند]]=1),TArticle[[#This Row],[مبلغ]],0)</f>
        <v>0</v>
      </c>
      <c r="X777" s="67">
        <f>IF(AND(TArticle[[#This Row],[مبلغ]]&lt;0,TArticle[[#This Row],[کد وضعیت سند]]=1),0-TArticle[[#This Row],[مبلغ]],0)</f>
        <v>0</v>
      </c>
      <c r="Y777" s="27">
        <v>2</v>
      </c>
      <c r="Z777" s="171" t="str">
        <f>IF(TArticle[[#This Row],[کد بانک]]&gt;0,VLOOKUP(TArticle[[#This Row],[کد بانک]],TBank[],2,FALSE),"")</f>
        <v>ملی جاری</v>
      </c>
      <c r="AA777">
        <f>IF(AND(TArticle[[#This Row],[مبلغ]]&lt;0,TArticle[[#This Row],[کد وضعیت سند]]=1),0-TArticle[[#This Row],[مبلغ]],0)</f>
        <v>0</v>
      </c>
      <c r="AB777">
        <f>IF(AND(TArticle[[#This Row],[مبلغ]]&gt;0, TArticle[[#This Row],[کد وضعیت سند]]=1),TArticle[[#This Row],[مبلغ]],0)</f>
        <v>0</v>
      </c>
      <c r="AC777" s="93">
        <f>IF(TArticle[[#This Row],[کد بانک]]&gt;0,VLOOKUP(TArticle[[#This Row],[کد بانک]],TBank[],9,FALSE)+SUMIF($Y$2:Y777,Y777,$E$2:$E777),"")</f>
        <v>1311123</v>
      </c>
      <c r="AD777" s="1">
        <f>IFERROR(IF(INT(LEFT(TArticle[[#This Row],[شناسه]]))=3,IF(TArticle[[#This Row],[کد وضعیت سند]]=1,TArticle[مبلغ],0),0),0)</f>
        <v>0</v>
      </c>
      <c r="AE777" s="1">
        <f>IFERROR(IF(((TArticle[[#This Row],[شناسه]]))="4.1.1",IF(TArticle[[#This Row],[کد وضعیت سند]]=1,TArticle[مبلغ],0),0),0)</f>
        <v>0</v>
      </c>
      <c r="AF777" s="1">
        <f>IFERROR(IF(((TArticle[[#This Row],[شناسه]]))="4.1.2",IF(TArticle[[#This Row],[کد وضعیت سند]]=1,TArticle[مبلغ],0),0),0)</f>
        <v>0</v>
      </c>
      <c r="AG777" s="1">
        <f>IFERROR(IF(INT(LEFT(TArticle[[#This Row],[شناسه]]))=1,IF(TArticle[[#This Row],[کد وضعیت سند]]=1,TArticle[مبلغ],0),0),0)</f>
        <v>0</v>
      </c>
      <c r="AH777" s="1">
        <f>IFERROR(IF(INT(LEFT(TArticle[[#This Row],[شناسه]]))=2,IF(TArticle[[#This Row],[کد وضعیت سند]]=1,TArticle[مبلغ],0),0),0)</f>
        <v>0</v>
      </c>
      <c r="AI777" s="1">
        <f>IFERROR(IF((LEFT(TArticle[[#This Row],[شناسه]],3))="5.2",IF(TArticle[[#This Row],[کد وضعیت سند]]=1,TArticle[مبلغ],0),0),0)</f>
        <v>0</v>
      </c>
      <c r="AJ777" s="1">
        <f>IF(TArticle[[#This Row],[کد وضعیت سند]]=1,1,0)</f>
        <v>0</v>
      </c>
      <c r="AK777" s="1">
        <f>IF(AND(TArticle[[#This Row],[کد وضعیت سند]]&lt;&gt;1,TArticle[[#This Row],[مبلغ]]&lt;&gt;0),1,0)</f>
        <v>1</v>
      </c>
      <c r="AL777" s="78">
        <f>IF(TArticle[[#This Row],[کد بانک]]&gt;0,TArticle[[#This Row],[مانده بانک]]-VLOOKUP(TArticle[[#This Row],[کد بانک]],TBank[],7,FALSE),"")</f>
        <v>1311123</v>
      </c>
      <c r="AM777" s="69" t="str">
        <f>LEFT(TArticle[[#This Row],[تاریخ]],7)</f>
        <v>1405-02</v>
      </c>
    </row>
    <row r="778" spans="1:39" x14ac:dyDescent="0.25">
      <c r="A778" s="24" t="s">
        <v>1110</v>
      </c>
      <c r="B778" s="49" t="str">
        <f>VLOOKUP(TArticle[[#This Row],[شناسه]],TAccount[],2,TRUE)</f>
        <v>قسط وام بانکی</v>
      </c>
      <c r="C778" s="49" t="str">
        <f>VLOOKUP(TArticle[[#This Row],[تاریخ]],TDays[],7,FALSE)</f>
        <v>شنبه</v>
      </c>
      <c r="D778" s="21" t="s">
        <v>2109</v>
      </c>
      <c r="E778" s="1">
        <v>-1224</v>
      </c>
      <c r="F778" s="1">
        <f>TArticle[[#This Row],[مبلغ]]+IFERROR(INT(F777),30181+3667+958)</f>
        <v>1268247</v>
      </c>
      <c r="G778" s="49"/>
      <c r="H778" s="21">
        <v>33</v>
      </c>
      <c r="J778" s="65"/>
      <c r="K778" s="64">
        <v>2</v>
      </c>
      <c r="L778" s="171" t="str">
        <f>IF(TArticle[[#This Row],[کد وضعیت سند]]&gt;0,VLOOKUP(TArticle[[#This Row],[کد وضعیت سند]],TDocState[],2,FALSE),"")</f>
        <v>قطعی</v>
      </c>
      <c r="M778" s="27">
        <v>115</v>
      </c>
      <c r="N778" s="171" t="str">
        <f>IF(TArticle[[#This Row],[کد طرف حساب]]&gt;0,VLOOKUP(TArticle[[#This Row],[کد طرف حساب]],TContact[],2,FALSE),"")</f>
        <v>وام فرزند مهر</v>
      </c>
      <c r="O778" s="68">
        <f>IF(TArticle[[#This Row],[کد طرف حساب]]&gt;0,VLOOKUP(TArticle[[#This Row],[کد طرف حساب]],TContact[],7,FALSE)-SUMIF($M$2:M778,M778,$E$2:$E778),"")</f>
        <v>-23280</v>
      </c>
      <c r="P778" s="67" t="str">
        <f>RIGHT(TArticle[[#This Row],[تاریخ]],2)</f>
        <v>03</v>
      </c>
      <c r="Q778" s="67">
        <f>VLOOKUP(TArticle[[#This Row],[تاریخ]],TDays[],16,FALSE)</f>
        <v>10</v>
      </c>
      <c r="R778" s="67" t="str">
        <f>RIGHT(LEFT(TArticle[[#This Row],[تاریخ]],7),2)</f>
        <v>03</v>
      </c>
      <c r="S778" s="67" t="str">
        <f>LEFT(TArticle[[#This Row],[تاریخ]],4)</f>
        <v>1405</v>
      </c>
      <c r="T778" s="64"/>
      <c r="U778" s="64">
        <f>VLOOKUP(TArticle[[#This Row],[شناسه]],TAccount[],7,TRUE)</f>
        <v>81652</v>
      </c>
      <c r="V778" s="64"/>
      <c r="W778" s="64">
        <f>IF(AND(TArticle[[#This Row],[مبلغ]]&gt;0, TArticle[[#This Row],[کد وضعیت سند]]=1),TArticle[[#This Row],[مبلغ]],0)</f>
        <v>0</v>
      </c>
      <c r="X778" s="67">
        <f>IF(AND(TArticle[[#This Row],[مبلغ]]&lt;0,TArticle[[#This Row],[کد وضعیت سند]]=1),0-TArticle[[#This Row],[مبلغ]],0)</f>
        <v>0</v>
      </c>
      <c r="Y778" s="27">
        <v>2</v>
      </c>
      <c r="Z778" s="171" t="str">
        <f>IF(TArticle[[#This Row],[کد بانک]]&gt;0,VLOOKUP(TArticle[[#This Row],[کد بانک]],TBank[],2,FALSE),"")</f>
        <v>ملی جاری</v>
      </c>
      <c r="AA778">
        <f>IF(AND(TArticle[[#This Row],[مبلغ]]&lt;0,TArticle[[#This Row],[کد وضعیت سند]]=1),0-TArticle[[#This Row],[مبلغ]],0)</f>
        <v>0</v>
      </c>
      <c r="AB778">
        <f>IF(AND(TArticle[[#This Row],[مبلغ]]&gt;0, TArticle[[#This Row],[کد وضعیت سند]]=1),TArticle[[#This Row],[مبلغ]],0)</f>
        <v>0</v>
      </c>
      <c r="AC778" s="93">
        <f>IF(TArticle[[#This Row],[کد بانک]]&gt;0,VLOOKUP(TArticle[[#This Row],[کد بانک]],TBank[],9,FALSE)+SUMIF($Y$2:Y778,Y778,$E$2:$E778),"")</f>
        <v>1309899</v>
      </c>
      <c r="AD778" s="1">
        <f>IFERROR(IF(INT(LEFT(TArticle[[#This Row],[شناسه]]))=3,IF(TArticle[[#This Row],[کد وضعیت سند]]=1,TArticle[مبلغ],0),0),0)</f>
        <v>0</v>
      </c>
      <c r="AE778" s="1">
        <f>IFERROR(IF(((TArticle[[#This Row],[شناسه]]))="4.1.1",IF(TArticle[[#This Row],[کد وضعیت سند]]=1,TArticle[مبلغ],0),0),0)</f>
        <v>0</v>
      </c>
      <c r="AF778" s="1">
        <f>IFERROR(IF(((TArticle[[#This Row],[شناسه]]))="4.1.2",IF(TArticle[[#This Row],[کد وضعیت سند]]=1,TArticle[مبلغ],0),0),0)</f>
        <v>0</v>
      </c>
      <c r="AG778" s="1">
        <f>IFERROR(IF(INT(LEFT(TArticle[[#This Row],[شناسه]]))=1,IF(TArticle[[#This Row],[کد وضعیت سند]]=1,TArticle[مبلغ],0),0),0)</f>
        <v>0</v>
      </c>
      <c r="AH778" s="1">
        <f>IFERROR(IF(INT(LEFT(TArticle[[#This Row],[شناسه]]))=2,IF(TArticle[[#This Row],[کد وضعیت سند]]=1,TArticle[مبلغ],0),0),0)</f>
        <v>0</v>
      </c>
      <c r="AI778" s="1">
        <f>IFERROR(IF((LEFT(TArticle[[#This Row],[شناسه]],3))="5.2",IF(TArticle[[#This Row],[کد وضعیت سند]]=1,TArticle[مبلغ],0),0),0)</f>
        <v>0</v>
      </c>
      <c r="AJ778" s="1">
        <f>IF(TArticle[[#This Row],[کد وضعیت سند]]=1,1,0)</f>
        <v>0</v>
      </c>
      <c r="AK778" s="1">
        <f>IF(AND(TArticle[[#This Row],[کد وضعیت سند]]&lt;&gt;1,TArticle[[#This Row],[مبلغ]]&lt;&gt;0),1,0)</f>
        <v>1</v>
      </c>
      <c r="AL778" s="78">
        <f>IF(TArticle[[#This Row],[کد بانک]]&gt;0,TArticle[[#This Row],[مانده بانک]]-VLOOKUP(TArticle[[#This Row],[کد بانک]],TBank[],7,FALSE),"")</f>
        <v>1309899</v>
      </c>
      <c r="AM778" s="69" t="str">
        <f>LEFT(TArticle[[#This Row],[تاریخ]],7)</f>
        <v>1405-03</v>
      </c>
    </row>
    <row r="779" spans="1:39" x14ac:dyDescent="0.25">
      <c r="A779" s="24" t="s">
        <v>1110</v>
      </c>
      <c r="B779" s="49" t="str">
        <f>VLOOKUP(TArticle[[#This Row],[شناسه]],TAccount[],2,TRUE)</f>
        <v>قسط وام بانکی</v>
      </c>
      <c r="C779" s="49" t="str">
        <f>VLOOKUP(TArticle[[#This Row],[تاریخ]],TDays[],7,FALSE)</f>
        <v>سه شنبه</v>
      </c>
      <c r="D779" s="21" t="s">
        <v>2140</v>
      </c>
      <c r="E779" s="1">
        <v>-1224</v>
      </c>
      <c r="F779" s="1">
        <f>TArticle[[#This Row],[مبلغ]]+IFERROR(INT(F778),30181+3667+958)</f>
        <v>1267023</v>
      </c>
      <c r="G779" s="49"/>
      <c r="H779" s="21">
        <v>34</v>
      </c>
      <c r="J779" s="51"/>
      <c r="K779" s="64">
        <v>2</v>
      </c>
      <c r="L779" s="171" t="str">
        <f>IF(TArticle[[#This Row],[کد وضعیت سند]]&gt;0,VLOOKUP(TArticle[[#This Row],[کد وضعیت سند]],TDocState[],2,FALSE),"")</f>
        <v>قطعی</v>
      </c>
      <c r="M779" s="27">
        <v>115</v>
      </c>
      <c r="N779" s="171" t="str">
        <f>IF(TArticle[[#This Row],[کد طرف حساب]]&gt;0,VLOOKUP(TArticle[[#This Row],[کد طرف حساب]],TContact[],2,FALSE),"")</f>
        <v>وام فرزند مهر</v>
      </c>
      <c r="O779" s="60">
        <f>IF(TArticle[[#This Row],[کد طرف حساب]]&gt;0,VLOOKUP(TArticle[[#This Row],[کد طرف حساب]],TContact[],7,FALSE)-SUMIF($M$2:M779,M779,$E$2:$E779),"")</f>
        <v>-22056</v>
      </c>
      <c r="P779" s="27" t="str">
        <f>RIGHT(TArticle[[#This Row],[تاریخ]],2)</f>
        <v>03</v>
      </c>
      <c r="Q779" s="27">
        <f>VLOOKUP(TArticle[[#This Row],[تاریخ]],TDays[],16,FALSE)</f>
        <v>14</v>
      </c>
      <c r="R779" s="27" t="str">
        <f>RIGHT(LEFT(TArticle[[#This Row],[تاریخ]],7),2)</f>
        <v>04</v>
      </c>
      <c r="S779" s="27" t="str">
        <f>LEFT(TArticle[[#This Row],[تاریخ]],4)</f>
        <v>1405</v>
      </c>
      <c r="U779" s="21">
        <f>VLOOKUP(TArticle[[#This Row],[شناسه]],TAccount[],7,TRUE)</f>
        <v>81652</v>
      </c>
      <c r="W779" s="21">
        <f>IF(AND(TArticle[[#This Row],[مبلغ]]&gt;0, TArticle[[#This Row],[کد وضعیت سند]]=1),TArticle[[#This Row],[مبلغ]],0)</f>
        <v>0</v>
      </c>
      <c r="X779" s="27">
        <f>IF(AND(TArticle[[#This Row],[مبلغ]]&lt;0,TArticle[[#This Row],[کد وضعیت سند]]=1),0-TArticle[[#This Row],[مبلغ]],0)</f>
        <v>0</v>
      </c>
      <c r="Y779" s="27">
        <v>2</v>
      </c>
      <c r="Z779" s="171" t="str">
        <f>IF(TArticle[[#This Row],[کد بانک]]&gt;0,VLOOKUP(TArticle[[#This Row],[کد بانک]],TBank[],2,FALSE),"")</f>
        <v>ملی جاری</v>
      </c>
      <c r="AA779">
        <f>IF(AND(TArticle[[#This Row],[مبلغ]]&lt;0,TArticle[[#This Row],[کد وضعیت سند]]=1),0-TArticle[[#This Row],[مبلغ]],0)</f>
        <v>0</v>
      </c>
      <c r="AB779">
        <f>IF(AND(TArticle[[#This Row],[مبلغ]]&gt;0, TArticle[[#This Row],[کد وضعیت سند]]=1),TArticle[[#This Row],[مبلغ]],0)</f>
        <v>0</v>
      </c>
      <c r="AC779" s="92">
        <f>IF(TArticle[[#This Row],[کد بانک]]&gt;0,VLOOKUP(TArticle[[#This Row],[کد بانک]],TBank[],9,FALSE)+SUMIF($Y$2:Y779,Y779,$E$2:$E779),"")</f>
        <v>1308675</v>
      </c>
      <c r="AD779" s="1">
        <f>IFERROR(IF(INT(LEFT(TArticle[[#This Row],[شناسه]]))=3,IF(TArticle[[#This Row],[کد وضعیت سند]]=1,TArticle[مبلغ],0),0),0)</f>
        <v>0</v>
      </c>
      <c r="AE779" s="1">
        <f>IFERROR(IF(((TArticle[[#This Row],[شناسه]]))="4.1.1",IF(TArticle[[#This Row],[کد وضعیت سند]]=1,TArticle[مبلغ],0),0),0)</f>
        <v>0</v>
      </c>
      <c r="AF779" s="1">
        <f>IFERROR(IF(((TArticle[[#This Row],[شناسه]]))="4.1.2",IF(TArticle[[#This Row],[کد وضعیت سند]]=1,TArticle[مبلغ],0),0),0)</f>
        <v>0</v>
      </c>
      <c r="AG779" s="1">
        <f>IFERROR(IF(INT(LEFT(TArticle[[#This Row],[شناسه]]))=1,IF(TArticle[[#This Row],[کد وضعیت سند]]=1,TArticle[مبلغ],0),0),0)</f>
        <v>0</v>
      </c>
      <c r="AH779" s="1">
        <f>IFERROR(IF(INT(LEFT(TArticle[[#This Row],[شناسه]]))=2,IF(TArticle[[#This Row],[کد وضعیت سند]]=1,TArticle[مبلغ],0),0),0)</f>
        <v>0</v>
      </c>
      <c r="AI779" s="1">
        <f>IFERROR(IF((LEFT(TArticle[[#This Row],[شناسه]],3))="5.2",IF(TArticle[[#This Row],[کد وضعیت سند]]=1,TArticle[مبلغ],0),0),0)</f>
        <v>0</v>
      </c>
      <c r="AJ779" s="1">
        <f>IF(TArticle[[#This Row],[کد وضعیت سند]]=1,1,0)</f>
        <v>0</v>
      </c>
      <c r="AK779" s="1">
        <f>IF(AND(TArticle[[#This Row],[کد وضعیت سند]]&lt;&gt;1,TArticle[[#This Row],[مبلغ]]&lt;&gt;0),1,0)</f>
        <v>1</v>
      </c>
      <c r="AL779" s="51">
        <f>IF(TArticle[[#This Row],[کد بانک]]&gt;0,TArticle[[#This Row],[مانده بانک]]-VLOOKUP(TArticle[[#This Row],[کد بانک]],TBank[],7,FALSE),"")</f>
        <v>1308675</v>
      </c>
      <c r="AM779" s="58" t="str">
        <f>LEFT(TArticle[[#This Row],[تاریخ]],7)</f>
        <v>1405-04</v>
      </c>
    </row>
    <row r="780" spans="1:39" x14ac:dyDescent="0.25">
      <c r="A780" s="24" t="s">
        <v>1110</v>
      </c>
      <c r="B780" s="49" t="str">
        <f>VLOOKUP(TArticle[[#This Row],[شناسه]],TAccount[],2,TRUE)</f>
        <v>قسط وام بانکی</v>
      </c>
      <c r="C780" s="49" t="str">
        <f>VLOOKUP(TArticle[[#This Row],[تاریخ]],TDays[],7,FALSE)</f>
        <v>جمعه</v>
      </c>
      <c r="D780" s="21" t="s">
        <v>2171</v>
      </c>
      <c r="E780" s="1">
        <v>-1224</v>
      </c>
      <c r="F780" s="1">
        <f>TArticle[[#This Row],[مبلغ]]+IFERROR(INT(F779),30181+3667+958)</f>
        <v>1265799</v>
      </c>
      <c r="G780" s="49"/>
      <c r="H780" s="21">
        <v>35</v>
      </c>
      <c r="J780" s="51"/>
      <c r="K780" s="64">
        <v>2</v>
      </c>
      <c r="L780" s="171" t="str">
        <f>IF(TArticle[[#This Row],[کد وضعیت سند]]&gt;0,VLOOKUP(TArticle[[#This Row],[کد وضعیت سند]],TDocState[],2,FALSE),"")</f>
        <v>قطعی</v>
      </c>
      <c r="M780" s="27">
        <v>115</v>
      </c>
      <c r="N780" s="171" t="str">
        <f>IF(TArticle[[#This Row],[کد طرف حساب]]&gt;0,VLOOKUP(TArticle[[#This Row],[کد طرف حساب]],TContact[],2,FALSE),"")</f>
        <v>وام فرزند مهر</v>
      </c>
      <c r="O780" s="60">
        <f>IF(TArticle[[#This Row],[کد طرف حساب]]&gt;0,VLOOKUP(TArticle[[#This Row],[کد طرف حساب]],TContact[],7,FALSE)-SUMIF($M$2:M780,M780,$E$2:$E780),"")</f>
        <v>-20832</v>
      </c>
      <c r="P780" s="27" t="str">
        <f>RIGHT(TArticle[[#This Row],[تاریخ]],2)</f>
        <v>03</v>
      </c>
      <c r="Q780" s="27">
        <f>VLOOKUP(TArticle[[#This Row],[تاریخ]],TDays[],16,FALSE)</f>
        <v>19</v>
      </c>
      <c r="R780" s="27" t="str">
        <f>RIGHT(LEFT(TArticle[[#This Row],[تاریخ]],7),2)</f>
        <v>05</v>
      </c>
      <c r="S780" s="27" t="str">
        <f>LEFT(TArticle[[#This Row],[تاریخ]],4)</f>
        <v>1405</v>
      </c>
      <c r="U780" s="21">
        <f>VLOOKUP(TArticle[[#This Row],[شناسه]],TAccount[],7,TRUE)</f>
        <v>81652</v>
      </c>
      <c r="W780" s="21">
        <f>IF(AND(TArticle[[#This Row],[مبلغ]]&gt;0, TArticle[[#This Row],[کد وضعیت سند]]=1),TArticle[[#This Row],[مبلغ]],0)</f>
        <v>0</v>
      </c>
      <c r="X780" s="27">
        <f>IF(AND(TArticle[[#This Row],[مبلغ]]&lt;0,TArticle[[#This Row],[کد وضعیت سند]]=1),0-TArticle[[#This Row],[مبلغ]],0)</f>
        <v>0</v>
      </c>
      <c r="Y780" s="27">
        <v>2</v>
      </c>
      <c r="Z780" s="171" t="str">
        <f>IF(TArticle[[#This Row],[کد بانک]]&gt;0,VLOOKUP(TArticle[[#This Row],[کد بانک]],TBank[],2,FALSE),"")</f>
        <v>ملی جاری</v>
      </c>
      <c r="AA780">
        <f>IF(AND(TArticle[[#This Row],[مبلغ]]&lt;0,TArticle[[#This Row],[کد وضعیت سند]]=1),0-TArticle[[#This Row],[مبلغ]],0)</f>
        <v>0</v>
      </c>
      <c r="AB780">
        <f>IF(AND(TArticle[[#This Row],[مبلغ]]&gt;0, TArticle[[#This Row],[کد وضعیت سند]]=1),TArticle[[#This Row],[مبلغ]],0)</f>
        <v>0</v>
      </c>
      <c r="AC780" s="92">
        <f>IF(TArticle[[#This Row],[کد بانک]]&gt;0,VLOOKUP(TArticle[[#This Row],[کد بانک]],TBank[],9,FALSE)+SUMIF($Y$2:Y780,Y780,$E$2:$E780),"")</f>
        <v>1307451</v>
      </c>
      <c r="AD780" s="1">
        <f>IFERROR(IF(INT(LEFT(TArticle[[#This Row],[شناسه]]))=3,IF(TArticle[[#This Row],[کد وضعیت سند]]=1,TArticle[مبلغ],0),0),0)</f>
        <v>0</v>
      </c>
      <c r="AE780" s="1">
        <f>IFERROR(IF(((TArticle[[#This Row],[شناسه]]))="4.1.1",IF(TArticle[[#This Row],[کد وضعیت سند]]=1,TArticle[مبلغ],0),0),0)</f>
        <v>0</v>
      </c>
      <c r="AF780" s="1">
        <f>IFERROR(IF(((TArticle[[#This Row],[شناسه]]))="4.1.2",IF(TArticle[[#This Row],[کد وضعیت سند]]=1,TArticle[مبلغ],0),0),0)</f>
        <v>0</v>
      </c>
      <c r="AG780" s="1">
        <f>IFERROR(IF(INT(LEFT(TArticle[[#This Row],[شناسه]]))=1,IF(TArticle[[#This Row],[کد وضعیت سند]]=1,TArticle[مبلغ],0),0),0)</f>
        <v>0</v>
      </c>
      <c r="AH780" s="1">
        <f>IFERROR(IF(INT(LEFT(TArticle[[#This Row],[شناسه]]))=2,IF(TArticle[[#This Row],[کد وضعیت سند]]=1,TArticle[مبلغ],0),0),0)</f>
        <v>0</v>
      </c>
      <c r="AI780" s="1">
        <f>IFERROR(IF((LEFT(TArticle[[#This Row],[شناسه]],3))="5.2",IF(TArticle[[#This Row],[کد وضعیت سند]]=1,TArticle[مبلغ],0),0),0)</f>
        <v>0</v>
      </c>
      <c r="AJ780" s="1">
        <f>IF(TArticle[[#This Row],[کد وضعیت سند]]=1,1,0)</f>
        <v>0</v>
      </c>
      <c r="AK780" s="1">
        <f>IF(AND(TArticle[[#This Row],[کد وضعیت سند]]&lt;&gt;1,TArticle[[#This Row],[مبلغ]]&lt;&gt;0),1,0)</f>
        <v>1</v>
      </c>
      <c r="AL780" s="51">
        <f>IF(TArticle[[#This Row],[کد بانک]]&gt;0,TArticle[[#This Row],[مانده بانک]]-VLOOKUP(TArticle[[#This Row],[کد بانک]],TBank[],7,FALSE),"")</f>
        <v>1307451</v>
      </c>
      <c r="AM780" s="58" t="str">
        <f>LEFT(TArticle[[#This Row],[تاریخ]],7)</f>
        <v>1405-05</v>
      </c>
    </row>
    <row r="781" spans="1:39" x14ac:dyDescent="0.25">
      <c r="A781" s="24" t="s">
        <v>1110</v>
      </c>
      <c r="B781" s="49" t="str">
        <f>VLOOKUP(TArticle[[#This Row],[شناسه]],TAccount[],2,TRUE)</f>
        <v>قسط وام بانکی</v>
      </c>
      <c r="C781" s="49" t="str">
        <f>VLOOKUP(TArticle[[#This Row],[تاریخ]],TDays[],7,FALSE)</f>
        <v>دوشنبه</v>
      </c>
      <c r="D781" s="21" t="s">
        <v>2202</v>
      </c>
      <c r="E781" s="1">
        <v>-1224</v>
      </c>
      <c r="F781" s="1">
        <f>TArticle[[#This Row],[مبلغ]]+IFERROR(INT(F780),30181+3667+958)</f>
        <v>1264575</v>
      </c>
      <c r="G781" s="49"/>
      <c r="H781" s="21">
        <v>36</v>
      </c>
      <c r="J781" s="51"/>
      <c r="K781" s="64">
        <v>2</v>
      </c>
      <c r="L781" s="171" t="str">
        <f>IF(TArticle[[#This Row],[کد وضعیت سند]]&gt;0,VLOOKUP(TArticle[[#This Row],[کد وضعیت سند]],TDocState[],2,FALSE),"")</f>
        <v>قطعی</v>
      </c>
      <c r="M781" s="27">
        <v>115</v>
      </c>
      <c r="N781" s="171" t="str">
        <f>IF(TArticle[[#This Row],[کد طرف حساب]]&gt;0,VLOOKUP(TArticle[[#This Row],[کد طرف حساب]],TContact[],2,FALSE),"")</f>
        <v>وام فرزند مهر</v>
      </c>
      <c r="O781" s="60">
        <f>IF(TArticle[[#This Row],[کد طرف حساب]]&gt;0,VLOOKUP(TArticle[[#This Row],[کد طرف حساب]],TContact[],7,FALSE)-SUMIF($M$2:M781,M781,$E$2:$E781),"")</f>
        <v>-19608</v>
      </c>
      <c r="P781" s="27" t="str">
        <f>RIGHT(TArticle[[#This Row],[تاریخ]],2)</f>
        <v>03</v>
      </c>
      <c r="Q781" s="27">
        <f>VLOOKUP(TArticle[[#This Row],[تاریخ]],TDays[],16,FALSE)</f>
        <v>23</v>
      </c>
      <c r="R781" s="27" t="str">
        <f>RIGHT(LEFT(TArticle[[#This Row],[تاریخ]],7),2)</f>
        <v>06</v>
      </c>
      <c r="S781" s="27" t="str">
        <f>LEFT(TArticle[[#This Row],[تاریخ]],4)</f>
        <v>1405</v>
      </c>
      <c r="U781" s="21">
        <f>VLOOKUP(TArticle[[#This Row],[شناسه]],TAccount[],7,TRUE)</f>
        <v>81652</v>
      </c>
      <c r="W781" s="21">
        <f>IF(AND(TArticle[[#This Row],[مبلغ]]&gt;0, TArticle[[#This Row],[کد وضعیت سند]]=1),TArticle[[#This Row],[مبلغ]],0)</f>
        <v>0</v>
      </c>
      <c r="X781" s="27">
        <f>IF(AND(TArticle[[#This Row],[مبلغ]]&lt;0,TArticle[[#This Row],[کد وضعیت سند]]=1),0-TArticle[[#This Row],[مبلغ]],0)</f>
        <v>0</v>
      </c>
      <c r="Y781" s="27">
        <v>2</v>
      </c>
      <c r="Z781" s="171" t="str">
        <f>IF(TArticle[[#This Row],[کد بانک]]&gt;0,VLOOKUP(TArticle[[#This Row],[کد بانک]],TBank[],2,FALSE),"")</f>
        <v>ملی جاری</v>
      </c>
      <c r="AA781">
        <f>IF(AND(TArticle[[#This Row],[مبلغ]]&lt;0,TArticle[[#This Row],[کد وضعیت سند]]=1),0-TArticle[[#This Row],[مبلغ]],0)</f>
        <v>0</v>
      </c>
      <c r="AB781">
        <f>IF(AND(TArticle[[#This Row],[مبلغ]]&gt;0, TArticle[[#This Row],[کد وضعیت سند]]=1),TArticle[[#This Row],[مبلغ]],0)</f>
        <v>0</v>
      </c>
      <c r="AC781" s="92">
        <f>IF(TArticle[[#This Row],[کد بانک]]&gt;0,VLOOKUP(TArticle[[#This Row],[کد بانک]],TBank[],9,FALSE)+SUMIF($Y$2:Y781,Y781,$E$2:$E781),"")</f>
        <v>1306227</v>
      </c>
      <c r="AD781" s="1">
        <f>IFERROR(IF(INT(LEFT(TArticle[[#This Row],[شناسه]]))=3,IF(TArticle[[#This Row],[کد وضعیت سند]]=1,TArticle[مبلغ],0),0),0)</f>
        <v>0</v>
      </c>
      <c r="AE781" s="1">
        <f>IFERROR(IF(((TArticle[[#This Row],[شناسه]]))="4.1.1",IF(TArticle[[#This Row],[کد وضعیت سند]]=1,TArticle[مبلغ],0),0),0)</f>
        <v>0</v>
      </c>
      <c r="AF781" s="1">
        <f>IFERROR(IF(((TArticle[[#This Row],[شناسه]]))="4.1.2",IF(TArticle[[#This Row],[کد وضعیت سند]]=1,TArticle[مبلغ],0),0),0)</f>
        <v>0</v>
      </c>
      <c r="AG781" s="1">
        <f>IFERROR(IF(INT(LEFT(TArticle[[#This Row],[شناسه]]))=1,IF(TArticle[[#This Row],[کد وضعیت سند]]=1,TArticle[مبلغ],0),0),0)</f>
        <v>0</v>
      </c>
      <c r="AH781" s="1">
        <f>IFERROR(IF(INT(LEFT(TArticle[[#This Row],[شناسه]]))=2,IF(TArticle[[#This Row],[کد وضعیت سند]]=1,TArticle[مبلغ],0),0),0)</f>
        <v>0</v>
      </c>
      <c r="AI781" s="1">
        <f>IFERROR(IF((LEFT(TArticle[[#This Row],[شناسه]],3))="5.2",IF(TArticle[[#This Row],[کد وضعیت سند]]=1,TArticle[مبلغ],0),0),0)</f>
        <v>0</v>
      </c>
      <c r="AJ781" s="1">
        <f>IF(TArticle[[#This Row],[کد وضعیت سند]]=1,1,0)</f>
        <v>0</v>
      </c>
      <c r="AK781" s="1">
        <f>IF(AND(TArticle[[#This Row],[کد وضعیت سند]]&lt;&gt;1,TArticle[[#This Row],[مبلغ]]&lt;&gt;0),1,0)</f>
        <v>1</v>
      </c>
      <c r="AL781" s="51">
        <f>IF(TArticle[[#This Row],[کد بانک]]&gt;0,TArticle[[#This Row],[مانده بانک]]-VLOOKUP(TArticle[[#This Row],[کد بانک]],TBank[],7,FALSE),"")</f>
        <v>1306227</v>
      </c>
      <c r="AM781" s="58" t="str">
        <f>LEFT(TArticle[[#This Row],[تاریخ]],7)</f>
        <v>1405-06</v>
      </c>
    </row>
    <row r="782" spans="1:39" x14ac:dyDescent="0.25">
      <c r="A782" s="24" t="s">
        <v>1110</v>
      </c>
      <c r="B782" s="49" t="str">
        <f>VLOOKUP(TArticle[[#This Row],[شناسه]],TAccount[],2,TRUE)</f>
        <v>قسط وام بانکی</v>
      </c>
      <c r="C782" s="49" t="str">
        <f>VLOOKUP(TArticle[[#This Row],[تاریخ]],TDays[],7,FALSE)</f>
        <v>پنجشنبه</v>
      </c>
      <c r="D782" s="21" t="s">
        <v>2233</v>
      </c>
      <c r="E782" s="1">
        <v>-784</v>
      </c>
      <c r="F782" s="1">
        <f>TArticle[[#This Row],[مبلغ]]+IFERROR(INT(F781),30181+3667+958)</f>
        <v>1263791</v>
      </c>
      <c r="G782" s="61" t="s">
        <v>1108</v>
      </c>
      <c r="H782" s="21">
        <v>37</v>
      </c>
      <c r="K782" s="64">
        <v>2</v>
      </c>
      <c r="L782" s="171" t="str">
        <f>IF(TArticle[[#This Row],[کد وضعیت سند]]&gt;0,VLOOKUP(TArticle[[#This Row],[کد وضعیت سند]],TDocState[],2,FALSE),"")</f>
        <v>قطعی</v>
      </c>
      <c r="M782" s="27">
        <v>115.1</v>
      </c>
      <c r="N782" s="171" t="str">
        <f>IF(TArticle[[#This Row],[کد طرف حساب]]&gt;0,VLOOKUP(TArticle[[#This Row],[کد طرف حساب]],TContact[],2,FALSE),"")</f>
        <v>سود فرزند مهر</v>
      </c>
      <c r="O782" s="61">
        <f>IF(TArticle[[#This Row],[کد طرف حساب]]&gt;0,VLOOKUP(TArticle[[#This Row],[کد طرف حساب]],TContact[],7,FALSE)-SUMIF($M$2:M782,M782,$E$2:$E782),"")</f>
        <v>-123</v>
      </c>
      <c r="P782" s="27" t="str">
        <f>RIGHT(TArticle[[#This Row],[تاریخ]],2)</f>
        <v>03</v>
      </c>
      <c r="Q782" s="27">
        <f>VLOOKUP(TArticle[[#This Row],[تاریخ]],TDays[],16,FALSE)</f>
        <v>28</v>
      </c>
      <c r="R782" s="27" t="str">
        <f>RIGHT(LEFT(TArticle[[#This Row],[تاریخ]],7),2)</f>
        <v>07</v>
      </c>
      <c r="S782" s="27" t="str">
        <f>LEFT(TArticle[[#This Row],[تاریخ]],4)</f>
        <v>1405</v>
      </c>
      <c r="U782" s="21">
        <f>VLOOKUP(TArticle[[#This Row],[شناسه]],TAccount[],7,TRUE)</f>
        <v>81652</v>
      </c>
      <c r="W782" s="21">
        <f>IF(AND(TArticle[[#This Row],[مبلغ]]&gt;0, TArticle[[#This Row],[کد وضعیت سند]]=1),TArticle[[#This Row],[مبلغ]],0)</f>
        <v>0</v>
      </c>
      <c r="X782" s="27">
        <f>IF(AND(TArticle[[#This Row],[مبلغ]]&lt;0,TArticle[[#This Row],[کد وضعیت سند]]=1),0-TArticle[[#This Row],[مبلغ]],0)</f>
        <v>0</v>
      </c>
      <c r="Y782" s="27">
        <v>2</v>
      </c>
      <c r="Z782" s="171" t="str">
        <f>IF(TArticle[[#This Row],[کد بانک]]&gt;0,VLOOKUP(TArticle[[#This Row],[کد بانک]],TBank[],2,FALSE),"")</f>
        <v>ملی جاری</v>
      </c>
      <c r="AA782">
        <f>IF(AND(TArticle[[#This Row],[مبلغ]]&lt;0,TArticle[[#This Row],[کد وضعیت سند]]=1),0-TArticle[[#This Row],[مبلغ]],0)</f>
        <v>0</v>
      </c>
      <c r="AB782">
        <f>IF(AND(TArticle[[#This Row],[مبلغ]]&gt;0, TArticle[[#This Row],[کد وضعیت سند]]=1),TArticle[[#This Row],[مبلغ]],0)</f>
        <v>0</v>
      </c>
      <c r="AC782" s="84">
        <f>IF(TArticle[[#This Row],[کد بانک]]&gt;0,VLOOKUP(TArticle[[#This Row],[کد بانک]],TBank[],9,FALSE)+SUMIF($Y$2:Y782,Y782,$E$2:$E782),"")</f>
        <v>1305443</v>
      </c>
      <c r="AD782" s="1">
        <f>IFERROR(IF(INT(LEFT(TArticle[[#This Row],[شناسه]]))=3,IF(TArticle[[#This Row],[کد وضعیت سند]]=1,TArticle[مبلغ],0),0),0)</f>
        <v>0</v>
      </c>
      <c r="AE782" s="1">
        <f>IFERROR(IF(((TArticle[[#This Row],[شناسه]]))="4.1.1",IF(TArticle[[#This Row],[کد وضعیت سند]]=1,TArticle[مبلغ],0),0),0)</f>
        <v>0</v>
      </c>
      <c r="AF782" s="1">
        <f>IFERROR(IF(((TArticle[[#This Row],[شناسه]]))="4.1.2",IF(TArticle[[#This Row],[کد وضعیت سند]]=1,TArticle[مبلغ],0),0),0)</f>
        <v>0</v>
      </c>
      <c r="AG782" s="1">
        <f>IFERROR(IF(INT(LEFT(TArticle[[#This Row],[شناسه]]))=1,IF(TArticle[[#This Row],[کد وضعیت سند]]=1,TArticle[مبلغ],0),0),0)</f>
        <v>0</v>
      </c>
      <c r="AH782" s="1">
        <f>IFERROR(IF(INT(LEFT(TArticle[[#This Row],[شناسه]]))=2,IF(TArticle[[#This Row],[کد وضعیت سند]]=1,TArticle[مبلغ],0),0),0)</f>
        <v>0</v>
      </c>
      <c r="AI782" s="1">
        <f>IFERROR(IF((LEFT(TArticle[[#This Row],[شناسه]],3))="5.2",IF(TArticle[[#This Row],[کد وضعیت سند]]=1,TArticle[مبلغ],0),0),0)</f>
        <v>0</v>
      </c>
      <c r="AJ782" s="1">
        <f>IF(TArticle[[#This Row],[کد وضعیت سند]]=1,1,0)</f>
        <v>0</v>
      </c>
      <c r="AK782" s="1">
        <f>IF(AND(TArticle[[#This Row],[کد وضعیت سند]]&lt;&gt;1,TArticle[[#This Row],[مبلغ]]&lt;&gt;0),1,0)</f>
        <v>1</v>
      </c>
      <c r="AL782" s="51">
        <f>IF(TArticle[[#This Row],[کد بانک]]&gt;0,TArticle[[#This Row],[مانده بانک]]-VLOOKUP(TArticle[[#This Row],[کد بانک]],TBank[],7,FALSE),"")</f>
        <v>1305443</v>
      </c>
      <c r="AM782" s="49" t="str">
        <f>LEFT(TArticle[[#This Row],[تاریخ]],7)</f>
        <v>1405-07</v>
      </c>
    </row>
    <row r="783" spans="1:39" x14ac:dyDescent="0.25">
      <c r="A783" s="24" t="s">
        <v>1110</v>
      </c>
      <c r="B783" s="49" t="str">
        <f>VLOOKUP(TArticle[[#This Row],[شناسه]],TAccount[],2,TRUE)</f>
        <v>قسط وام بانکی</v>
      </c>
      <c r="C783" s="49" t="str">
        <f>VLOOKUP(TArticle[[#This Row],[تاریخ]],TDays[],7,FALSE)</f>
        <v>شنبه</v>
      </c>
      <c r="D783" s="21" t="s">
        <v>2263</v>
      </c>
      <c r="E783" s="1">
        <v>-1224</v>
      </c>
      <c r="F783" s="1">
        <f>TArticle[[#This Row],[مبلغ]]+IFERROR(INT(F782),30181+3667+958)</f>
        <v>1262567</v>
      </c>
      <c r="G783" s="49"/>
      <c r="H783" s="21">
        <v>38</v>
      </c>
      <c r="K783" s="64">
        <v>2</v>
      </c>
      <c r="L783" s="171" t="str">
        <f>IF(TArticle[[#This Row],[کد وضعیت سند]]&gt;0,VLOOKUP(TArticle[[#This Row],[کد وضعیت سند]],TDocState[],2,FALSE),"")</f>
        <v>قطعی</v>
      </c>
      <c r="M783" s="27">
        <v>115</v>
      </c>
      <c r="N783" s="171" t="str">
        <f>IF(TArticle[[#This Row],[کد طرف حساب]]&gt;0,VLOOKUP(TArticle[[#This Row],[کد طرف حساب]],TContact[],2,FALSE),"")</f>
        <v>وام فرزند مهر</v>
      </c>
      <c r="O783" s="61">
        <f>IF(TArticle[[#This Row],[کد طرف حساب]]&gt;0,VLOOKUP(TArticle[[#This Row],[کد طرف حساب]],TContact[],7,FALSE)-SUMIF($M$2:M783,M783,$E$2:$E783),"")</f>
        <v>-18384</v>
      </c>
      <c r="P783" s="27" t="str">
        <f>RIGHT(TArticle[[#This Row],[تاریخ]],2)</f>
        <v>03</v>
      </c>
      <c r="Q783" s="27">
        <f>VLOOKUP(TArticle[[#This Row],[تاریخ]],TDays[],16,FALSE)</f>
        <v>32</v>
      </c>
      <c r="R783" s="27" t="str">
        <f>RIGHT(LEFT(TArticle[[#This Row],[تاریخ]],7),2)</f>
        <v>08</v>
      </c>
      <c r="S783" s="27" t="str">
        <f>LEFT(TArticle[[#This Row],[تاریخ]],4)</f>
        <v>1405</v>
      </c>
      <c r="U783" s="21">
        <f>VLOOKUP(TArticle[[#This Row],[شناسه]],TAccount[],7,TRUE)</f>
        <v>81652</v>
      </c>
      <c r="W783" s="21">
        <f>IF(AND(TArticle[[#This Row],[مبلغ]]&gt;0, TArticle[[#This Row],[کد وضعیت سند]]=1),TArticle[[#This Row],[مبلغ]],0)</f>
        <v>0</v>
      </c>
      <c r="X783" s="27">
        <f>IF(AND(TArticle[[#This Row],[مبلغ]]&lt;0,TArticle[[#This Row],[کد وضعیت سند]]=1),0-TArticle[[#This Row],[مبلغ]],0)</f>
        <v>0</v>
      </c>
      <c r="Y783" s="27">
        <v>2</v>
      </c>
      <c r="Z783" s="171" t="str">
        <f>IF(TArticle[[#This Row],[کد بانک]]&gt;0,VLOOKUP(TArticle[[#This Row],[کد بانک]],TBank[],2,FALSE),"")</f>
        <v>ملی جاری</v>
      </c>
      <c r="AA783">
        <f>IF(AND(TArticle[[#This Row],[مبلغ]]&lt;0,TArticle[[#This Row],[کد وضعیت سند]]=1),0-TArticle[[#This Row],[مبلغ]],0)</f>
        <v>0</v>
      </c>
      <c r="AB783">
        <f>IF(AND(TArticle[[#This Row],[مبلغ]]&gt;0, TArticle[[#This Row],[کد وضعیت سند]]=1),TArticle[[#This Row],[مبلغ]],0)</f>
        <v>0</v>
      </c>
      <c r="AC783" s="84">
        <f>IF(TArticle[[#This Row],[کد بانک]]&gt;0,VLOOKUP(TArticle[[#This Row],[کد بانک]],TBank[],9,FALSE)+SUMIF($Y$2:Y783,Y783,$E$2:$E783),"")</f>
        <v>1304219</v>
      </c>
      <c r="AD783" s="1">
        <f>IFERROR(IF(INT(LEFT(TArticle[[#This Row],[شناسه]]))=3,IF(TArticle[[#This Row],[کد وضعیت سند]]=1,TArticle[مبلغ],0),0),0)</f>
        <v>0</v>
      </c>
      <c r="AE783" s="1">
        <f>IFERROR(IF(((TArticle[[#This Row],[شناسه]]))="4.1.1",IF(TArticle[[#This Row],[کد وضعیت سند]]=1,TArticle[مبلغ],0),0),0)</f>
        <v>0</v>
      </c>
      <c r="AF783" s="1">
        <f>IFERROR(IF(((TArticle[[#This Row],[شناسه]]))="4.1.2",IF(TArticle[[#This Row],[کد وضعیت سند]]=1,TArticle[مبلغ],0),0),0)</f>
        <v>0</v>
      </c>
      <c r="AG783" s="1">
        <f>IFERROR(IF(INT(LEFT(TArticle[[#This Row],[شناسه]]))=1,IF(TArticle[[#This Row],[کد وضعیت سند]]=1,TArticle[مبلغ],0),0),0)</f>
        <v>0</v>
      </c>
      <c r="AH783" s="1">
        <f>IFERROR(IF(INT(LEFT(TArticle[[#This Row],[شناسه]]))=2,IF(TArticle[[#This Row],[کد وضعیت سند]]=1,TArticle[مبلغ],0),0),0)</f>
        <v>0</v>
      </c>
      <c r="AI783" s="1">
        <f>IFERROR(IF((LEFT(TArticle[[#This Row],[شناسه]],3))="5.2",IF(TArticle[[#This Row],[کد وضعیت سند]]=1,TArticle[مبلغ],0),0),0)</f>
        <v>0</v>
      </c>
      <c r="AJ783" s="1">
        <f>IF(TArticle[[#This Row],[کد وضعیت سند]]=1,1,0)</f>
        <v>0</v>
      </c>
      <c r="AK783" s="1">
        <f>IF(AND(TArticle[[#This Row],[کد وضعیت سند]]&lt;&gt;1,TArticle[[#This Row],[مبلغ]]&lt;&gt;0),1,0)</f>
        <v>1</v>
      </c>
      <c r="AL783" s="51">
        <f>IF(TArticle[[#This Row],[کد بانک]]&gt;0,TArticle[[#This Row],[مانده بانک]]-VLOOKUP(TArticle[[#This Row],[کد بانک]],TBank[],7,FALSE),"")</f>
        <v>1304219</v>
      </c>
      <c r="AM783" s="49" t="str">
        <f>LEFT(TArticle[[#This Row],[تاریخ]],7)</f>
        <v>1405-08</v>
      </c>
    </row>
    <row r="784" spans="1:39" x14ac:dyDescent="0.25">
      <c r="A784" s="24" t="s">
        <v>1110</v>
      </c>
      <c r="B784" s="49" t="str">
        <f>VLOOKUP(TArticle[[#This Row],[شناسه]],TAccount[],2,TRUE)</f>
        <v>قسط وام بانکی</v>
      </c>
      <c r="C784" s="49" t="str">
        <f>VLOOKUP(TArticle[[#This Row],[تاریخ]],TDays[],7,FALSE)</f>
        <v>دوشنبه</v>
      </c>
      <c r="D784" s="21" t="s">
        <v>2293</v>
      </c>
      <c r="E784" s="1">
        <v>-1224</v>
      </c>
      <c r="F784" s="1">
        <f>TArticle[[#This Row],[مبلغ]]+IFERROR(INT(F783),30181+3667+958)</f>
        <v>1261343</v>
      </c>
      <c r="G784" s="49"/>
      <c r="H784" s="21">
        <v>39</v>
      </c>
      <c r="K784" s="64">
        <v>2</v>
      </c>
      <c r="L784" s="171" t="str">
        <f>IF(TArticle[[#This Row],[کد وضعیت سند]]&gt;0,VLOOKUP(TArticle[[#This Row],[کد وضعیت سند]],TDocState[],2,FALSE),"")</f>
        <v>قطعی</v>
      </c>
      <c r="M784" s="27">
        <v>115</v>
      </c>
      <c r="N784" s="171" t="str">
        <f>IF(TArticle[[#This Row],[کد طرف حساب]]&gt;0,VLOOKUP(TArticle[[#This Row],[کد طرف حساب]],TContact[],2,FALSE),"")</f>
        <v>وام فرزند مهر</v>
      </c>
      <c r="O784" s="61">
        <f>IF(TArticle[[#This Row],[کد طرف حساب]]&gt;0,VLOOKUP(TArticle[[#This Row],[کد طرف حساب]],TContact[],7,FALSE)-SUMIF($M$2:M784,M784,$E$2:$E784),"")</f>
        <v>-17160</v>
      </c>
      <c r="P784" s="27" t="str">
        <f>RIGHT(TArticle[[#This Row],[تاریخ]],2)</f>
        <v>03</v>
      </c>
      <c r="Q784" s="27">
        <f>VLOOKUP(TArticle[[#This Row],[تاریخ]],TDays[],16,FALSE)</f>
        <v>37</v>
      </c>
      <c r="R784" s="27" t="str">
        <f>RIGHT(LEFT(TArticle[[#This Row],[تاریخ]],7),2)</f>
        <v>09</v>
      </c>
      <c r="S784" s="27" t="str">
        <f>LEFT(TArticle[[#This Row],[تاریخ]],4)</f>
        <v>1405</v>
      </c>
      <c r="U784" s="21">
        <f>VLOOKUP(TArticle[[#This Row],[شناسه]],TAccount[],7,TRUE)</f>
        <v>81652</v>
      </c>
      <c r="W784" s="21">
        <f>IF(AND(TArticle[[#This Row],[مبلغ]]&gt;0, TArticle[[#This Row],[کد وضعیت سند]]=1),TArticle[[#This Row],[مبلغ]],0)</f>
        <v>0</v>
      </c>
      <c r="X784" s="27">
        <f>IF(AND(TArticle[[#This Row],[مبلغ]]&lt;0,TArticle[[#This Row],[کد وضعیت سند]]=1),0-TArticle[[#This Row],[مبلغ]],0)</f>
        <v>0</v>
      </c>
      <c r="Y784" s="27">
        <v>2</v>
      </c>
      <c r="Z784" s="171" t="str">
        <f>IF(TArticle[[#This Row],[کد بانک]]&gt;0,VLOOKUP(TArticle[[#This Row],[کد بانک]],TBank[],2,FALSE),"")</f>
        <v>ملی جاری</v>
      </c>
      <c r="AA784">
        <f>IF(AND(TArticle[[#This Row],[مبلغ]]&lt;0,TArticle[[#This Row],[کد وضعیت سند]]=1),0-TArticle[[#This Row],[مبلغ]],0)</f>
        <v>0</v>
      </c>
      <c r="AB784">
        <f>IF(AND(TArticle[[#This Row],[مبلغ]]&gt;0, TArticle[[#This Row],[کد وضعیت سند]]=1),TArticle[[#This Row],[مبلغ]],0)</f>
        <v>0</v>
      </c>
      <c r="AC784" s="84">
        <f>IF(TArticle[[#This Row],[کد بانک]]&gt;0,VLOOKUP(TArticle[[#This Row],[کد بانک]],TBank[],9,FALSE)+SUMIF($Y$2:Y784,Y784,$E$2:$E784),"")</f>
        <v>1302995</v>
      </c>
      <c r="AD784" s="1">
        <f>IFERROR(IF(INT(LEFT(TArticle[[#This Row],[شناسه]]))=3,IF(TArticle[[#This Row],[کد وضعیت سند]]=1,TArticle[مبلغ],0),0),0)</f>
        <v>0</v>
      </c>
      <c r="AE784" s="1">
        <f>IFERROR(IF(((TArticle[[#This Row],[شناسه]]))="4.1.1",IF(TArticle[[#This Row],[کد وضعیت سند]]=1,TArticle[مبلغ],0),0),0)</f>
        <v>0</v>
      </c>
      <c r="AF784" s="1">
        <f>IFERROR(IF(((TArticle[[#This Row],[شناسه]]))="4.1.2",IF(TArticle[[#This Row],[کد وضعیت سند]]=1,TArticle[مبلغ],0),0),0)</f>
        <v>0</v>
      </c>
      <c r="AG784" s="1">
        <f>IFERROR(IF(INT(LEFT(TArticle[[#This Row],[شناسه]]))=1,IF(TArticle[[#This Row],[کد وضعیت سند]]=1,TArticle[مبلغ],0),0),0)</f>
        <v>0</v>
      </c>
      <c r="AH784" s="1">
        <f>IFERROR(IF(INT(LEFT(TArticle[[#This Row],[شناسه]]))=2,IF(TArticle[[#This Row],[کد وضعیت سند]]=1,TArticle[مبلغ],0),0),0)</f>
        <v>0</v>
      </c>
      <c r="AI784" s="1">
        <f>IFERROR(IF((LEFT(TArticle[[#This Row],[شناسه]],3))="5.2",IF(TArticle[[#This Row],[کد وضعیت سند]]=1,TArticle[مبلغ],0),0),0)</f>
        <v>0</v>
      </c>
      <c r="AJ784" s="1">
        <f>IF(TArticle[[#This Row],[کد وضعیت سند]]=1,1,0)</f>
        <v>0</v>
      </c>
      <c r="AK784" s="1">
        <f>IF(AND(TArticle[[#This Row],[کد وضعیت سند]]&lt;&gt;1,TArticle[[#This Row],[مبلغ]]&lt;&gt;0),1,0)</f>
        <v>1</v>
      </c>
      <c r="AL784" s="51">
        <f>IF(TArticle[[#This Row],[کد بانک]]&gt;0,TArticle[[#This Row],[مانده بانک]]-VLOOKUP(TArticle[[#This Row],[کد بانک]],TBank[],7,FALSE),"")</f>
        <v>1302995</v>
      </c>
      <c r="AM784" s="49" t="str">
        <f>LEFT(TArticle[[#This Row],[تاریخ]],7)</f>
        <v>1405-09</v>
      </c>
    </row>
    <row r="785" spans="1:39" x14ac:dyDescent="0.25">
      <c r="A785" s="24" t="s">
        <v>1110</v>
      </c>
      <c r="B785" s="49" t="str">
        <f>VLOOKUP(TArticle[[#This Row],[شناسه]],TAccount[],2,TRUE)</f>
        <v>قسط وام بانکی</v>
      </c>
      <c r="C785" s="49" t="str">
        <f>VLOOKUP(TArticle[[#This Row],[تاریخ]],TDays[],7,FALSE)</f>
        <v>چهارشنبه</v>
      </c>
      <c r="D785" s="21" t="s">
        <v>2323</v>
      </c>
      <c r="E785" s="1">
        <v>-1224</v>
      </c>
      <c r="F785" s="1">
        <f>TArticle[[#This Row],[مبلغ]]+IFERROR(INT(F784),30181+3667+958)</f>
        <v>1260119</v>
      </c>
      <c r="G785" s="49"/>
      <c r="H785" s="21">
        <v>40</v>
      </c>
      <c r="K785" s="64">
        <v>2</v>
      </c>
      <c r="L785" s="171" t="str">
        <f>IF(TArticle[[#This Row],[کد وضعیت سند]]&gt;0,VLOOKUP(TArticle[[#This Row],[کد وضعیت سند]],TDocState[],2,FALSE),"")</f>
        <v>قطعی</v>
      </c>
      <c r="M785" s="27">
        <v>115</v>
      </c>
      <c r="N785" s="171" t="str">
        <f>IF(TArticle[[#This Row],[کد طرف حساب]]&gt;0,VLOOKUP(TArticle[[#This Row],[کد طرف حساب]],TContact[],2,FALSE),"")</f>
        <v>وام فرزند مهر</v>
      </c>
      <c r="O785" s="61">
        <f>IF(TArticle[[#This Row],[کد طرف حساب]]&gt;0,VLOOKUP(TArticle[[#This Row],[کد طرف حساب]],TContact[],7,FALSE)-SUMIF($M$2:M785,M785,$E$2:$E785),"")</f>
        <v>-15936</v>
      </c>
      <c r="P785" s="27" t="str">
        <f>RIGHT(TArticle[[#This Row],[تاریخ]],2)</f>
        <v>03</v>
      </c>
      <c r="Q785" s="27">
        <f>VLOOKUP(TArticle[[#This Row],[تاریخ]],TDays[],16,FALSE)</f>
        <v>41</v>
      </c>
      <c r="R785" s="27" t="str">
        <f>RIGHT(LEFT(TArticle[[#This Row],[تاریخ]],7),2)</f>
        <v>10</v>
      </c>
      <c r="S785" s="27" t="str">
        <f>LEFT(TArticle[[#This Row],[تاریخ]],4)</f>
        <v>1405</v>
      </c>
      <c r="U785" s="21">
        <f>VLOOKUP(TArticle[[#This Row],[شناسه]],TAccount[],7,TRUE)</f>
        <v>81652</v>
      </c>
      <c r="W785" s="21">
        <f>IF(AND(TArticle[[#This Row],[مبلغ]]&gt;0, TArticle[[#This Row],[کد وضعیت سند]]=1),TArticle[[#This Row],[مبلغ]],0)</f>
        <v>0</v>
      </c>
      <c r="X785" s="27">
        <f>IF(AND(TArticle[[#This Row],[مبلغ]]&lt;0,TArticle[[#This Row],[کد وضعیت سند]]=1),0-TArticle[[#This Row],[مبلغ]],0)</f>
        <v>0</v>
      </c>
      <c r="Y785" s="27">
        <v>2</v>
      </c>
      <c r="Z785" s="171" t="str">
        <f>IF(TArticle[[#This Row],[کد بانک]]&gt;0,VLOOKUP(TArticle[[#This Row],[کد بانک]],TBank[],2,FALSE),"")</f>
        <v>ملی جاری</v>
      </c>
      <c r="AA785">
        <f>IF(AND(TArticle[[#This Row],[مبلغ]]&lt;0,TArticle[[#This Row],[کد وضعیت سند]]=1),0-TArticle[[#This Row],[مبلغ]],0)</f>
        <v>0</v>
      </c>
      <c r="AB785">
        <f>IF(AND(TArticle[[#This Row],[مبلغ]]&gt;0, TArticle[[#This Row],[کد وضعیت سند]]=1),TArticle[[#This Row],[مبلغ]],0)</f>
        <v>0</v>
      </c>
      <c r="AC785" s="84">
        <f>IF(TArticle[[#This Row],[کد بانک]]&gt;0,VLOOKUP(TArticle[[#This Row],[کد بانک]],TBank[],9,FALSE)+SUMIF($Y$2:Y785,Y785,$E$2:$E785),"")</f>
        <v>1301771</v>
      </c>
      <c r="AD785" s="1">
        <f>IFERROR(IF(INT(LEFT(TArticle[[#This Row],[شناسه]]))=3,IF(TArticle[[#This Row],[کد وضعیت سند]]=1,TArticle[مبلغ],0),0),0)</f>
        <v>0</v>
      </c>
      <c r="AE785" s="1">
        <f>IFERROR(IF(((TArticle[[#This Row],[شناسه]]))="4.1.1",IF(TArticle[[#This Row],[کد وضعیت سند]]=1,TArticle[مبلغ],0),0),0)</f>
        <v>0</v>
      </c>
      <c r="AF785" s="1">
        <f>IFERROR(IF(((TArticle[[#This Row],[شناسه]]))="4.1.2",IF(TArticle[[#This Row],[کد وضعیت سند]]=1,TArticle[مبلغ],0),0),0)</f>
        <v>0</v>
      </c>
      <c r="AG785" s="1">
        <f>IFERROR(IF(INT(LEFT(TArticle[[#This Row],[شناسه]]))=1,IF(TArticle[[#This Row],[کد وضعیت سند]]=1,TArticle[مبلغ],0),0),0)</f>
        <v>0</v>
      </c>
      <c r="AH785" s="1">
        <f>IFERROR(IF(INT(LEFT(TArticle[[#This Row],[شناسه]]))=2,IF(TArticle[[#This Row],[کد وضعیت سند]]=1,TArticle[مبلغ],0),0),0)</f>
        <v>0</v>
      </c>
      <c r="AI785" s="1">
        <f>IFERROR(IF((LEFT(TArticle[[#This Row],[شناسه]],3))="5.2",IF(TArticle[[#This Row],[کد وضعیت سند]]=1,TArticle[مبلغ],0),0),0)</f>
        <v>0</v>
      </c>
      <c r="AJ785" s="1">
        <f>IF(TArticle[[#This Row],[کد وضعیت سند]]=1,1,0)</f>
        <v>0</v>
      </c>
      <c r="AK785" s="1">
        <f>IF(AND(TArticle[[#This Row],[کد وضعیت سند]]&lt;&gt;1,TArticle[[#This Row],[مبلغ]]&lt;&gt;0),1,0)</f>
        <v>1</v>
      </c>
      <c r="AL785" s="51">
        <f>IF(TArticle[[#This Row],[کد بانک]]&gt;0,TArticle[[#This Row],[مانده بانک]]-VLOOKUP(TArticle[[#This Row],[کد بانک]],TBank[],7,FALSE),"")</f>
        <v>1301771</v>
      </c>
      <c r="AM785" s="49" t="str">
        <f>LEFT(TArticle[[#This Row],[تاریخ]],7)</f>
        <v>1405-10</v>
      </c>
    </row>
    <row r="786" spans="1:39" x14ac:dyDescent="0.25">
      <c r="A786" s="24" t="s">
        <v>1110</v>
      </c>
      <c r="B786" s="49" t="str">
        <f>VLOOKUP(TArticle[[#This Row],[شناسه]],TAccount[],2,TRUE)</f>
        <v>قسط وام بانکی</v>
      </c>
      <c r="C786" s="49" t="str">
        <f>VLOOKUP(TArticle[[#This Row],[تاریخ]],TDays[],7,FALSE)</f>
        <v>جمعه</v>
      </c>
      <c r="D786" s="21" t="s">
        <v>2353</v>
      </c>
      <c r="E786" s="1">
        <v>-1224</v>
      </c>
      <c r="F786" s="1">
        <f>TArticle[[#This Row],[مبلغ]]+IFERROR(INT(F785),30181+3667+958)</f>
        <v>1258895</v>
      </c>
      <c r="G786" s="49"/>
      <c r="H786" s="21">
        <v>41</v>
      </c>
      <c r="K786" s="64">
        <v>2</v>
      </c>
      <c r="L786" s="171" t="str">
        <f>IF(TArticle[[#This Row],[کد وضعیت سند]]&gt;0,VLOOKUP(TArticle[[#This Row],[کد وضعیت سند]],TDocState[],2,FALSE),"")</f>
        <v>قطعی</v>
      </c>
      <c r="M786" s="27">
        <v>115</v>
      </c>
      <c r="N786" s="171" t="str">
        <f>IF(TArticle[[#This Row],[کد طرف حساب]]&gt;0,VLOOKUP(TArticle[[#This Row],[کد طرف حساب]],TContact[],2,FALSE),"")</f>
        <v>وام فرزند مهر</v>
      </c>
      <c r="O786" s="61">
        <f>IF(TArticle[[#This Row],[کد طرف حساب]]&gt;0,VLOOKUP(TArticle[[#This Row],[کد طرف حساب]],TContact[],7,FALSE)-SUMIF($M$2:M786,M786,$E$2:$E786),"")</f>
        <v>-14712</v>
      </c>
      <c r="P786" s="27" t="str">
        <f>RIGHT(TArticle[[#This Row],[تاریخ]],2)</f>
        <v>03</v>
      </c>
      <c r="Q786" s="27">
        <f>VLOOKUP(TArticle[[#This Row],[تاریخ]],TDays[],16,FALSE)</f>
        <v>45</v>
      </c>
      <c r="R786" s="27" t="str">
        <f>RIGHT(LEFT(TArticle[[#This Row],[تاریخ]],7),2)</f>
        <v>11</v>
      </c>
      <c r="S786" s="27" t="str">
        <f>LEFT(TArticle[[#This Row],[تاریخ]],4)</f>
        <v>1405</v>
      </c>
      <c r="U786" s="21">
        <f>VLOOKUP(TArticle[[#This Row],[شناسه]],TAccount[],7,TRUE)</f>
        <v>81652</v>
      </c>
      <c r="W786" s="21">
        <f>IF(AND(TArticle[[#This Row],[مبلغ]]&gt;0, TArticle[[#This Row],[کد وضعیت سند]]=1),TArticle[[#This Row],[مبلغ]],0)</f>
        <v>0</v>
      </c>
      <c r="X786" s="27">
        <f>IF(AND(TArticle[[#This Row],[مبلغ]]&lt;0,TArticle[[#This Row],[کد وضعیت سند]]=1),0-TArticle[[#This Row],[مبلغ]],0)</f>
        <v>0</v>
      </c>
      <c r="Y786" s="27">
        <v>2</v>
      </c>
      <c r="Z786" s="171" t="str">
        <f>IF(TArticle[[#This Row],[کد بانک]]&gt;0,VLOOKUP(TArticle[[#This Row],[کد بانک]],TBank[],2,FALSE),"")</f>
        <v>ملی جاری</v>
      </c>
      <c r="AA786">
        <f>IF(AND(TArticle[[#This Row],[مبلغ]]&lt;0,TArticle[[#This Row],[کد وضعیت سند]]=1),0-TArticle[[#This Row],[مبلغ]],0)</f>
        <v>0</v>
      </c>
      <c r="AB786">
        <f>IF(AND(TArticle[[#This Row],[مبلغ]]&gt;0, TArticle[[#This Row],[کد وضعیت سند]]=1),TArticle[[#This Row],[مبلغ]],0)</f>
        <v>0</v>
      </c>
      <c r="AC786" s="84">
        <f>IF(TArticle[[#This Row],[کد بانک]]&gt;0,VLOOKUP(TArticle[[#This Row],[کد بانک]],TBank[],9,FALSE)+SUMIF($Y$2:Y786,Y786,$E$2:$E786),"")</f>
        <v>1300547</v>
      </c>
      <c r="AD786" s="1">
        <f>IFERROR(IF(INT(LEFT(TArticle[[#This Row],[شناسه]]))=3,IF(TArticle[[#This Row],[کد وضعیت سند]]=1,TArticle[مبلغ],0),0),0)</f>
        <v>0</v>
      </c>
      <c r="AE786" s="1">
        <f>IFERROR(IF(((TArticle[[#This Row],[شناسه]]))="4.1.1",IF(TArticle[[#This Row],[کد وضعیت سند]]=1,TArticle[مبلغ],0),0),0)</f>
        <v>0</v>
      </c>
      <c r="AF786" s="1">
        <f>IFERROR(IF(((TArticle[[#This Row],[شناسه]]))="4.1.2",IF(TArticle[[#This Row],[کد وضعیت سند]]=1,TArticle[مبلغ],0),0),0)</f>
        <v>0</v>
      </c>
      <c r="AG786" s="1">
        <f>IFERROR(IF(INT(LEFT(TArticle[[#This Row],[شناسه]]))=1,IF(TArticle[[#This Row],[کد وضعیت سند]]=1,TArticle[مبلغ],0),0),0)</f>
        <v>0</v>
      </c>
      <c r="AH786" s="1">
        <f>IFERROR(IF(INT(LEFT(TArticle[[#This Row],[شناسه]]))=2,IF(TArticle[[#This Row],[کد وضعیت سند]]=1,TArticle[مبلغ],0),0),0)</f>
        <v>0</v>
      </c>
      <c r="AI786" s="1">
        <f>IFERROR(IF((LEFT(TArticle[[#This Row],[شناسه]],3))="5.2",IF(TArticle[[#This Row],[کد وضعیت سند]]=1,TArticle[مبلغ],0),0),0)</f>
        <v>0</v>
      </c>
      <c r="AJ786" s="1">
        <f>IF(TArticle[[#This Row],[کد وضعیت سند]]=1,1,0)</f>
        <v>0</v>
      </c>
      <c r="AK786" s="1">
        <f>IF(AND(TArticle[[#This Row],[کد وضعیت سند]]&lt;&gt;1,TArticle[[#This Row],[مبلغ]]&lt;&gt;0),1,0)</f>
        <v>1</v>
      </c>
      <c r="AL786" s="51">
        <f>IF(TArticle[[#This Row],[کد بانک]]&gt;0,TArticle[[#This Row],[مانده بانک]]-VLOOKUP(TArticle[[#This Row],[کد بانک]],TBank[],7,FALSE),"")</f>
        <v>1300547</v>
      </c>
      <c r="AM786" s="49" t="str">
        <f>LEFT(TArticle[[#This Row],[تاریخ]],7)</f>
        <v>1405-11</v>
      </c>
    </row>
    <row r="787" spans="1:39" x14ac:dyDescent="0.25">
      <c r="A787" s="24" t="s">
        <v>1110</v>
      </c>
      <c r="B787" s="49" t="str">
        <f>VLOOKUP(TArticle[[#This Row],[شناسه]],TAccount[],2,TRUE)</f>
        <v>قسط وام بانکی</v>
      </c>
      <c r="C787" s="49" t="str">
        <f>VLOOKUP(TArticle[[#This Row],[تاریخ]],TDays[],7,FALSE)</f>
        <v>یکشنبه</v>
      </c>
      <c r="D787" s="21" t="s">
        <v>2383</v>
      </c>
      <c r="E787" s="1">
        <v>-1224</v>
      </c>
      <c r="F787" s="1">
        <f>TArticle[[#This Row],[مبلغ]]+IFERROR(INT(F786),30181+3667+958)</f>
        <v>1257671</v>
      </c>
      <c r="G787" s="49"/>
      <c r="H787" s="21">
        <v>42</v>
      </c>
      <c r="K787" s="64">
        <v>2</v>
      </c>
      <c r="L787" s="171" t="str">
        <f>IF(TArticle[[#This Row],[کد وضعیت سند]]&gt;0,VLOOKUP(TArticle[[#This Row],[کد وضعیت سند]],TDocState[],2,FALSE),"")</f>
        <v>قطعی</v>
      </c>
      <c r="M787" s="27">
        <v>115</v>
      </c>
      <c r="N787" s="171" t="str">
        <f>IF(TArticle[[#This Row],[کد طرف حساب]]&gt;0,VLOOKUP(TArticle[[#This Row],[کد طرف حساب]],TContact[],2,FALSE),"")</f>
        <v>وام فرزند مهر</v>
      </c>
      <c r="O787" s="61">
        <f>IF(TArticle[[#This Row],[کد طرف حساب]]&gt;0,VLOOKUP(TArticle[[#This Row],[کد طرف حساب]],TContact[],7,FALSE)-SUMIF($M$2:M787,M787,$E$2:$E787),"")</f>
        <v>-13488</v>
      </c>
      <c r="P787" s="27" t="str">
        <f>RIGHT(TArticle[[#This Row],[تاریخ]],2)</f>
        <v>03</v>
      </c>
      <c r="Q787" s="27">
        <f>VLOOKUP(TArticle[[#This Row],[تاریخ]],TDays[],16,FALSE)</f>
        <v>50</v>
      </c>
      <c r="R787" s="27" t="str">
        <f>RIGHT(LEFT(TArticle[[#This Row],[تاریخ]],7),2)</f>
        <v>12</v>
      </c>
      <c r="S787" s="27" t="str">
        <f>LEFT(TArticle[[#This Row],[تاریخ]],4)</f>
        <v>1405</v>
      </c>
      <c r="U787" s="21">
        <f>VLOOKUP(TArticle[[#This Row],[شناسه]],TAccount[],7,TRUE)</f>
        <v>81652</v>
      </c>
      <c r="W787" s="21">
        <f>IF(AND(TArticle[[#This Row],[مبلغ]]&gt;0, TArticle[[#This Row],[کد وضعیت سند]]=1),TArticle[[#This Row],[مبلغ]],0)</f>
        <v>0</v>
      </c>
      <c r="X787" s="27">
        <f>IF(AND(TArticle[[#This Row],[مبلغ]]&lt;0,TArticle[[#This Row],[کد وضعیت سند]]=1),0-TArticle[[#This Row],[مبلغ]],0)</f>
        <v>0</v>
      </c>
      <c r="Y787" s="27">
        <v>2</v>
      </c>
      <c r="Z787" s="171" t="str">
        <f>IF(TArticle[[#This Row],[کد بانک]]&gt;0,VLOOKUP(TArticle[[#This Row],[کد بانک]],TBank[],2,FALSE),"")</f>
        <v>ملی جاری</v>
      </c>
      <c r="AA787">
        <f>IF(AND(TArticle[[#This Row],[مبلغ]]&lt;0,TArticle[[#This Row],[کد وضعیت سند]]=1),0-TArticle[[#This Row],[مبلغ]],0)</f>
        <v>0</v>
      </c>
      <c r="AB787">
        <f>IF(AND(TArticle[[#This Row],[مبلغ]]&gt;0, TArticle[[#This Row],[کد وضعیت سند]]=1),TArticle[[#This Row],[مبلغ]],0)</f>
        <v>0</v>
      </c>
      <c r="AC787" s="84">
        <f>IF(TArticle[[#This Row],[کد بانک]]&gt;0,VLOOKUP(TArticle[[#This Row],[کد بانک]],TBank[],9,FALSE)+SUMIF($Y$2:Y787,Y787,$E$2:$E787),"")</f>
        <v>1299323</v>
      </c>
      <c r="AD787" s="1">
        <f>IFERROR(IF(INT(LEFT(TArticle[[#This Row],[شناسه]]))=3,IF(TArticle[[#This Row],[کد وضعیت سند]]=1,TArticle[مبلغ],0),0),0)</f>
        <v>0</v>
      </c>
      <c r="AE787" s="1">
        <f>IFERROR(IF(((TArticle[[#This Row],[شناسه]]))="4.1.1",IF(TArticle[[#This Row],[کد وضعیت سند]]=1,TArticle[مبلغ],0),0),0)</f>
        <v>0</v>
      </c>
      <c r="AF787" s="1">
        <f>IFERROR(IF(((TArticle[[#This Row],[شناسه]]))="4.1.2",IF(TArticle[[#This Row],[کد وضعیت سند]]=1,TArticle[مبلغ],0),0),0)</f>
        <v>0</v>
      </c>
      <c r="AG787" s="1">
        <f>IFERROR(IF(INT(LEFT(TArticle[[#This Row],[شناسه]]))=1,IF(TArticle[[#This Row],[کد وضعیت سند]]=1,TArticle[مبلغ],0),0),0)</f>
        <v>0</v>
      </c>
      <c r="AH787" s="1">
        <f>IFERROR(IF(INT(LEFT(TArticle[[#This Row],[شناسه]]))=2,IF(TArticle[[#This Row],[کد وضعیت سند]]=1,TArticle[مبلغ],0),0),0)</f>
        <v>0</v>
      </c>
      <c r="AI787" s="1">
        <f>IFERROR(IF((LEFT(TArticle[[#This Row],[شناسه]],3))="5.2",IF(TArticle[[#This Row],[کد وضعیت سند]]=1,TArticle[مبلغ],0),0),0)</f>
        <v>0</v>
      </c>
      <c r="AJ787" s="1">
        <f>IF(TArticle[[#This Row],[کد وضعیت سند]]=1,1,0)</f>
        <v>0</v>
      </c>
      <c r="AK787" s="1">
        <f>IF(AND(TArticle[[#This Row],[کد وضعیت سند]]&lt;&gt;1,TArticle[[#This Row],[مبلغ]]&lt;&gt;0),1,0)</f>
        <v>1</v>
      </c>
      <c r="AL787" s="51">
        <f>IF(TArticle[[#This Row],[کد بانک]]&gt;0,TArticle[[#This Row],[مانده بانک]]-VLOOKUP(TArticle[[#This Row],[کد بانک]],TBank[],7,FALSE),"")</f>
        <v>1299323</v>
      </c>
      <c r="AM787" s="49" t="str">
        <f>LEFT(TArticle[[#This Row],[تاریخ]],7)</f>
        <v>1405-12</v>
      </c>
    </row>
    <row r="788" spans="1:39" x14ac:dyDescent="0.25">
      <c r="A788" s="24" t="s">
        <v>1110</v>
      </c>
      <c r="B788" s="49" t="str">
        <f>VLOOKUP(TArticle[[#This Row],[شناسه]],TAccount[],2,TRUE)</f>
        <v>قسط وام بانکی</v>
      </c>
      <c r="C788" s="49" t="str">
        <f>VLOOKUP(TArticle[[#This Row],[تاریخ]],TDays[],7,FALSE)</f>
        <v>دوشنبه</v>
      </c>
      <c r="D788" s="21" t="s">
        <v>2445</v>
      </c>
      <c r="E788" s="1">
        <v>-1224</v>
      </c>
      <c r="F788" s="1">
        <f>TArticle[[#This Row],[مبلغ]]+IFERROR(INT(F787),30181+3667+958)</f>
        <v>1256447</v>
      </c>
      <c r="G788" s="49"/>
      <c r="H788" s="21">
        <v>43</v>
      </c>
      <c r="K788" s="64">
        <v>2</v>
      </c>
      <c r="L788" s="171" t="str">
        <f>IF(TArticle[[#This Row],[کد وضعیت سند]]&gt;0,VLOOKUP(TArticle[[#This Row],[کد وضعیت سند]],TDocState[],2,FALSE),"")</f>
        <v>قطعی</v>
      </c>
      <c r="M788" s="27">
        <v>115</v>
      </c>
      <c r="N788" s="171" t="str">
        <f>IF(TArticle[[#This Row],[کد طرف حساب]]&gt;0,VLOOKUP(TArticle[[#This Row],[کد طرف حساب]],TContact[],2,FALSE),"")</f>
        <v>وام فرزند مهر</v>
      </c>
      <c r="O788" s="51">
        <f>IF(TArticle[[#This Row],[کد طرف حساب]]&gt;0,VLOOKUP(TArticle[[#This Row],[کد طرف حساب]],TContact[],7,FALSE)-SUMIF($M$2:M788,M788,$E$2:$E788),"")</f>
        <v>-12264</v>
      </c>
      <c r="P788" s="27" t="str">
        <f>RIGHT(TArticle[[#This Row],[تاریخ]],2)</f>
        <v>03</v>
      </c>
      <c r="Q788" s="27">
        <f>VLOOKUP(TArticle[[#This Row],[تاریخ]],TDays[],16,FALSE)</f>
        <v>1</v>
      </c>
      <c r="R788" s="27" t="str">
        <f>RIGHT(LEFT(TArticle[[#This Row],[تاریخ]],7),2)</f>
        <v>01</v>
      </c>
      <c r="S788" s="27" t="str">
        <f>LEFT(TArticle[[#This Row],[تاریخ]],4)</f>
        <v>1406</v>
      </c>
      <c r="U788" s="21">
        <f>VLOOKUP(TArticle[[#This Row],[شناسه]],TAccount[],7,TRUE)</f>
        <v>81652</v>
      </c>
      <c r="W788" s="21">
        <f>IF(AND(TArticle[[#This Row],[مبلغ]]&gt;0, TArticle[[#This Row],[کد وضعیت سند]]=1),TArticle[[#This Row],[مبلغ]],0)</f>
        <v>0</v>
      </c>
      <c r="X788" s="27">
        <f>IF(AND(TArticle[[#This Row],[مبلغ]]&lt;0,TArticle[[#This Row],[کد وضعیت سند]]=1),0-TArticle[[#This Row],[مبلغ]],0)</f>
        <v>0</v>
      </c>
      <c r="Y788" s="27">
        <v>2</v>
      </c>
      <c r="Z788" s="171" t="str">
        <f>IF(TArticle[[#This Row],[کد بانک]]&gt;0,VLOOKUP(TArticle[[#This Row],[کد بانک]],TBank[],2,FALSE),"")</f>
        <v>ملی جاری</v>
      </c>
      <c r="AA788">
        <f>IF(AND(TArticle[[#This Row],[مبلغ]]&lt;0,TArticle[[#This Row],[کد وضعیت سند]]=1),0-TArticle[[#This Row],[مبلغ]],0)</f>
        <v>0</v>
      </c>
      <c r="AB788">
        <f>IF(AND(TArticle[[#This Row],[مبلغ]]&gt;0, TArticle[[#This Row],[کد وضعیت سند]]=1),TArticle[[#This Row],[مبلغ]],0)</f>
        <v>0</v>
      </c>
      <c r="AC788" s="84">
        <f>IF(TArticle[[#This Row],[کد بانک]]&gt;0,VLOOKUP(TArticle[[#This Row],[کد بانک]],TBank[],9,FALSE)+SUMIF($Y$2:Y788,Y788,$E$2:$E788),"")</f>
        <v>1298099</v>
      </c>
      <c r="AD788" s="1">
        <f>IFERROR(IF(INT(LEFT(TArticle[[#This Row],[شناسه]]))=3,IF(TArticle[[#This Row],[کد وضعیت سند]]=1,TArticle[مبلغ],0),0),0)</f>
        <v>0</v>
      </c>
      <c r="AE788" s="1">
        <f>IFERROR(IF(((TArticle[[#This Row],[شناسه]]))="4.1.1",IF(TArticle[[#This Row],[کد وضعیت سند]]=1,TArticle[مبلغ],0),0),0)</f>
        <v>0</v>
      </c>
      <c r="AF788" s="1">
        <f>IFERROR(IF(((TArticle[[#This Row],[شناسه]]))="4.1.2",IF(TArticle[[#This Row],[کد وضعیت سند]]=1,TArticle[مبلغ],0),0),0)</f>
        <v>0</v>
      </c>
      <c r="AG788" s="1">
        <f>IFERROR(IF(INT(LEFT(TArticle[[#This Row],[شناسه]]))=1,IF(TArticle[[#This Row],[کد وضعیت سند]]=1,TArticle[مبلغ],0),0),0)</f>
        <v>0</v>
      </c>
      <c r="AH788" s="1">
        <f>IFERROR(IF(INT(LEFT(TArticle[[#This Row],[شناسه]]))=2,IF(TArticle[[#This Row],[کد وضعیت سند]]=1,TArticle[مبلغ],0),0),0)</f>
        <v>0</v>
      </c>
      <c r="AI788" s="1">
        <f>IFERROR(IF((LEFT(TArticle[[#This Row],[شناسه]],3))="5.2",IF(TArticle[[#This Row],[کد وضعیت سند]]=1,TArticle[مبلغ],0),0),0)</f>
        <v>0</v>
      </c>
      <c r="AJ788" s="1">
        <f>IF(TArticle[[#This Row],[کد وضعیت سند]]=1,1,0)</f>
        <v>0</v>
      </c>
      <c r="AK788" s="1">
        <f>IF(AND(TArticle[[#This Row],[کد وضعیت سند]]&lt;&gt;1,TArticle[[#This Row],[مبلغ]]&lt;&gt;0),1,0)</f>
        <v>1</v>
      </c>
      <c r="AL788" s="51">
        <f>IF(TArticle[[#This Row],[کد بانک]]&gt;0,TArticle[[#This Row],[مانده بانک]]-VLOOKUP(TArticle[[#This Row],[کد بانک]],TBank[],7,FALSE),"")</f>
        <v>1298099</v>
      </c>
      <c r="AM788" s="49" t="str">
        <f>LEFT(TArticle[[#This Row],[تاریخ]],7)</f>
        <v>1406-01</v>
      </c>
    </row>
    <row r="789" spans="1:39" x14ac:dyDescent="0.25">
      <c r="A789" s="24" t="s">
        <v>1110</v>
      </c>
      <c r="B789" s="49" t="str">
        <f>VLOOKUP(TArticle[[#This Row],[شناسه]],TAccount[],2,TRUE)</f>
        <v>قسط وام بانکی</v>
      </c>
      <c r="C789" s="49" t="str">
        <f>VLOOKUP(TArticle[[#This Row],[تاریخ]],TDays[],7,FALSE)</f>
        <v>پنجشنبه</v>
      </c>
      <c r="D789" s="21" t="s">
        <v>2476</v>
      </c>
      <c r="E789" s="1">
        <v>-1224</v>
      </c>
      <c r="F789" s="1">
        <f>TArticle[[#This Row],[مبلغ]]+IFERROR(INT(F788),30181+3667+958)</f>
        <v>1255223</v>
      </c>
      <c r="G789" s="49"/>
      <c r="H789" s="21">
        <v>44</v>
      </c>
      <c r="K789" s="64">
        <v>2</v>
      </c>
      <c r="L789" s="171" t="str">
        <f>IF(TArticle[[#This Row],[کد وضعیت سند]]&gt;0,VLOOKUP(TArticle[[#This Row],[کد وضعیت سند]],TDocState[],2,FALSE),"")</f>
        <v>قطعی</v>
      </c>
      <c r="M789" s="27">
        <v>115</v>
      </c>
      <c r="N789" s="171" t="str">
        <f>IF(TArticle[[#This Row],[کد طرف حساب]]&gt;0,VLOOKUP(TArticle[[#This Row],[کد طرف حساب]],TContact[],2,FALSE),"")</f>
        <v>وام فرزند مهر</v>
      </c>
      <c r="O789" s="51">
        <f>IF(TArticle[[#This Row],[کد طرف حساب]]&gt;0,VLOOKUP(TArticle[[#This Row],[کد طرف حساب]],TContact[],7,FALSE)-SUMIF($M$2:M789,M789,$E$2:$E789),"")</f>
        <v>-11040</v>
      </c>
      <c r="P789" s="27" t="str">
        <f>RIGHT(TArticle[[#This Row],[تاریخ]],2)</f>
        <v>03</v>
      </c>
      <c r="Q789" s="27">
        <f>VLOOKUP(TArticle[[#This Row],[تاریخ]],TDays[],16,FALSE)</f>
        <v>6</v>
      </c>
      <c r="R789" s="27" t="str">
        <f>RIGHT(LEFT(TArticle[[#This Row],[تاریخ]],7),2)</f>
        <v>02</v>
      </c>
      <c r="S789" s="27" t="str">
        <f>LEFT(TArticle[[#This Row],[تاریخ]],4)</f>
        <v>1406</v>
      </c>
      <c r="U789" s="21">
        <f>VLOOKUP(TArticle[[#This Row],[شناسه]],TAccount[],7,TRUE)</f>
        <v>81652</v>
      </c>
      <c r="W789" s="21">
        <f>IF(AND(TArticle[[#This Row],[مبلغ]]&gt;0, TArticle[[#This Row],[کد وضعیت سند]]=1),TArticle[[#This Row],[مبلغ]],0)</f>
        <v>0</v>
      </c>
      <c r="X789" s="21">
        <f>IF(AND(TArticle[[#This Row],[مبلغ]]&lt;0,TArticle[[#This Row],[کد وضعیت سند]]=1),0-TArticle[[#This Row],[مبلغ]],0)</f>
        <v>0</v>
      </c>
      <c r="Y789" s="27">
        <v>2</v>
      </c>
      <c r="Z789" s="171" t="str">
        <f>IF(TArticle[[#This Row],[کد بانک]]&gt;0,VLOOKUP(TArticle[[#This Row],[کد بانک]],TBank[],2,FALSE),"")</f>
        <v>ملی جاری</v>
      </c>
      <c r="AA789">
        <f>IF(AND(TArticle[[#This Row],[مبلغ]]&lt;0,TArticle[[#This Row],[کد وضعیت سند]]=1),0-TArticle[[#This Row],[مبلغ]],0)</f>
        <v>0</v>
      </c>
      <c r="AB789">
        <f>IF(AND(TArticle[[#This Row],[مبلغ]]&gt;0, TArticle[[#This Row],[کد وضعیت سند]]=1),TArticle[[#This Row],[مبلغ]],0)</f>
        <v>0</v>
      </c>
      <c r="AC789" s="84">
        <f>IF(TArticle[[#This Row],[کد بانک]]&gt;0,VLOOKUP(TArticle[[#This Row],[کد بانک]],TBank[],9,FALSE)+SUMIF($Y$2:Y789,Y789,$E$2:$E789),"")</f>
        <v>1296875</v>
      </c>
      <c r="AD789" s="1">
        <f>IFERROR(IF(INT(LEFT(TArticle[[#This Row],[شناسه]]))=3,IF(TArticle[[#This Row],[کد وضعیت سند]]=1,TArticle[مبلغ],0),0),0)</f>
        <v>0</v>
      </c>
      <c r="AE789" s="1">
        <f>IFERROR(IF(((TArticle[[#This Row],[شناسه]]))="4.1.1",IF(TArticle[[#This Row],[کد وضعیت سند]]=1,TArticle[مبلغ],0),0),0)</f>
        <v>0</v>
      </c>
      <c r="AF789" s="1">
        <f>IFERROR(IF(((TArticle[[#This Row],[شناسه]]))="4.1.2",IF(TArticle[[#This Row],[کد وضعیت سند]]=1,TArticle[مبلغ],0),0),0)</f>
        <v>0</v>
      </c>
      <c r="AG789" s="1">
        <f>IFERROR(IF(INT(LEFT(TArticle[[#This Row],[شناسه]]))=1,IF(TArticle[[#This Row],[کد وضعیت سند]]=1,TArticle[مبلغ],0),0),0)</f>
        <v>0</v>
      </c>
      <c r="AH789" s="1">
        <f>IFERROR(IF(INT(LEFT(TArticle[[#This Row],[شناسه]]))=2,IF(TArticle[[#This Row],[کد وضعیت سند]]=1,TArticle[مبلغ],0),0),0)</f>
        <v>0</v>
      </c>
      <c r="AI789" s="1">
        <f>IFERROR(IF((LEFT(TArticle[[#This Row],[شناسه]],3))="5.2",IF(TArticle[[#This Row],[کد وضعیت سند]]=1,TArticle[مبلغ],0),0),0)</f>
        <v>0</v>
      </c>
      <c r="AJ789" s="1">
        <f>IF(TArticle[[#This Row],[کد وضعیت سند]]=1,1,0)</f>
        <v>0</v>
      </c>
      <c r="AK789" s="1">
        <f>IF(AND(TArticle[[#This Row],[کد وضعیت سند]]&lt;&gt;1,TArticle[[#This Row],[مبلغ]]&lt;&gt;0),1,0)</f>
        <v>1</v>
      </c>
      <c r="AL789" s="51">
        <f>IF(TArticle[[#This Row],[کد بانک]]&gt;0,TArticle[[#This Row],[مانده بانک]]-VLOOKUP(TArticle[[#This Row],[کد بانک]],TBank[],7,FALSE),"")</f>
        <v>1296875</v>
      </c>
      <c r="AM789" s="58" t="str">
        <f>LEFT(TArticle[[#This Row],[تاریخ]],7)</f>
        <v>1406-02</v>
      </c>
    </row>
    <row r="790" spans="1:39" x14ac:dyDescent="0.25">
      <c r="A790" s="24" t="s">
        <v>1110</v>
      </c>
      <c r="B790" s="49" t="str">
        <f>VLOOKUP(TArticle[[#This Row],[شناسه]],TAccount[],2,TRUE)</f>
        <v>قسط وام بانکی</v>
      </c>
      <c r="C790" s="49" t="str">
        <f>VLOOKUP(TArticle[[#This Row],[تاریخ]],TDays[],7,FALSE)</f>
        <v>یکشنبه</v>
      </c>
      <c r="D790" s="21" t="s">
        <v>2507</v>
      </c>
      <c r="E790" s="1">
        <v>-1224</v>
      </c>
      <c r="F790" s="1">
        <f>TArticle[[#This Row],[مبلغ]]+IFERROR(INT(F789),30181+3667+958)</f>
        <v>1253999</v>
      </c>
      <c r="G790" s="49"/>
      <c r="H790" s="21">
        <v>45</v>
      </c>
      <c r="K790" s="64">
        <v>2</v>
      </c>
      <c r="L790" s="171" t="str">
        <f>IF(TArticle[[#This Row],[کد وضعیت سند]]&gt;0,VLOOKUP(TArticle[[#This Row],[کد وضعیت سند]],TDocState[],2,FALSE),"")</f>
        <v>قطعی</v>
      </c>
      <c r="M790" s="27">
        <v>115</v>
      </c>
      <c r="N790" s="171" t="str">
        <f>IF(TArticle[[#This Row],[کد طرف حساب]]&gt;0,VLOOKUP(TArticle[[#This Row],[کد طرف حساب]],TContact[],2,FALSE),"")</f>
        <v>وام فرزند مهر</v>
      </c>
      <c r="O790" s="61">
        <f>IF(TArticle[[#This Row],[کد طرف حساب]]&gt;0,VLOOKUP(TArticle[[#This Row],[کد طرف حساب]],TContact[],7,FALSE)-SUMIF($M$2:M790,M790,$E$2:$E790),"")</f>
        <v>-9816</v>
      </c>
      <c r="P790" s="27" t="str">
        <f>RIGHT(TArticle[[#This Row],[تاریخ]],2)</f>
        <v>03</v>
      </c>
      <c r="Q790" s="27">
        <f>VLOOKUP(TArticle[[#This Row],[تاریخ]],TDays[],16,FALSE)</f>
        <v>10</v>
      </c>
      <c r="R790" s="27" t="str">
        <f>RIGHT(LEFT(TArticle[[#This Row],[تاریخ]],7),2)</f>
        <v>03</v>
      </c>
      <c r="S790" s="27" t="str">
        <f>LEFT(TArticle[[#This Row],[تاریخ]],4)</f>
        <v>1406</v>
      </c>
      <c r="U790" s="21">
        <f>VLOOKUP(TArticle[[#This Row],[شناسه]],TAccount[],7,TRUE)</f>
        <v>81652</v>
      </c>
      <c r="W790" s="21">
        <f>IF(AND(TArticle[[#This Row],[مبلغ]]&gt;0, TArticle[[#This Row],[کد وضعیت سند]]=1),TArticle[[#This Row],[مبلغ]],0)</f>
        <v>0</v>
      </c>
      <c r="X790" s="27">
        <f>IF(AND(TArticle[[#This Row],[مبلغ]]&lt;0,TArticle[[#This Row],[کد وضعیت سند]]=1),0-TArticle[[#This Row],[مبلغ]],0)</f>
        <v>0</v>
      </c>
      <c r="Y790" s="27">
        <v>2</v>
      </c>
      <c r="Z790" s="171" t="str">
        <f>IF(TArticle[[#This Row],[کد بانک]]&gt;0,VLOOKUP(TArticle[[#This Row],[کد بانک]],TBank[],2,FALSE),"")</f>
        <v>ملی جاری</v>
      </c>
      <c r="AA790">
        <f>IF(AND(TArticle[[#This Row],[مبلغ]]&lt;0,TArticle[[#This Row],[کد وضعیت سند]]=1),0-TArticle[[#This Row],[مبلغ]],0)</f>
        <v>0</v>
      </c>
      <c r="AB790">
        <f>IF(AND(TArticle[[#This Row],[مبلغ]]&gt;0, TArticle[[#This Row],[کد وضعیت سند]]=1),TArticle[[#This Row],[مبلغ]],0)</f>
        <v>0</v>
      </c>
      <c r="AC790" s="84">
        <f>IF(TArticle[[#This Row],[کد بانک]]&gt;0,VLOOKUP(TArticle[[#This Row],[کد بانک]],TBank[],9,FALSE)+SUMIF($Y$2:Y790,Y790,$E$2:$E790),"")</f>
        <v>1295651</v>
      </c>
      <c r="AD790" s="1">
        <f>IFERROR(IF(INT(LEFT(TArticle[[#This Row],[شناسه]]))=3,IF(TArticle[[#This Row],[کد وضعیت سند]]=1,TArticle[مبلغ],0),0),0)</f>
        <v>0</v>
      </c>
      <c r="AE790" s="1">
        <f>IFERROR(IF(((TArticle[[#This Row],[شناسه]]))="4.1.1",IF(TArticle[[#This Row],[کد وضعیت سند]]=1,TArticle[مبلغ],0),0),0)</f>
        <v>0</v>
      </c>
      <c r="AF790" s="1">
        <f>IFERROR(IF(((TArticle[[#This Row],[شناسه]]))="4.1.2",IF(TArticle[[#This Row],[کد وضعیت سند]]=1,TArticle[مبلغ],0),0),0)</f>
        <v>0</v>
      </c>
      <c r="AG790" s="1">
        <f>IFERROR(IF(INT(LEFT(TArticle[[#This Row],[شناسه]]))=1,IF(TArticle[[#This Row],[کد وضعیت سند]]=1,TArticle[مبلغ],0),0),0)</f>
        <v>0</v>
      </c>
      <c r="AH790" s="1">
        <f>IFERROR(IF(INT(LEFT(TArticle[[#This Row],[شناسه]]))=2,IF(TArticle[[#This Row],[کد وضعیت سند]]=1,TArticle[مبلغ],0),0),0)</f>
        <v>0</v>
      </c>
      <c r="AI790" s="1">
        <f>IFERROR(IF((LEFT(TArticle[[#This Row],[شناسه]],3))="5.2",IF(TArticle[[#This Row],[کد وضعیت سند]]=1,TArticle[مبلغ],0),0),0)</f>
        <v>0</v>
      </c>
      <c r="AJ790" s="1">
        <f>IF(TArticle[[#This Row],[کد وضعیت سند]]=1,1,0)</f>
        <v>0</v>
      </c>
      <c r="AK790" s="1">
        <f>IF(AND(TArticle[[#This Row],[کد وضعیت سند]]&lt;&gt;1,TArticle[[#This Row],[مبلغ]]&lt;&gt;0),1,0)</f>
        <v>1</v>
      </c>
      <c r="AL790" s="51">
        <f>IF(TArticle[[#This Row],[کد بانک]]&gt;0,TArticle[[#This Row],[مانده بانک]]-VLOOKUP(TArticle[[#This Row],[کد بانک]],TBank[],7,FALSE),"")</f>
        <v>1295651</v>
      </c>
      <c r="AM790" s="49" t="str">
        <f>LEFT(TArticle[[#This Row],[تاریخ]],7)</f>
        <v>1406-03</v>
      </c>
    </row>
    <row r="791" spans="1:39" x14ac:dyDescent="0.25">
      <c r="A791" s="24" t="s">
        <v>1110</v>
      </c>
      <c r="B791" s="49" t="str">
        <f>VLOOKUP(TArticle[[#This Row],[شناسه]],TAccount[],2,TRUE)</f>
        <v>قسط وام بانکی</v>
      </c>
      <c r="C791" s="49" t="str">
        <f>VLOOKUP(TArticle[[#This Row],[تاریخ]],TDays[],7,FALSE)</f>
        <v>چهارشنبه</v>
      </c>
      <c r="D791" s="21" t="s">
        <v>2538</v>
      </c>
      <c r="E791" s="1">
        <v>-1224</v>
      </c>
      <c r="F791" s="1">
        <f>TArticle[[#This Row],[مبلغ]]+IFERROR(INT(F790),30181+3667+958)</f>
        <v>1252775</v>
      </c>
      <c r="G791" s="49"/>
      <c r="H791" s="21">
        <v>46</v>
      </c>
      <c r="K791" s="64">
        <v>2</v>
      </c>
      <c r="L791" s="171" t="str">
        <f>IF(TArticle[[#This Row],[کد وضعیت سند]]&gt;0,VLOOKUP(TArticle[[#This Row],[کد وضعیت سند]],TDocState[],2,FALSE),"")</f>
        <v>قطعی</v>
      </c>
      <c r="M791" s="27">
        <v>115</v>
      </c>
      <c r="N791" s="171" t="str">
        <f>IF(TArticle[[#This Row],[کد طرف حساب]]&gt;0,VLOOKUP(TArticle[[#This Row],[کد طرف حساب]],TContact[],2,FALSE),"")</f>
        <v>وام فرزند مهر</v>
      </c>
      <c r="O791" s="61">
        <f>IF(TArticle[[#This Row],[کد طرف حساب]]&gt;0,VLOOKUP(TArticle[[#This Row],[کد طرف حساب]],TContact[],7,FALSE)-SUMIF($M$2:M791,M791,$E$2:$E791),"")</f>
        <v>-8592</v>
      </c>
      <c r="P791" s="27" t="str">
        <f>RIGHT(TArticle[[#This Row],[تاریخ]],2)</f>
        <v>03</v>
      </c>
      <c r="Q791" s="27">
        <f>VLOOKUP(TArticle[[#This Row],[تاریخ]],TDays[],16,FALSE)</f>
        <v>14</v>
      </c>
      <c r="R791" s="27" t="str">
        <f>RIGHT(LEFT(TArticle[[#This Row],[تاریخ]],7),2)</f>
        <v>04</v>
      </c>
      <c r="S791" s="27" t="str">
        <f>LEFT(TArticle[[#This Row],[تاریخ]],4)</f>
        <v>1406</v>
      </c>
      <c r="U791" s="21">
        <f>VLOOKUP(TArticle[[#This Row],[شناسه]],TAccount[],7,TRUE)</f>
        <v>81652</v>
      </c>
      <c r="W791" s="21">
        <f>IF(AND(TArticle[[#This Row],[مبلغ]]&gt;0, TArticle[[#This Row],[کد وضعیت سند]]=1),TArticle[[#This Row],[مبلغ]],0)</f>
        <v>0</v>
      </c>
      <c r="X791" s="27">
        <f>IF(AND(TArticle[[#This Row],[مبلغ]]&lt;0,TArticle[[#This Row],[کد وضعیت سند]]=1),0-TArticle[[#This Row],[مبلغ]],0)</f>
        <v>0</v>
      </c>
      <c r="Y791" s="27">
        <v>2</v>
      </c>
      <c r="Z791" s="171" t="str">
        <f>IF(TArticle[[#This Row],[کد بانک]]&gt;0,VLOOKUP(TArticle[[#This Row],[کد بانک]],TBank[],2,FALSE),"")</f>
        <v>ملی جاری</v>
      </c>
      <c r="AA791">
        <f>IF(AND(TArticle[[#This Row],[مبلغ]]&lt;0,TArticle[[#This Row],[کد وضعیت سند]]=1),0-TArticle[[#This Row],[مبلغ]],0)</f>
        <v>0</v>
      </c>
      <c r="AB791">
        <f>IF(AND(TArticle[[#This Row],[مبلغ]]&gt;0, TArticle[[#This Row],[کد وضعیت سند]]=1),TArticle[[#This Row],[مبلغ]],0)</f>
        <v>0</v>
      </c>
      <c r="AC791" s="84">
        <f>IF(TArticle[[#This Row],[کد بانک]]&gt;0,VLOOKUP(TArticle[[#This Row],[کد بانک]],TBank[],9,FALSE)+SUMIF($Y$2:Y791,Y791,$E$2:$E791),"")</f>
        <v>1294427</v>
      </c>
      <c r="AD791" s="1">
        <f>IFERROR(IF(INT(LEFT(TArticle[[#This Row],[شناسه]]))=3,IF(TArticle[[#This Row],[کد وضعیت سند]]=1,TArticle[مبلغ],0),0),0)</f>
        <v>0</v>
      </c>
      <c r="AE791" s="1">
        <f>IFERROR(IF(((TArticle[[#This Row],[شناسه]]))="4.1.1",IF(TArticle[[#This Row],[کد وضعیت سند]]=1,TArticle[مبلغ],0),0),0)</f>
        <v>0</v>
      </c>
      <c r="AF791" s="1">
        <f>IFERROR(IF(((TArticle[[#This Row],[شناسه]]))="4.1.2",IF(TArticle[[#This Row],[کد وضعیت سند]]=1,TArticle[مبلغ],0),0),0)</f>
        <v>0</v>
      </c>
      <c r="AG791" s="1">
        <f>IFERROR(IF(INT(LEFT(TArticle[[#This Row],[شناسه]]))=1,IF(TArticle[[#This Row],[کد وضعیت سند]]=1,TArticle[مبلغ],0),0),0)</f>
        <v>0</v>
      </c>
      <c r="AH791" s="1">
        <f>IFERROR(IF(INT(LEFT(TArticle[[#This Row],[شناسه]]))=2,IF(TArticle[[#This Row],[کد وضعیت سند]]=1,TArticle[مبلغ],0),0),0)</f>
        <v>0</v>
      </c>
      <c r="AI791" s="1">
        <f>IFERROR(IF((LEFT(TArticle[[#This Row],[شناسه]],3))="5.2",IF(TArticle[[#This Row],[کد وضعیت سند]]=1,TArticle[مبلغ],0),0),0)</f>
        <v>0</v>
      </c>
      <c r="AJ791" s="1">
        <f>IF(TArticle[[#This Row],[کد وضعیت سند]]=1,1,0)</f>
        <v>0</v>
      </c>
      <c r="AK791" s="1">
        <f>IF(AND(TArticle[[#This Row],[کد وضعیت سند]]&lt;&gt;1,TArticle[[#This Row],[مبلغ]]&lt;&gt;0),1,0)</f>
        <v>1</v>
      </c>
      <c r="AL791" s="51">
        <f>IF(TArticle[[#This Row],[کد بانک]]&gt;0,TArticle[[#This Row],[مانده بانک]]-VLOOKUP(TArticle[[#This Row],[کد بانک]],TBank[],7,FALSE),"")</f>
        <v>1294427</v>
      </c>
      <c r="AM791" s="49" t="str">
        <f>LEFT(TArticle[[#This Row],[تاریخ]],7)</f>
        <v>1406-04</v>
      </c>
    </row>
    <row r="792" spans="1:39" x14ac:dyDescent="0.25">
      <c r="A792" s="24" t="s">
        <v>1110</v>
      </c>
      <c r="B792" s="49" t="str">
        <f>VLOOKUP(TArticle[[#This Row],[شناسه]],TAccount[],2,TRUE)</f>
        <v>قسط وام بانکی</v>
      </c>
      <c r="C792" s="49" t="str">
        <f>VLOOKUP(TArticle[[#This Row],[تاریخ]],TDays[],7,FALSE)</f>
        <v>شنبه</v>
      </c>
      <c r="D792" s="21" t="s">
        <v>2569</v>
      </c>
      <c r="E792" s="1">
        <v>-1224</v>
      </c>
      <c r="F792" s="1">
        <f>TArticle[[#This Row],[مبلغ]]+IFERROR(INT(F791),30181+3667+958)</f>
        <v>1251551</v>
      </c>
      <c r="G792" s="49"/>
      <c r="H792" s="21">
        <v>47</v>
      </c>
      <c r="K792" s="64">
        <v>2</v>
      </c>
      <c r="L792" s="171" t="str">
        <f>IF(TArticle[[#This Row],[کد وضعیت سند]]&gt;0,VLOOKUP(TArticle[[#This Row],[کد وضعیت سند]],TDocState[],2,FALSE),"")</f>
        <v>قطعی</v>
      </c>
      <c r="M792" s="27">
        <v>115</v>
      </c>
      <c r="N792" s="171" t="str">
        <f>IF(TArticle[[#This Row],[کد طرف حساب]]&gt;0,VLOOKUP(TArticle[[#This Row],[کد طرف حساب]],TContact[],2,FALSE),"")</f>
        <v>وام فرزند مهر</v>
      </c>
      <c r="O792" s="61">
        <f>IF(TArticle[[#This Row],[کد طرف حساب]]&gt;0,VLOOKUP(TArticle[[#This Row],[کد طرف حساب]],TContact[],7,FALSE)-SUMIF($M$2:M792,M792,$E$2:$E792),"")</f>
        <v>-7368</v>
      </c>
      <c r="P792" s="27" t="str">
        <f>RIGHT(TArticle[[#This Row],[تاریخ]],2)</f>
        <v>03</v>
      </c>
      <c r="Q792" s="27">
        <f>VLOOKUP(TArticle[[#This Row],[تاریخ]],TDays[],16,FALSE)</f>
        <v>19</v>
      </c>
      <c r="R792" s="27" t="str">
        <f>RIGHT(LEFT(TArticle[[#This Row],[تاریخ]],7),2)</f>
        <v>05</v>
      </c>
      <c r="S792" s="27" t="str">
        <f>LEFT(TArticle[[#This Row],[تاریخ]],4)</f>
        <v>1406</v>
      </c>
      <c r="U792" s="21">
        <f>VLOOKUP(TArticle[[#This Row],[شناسه]],TAccount[],7,TRUE)</f>
        <v>81652</v>
      </c>
      <c r="W792" s="21">
        <f>IF(AND(TArticle[[#This Row],[مبلغ]]&gt;0, TArticle[[#This Row],[کد وضعیت سند]]=1),TArticle[[#This Row],[مبلغ]],0)</f>
        <v>0</v>
      </c>
      <c r="X792" s="27">
        <f>IF(AND(TArticle[[#This Row],[مبلغ]]&lt;0,TArticle[[#This Row],[کد وضعیت سند]]=1),0-TArticle[[#This Row],[مبلغ]],0)</f>
        <v>0</v>
      </c>
      <c r="Y792" s="27">
        <v>2</v>
      </c>
      <c r="Z792" s="171" t="str">
        <f>IF(TArticle[[#This Row],[کد بانک]]&gt;0,VLOOKUP(TArticle[[#This Row],[کد بانک]],TBank[],2,FALSE),"")</f>
        <v>ملی جاری</v>
      </c>
      <c r="AA792">
        <f>IF(AND(TArticle[[#This Row],[مبلغ]]&lt;0,TArticle[[#This Row],[کد وضعیت سند]]=1),0-TArticle[[#This Row],[مبلغ]],0)</f>
        <v>0</v>
      </c>
      <c r="AB792">
        <f>IF(AND(TArticle[[#This Row],[مبلغ]]&gt;0, TArticle[[#This Row],[کد وضعیت سند]]=1),TArticle[[#This Row],[مبلغ]],0)</f>
        <v>0</v>
      </c>
      <c r="AC792" s="84">
        <f>IF(TArticle[[#This Row],[کد بانک]]&gt;0,VLOOKUP(TArticle[[#This Row],[کد بانک]],TBank[],9,FALSE)+SUMIF($Y$2:Y792,Y792,$E$2:$E792),"")</f>
        <v>1293203</v>
      </c>
      <c r="AD792" s="1">
        <f>IFERROR(IF(INT(LEFT(TArticle[[#This Row],[شناسه]]))=3,IF(TArticle[[#This Row],[کد وضعیت سند]]=1,TArticle[مبلغ],0),0),0)</f>
        <v>0</v>
      </c>
      <c r="AE792" s="1">
        <f>IFERROR(IF(((TArticle[[#This Row],[شناسه]]))="4.1.1",IF(TArticle[[#This Row],[کد وضعیت سند]]=1,TArticle[مبلغ],0),0),0)</f>
        <v>0</v>
      </c>
      <c r="AF792" s="1">
        <f>IFERROR(IF(((TArticle[[#This Row],[شناسه]]))="4.1.2",IF(TArticle[[#This Row],[کد وضعیت سند]]=1,TArticle[مبلغ],0),0),0)</f>
        <v>0</v>
      </c>
      <c r="AG792" s="1">
        <f>IFERROR(IF(INT(LEFT(TArticle[[#This Row],[شناسه]]))=1,IF(TArticle[[#This Row],[کد وضعیت سند]]=1,TArticle[مبلغ],0),0),0)</f>
        <v>0</v>
      </c>
      <c r="AH792" s="1">
        <f>IFERROR(IF(INT(LEFT(TArticle[[#This Row],[شناسه]]))=2,IF(TArticle[[#This Row],[کد وضعیت سند]]=1,TArticle[مبلغ],0),0),0)</f>
        <v>0</v>
      </c>
      <c r="AI792" s="1">
        <f>IFERROR(IF((LEFT(TArticle[[#This Row],[شناسه]],3))="5.2",IF(TArticle[[#This Row],[کد وضعیت سند]]=1,TArticle[مبلغ],0),0),0)</f>
        <v>0</v>
      </c>
      <c r="AJ792" s="1">
        <f>IF(TArticle[[#This Row],[کد وضعیت سند]]=1,1,0)</f>
        <v>0</v>
      </c>
      <c r="AK792" s="1">
        <f>IF(AND(TArticle[[#This Row],[کد وضعیت سند]]&lt;&gt;1,TArticle[[#This Row],[مبلغ]]&lt;&gt;0),1,0)</f>
        <v>1</v>
      </c>
      <c r="AL792" s="51">
        <f>IF(TArticle[[#This Row],[کد بانک]]&gt;0,TArticle[[#This Row],[مانده بانک]]-VLOOKUP(TArticle[[#This Row],[کد بانک]],TBank[],7,FALSE),"")</f>
        <v>1293203</v>
      </c>
      <c r="AM792" s="49" t="str">
        <f>LEFT(TArticle[[#This Row],[تاریخ]],7)</f>
        <v>1406-05</v>
      </c>
    </row>
    <row r="793" spans="1:39" x14ac:dyDescent="0.25">
      <c r="A793" s="24" t="s">
        <v>1110</v>
      </c>
      <c r="B793" s="49" t="str">
        <f>VLOOKUP(TArticle[[#This Row],[شناسه]],TAccount[],2,TRUE)</f>
        <v>قسط وام بانکی</v>
      </c>
      <c r="C793" s="49" t="str">
        <f>VLOOKUP(TArticle[[#This Row],[تاریخ]],TDays[],7,FALSE)</f>
        <v>سه شنبه</v>
      </c>
      <c r="D793" s="21" t="s">
        <v>2600</v>
      </c>
      <c r="E793" s="1">
        <v>-1224</v>
      </c>
      <c r="F793" s="1">
        <f>TArticle[[#This Row],[مبلغ]]+IFERROR(INT(F792),30181+3667+958)</f>
        <v>1250327</v>
      </c>
      <c r="G793" s="61"/>
      <c r="H793" s="21">
        <v>48</v>
      </c>
      <c r="K793" s="64">
        <v>2</v>
      </c>
      <c r="L793" s="171" t="str">
        <f>IF(TArticle[[#This Row],[کد وضعیت سند]]&gt;0,VLOOKUP(TArticle[[#This Row],[کد وضعیت سند]],TDocState[],2,FALSE),"")</f>
        <v>قطعی</v>
      </c>
      <c r="M793" s="27">
        <v>115</v>
      </c>
      <c r="N793" s="171" t="str">
        <f>IF(TArticle[[#This Row],[کد طرف حساب]]&gt;0,VLOOKUP(TArticle[[#This Row],[کد طرف حساب]],TContact[],2,FALSE),"")</f>
        <v>وام فرزند مهر</v>
      </c>
      <c r="O793" s="61">
        <f>IF(TArticle[[#This Row],[کد طرف حساب]]&gt;0,VLOOKUP(TArticle[[#This Row],[کد طرف حساب]],TContact[],7,FALSE)-SUMIF($M$2:M793,M793,$E$2:$E793),"")</f>
        <v>-6144</v>
      </c>
      <c r="P793" s="27" t="str">
        <f>RIGHT(TArticle[[#This Row],[تاریخ]],2)</f>
        <v>03</v>
      </c>
      <c r="Q793" s="27">
        <f>VLOOKUP(TArticle[[#This Row],[تاریخ]],TDays[],16,FALSE)</f>
        <v>23</v>
      </c>
      <c r="R793" s="27" t="str">
        <f>RIGHT(LEFT(TArticle[[#This Row],[تاریخ]],7),2)</f>
        <v>06</v>
      </c>
      <c r="S793" s="27" t="str">
        <f>LEFT(TArticle[[#This Row],[تاریخ]],4)</f>
        <v>1406</v>
      </c>
      <c r="U793" s="21">
        <f>VLOOKUP(TArticle[[#This Row],[شناسه]],TAccount[],7,TRUE)</f>
        <v>81652</v>
      </c>
      <c r="W793" s="21">
        <f>IF(AND(TArticle[[#This Row],[مبلغ]]&gt;0, TArticle[[#This Row],[کد وضعیت سند]]=1),TArticle[[#This Row],[مبلغ]],0)</f>
        <v>0</v>
      </c>
      <c r="X793" s="27">
        <f>IF(AND(TArticle[[#This Row],[مبلغ]]&lt;0,TArticle[[#This Row],[کد وضعیت سند]]=1),0-TArticle[[#This Row],[مبلغ]],0)</f>
        <v>0</v>
      </c>
      <c r="Y793" s="27">
        <v>2</v>
      </c>
      <c r="Z793" s="171" t="str">
        <f>IF(TArticle[[#This Row],[کد بانک]]&gt;0,VLOOKUP(TArticle[[#This Row],[کد بانک]],TBank[],2,FALSE),"")</f>
        <v>ملی جاری</v>
      </c>
      <c r="AA793">
        <f>IF(AND(TArticle[[#This Row],[مبلغ]]&lt;0,TArticle[[#This Row],[کد وضعیت سند]]=1),0-TArticle[[#This Row],[مبلغ]],0)</f>
        <v>0</v>
      </c>
      <c r="AB793">
        <f>IF(AND(TArticle[[#This Row],[مبلغ]]&gt;0, TArticle[[#This Row],[کد وضعیت سند]]=1),TArticle[[#This Row],[مبلغ]],0)</f>
        <v>0</v>
      </c>
      <c r="AC793" s="84">
        <f>IF(TArticle[[#This Row],[کد بانک]]&gt;0,VLOOKUP(TArticle[[#This Row],[کد بانک]],TBank[],9,FALSE)+SUMIF($Y$2:Y793,Y793,$E$2:$E793),"")</f>
        <v>1291979</v>
      </c>
      <c r="AD793" s="1">
        <f>IFERROR(IF(INT(LEFT(TArticle[[#This Row],[شناسه]]))=3,IF(TArticle[[#This Row],[کد وضعیت سند]]=1,TArticle[مبلغ],0),0),0)</f>
        <v>0</v>
      </c>
      <c r="AE793" s="1">
        <f>IFERROR(IF(((TArticle[[#This Row],[شناسه]]))="4.1.1",IF(TArticle[[#This Row],[کد وضعیت سند]]=1,TArticle[مبلغ],0),0),0)</f>
        <v>0</v>
      </c>
      <c r="AF793" s="1">
        <f>IFERROR(IF(((TArticle[[#This Row],[شناسه]]))="4.1.2",IF(TArticle[[#This Row],[کد وضعیت سند]]=1,TArticle[مبلغ],0),0),0)</f>
        <v>0</v>
      </c>
      <c r="AG793" s="1">
        <f>IFERROR(IF(INT(LEFT(TArticle[[#This Row],[شناسه]]))=1,IF(TArticle[[#This Row],[کد وضعیت سند]]=1,TArticle[مبلغ],0),0),0)</f>
        <v>0</v>
      </c>
      <c r="AH793" s="1">
        <f>IFERROR(IF(INT(LEFT(TArticle[[#This Row],[شناسه]]))=2,IF(TArticle[[#This Row],[کد وضعیت سند]]=1,TArticle[مبلغ],0),0),0)</f>
        <v>0</v>
      </c>
      <c r="AI793" s="1">
        <f>IFERROR(IF((LEFT(TArticle[[#This Row],[شناسه]],3))="5.2",IF(TArticle[[#This Row],[کد وضعیت سند]]=1,TArticle[مبلغ],0),0),0)</f>
        <v>0</v>
      </c>
      <c r="AJ793" s="1">
        <f>IF(TArticle[[#This Row],[کد وضعیت سند]]=1,1,0)</f>
        <v>0</v>
      </c>
      <c r="AK793" s="1">
        <f>IF(AND(TArticle[[#This Row],[کد وضعیت سند]]&lt;&gt;1,TArticle[[#This Row],[مبلغ]]&lt;&gt;0),1,0)</f>
        <v>1</v>
      </c>
      <c r="AL793" s="51">
        <f>IF(TArticle[[#This Row],[کد بانک]]&gt;0,TArticle[[#This Row],[مانده بانک]]-VLOOKUP(TArticle[[#This Row],[کد بانک]],TBank[],7,FALSE),"")</f>
        <v>1291979</v>
      </c>
      <c r="AM793" s="49" t="str">
        <f>LEFT(TArticle[[#This Row],[تاریخ]],7)</f>
        <v>1406-06</v>
      </c>
    </row>
    <row r="794" spans="1:39" x14ac:dyDescent="0.25">
      <c r="A794" s="24" t="s">
        <v>1110</v>
      </c>
      <c r="B794" s="49" t="str">
        <f>VLOOKUP(TArticle[[#This Row],[شناسه]],TAccount[],2,TRUE)</f>
        <v>قسط وام بانکی</v>
      </c>
      <c r="C794" s="49" t="str">
        <f>VLOOKUP(TArticle[[#This Row],[تاریخ]],TDays[],7,FALSE)</f>
        <v>جمعه</v>
      </c>
      <c r="D794" s="21" t="s">
        <v>2631</v>
      </c>
      <c r="E794" s="1">
        <v>-123</v>
      </c>
      <c r="F794" s="1">
        <f>TArticle[[#This Row],[مبلغ]]+IFERROR(INT(F793),30181+3667+958)</f>
        <v>1250204</v>
      </c>
      <c r="G794" s="61" t="s">
        <v>1108</v>
      </c>
      <c r="H794" s="21">
        <v>49</v>
      </c>
      <c r="K794" s="64">
        <v>2</v>
      </c>
      <c r="L794" s="171" t="str">
        <f>IF(TArticle[[#This Row],[کد وضعیت سند]]&gt;0,VLOOKUP(TArticle[[#This Row],[کد وضعیت سند]],TDocState[],2,FALSE),"")</f>
        <v>قطعی</v>
      </c>
      <c r="M794" s="27">
        <v>115.1</v>
      </c>
      <c r="N794" s="171" t="str">
        <f>IF(TArticle[[#This Row],[کد طرف حساب]]&gt;0,VLOOKUP(TArticle[[#This Row],[کد طرف حساب]],TContact[],2,FALSE),"")</f>
        <v>سود فرزند مهر</v>
      </c>
      <c r="O794" s="61">
        <f>IF(TArticle[[#This Row],[کد طرف حساب]]&gt;0,VLOOKUP(TArticle[[#This Row],[کد طرف حساب]],TContact[],7,FALSE)-SUMIF($M$2:M794,M794,$E$2:$E794),"")</f>
        <v>0</v>
      </c>
      <c r="P794" s="27" t="str">
        <f>RIGHT(TArticle[[#This Row],[تاریخ]],2)</f>
        <v>03</v>
      </c>
      <c r="Q794" s="27">
        <f>VLOOKUP(TArticle[[#This Row],[تاریخ]],TDays[],16,FALSE)</f>
        <v>28</v>
      </c>
      <c r="R794" s="27" t="str">
        <f>RIGHT(LEFT(TArticle[[#This Row],[تاریخ]],7),2)</f>
        <v>07</v>
      </c>
      <c r="S794" s="27" t="str">
        <f>LEFT(TArticle[[#This Row],[تاریخ]],4)</f>
        <v>1406</v>
      </c>
      <c r="U794" s="21">
        <f>VLOOKUP(TArticle[[#This Row],[شناسه]],TAccount[],7,TRUE)</f>
        <v>81652</v>
      </c>
      <c r="W794" s="21">
        <f>IF(AND(TArticle[[#This Row],[مبلغ]]&gt;0, TArticle[[#This Row],[کد وضعیت سند]]=1),TArticle[[#This Row],[مبلغ]],0)</f>
        <v>0</v>
      </c>
      <c r="X794" s="27">
        <f>IF(AND(TArticle[[#This Row],[مبلغ]]&lt;0,TArticle[[#This Row],[کد وضعیت سند]]=1),0-TArticle[[#This Row],[مبلغ]],0)</f>
        <v>0</v>
      </c>
      <c r="Y794" s="27">
        <v>2</v>
      </c>
      <c r="Z794" s="171" t="str">
        <f>IF(TArticle[[#This Row],[کد بانک]]&gt;0,VLOOKUP(TArticle[[#This Row],[کد بانک]],TBank[],2,FALSE),"")</f>
        <v>ملی جاری</v>
      </c>
      <c r="AA794">
        <f>IF(AND(TArticle[[#This Row],[مبلغ]]&lt;0,TArticle[[#This Row],[کد وضعیت سند]]=1),0-TArticle[[#This Row],[مبلغ]],0)</f>
        <v>0</v>
      </c>
      <c r="AB794">
        <f>IF(AND(TArticle[[#This Row],[مبلغ]]&gt;0, TArticle[[#This Row],[کد وضعیت سند]]=1),TArticle[[#This Row],[مبلغ]],0)</f>
        <v>0</v>
      </c>
      <c r="AC794" s="84">
        <f>IF(TArticle[[#This Row],[کد بانک]]&gt;0,VLOOKUP(TArticle[[#This Row],[کد بانک]],TBank[],9,FALSE)+SUMIF($Y$2:Y794,Y794,$E$2:$E794),"")</f>
        <v>1291856</v>
      </c>
      <c r="AD794" s="1">
        <f>IFERROR(IF(INT(LEFT(TArticle[[#This Row],[شناسه]]))=3,IF(TArticle[[#This Row],[کد وضعیت سند]]=1,TArticle[مبلغ],0),0),0)</f>
        <v>0</v>
      </c>
      <c r="AE794" s="1">
        <f>IFERROR(IF(((TArticle[[#This Row],[شناسه]]))="4.1.1",IF(TArticle[[#This Row],[کد وضعیت سند]]=1,TArticle[مبلغ],0),0),0)</f>
        <v>0</v>
      </c>
      <c r="AF794" s="1">
        <f>IFERROR(IF(((TArticle[[#This Row],[شناسه]]))="4.1.2",IF(TArticle[[#This Row],[کد وضعیت سند]]=1,TArticle[مبلغ],0),0),0)</f>
        <v>0</v>
      </c>
      <c r="AG794" s="1">
        <f>IFERROR(IF(INT(LEFT(TArticle[[#This Row],[شناسه]]))=1,IF(TArticle[[#This Row],[کد وضعیت سند]]=1,TArticle[مبلغ],0),0),0)</f>
        <v>0</v>
      </c>
      <c r="AH794" s="1">
        <f>IFERROR(IF(INT(LEFT(TArticle[[#This Row],[شناسه]]))=2,IF(TArticle[[#This Row],[کد وضعیت سند]]=1,TArticle[مبلغ],0),0),0)</f>
        <v>0</v>
      </c>
      <c r="AI794" s="1">
        <f>IFERROR(IF((LEFT(TArticle[[#This Row],[شناسه]],3))="5.2",IF(TArticle[[#This Row],[کد وضعیت سند]]=1,TArticle[مبلغ],0),0),0)</f>
        <v>0</v>
      </c>
      <c r="AJ794" s="1">
        <f>IF(TArticle[[#This Row],[کد وضعیت سند]]=1,1,0)</f>
        <v>0</v>
      </c>
      <c r="AK794" s="1">
        <f>IF(AND(TArticle[[#This Row],[کد وضعیت سند]]&lt;&gt;1,TArticle[[#This Row],[مبلغ]]&lt;&gt;0),1,0)</f>
        <v>1</v>
      </c>
      <c r="AL794" s="51">
        <f>IF(TArticle[[#This Row],[کد بانک]]&gt;0,TArticle[[#This Row],[مانده بانک]]-VLOOKUP(TArticle[[#This Row],[کد بانک]],TBank[],7,FALSE),"")</f>
        <v>1291856</v>
      </c>
      <c r="AM794" s="49" t="str">
        <f>LEFT(TArticle[[#This Row],[تاریخ]],7)</f>
        <v>1406-07</v>
      </c>
    </row>
    <row r="795" spans="1:39" x14ac:dyDescent="0.25">
      <c r="A795" s="24" t="s">
        <v>1110</v>
      </c>
      <c r="B795" s="49" t="str">
        <f>VLOOKUP(TArticle[[#This Row],[شناسه]],TAccount[],2,TRUE)</f>
        <v>قسط وام بانکی</v>
      </c>
      <c r="C795" s="49" t="str">
        <f>VLOOKUP(TArticle[[#This Row],[تاریخ]],TDays[],7,FALSE)</f>
        <v>یکشنبه</v>
      </c>
      <c r="D795" s="21" t="s">
        <v>2661</v>
      </c>
      <c r="E795" s="1">
        <v>-1224</v>
      </c>
      <c r="F795" s="1">
        <f>TArticle[[#This Row],[مبلغ]]+IFERROR(INT(F794),30181+3667+958)</f>
        <v>1248980</v>
      </c>
      <c r="G795" s="61"/>
      <c r="H795" s="21">
        <v>50</v>
      </c>
      <c r="K795" s="64">
        <v>2</v>
      </c>
      <c r="L795" s="171" t="str">
        <f>IF(TArticle[[#This Row],[کد وضعیت سند]]&gt;0,VLOOKUP(TArticle[[#This Row],[کد وضعیت سند]],TDocState[],2,FALSE),"")</f>
        <v>قطعی</v>
      </c>
      <c r="M795" s="27">
        <v>115</v>
      </c>
      <c r="N795" s="171" t="str">
        <f>IF(TArticle[[#This Row],[کد طرف حساب]]&gt;0,VLOOKUP(TArticle[[#This Row],[کد طرف حساب]],TContact[],2,FALSE),"")</f>
        <v>وام فرزند مهر</v>
      </c>
      <c r="O795" s="61">
        <f>IF(TArticle[[#This Row],[کد طرف حساب]]&gt;0,VLOOKUP(TArticle[[#This Row],[کد طرف حساب]],TContact[],7,FALSE)-SUMIF($M$2:M795,M795,$E$2:$E795),"")</f>
        <v>-4920</v>
      </c>
      <c r="P795" s="27" t="str">
        <f>RIGHT(TArticle[[#This Row],[تاریخ]],2)</f>
        <v>03</v>
      </c>
      <c r="Q795" s="27">
        <f>VLOOKUP(TArticle[[#This Row],[تاریخ]],TDays[],16,FALSE)</f>
        <v>32</v>
      </c>
      <c r="R795" s="27" t="str">
        <f>RIGHT(LEFT(TArticle[[#This Row],[تاریخ]],7),2)</f>
        <v>08</v>
      </c>
      <c r="S795" s="27" t="str">
        <f>LEFT(TArticle[[#This Row],[تاریخ]],4)</f>
        <v>1406</v>
      </c>
      <c r="U795" s="21">
        <f>VLOOKUP(TArticle[[#This Row],[شناسه]],TAccount[],7,TRUE)</f>
        <v>81652</v>
      </c>
      <c r="W795" s="21">
        <f>IF(AND(TArticle[[#This Row],[مبلغ]]&gt;0, TArticle[[#This Row],[کد وضعیت سند]]=1),TArticle[[#This Row],[مبلغ]],0)</f>
        <v>0</v>
      </c>
      <c r="X795" s="27">
        <f>IF(AND(TArticle[[#This Row],[مبلغ]]&lt;0,TArticle[[#This Row],[کد وضعیت سند]]=1),0-TArticle[[#This Row],[مبلغ]],0)</f>
        <v>0</v>
      </c>
      <c r="Y795" s="27">
        <v>2</v>
      </c>
      <c r="Z795" s="171" t="str">
        <f>IF(TArticle[[#This Row],[کد بانک]]&gt;0,VLOOKUP(TArticle[[#This Row],[کد بانک]],TBank[],2,FALSE),"")</f>
        <v>ملی جاری</v>
      </c>
      <c r="AA795">
        <f>IF(AND(TArticle[[#This Row],[مبلغ]]&lt;0,TArticle[[#This Row],[کد وضعیت سند]]=1),0-TArticle[[#This Row],[مبلغ]],0)</f>
        <v>0</v>
      </c>
      <c r="AB795">
        <f>IF(AND(TArticle[[#This Row],[مبلغ]]&gt;0, TArticle[[#This Row],[کد وضعیت سند]]=1),TArticle[[#This Row],[مبلغ]],0)</f>
        <v>0</v>
      </c>
      <c r="AC795" s="84">
        <f>IF(TArticle[[#This Row],[کد بانک]]&gt;0,VLOOKUP(TArticle[[#This Row],[کد بانک]],TBank[],9,FALSE)+SUMIF($Y$2:Y795,Y795,$E$2:$E795),"")</f>
        <v>1290632</v>
      </c>
      <c r="AD795" s="1">
        <f>IFERROR(IF(INT(LEFT(TArticle[[#This Row],[شناسه]]))=3,IF(TArticle[[#This Row],[کد وضعیت سند]]=1,TArticle[مبلغ],0),0),0)</f>
        <v>0</v>
      </c>
      <c r="AE795" s="1">
        <f>IFERROR(IF(((TArticle[[#This Row],[شناسه]]))="4.1.1",IF(TArticle[[#This Row],[کد وضعیت سند]]=1,TArticle[مبلغ],0),0),0)</f>
        <v>0</v>
      </c>
      <c r="AF795" s="1">
        <f>IFERROR(IF(((TArticle[[#This Row],[شناسه]]))="4.1.2",IF(TArticle[[#This Row],[کد وضعیت سند]]=1,TArticle[مبلغ],0),0),0)</f>
        <v>0</v>
      </c>
      <c r="AG795" s="1">
        <f>IFERROR(IF(INT(LEFT(TArticle[[#This Row],[شناسه]]))=1,IF(TArticle[[#This Row],[کد وضعیت سند]]=1,TArticle[مبلغ],0),0),0)</f>
        <v>0</v>
      </c>
      <c r="AH795" s="1">
        <f>IFERROR(IF(INT(LEFT(TArticle[[#This Row],[شناسه]]))=2,IF(TArticle[[#This Row],[کد وضعیت سند]]=1,TArticle[مبلغ],0),0),0)</f>
        <v>0</v>
      </c>
      <c r="AI795" s="1">
        <f>IFERROR(IF((LEFT(TArticle[[#This Row],[شناسه]],3))="5.2",IF(TArticle[[#This Row],[کد وضعیت سند]]=1,TArticle[مبلغ],0),0),0)</f>
        <v>0</v>
      </c>
      <c r="AJ795" s="1">
        <f>IF(TArticle[[#This Row],[کد وضعیت سند]]=1,1,0)</f>
        <v>0</v>
      </c>
      <c r="AK795" s="1">
        <f>IF(AND(TArticle[[#This Row],[کد وضعیت سند]]&lt;&gt;1,TArticle[[#This Row],[مبلغ]]&lt;&gt;0),1,0)</f>
        <v>1</v>
      </c>
      <c r="AL795" s="51">
        <f>IF(TArticle[[#This Row],[کد بانک]]&gt;0,TArticle[[#This Row],[مانده بانک]]-VLOOKUP(TArticle[[#This Row],[کد بانک]],TBank[],7,FALSE),"")</f>
        <v>1290632</v>
      </c>
      <c r="AM795" s="49" t="str">
        <f>LEFT(TArticle[[#This Row],[تاریخ]],7)</f>
        <v>1406-08</v>
      </c>
    </row>
    <row r="796" spans="1:39" x14ac:dyDescent="0.25">
      <c r="A796" s="24" t="s">
        <v>1110</v>
      </c>
      <c r="B796" s="49" t="str">
        <f>VLOOKUP(TArticle[[#This Row],[شناسه]],TAccount[],2,TRUE)</f>
        <v>قسط وام بانکی</v>
      </c>
      <c r="C796" s="49" t="str">
        <f>VLOOKUP(TArticle[[#This Row],[تاریخ]],TDays[],7,FALSE)</f>
        <v>سه شنبه</v>
      </c>
      <c r="D796" s="21" t="s">
        <v>2691</v>
      </c>
      <c r="E796" s="1">
        <v>-1224</v>
      </c>
      <c r="F796" s="1">
        <f>TArticle[[#This Row],[مبلغ]]+IFERROR(INT(F795),30181+3667+958)</f>
        <v>1247756</v>
      </c>
      <c r="G796" s="49"/>
      <c r="H796" s="21">
        <v>51</v>
      </c>
      <c r="K796" s="64">
        <v>2</v>
      </c>
      <c r="L796" s="171" t="str">
        <f>IF(TArticle[[#This Row],[کد وضعیت سند]]&gt;0,VLOOKUP(TArticle[[#This Row],[کد وضعیت سند]],TDocState[],2,FALSE),"")</f>
        <v>قطعی</v>
      </c>
      <c r="M796" s="27">
        <v>115</v>
      </c>
      <c r="N796" s="171" t="str">
        <f>IF(TArticle[[#This Row],[کد طرف حساب]]&gt;0,VLOOKUP(TArticle[[#This Row],[کد طرف حساب]],TContact[],2,FALSE),"")</f>
        <v>وام فرزند مهر</v>
      </c>
      <c r="O796" s="61">
        <f>IF(TArticle[[#This Row],[کد طرف حساب]]&gt;0,VLOOKUP(TArticle[[#This Row],[کد طرف حساب]],TContact[],7,FALSE)-SUMIF($M$2:M796,M796,$E$2:$E796),"")</f>
        <v>-3696</v>
      </c>
      <c r="P796" s="27" t="str">
        <f>RIGHT(TArticle[[#This Row],[تاریخ]],2)</f>
        <v>03</v>
      </c>
      <c r="Q796" s="27">
        <f>VLOOKUP(TArticle[[#This Row],[تاریخ]],TDays[],16,FALSE)</f>
        <v>37</v>
      </c>
      <c r="R796" s="27" t="str">
        <f>RIGHT(LEFT(TArticle[[#This Row],[تاریخ]],7),2)</f>
        <v>09</v>
      </c>
      <c r="S796" s="27" t="str">
        <f>LEFT(TArticle[[#This Row],[تاریخ]],4)</f>
        <v>1406</v>
      </c>
      <c r="U796" s="21">
        <f>VLOOKUP(TArticle[[#This Row],[شناسه]],TAccount[],7,TRUE)</f>
        <v>81652</v>
      </c>
      <c r="W796" s="21">
        <f>IF(AND(TArticle[[#This Row],[مبلغ]]&gt;0, TArticle[[#This Row],[کد وضعیت سند]]=1),TArticle[[#This Row],[مبلغ]],0)</f>
        <v>0</v>
      </c>
      <c r="X796" s="27">
        <f>IF(AND(TArticle[[#This Row],[مبلغ]]&lt;0,TArticle[[#This Row],[کد وضعیت سند]]=1),0-TArticle[[#This Row],[مبلغ]],0)</f>
        <v>0</v>
      </c>
      <c r="Y796" s="27">
        <v>2</v>
      </c>
      <c r="Z796" s="171" t="str">
        <f>IF(TArticle[[#This Row],[کد بانک]]&gt;0,VLOOKUP(TArticle[[#This Row],[کد بانک]],TBank[],2,FALSE),"")</f>
        <v>ملی جاری</v>
      </c>
      <c r="AA796">
        <f>IF(AND(TArticle[[#This Row],[مبلغ]]&lt;0,TArticle[[#This Row],[کد وضعیت سند]]=1),0-TArticle[[#This Row],[مبلغ]],0)</f>
        <v>0</v>
      </c>
      <c r="AB796">
        <f>IF(AND(TArticle[[#This Row],[مبلغ]]&gt;0, TArticle[[#This Row],[کد وضعیت سند]]=1),TArticle[[#This Row],[مبلغ]],0)</f>
        <v>0</v>
      </c>
      <c r="AC796" s="84">
        <f>IF(TArticle[[#This Row],[کد بانک]]&gt;0,VLOOKUP(TArticle[[#This Row],[کد بانک]],TBank[],9,FALSE)+SUMIF($Y$2:Y796,Y796,$E$2:$E796),"")</f>
        <v>1289408</v>
      </c>
      <c r="AD796" s="1">
        <f>IFERROR(IF(INT(LEFT(TArticle[[#This Row],[شناسه]]))=3,IF(TArticle[[#This Row],[کد وضعیت سند]]=1,TArticle[مبلغ],0),0),0)</f>
        <v>0</v>
      </c>
      <c r="AE796" s="1">
        <f>IFERROR(IF(((TArticle[[#This Row],[شناسه]]))="4.1.1",IF(TArticle[[#This Row],[کد وضعیت سند]]=1,TArticle[مبلغ],0),0),0)</f>
        <v>0</v>
      </c>
      <c r="AF796" s="1">
        <f>IFERROR(IF(((TArticle[[#This Row],[شناسه]]))="4.1.2",IF(TArticle[[#This Row],[کد وضعیت سند]]=1,TArticle[مبلغ],0),0),0)</f>
        <v>0</v>
      </c>
      <c r="AG796" s="1">
        <f>IFERROR(IF(INT(LEFT(TArticle[[#This Row],[شناسه]]))=1,IF(TArticle[[#This Row],[کد وضعیت سند]]=1,TArticle[مبلغ],0),0),0)</f>
        <v>0</v>
      </c>
      <c r="AH796" s="1">
        <f>IFERROR(IF(INT(LEFT(TArticle[[#This Row],[شناسه]]))=2,IF(TArticle[[#This Row],[کد وضعیت سند]]=1,TArticle[مبلغ],0),0),0)</f>
        <v>0</v>
      </c>
      <c r="AI796" s="1">
        <f>IFERROR(IF((LEFT(TArticle[[#This Row],[شناسه]],3))="5.2",IF(TArticle[[#This Row],[کد وضعیت سند]]=1,TArticle[مبلغ],0),0),0)</f>
        <v>0</v>
      </c>
      <c r="AJ796" s="1">
        <f>IF(TArticle[[#This Row],[کد وضعیت سند]]=1,1,0)</f>
        <v>0</v>
      </c>
      <c r="AK796" s="1">
        <f>IF(AND(TArticle[[#This Row],[کد وضعیت سند]]&lt;&gt;1,TArticle[[#This Row],[مبلغ]]&lt;&gt;0),1,0)</f>
        <v>1</v>
      </c>
      <c r="AL796" s="51">
        <f>IF(TArticle[[#This Row],[کد بانک]]&gt;0,TArticle[[#This Row],[مانده بانک]]-VLOOKUP(TArticle[[#This Row],[کد بانک]],TBank[],7,FALSE),"")</f>
        <v>1289408</v>
      </c>
      <c r="AM796" s="49" t="str">
        <f>LEFT(TArticle[[#This Row],[تاریخ]],7)</f>
        <v>1406-09</v>
      </c>
    </row>
    <row r="797" spans="1:39" x14ac:dyDescent="0.25">
      <c r="A797" s="24" t="s">
        <v>1110</v>
      </c>
      <c r="B797" s="49" t="str">
        <f>VLOOKUP(TArticle[[#This Row],[شناسه]],TAccount[],2,TRUE)</f>
        <v>قسط وام بانکی</v>
      </c>
      <c r="C797" s="49" t="str">
        <f>VLOOKUP(TArticle[[#This Row],[تاریخ]],TDays[],7,FALSE)</f>
        <v>پنجشنبه</v>
      </c>
      <c r="D797" s="21" t="s">
        <v>2721</v>
      </c>
      <c r="E797" s="1">
        <v>-1224</v>
      </c>
      <c r="F797" s="1">
        <f>TArticle[[#This Row],[مبلغ]]+IFERROR(INT(F796),30181+3667+958)</f>
        <v>1246532</v>
      </c>
      <c r="G797" s="49"/>
      <c r="H797" s="21">
        <v>52</v>
      </c>
      <c r="K797" s="64">
        <v>2</v>
      </c>
      <c r="L797" s="171" t="str">
        <f>IF(TArticle[[#This Row],[کد وضعیت سند]]&gt;0,VLOOKUP(TArticle[[#This Row],[کد وضعیت سند]],TDocState[],2,FALSE),"")</f>
        <v>قطعی</v>
      </c>
      <c r="M797" s="27">
        <v>115</v>
      </c>
      <c r="N797" s="171" t="str">
        <f>IF(TArticle[[#This Row],[کد طرف حساب]]&gt;0,VLOOKUP(TArticle[[#This Row],[کد طرف حساب]],TContact[],2,FALSE),"")</f>
        <v>وام فرزند مهر</v>
      </c>
      <c r="O797" s="61">
        <f>IF(TArticle[[#This Row],[کد طرف حساب]]&gt;0,VLOOKUP(TArticle[[#This Row],[کد طرف حساب]],TContact[],7,FALSE)-SUMIF($M$2:M797,M797,$E$2:$E797),"")</f>
        <v>-2472</v>
      </c>
      <c r="P797" s="27" t="str">
        <f>RIGHT(TArticle[[#This Row],[تاریخ]],2)</f>
        <v>03</v>
      </c>
      <c r="Q797" s="27">
        <f>VLOOKUP(TArticle[[#This Row],[تاریخ]],TDays[],16,FALSE)</f>
        <v>41</v>
      </c>
      <c r="R797" s="27" t="str">
        <f>RIGHT(LEFT(TArticle[[#This Row],[تاریخ]],7),2)</f>
        <v>10</v>
      </c>
      <c r="S797" s="27" t="str">
        <f>LEFT(TArticle[[#This Row],[تاریخ]],4)</f>
        <v>1406</v>
      </c>
      <c r="U797" s="21">
        <f>VLOOKUP(TArticle[[#This Row],[شناسه]],TAccount[],7,TRUE)</f>
        <v>81652</v>
      </c>
      <c r="W797" s="21">
        <f>IF(AND(TArticle[[#This Row],[مبلغ]]&gt;0, TArticle[[#This Row],[کد وضعیت سند]]=1),TArticle[[#This Row],[مبلغ]],0)</f>
        <v>0</v>
      </c>
      <c r="X797" s="27">
        <f>IF(AND(TArticle[[#This Row],[مبلغ]]&lt;0,TArticle[[#This Row],[کد وضعیت سند]]=1),0-TArticle[[#This Row],[مبلغ]],0)</f>
        <v>0</v>
      </c>
      <c r="Y797" s="27">
        <v>2</v>
      </c>
      <c r="Z797" s="171" t="str">
        <f>IF(TArticle[[#This Row],[کد بانک]]&gt;0,VLOOKUP(TArticle[[#This Row],[کد بانک]],TBank[],2,FALSE),"")</f>
        <v>ملی جاری</v>
      </c>
      <c r="AA797">
        <f>IF(AND(TArticle[[#This Row],[مبلغ]]&lt;0,TArticle[[#This Row],[کد وضعیت سند]]=1),0-TArticle[[#This Row],[مبلغ]],0)</f>
        <v>0</v>
      </c>
      <c r="AB797">
        <f>IF(AND(TArticle[[#This Row],[مبلغ]]&gt;0, TArticle[[#This Row],[کد وضعیت سند]]=1),TArticle[[#This Row],[مبلغ]],0)</f>
        <v>0</v>
      </c>
      <c r="AC797" s="84">
        <f>IF(TArticle[[#This Row],[کد بانک]]&gt;0,VLOOKUP(TArticle[[#This Row],[کد بانک]],TBank[],9,FALSE)+SUMIF($Y$2:Y797,Y797,$E$2:$E797),"")</f>
        <v>1288184</v>
      </c>
      <c r="AD797" s="1">
        <f>IFERROR(IF(INT(LEFT(TArticle[[#This Row],[شناسه]]))=3,IF(TArticle[[#This Row],[کد وضعیت سند]]=1,TArticle[مبلغ],0),0),0)</f>
        <v>0</v>
      </c>
      <c r="AE797" s="1">
        <f>IFERROR(IF(((TArticle[[#This Row],[شناسه]]))="4.1.1",IF(TArticle[[#This Row],[کد وضعیت سند]]=1,TArticle[مبلغ],0),0),0)</f>
        <v>0</v>
      </c>
      <c r="AF797" s="1">
        <f>IFERROR(IF(((TArticle[[#This Row],[شناسه]]))="4.1.2",IF(TArticle[[#This Row],[کد وضعیت سند]]=1,TArticle[مبلغ],0),0),0)</f>
        <v>0</v>
      </c>
      <c r="AG797" s="1">
        <f>IFERROR(IF(INT(LEFT(TArticle[[#This Row],[شناسه]]))=1,IF(TArticle[[#This Row],[کد وضعیت سند]]=1,TArticle[مبلغ],0),0),0)</f>
        <v>0</v>
      </c>
      <c r="AH797" s="1">
        <f>IFERROR(IF(INT(LEFT(TArticle[[#This Row],[شناسه]]))=2,IF(TArticle[[#This Row],[کد وضعیت سند]]=1,TArticle[مبلغ],0),0),0)</f>
        <v>0</v>
      </c>
      <c r="AI797" s="1">
        <f>IFERROR(IF((LEFT(TArticle[[#This Row],[شناسه]],3))="5.2",IF(TArticle[[#This Row],[کد وضعیت سند]]=1,TArticle[مبلغ],0),0),0)</f>
        <v>0</v>
      </c>
      <c r="AJ797" s="1">
        <f>IF(TArticle[[#This Row],[کد وضعیت سند]]=1,1,0)</f>
        <v>0</v>
      </c>
      <c r="AK797" s="1">
        <f>IF(AND(TArticle[[#This Row],[کد وضعیت سند]]&lt;&gt;1,TArticle[[#This Row],[مبلغ]]&lt;&gt;0),1,0)</f>
        <v>1</v>
      </c>
      <c r="AL797" s="51">
        <f>IF(TArticle[[#This Row],[کد بانک]]&gt;0,TArticle[[#This Row],[مانده بانک]]-VLOOKUP(TArticle[[#This Row],[کد بانک]],TBank[],7,FALSE),"")</f>
        <v>1288184</v>
      </c>
      <c r="AM797" s="49" t="str">
        <f>LEFT(TArticle[[#This Row],[تاریخ]],7)</f>
        <v>1406-10</v>
      </c>
    </row>
    <row r="798" spans="1:39" x14ac:dyDescent="0.25">
      <c r="A798" s="24" t="s">
        <v>1110</v>
      </c>
      <c r="B798" s="49" t="str">
        <f>VLOOKUP(TArticle[[#This Row],[شناسه]],TAccount[],2,TRUE)</f>
        <v>قسط وام بانکی</v>
      </c>
      <c r="C798" s="49" t="str">
        <f>VLOOKUP(TArticle[[#This Row],[تاریخ]],TDays[],7,FALSE)</f>
        <v>شنبه</v>
      </c>
      <c r="D798" s="21" t="s">
        <v>2751</v>
      </c>
      <c r="E798" s="1">
        <v>-1224</v>
      </c>
      <c r="F798" s="1">
        <f>TArticle[[#This Row],[مبلغ]]+IFERROR(INT(F797),30181+3667+958)</f>
        <v>1245308</v>
      </c>
      <c r="G798" s="49"/>
      <c r="H798" s="21">
        <v>53</v>
      </c>
      <c r="K798" s="64">
        <v>2</v>
      </c>
      <c r="L798" s="171" t="str">
        <f>IF(TArticle[[#This Row],[کد وضعیت سند]]&gt;0,VLOOKUP(TArticle[[#This Row],[کد وضعیت سند]],TDocState[],2,FALSE),"")</f>
        <v>قطعی</v>
      </c>
      <c r="M798" s="27">
        <v>115</v>
      </c>
      <c r="N798" s="171" t="str">
        <f>IF(TArticle[[#This Row],[کد طرف حساب]]&gt;0,VLOOKUP(TArticle[[#This Row],[کد طرف حساب]],TContact[],2,FALSE),"")</f>
        <v>وام فرزند مهر</v>
      </c>
      <c r="O798" s="61">
        <f>IF(TArticle[[#This Row],[کد طرف حساب]]&gt;0,VLOOKUP(TArticle[[#This Row],[کد طرف حساب]],TContact[],7,FALSE)-SUMIF($M$2:M798,M798,$E$2:$E798),"")</f>
        <v>-1248</v>
      </c>
      <c r="P798" s="27" t="str">
        <f>RIGHT(TArticle[[#This Row],[تاریخ]],2)</f>
        <v>03</v>
      </c>
      <c r="Q798" s="27">
        <f>VLOOKUP(TArticle[[#This Row],[تاریخ]],TDays[],16,FALSE)</f>
        <v>45</v>
      </c>
      <c r="R798" s="27" t="str">
        <f>RIGHT(LEFT(TArticle[[#This Row],[تاریخ]],7),2)</f>
        <v>11</v>
      </c>
      <c r="S798" s="27" t="str">
        <f>LEFT(TArticle[[#This Row],[تاریخ]],4)</f>
        <v>1406</v>
      </c>
      <c r="U798" s="21">
        <f>VLOOKUP(TArticle[[#This Row],[شناسه]],TAccount[],7,TRUE)</f>
        <v>81652</v>
      </c>
      <c r="W798" s="21">
        <f>IF(AND(TArticle[[#This Row],[مبلغ]]&gt;0, TArticle[[#This Row],[کد وضعیت سند]]=1),TArticle[[#This Row],[مبلغ]],0)</f>
        <v>0</v>
      </c>
      <c r="X798" s="27">
        <f>IF(AND(TArticle[[#This Row],[مبلغ]]&lt;0,TArticle[[#This Row],[کد وضعیت سند]]=1),0-TArticle[[#This Row],[مبلغ]],0)</f>
        <v>0</v>
      </c>
      <c r="Y798" s="27">
        <v>2</v>
      </c>
      <c r="Z798" s="171" t="str">
        <f>IF(TArticle[[#This Row],[کد بانک]]&gt;0,VLOOKUP(TArticle[[#This Row],[کد بانک]],TBank[],2,FALSE),"")</f>
        <v>ملی جاری</v>
      </c>
      <c r="AA798">
        <f>IF(AND(TArticle[[#This Row],[مبلغ]]&lt;0,TArticle[[#This Row],[کد وضعیت سند]]=1),0-TArticle[[#This Row],[مبلغ]],0)</f>
        <v>0</v>
      </c>
      <c r="AB798">
        <f>IF(AND(TArticle[[#This Row],[مبلغ]]&gt;0, TArticle[[#This Row],[کد وضعیت سند]]=1),TArticle[[#This Row],[مبلغ]],0)</f>
        <v>0</v>
      </c>
      <c r="AC798" s="84">
        <f>IF(TArticle[[#This Row],[کد بانک]]&gt;0,VLOOKUP(TArticle[[#This Row],[کد بانک]],TBank[],9,FALSE)+SUMIF($Y$2:Y798,Y798,$E$2:$E798),"")</f>
        <v>1286960</v>
      </c>
      <c r="AD798" s="1">
        <f>IFERROR(IF(INT(LEFT(TArticle[[#This Row],[شناسه]]))=3,IF(TArticle[[#This Row],[کد وضعیت سند]]=1,TArticle[مبلغ],0),0),0)</f>
        <v>0</v>
      </c>
      <c r="AE798" s="1">
        <f>IFERROR(IF(((TArticle[[#This Row],[شناسه]]))="4.1.1",IF(TArticle[[#This Row],[کد وضعیت سند]]=1,TArticle[مبلغ],0),0),0)</f>
        <v>0</v>
      </c>
      <c r="AF798" s="1">
        <f>IFERROR(IF(((TArticle[[#This Row],[شناسه]]))="4.1.2",IF(TArticle[[#This Row],[کد وضعیت سند]]=1,TArticle[مبلغ],0),0),0)</f>
        <v>0</v>
      </c>
      <c r="AG798" s="1">
        <f>IFERROR(IF(INT(LEFT(TArticle[[#This Row],[شناسه]]))=1,IF(TArticle[[#This Row],[کد وضعیت سند]]=1,TArticle[مبلغ],0),0),0)</f>
        <v>0</v>
      </c>
      <c r="AH798" s="1">
        <f>IFERROR(IF(INT(LEFT(TArticle[[#This Row],[شناسه]]))=2,IF(TArticle[[#This Row],[کد وضعیت سند]]=1,TArticle[مبلغ],0),0),0)</f>
        <v>0</v>
      </c>
      <c r="AI798" s="1">
        <f>IFERROR(IF((LEFT(TArticle[[#This Row],[شناسه]],3))="5.2",IF(TArticle[[#This Row],[کد وضعیت سند]]=1,TArticle[مبلغ],0),0),0)</f>
        <v>0</v>
      </c>
      <c r="AJ798" s="1">
        <f>IF(TArticle[[#This Row],[کد وضعیت سند]]=1,1,0)</f>
        <v>0</v>
      </c>
      <c r="AK798" s="1">
        <f>IF(AND(TArticle[[#This Row],[کد وضعیت سند]]&lt;&gt;1,TArticle[[#This Row],[مبلغ]]&lt;&gt;0),1,0)</f>
        <v>1</v>
      </c>
      <c r="AL798" s="51">
        <f>IF(TArticle[[#This Row],[کد بانک]]&gt;0,TArticle[[#This Row],[مانده بانک]]-VLOOKUP(TArticle[[#This Row],[کد بانک]],TBank[],7,FALSE),"")</f>
        <v>1286960</v>
      </c>
      <c r="AM798" s="49" t="str">
        <f>LEFT(TArticle[[#This Row],[تاریخ]],7)</f>
        <v>1406-11</v>
      </c>
    </row>
    <row r="799" spans="1:39" x14ac:dyDescent="0.25">
      <c r="A799" s="24" t="s">
        <v>1110</v>
      </c>
      <c r="B799" s="49" t="str">
        <f>VLOOKUP(TArticle[[#This Row],[شناسه]],TAccount[],2,TRUE)</f>
        <v>قسط وام بانکی</v>
      </c>
      <c r="C799" s="49" t="str">
        <f>VLOOKUP(TArticle[[#This Row],[تاریخ]],TDays[],7,FALSE)</f>
        <v>دوشنبه</v>
      </c>
      <c r="D799" s="21" t="s">
        <v>2781</v>
      </c>
      <c r="E799" s="1">
        <v>-1248</v>
      </c>
      <c r="F799" s="1">
        <f>TArticle[[#This Row],[مبلغ]]+IFERROR(INT(F798),30181+3667+958)</f>
        <v>1244060</v>
      </c>
      <c r="G799" s="49"/>
      <c r="H799" s="21">
        <v>54</v>
      </c>
      <c r="K799" s="64">
        <v>2</v>
      </c>
      <c r="L799" s="171" t="str">
        <f>IF(TArticle[[#This Row],[کد وضعیت سند]]&gt;0,VLOOKUP(TArticle[[#This Row],[کد وضعیت سند]],TDocState[],2,FALSE),"")</f>
        <v>قطعی</v>
      </c>
      <c r="M799" s="27">
        <v>115</v>
      </c>
      <c r="N799" s="171" t="str">
        <f>IF(TArticle[[#This Row],[کد طرف حساب]]&gt;0,VLOOKUP(TArticle[[#This Row],[کد طرف حساب]],TContact[],2,FALSE),"")</f>
        <v>وام فرزند مهر</v>
      </c>
      <c r="O799" s="61">
        <f>IF(TArticle[[#This Row],[کد طرف حساب]]&gt;0,VLOOKUP(TArticle[[#This Row],[کد طرف حساب]],TContact[],7,FALSE)-SUMIF($M$2:M799,M799,$E$2:$E799),"")</f>
        <v>0</v>
      </c>
      <c r="P799" s="27" t="str">
        <f>RIGHT(TArticle[[#This Row],[تاریخ]],2)</f>
        <v>03</v>
      </c>
      <c r="Q799" s="27">
        <f>VLOOKUP(TArticle[[#This Row],[تاریخ]],TDays[],16,FALSE)</f>
        <v>50</v>
      </c>
      <c r="R799" s="27" t="str">
        <f>RIGHT(LEFT(TArticle[[#This Row],[تاریخ]],7),2)</f>
        <v>12</v>
      </c>
      <c r="S799" s="27" t="str">
        <f>LEFT(TArticle[[#This Row],[تاریخ]],4)</f>
        <v>1406</v>
      </c>
      <c r="U799" s="21">
        <f>VLOOKUP(TArticle[[#This Row],[شناسه]],TAccount[],7,TRUE)</f>
        <v>81652</v>
      </c>
      <c r="W799" s="21">
        <f>IF(AND(TArticle[[#This Row],[مبلغ]]&gt;0, TArticle[[#This Row],[کد وضعیت سند]]=1),TArticle[[#This Row],[مبلغ]],0)</f>
        <v>0</v>
      </c>
      <c r="X799" s="27">
        <f>IF(AND(TArticle[[#This Row],[مبلغ]]&lt;0,TArticle[[#This Row],[کد وضعیت سند]]=1),0-TArticle[[#This Row],[مبلغ]],0)</f>
        <v>0</v>
      </c>
      <c r="Y799" s="27">
        <v>2</v>
      </c>
      <c r="Z799" s="171" t="str">
        <f>IF(TArticle[[#This Row],[کد بانک]]&gt;0,VLOOKUP(TArticle[[#This Row],[کد بانک]],TBank[],2,FALSE),"")</f>
        <v>ملی جاری</v>
      </c>
      <c r="AA799">
        <f>IF(AND(TArticle[[#This Row],[مبلغ]]&lt;0,TArticle[[#This Row],[کد وضعیت سند]]=1),0-TArticle[[#This Row],[مبلغ]],0)</f>
        <v>0</v>
      </c>
      <c r="AB799">
        <f>IF(AND(TArticle[[#This Row],[مبلغ]]&gt;0, TArticle[[#This Row],[کد وضعیت سند]]=1),TArticle[[#This Row],[مبلغ]],0)</f>
        <v>0</v>
      </c>
      <c r="AC799" s="84">
        <f>IF(TArticle[[#This Row],[کد بانک]]&gt;0,VLOOKUP(TArticle[[#This Row],[کد بانک]],TBank[],9,FALSE)+SUMIF($Y$2:Y799,Y799,$E$2:$E799),"")</f>
        <v>1285712</v>
      </c>
      <c r="AD799" s="1">
        <f>IFERROR(IF(INT(LEFT(TArticle[[#This Row],[شناسه]]))=3,IF(TArticle[[#This Row],[کد وضعیت سند]]=1,TArticle[مبلغ],0),0),0)</f>
        <v>0</v>
      </c>
      <c r="AE799" s="1">
        <f>IFERROR(IF(((TArticle[[#This Row],[شناسه]]))="4.1.1",IF(TArticle[[#This Row],[کد وضعیت سند]]=1,TArticle[مبلغ],0),0),0)</f>
        <v>0</v>
      </c>
      <c r="AF799" s="1">
        <f>IFERROR(IF(((TArticle[[#This Row],[شناسه]]))="4.1.2",IF(TArticle[[#This Row],[کد وضعیت سند]]=1,TArticle[مبلغ],0),0),0)</f>
        <v>0</v>
      </c>
      <c r="AG799" s="1">
        <f>IFERROR(IF(INT(LEFT(TArticle[[#This Row],[شناسه]]))=1,IF(TArticle[[#This Row],[کد وضعیت سند]]=1,TArticle[مبلغ],0),0),0)</f>
        <v>0</v>
      </c>
      <c r="AH799" s="1">
        <f>IFERROR(IF(INT(LEFT(TArticle[[#This Row],[شناسه]]))=2,IF(TArticle[[#This Row],[کد وضعیت سند]]=1,TArticle[مبلغ],0),0),0)</f>
        <v>0</v>
      </c>
      <c r="AI799" s="1">
        <f>IFERROR(IF((LEFT(TArticle[[#This Row],[شناسه]],3))="5.2",IF(TArticle[[#This Row],[کد وضعیت سند]]=1,TArticle[مبلغ],0),0),0)</f>
        <v>0</v>
      </c>
      <c r="AJ799" s="1">
        <f>IF(TArticle[[#This Row],[کد وضعیت سند]]=1,1,0)</f>
        <v>0</v>
      </c>
      <c r="AK799" s="1">
        <f>IF(AND(TArticle[[#This Row],[کد وضعیت سند]]&lt;&gt;1,TArticle[[#This Row],[مبلغ]]&lt;&gt;0),1,0)</f>
        <v>1</v>
      </c>
      <c r="AL799" s="51">
        <f>IF(TArticle[[#This Row],[کد بانک]]&gt;0,TArticle[[#This Row],[مانده بانک]]-VLOOKUP(TArticle[[#This Row],[کد بانک]],TBank[],7,FALSE),"")</f>
        <v>1285712</v>
      </c>
      <c r="AM799" s="49" t="str">
        <f>LEFT(TArticle[[#This Row],[تاریخ]],7)</f>
        <v>1406-12</v>
      </c>
    </row>
    <row r="800" spans="1:39" x14ac:dyDescent="0.25">
      <c r="A800" s="24"/>
      <c r="B800" s="49" t="str">
        <f>VLOOKUP(TArticle[[#This Row],[شناسه]],TAccount[],2,TRUE)</f>
        <v>---</v>
      </c>
      <c r="C800" s="49" t="str">
        <f>VLOOKUP(TArticle[[#This Row],[تاریخ]],TDays[],7,FALSE)</f>
        <v>سه شنبه</v>
      </c>
      <c r="D800" s="21" t="s">
        <v>2782</v>
      </c>
      <c r="F800" s="1">
        <f>TArticle[[#This Row],[مبلغ]]+IFERROR(INT(F799),30181+3667+958)</f>
        <v>1244060</v>
      </c>
      <c r="G800" s="49"/>
      <c r="K800" s="64"/>
      <c r="L800" s="171" t="str">
        <f>IF(TArticle[[#This Row],[کد وضعیت سند]]&gt;0,VLOOKUP(TArticle[[#This Row],[کد وضعیت سند]],TDocState[],2,FALSE),"")</f>
        <v/>
      </c>
      <c r="N800" s="171" t="str">
        <f>IF(TArticle[[#This Row],[کد طرف حساب]]&gt;0,VLOOKUP(TArticle[[#This Row],[کد طرف حساب]],TContact[],2,FALSE),"")</f>
        <v/>
      </c>
      <c r="O800" s="61" t="str">
        <f>IF(TArticle[[#This Row],[کد طرف حساب]]&gt;0,VLOOKUP(TArticle[[#This Row],[کد طرف حساب]],TContact[],7,FALSE)-SUMIF($M$2:M800,M800,$E$2:$E800),"")</f>
        <v/>
      </c>
      <c r="P800" s="27" t="str">
        <f>RIGHT(TArticle[[#This Row],[تاریخ]],2)</f>
        <v>04</v>
      </c>
      <c r="Q800" s="27">
        <f>VLOOKUP(TArticle[[#This Row],[تاریخ]],TDays[],16,FALSE)</f>
        <v>50</v>
      </c>
      <c r="R800" s="27" t="str">
        <f>RIGHT(LEFT(TArticle[[#This Row],[تاریخ]],7),2)</f>
        <v>12</v>
      </c>
      <c r="S800" s="27" t="str">
        <f>LEFT(TArticle[[#This Row],[تاریخ]],4)</f>
        <v>1406</v>
      </c>
      <c r="U800" s="21">
        <f>VLOOKUP(TArticle[[#This Row],[شناسه]],TAccount[],7,TRUE)</f>
        <v>0</v>
      </c>
      <c r="W800" s="21">
        <f>IF(AND(TArticle[[#This Row],[مبلغ]]&gt;0, TArticle[[#This Row],[کد وضعیت سند]]=1),TArticle[[#This Row],[مبلغ]],0)</f>
        <v>0</v>
      </c>
      <c r="X800" s="27">
        <f>IF(AND(TArticle[[#This Row],[مبلغ]]&lt;0,TArticle[[#This Row],[کد وضعیت سند]]=1),0-TArticle[[#This Row],[مبلغ]],0)</f>
        <v>0</v>
      </c>
      <c r="Y800" s="27">
        <v>2</v>
      </c>
      <c r="Z800" s="171" t="str">
        <f>IF(TArticle[[#This Row],[کد بانک]]&gt;0,VLOOKUP(TArticle[[#This Row],[کد بانک]],TBank[],2,FALSE),"")</f>
        <v>ملی جاری</v>
      </c>
      <c r="AA800">
        <f>IF(AND(TArticle[[#This Row],[مبلغ]]&lt;0,TArticle[[#This Row],[کد وضعیت سند]]=1),0-TArticle[[#This Row],[مبلغ]],0)</f>
        <v>0</v>
      </c>
      <c r="AB800">
        <f>IF(AND(TArticle[[#This Row],[مبلغ]]&gt;0, TArticle[[#This Row],[کد وضعیت سند]]=1),TArticle[[#This Row],[مبلغ]],0)</f>
        <v>0</v>
      </c>
      <c r="AC800" s="84">
        <f>IF(TArticle[[#This Row],[کد بانک]]&gt;0,VLOOKUP(TArticle[[#This Row],[کد بانک]],TBank[],9,FALSE)+SUMIF($Y$2:Y800,Y800,$E$2:$E800),"")</f>
        <v>1285712</v>
      </c>
      <c r="AD800" s="1">
        <f>IFERROR(IF(INT(LEFT(TArticle[[#This Row],[شناسه]]))=3,IF(TArticle[[#This Row],[کد وضعیت سند]]=1,TArticle[مبلغ],0),0),0)</f>
        <v>0</v>
      </c>
      <c r="AE800" s="1">
        <f>IFERROR(IF(((TArticle[[#This Row],[شناسه]]))="4.1.1",IF(TArticle[[#This Row],[کد وضعیت سند]]=1,TArticle[مبلغ],0),0),0)</f>
        <v>0</v>
      </c>
      <c r="AF800" s="1">
        <f>IFERROR(IF(((TArticle[[#This Row],[شناسه]]))="4.1.2",IF(TArticle[[#This Row],[کد وضعیت سند]]=1,TArticle[مبلغ],0),0),0)</f>
        <v>0</v>
      </c>
      <c r="AG800" s="1">
        <f>IFERROR(IF(INT(LEFT(TArticle[[#This Row],[شناسه]]))=1,IF(TArticle[[#This Row],[کد وضعیت سند]]=1,TArticle[مبلغ],0),0),0)</f>
        <v>0</v>
      </c>
      <c r="AH800" s="1">
        <f>IFERROR(IF(INT(LEFT(TArticle[[#This Row],[شناسه]]))=2,IF(TArticle[[#This Row],[کد وضعیت سند]]=1,TArticle[مبلغ],0),0),0)</f>
        <v>0</v>
      </c>
      <c r="AI800" s="1">
        <f>IFERROR(IF((LEFT(TArticle[[#This Row],[شناسه]],3))="5.2",IF(TArticle[[#This Row],[کد وضعیت سند]]=1,TArticle[مبلغ],0),0),0)</f>
        <v>0</v>
      </c>
      <c r="AJ800" s="1">
        <f>IF(TArticle[[#This Row],[کد وضعیت سند]]=1,1,0)</f>
        <v>0</v>
      </c>
      <c r="AK800" s="1">
        <f>IF(AND(TArticle[[#This Row],[کد وضعیت سند]]&lt;&gt;1,TArticle[[#This Row],[مبلغ]]&lt;&gt;0),1,0)</f>
        <v>0</v>
      </c>
      <c r="AL800" s="51">
        <f>IF(TArticle[[#This Row],[کد بانک]]&gt;0,TArticle[[#This Row],[مانده بانک]]-VLOOKUP(TArticle[[#This Row],[کد بانک]],TBank[],7,FALSE),"")</f>
        <v>1285712</v>
      </c>
      <c r="AM800" s="49" t="str">
        <f>LEFT(TArticle[[#This Row],[تاریخ]],7)</f>
        <v>1406-12</v>
      </c>
    </row>
  </sheetData>
  <conditionalFormatting sqref="F1:F1048576">
    <cfRule type="expression" dxfId="245" priority="252">
      <formula>AND(F1&lt;0,E1&lt;0,OR(U1=1,K1=2))</formula>
    </cfRule>
    <cfRule type="expression" dxfId="244" priority="253">
      <formula>AND(F1&lt;0,E1&lt;0)</formula>
    </cfRule>
  </conditionalFormatting>
  <conditionalFormatting sqref="E1:E164 E166:E1048576">
    <cfRule type="expression" dxfId="243" priority="262">
      <formula>AND(OR(INT(LEFT(A1,1))=5,INT(LEFT(A1,1))=4),E1&lt;0)</formula>
    </cfRule>
    <cfRule type="expression" dxfId="242" priority="263">
      <formula>AND(OR(INT(LEFT(A1,1))=1,INT(LEFT(A1,1))=2,INT(LEFT(A1,1))=3,INT(LEFT(A1,1))=6),E1&gt;0)</formula>
    </cfRule>
    <cfRule type="expression" dxfId="241" priority="264">
      <formula>AND(E1&lt;0,F1&lt;E1,U1=1)</formula>
    </cfRule>
    <cfRule type="expression" dxfId="240" priority="265">
      <formula>AND(INT(LEFT(A1,1))&gt;0,E1=0)</formula>
    </cfRule>
  </conditionalFormatting>
  <conditionalFormatting sqref="Y1:AM163 AC163:AC168 Y166:AM1048576 Y3:Y798">
    <cfRule type="expression" dxfId="239" priority="82">
      <formula>AND($AL1&lt;0,$K1&lt;&gt;1,$E1&lt;0)</formula>
    </cfRule>
  </conditionalFormatting>
  <conditionalFormatting sqref="D1:D1048576">
    <cfRule type="expression" dxfId="238" priority="256">
      <formula>IF(ISBLANK(V1),FALSE,EXACT(D1,V1)=FALSE)</formula>
    </cfRule>
    <cfRule type="expression" dxfId="237" priority="257">
      <formula>K1=1</formula>
    </cfRule>
  </conditionalFormatting>
  <conditionalFormatting sqref="G123:I123 K123:O123 H169:O169 G663:N663 G1:O122 G124:O168 G664:O1048576 A1:C1048576 G170:O662">
    <cfRule type="expression" dxfId="236" priority="85">
      <formula>OR(INT(LEFT($A1,1))=1,INT(LEFT($A1,1))=2)</formula>
    </cfRule>
    <cfRule type="expression" dxfId="235" priority="86">
      <formula>INT(LEFT($A1,1))=3</formula>
    </cfRule>
    <cfRule type="expression" dxfId="234" priority="87">
      <formula>INT(LEFT($A1,1))=4</formula>
    </cfRule>
  </conditionalFormatting>
  <conditionalFormatting sqref="Y1:AM1048576">
    <cfRule type="expression" dxfId="233" priority="84">
      <formula>AND($AL1&lt;0,$K1=1)</formula>
    </cfRule>
  </conditionalFormatting>
  <conditionalFormatting sqref="J123">
    <cfRule type="expression" dxfId="232" priority="68">
      <formula>AND(OR(INT(LEFT(F123,1))=5,INT(LEFT(F123,1))=4),J123&lt;0)</formula>
    </cfRule>
    <cfRule type="expression" dxfId="231" priority="69">
      <formula>AND(OR(INT(LEFT(F123,1))=1,INT(LEFT(F123,1))=2,INT(LEFT(F123,1))=3,INT(LEFT(F123,1))=6),J123&gt;0)</formula>
    </cfRule>
    <cfRule type="expression" dxfId="230" priority="70">
      <formula>AND(J123&lt;0,K123&lt;J123,Z123=1)</formula>
    </cfRule>
    <cfRule type="expression" dxfId="229" priority="71">
      <formula>AND(INT(LEFT(F123,1))&gt;0,J123=0)</formula>
    </cfRule>
  </conditionalFormatting>
  <conditionalFormatting sqref="Y164:AM164">
    <cfRule type="expression" dxfId="228" priority="277">
      <formula>AND($AL164&lt;0,$K164&lt;&gt;1,$E165&lt;0)</formula>
    </cfRule>
  </conditionalFormatting>
  <conditionalFormatting sqref="Y165:AM165">
    <cfRule type="expression" dxfId="227" priority="278">
      <formula>AND($AL165&lt;0,$K165&lt;&gt;1,#REF!&lt;0)</formula>
    </cfRule>
  </conditionalFormatting>
  <conditionalFormatting sqref="E165">
    <cfRule type="expression" dxfId="226" priority="58">
      <formula>AND(OR(INT(LEFT(A165,1))=5,INT(LEFT(A165,1))=4),E165&lt;0)</formula>
    </cfRule>
    <cfRule type="expression" dxfId="225" priority="59">
      <formula>AND(OR(INT(LEFT(A165,1))=1,INT(LEFT(A165,1))=2,INT(LEFT(A165,1))=3,INT(LEFT(A165,1))=6),E165&gt;0)</formula>
    </cfRule>
    <cfRule type="expression" dxfId="224" priority="60">
      <formula>AND(E165&lt;0,F165&lt;E165,U165=1)</formula>
    </cfRule>
    <cfRule type="expression" dxfId="223" priority="61">
      <formula>AND(INT(LEFT(A165,1))&gt;0,E165=0)</formula>
    </cfRule>
  </conditionalFormatting>
  <conditionalFormatting sqref="G169">
    <cfRule type="expression" dxfId="222" priority="55">
      <formula>OR(INT(LEFT($A169,1))=1,INT(LEFT($A169,1))=2)</formula>
    </cfRule>
    <cfRule type="expression" dxfId="221" priority="56">
      <formula>INT(LEFT($A169,1))=3</formula>
    </cfRule>
    <cfRule type="expression" dxfId="220" priority="57">
      <formula>INT(LEFT($A169,1))=4</formula>
    </cfRule>
  </conditionalFormatting>
  <conditionalFormatting sqref="V327">
    <cfRule type="expression" dxfId="219" priority="53">
      <formula>IF(ISBLANK(AN327),FALSE,EXACT(V327,AN327)=FALSE)</formula>
    </cfRule>
    <cfRule type="expression" dxfId="218" priority="54">
      <formula>AC327=1</formula>
    </cfRule>
  </conditionalFormatting>
  <conditionalFormatting sqref="V330">
    <cfRule type="expression" dxfId="217" priority="51">
      <formula>IF(ISBLANK(AN330),FALSE,EXACT(V330,AN330)=FALSE)</formula>
    </cfRule>
    <cfRule type="expression" dxfId="216" priority="52">
      <formula>AC330=1</formula>
    </cfRule>
  </conditionalFormatting>
  <conditionalFormatting sqref="V331">
    <cfRule type="expression" dxfId="215" priority="49">
      <formula>IF(ISBLANK(AN331),FALSE,EXACT(V331,AN331)=FALSE)</formula>
    </cfRule>
    <cfRule type="expression" dxfId="214" priority="50">
      <formula>AC331=1</formula>
    </cfRule>
  </conditionalFormatting>
  <conditionalFormatting sqref="V332">
    <cfRule type="expression" dxfId="213" priority="47">
      <formula>IF(ISBLANK(AN332),FALSE,EXACT(V332,AN332)=FALSE)</formula>
    </cfRule>
    <cfRule type="expression" dxfId="212" priority="48">
      <formula>AC332=1</formula>
    </cfRule>
  </conditionalFormatting>
  <conditionalFormatting sqref="V334">
    <cfRule type="expression" dxfId="211" priority="45">
      <formula>IF(ISBLANK(AN334),FALSE,EXACT(V334,AN334)=FALSE)</formula>
    </cfRule>
    <cfRule type="expression" dxfId="210" priority="46">
      <formula>AC334=1</formula>
    </cfRule>
  </conditionalFormatting>
  <conditionalFormatting sqref="V335">
    <cfRule type="expression" dxfId="209" priority="43">
      <formula>IF(ISBLANK(AN335),FALSE,EXACT(V335,AN335)=FALSE)</formula>
    </cfRule>
    <cfRule type="expression" dxfId="208" priority="44">
      <formula>AC335=1</formula>
    </cfRule>
  </conditionalFormatting>
  <conditionalFormatting sqref="V336">
    <cfRule type="expression" dxfId="207" priority="41">
      <formula>IF(ISBLANK(AN336),FALSE,EXACT(V336,AN336)=FALSE)</formula>
    </cfRule>
    <cfRule type="expression" dxfId="206" priority="42">
      <formula>AC336=1</formula>
    </cfRule>
  </conditionalFormatting>
  <conditionalFormatting sqref="V337">
    <cfRule type="expression" dxfId="205" priority="39">
      <formula>IF(ISBLANK(AN337),FALSE,EXACT(V337,AN337)=FALSE)</formula>
    </cfRule>
    <cfRule type="expression" dxfId="204" priority="40">
      <formula>AC337=1</formula>
    </cfRule>
  </conditionalFormatting>
  <conditionalFormatting sqref="V339">
    <cfRule type="expression" dxfId="203" priority="37">
      <formula>IF(ISBLANK(AN339),FALSE,EXACT(V339,AN339)=FALSE)</formula>
    </cfRule>
    <cfRule type="expression" dxfId="202" priority="38">
      <formula>AC339=1</formula>
    </cfRule>
  </conditionalFormatting>
  <conditionalFormatting sqref="V340">
    <cfRule type="expression" dxfId="201" priority="35">
      <formula>IF(ISBLANK(AN340),FALSE,EXACT(V340,AN340)=FALSE)</formula>
    </cfRule>
    <cfRule type="expression" dxfId="200" priority="36">
      <formula>AC340=1</formula>
    </cfRule>
  </conditionalFormatting>
  <conditionalFormatting sqref="V341">
    <cfRule type="expression" dxfId="199" priority="33">
      <formula>IF(ISBLANK(AN341),FALSE,EXACT(V341,AN341)=FALSE)</formula>
    </cfRule>
    <cfRule type="expression" dxfId="198" priority="34">
      <formula>AC341=1</formula>
    </cfRule>
  </conditionalFormatting>
  <conditionalFormatting sqref="V342">
    <cfRule type="expression" dxfId="197" priority="31">
      <formula>IF(ISBLANK(AN342),FALSE,EXACT(V342,AN342)=FALSE)</formula>
    </cfRule>
    <cfRule type="expression" dxfId="196" priority="32">
      <formula>AC342=1</formula>
    </cfRule>
  </conditionalFormatting>
  <conditionalFormatting sqref="V345">
    <cfRule type="expression" dxfId="195" priority="29">
      <formula>IF(ISBLANK(AN345),FALSE,EXACT(V345,AN345)=FALSE)</formula>
    </cfRule>
    <cfRule type="expression" dxfId="194" priority="30">
      <formula>AC345=1</formula>
    </cfRule>
  </conditionalFormatting>
  <conditionalFormatting sqref="V347">
    <cfRule type="expression" dxfId="193" priority="27">
      <formula>IF(ISBLANK(AN347),FALSE,EXACT(V347,AN347)=FALSE)</formula>
    </cfRule>
    <cfRule type="expression" dxfId="192" priority="28">
      <formula>AC347=1</formula>
    </cfRule>
  </conditionalFormatting>
  <conditionalFormatting sqref="V348">
    <cfRule type="expression" dxfId="191" priority="25">
      <formula>IF(ISBLANK(AN348),FALSE,EXACT(V348,AN348)=FALSE)</formula>
    </cfRule>
    <cfRule type="expression" dxfId="190" priority="26">
      <formula>AC348=1</formula>
    </cfRule>
  </conditionalFormatting>
  <conditionalFormatting sqref="V351">
    <cfRule type="expression" dxfId="189" priority="23">
      <formula>IF(ISBLANK(AN351),FALSE,EXACT(V351,AN351)=FALSE)</formula>
    </cfRule>
    <cfRule type="expression" dxfId="188" priority="24">
      <formula>AC351=1</formula>
    </cfRule>
  </conditionalFormatting>
  <conditionalFormatting sqref="V352">
    <cfRule type="expression" dxfId="187" priority="21">
      <formula>IF(ISBLANK(AN352),FALSE,EXACT(V352,AN352)=FALSE)</formula>
    </cfRule>
    <cfRule type="expression" dxfId="186" priority="22">
      <formula>AC352=1</formula>
    </cfRule>
  </conditionalFormatting>
  <conditionalFormatting sqref="V356">
    <cfRule type="expression" dxfId="185" priority="19">
      <formula>IF(ISBLANK(AN356),FALSE,EXACT(V356,AN356)=FALSE)</formula>
    </cfRule>
    <cfRule type="expression" dxfId="184" priority="20">
      <formula>AC356=1</formula>
    </cfRule>
  </conditionalFormatting>
  <conditionalFormatting sqref="V366">
    <cfRule type="expression" dxfId="183" priority="17">
      <formula>IF(ISBLANK(AN366),FALSE,EXACT(V366,AN366)=FALSE)</formula>
    </cfRule>
    <cfRule type="expression" dxfId="182" priority="18">
      <formula>AC366=1</formula>
    </cfRule>
  </conditionalFormatting>
  <conditionalFormatting sqref="V367">
    <cfRule type="expression" dxfId="181" priority="15">
      <formula>IF(ISBLANK(AN367),FALSE,EXACT(V367,AN367)=FALSE)</formula>
    </cfRule>
    <cfRule type="expression" dxfId="180" priority="16">
      <formula>AC367=1</formula>
    </cfRule>
  </conditionalFormatting>
  <conditionalFormatting sqref="V371">
    <cfRule type="expression" dxfId="179" priority="13">
      <formula>IF(ISBLANK(AN371),FALSE,EXACT(V371,AN371)=FALSE)</formula>
    </cfRule>
    <cfRule type="expression" dxfId="178" priority="14">
      <formula>AC371=1</formula>
    </cfRule>
  </conditionalFormatting>
  <conditionalFormatting sqref="V382">
    <cfRule type="expression" dxfId="177" priority="11">
      <formula>IF(ISBLANK(AN382),FALSE,EXACT(V382,AN382)=FALSE)</formula>
    </cfRule>
    <cfRule type="expression" dxfId="176" priority="12">
      <formula>AC382=1</formula>
    </cfRule>
  </conditionalFormatting>
  <conditionalFormatting sqref="V384">
    <cfRule type="expression" dxfId="175" priority="9">
      <formula>IF(ISBLANK(AN384),FALSE,EXACT(V384,AN384)=FALSE)</formula>
    </cfRule>
    <cfRule type="expression" dxfId="174" priority="10">
      <formula>AC384=1</formula>
    </cfRule>
  </conditionalFormatting>
  <conditionalFormatting sqref="V385">
    <cfRule type="expression" dxfId="173" priority="7">
      <formula>IF(ISBLANK(AN385),FALSE,EXACT(V385,AN385)=FALSE)</formula>
    </cfRule>
    <cfRule type="expression" dxfId="172" priority="8">
      <formula>AC385=1</formula>
    </cfRule>
  </conditionalFormatting>
  <conditionalFormatting sqref="V403">
    <cfRule type="expression" dxfId="171" priority="5">
      <formula>IF(ISBLANK(AN403),FALSE,EXACT(V403,AN403)=FALSE)</formula>
    </cfRule>
    <cfRule type="expression" dxfId="170" priority="6">
      <formula>AC403=1</formula>
    </cfRule>
  </conditionalFormatting>
  <conditionalFormatting sqref="V406">
    <cfRule type="expression" dxfId="169" priority="3">
      <formula>IF(ISBLANK(AN406),FALSE,EXACT(V406,AN406)=FALSE)</formula>
    </cfRule>
    <cfRule type="expression" dxfId="168" priority="4">
      <formula>AC406=1</formula>
    </cfRule>
  </conditionalFormatting>
  <conditionalFormatting sqref="V407">
    <cfRule type="expression" dxfId="167" priority="1">
      <formula>IF(ISBLANK(AN407),FALSE,EXACT(V407,AN407)=FALSE)</formula>
    </cfRule>
    <cfRule type="expression" dxfId="166" priority="2">
      <formula>AC407=1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1"/>
  <sheetViews>
    <sheetView rightToLeft="1" zoomScale="145" zoomScaleNormal="145" workbookViewId="0">
      <selection activeCell="A6" sqref="A6"/>
    </sheetView>
  </sheetViews>
  <sheetFormatPr defaultRowHeight="15" x14ac:dyDescent="0.25"/>
  <cols>
    <col min="1" max="1" width="6.7109375" style="13" customWidth="1"/>
    <col min="2" max="2" width="20" bestFit="1" customWidth="1"/>
    <col min="3" max="3" width="10.7109375" bestFit="1" customWidth="1"/>
    <col min="4" max="4" width="16.5703125" bestFit="1" customWidth="1"/>
    <col min="5" max="5" width="1.28515625" hidden="1" customWidth="1"/>
    <col min="6" max="6" width="9" customWidth="1"/>
    <col min="7" max="7" width="14.7109375" customWidth="1"/>
    <col min="8" max="8" width="7.5703125" customWidth="1"/>
    <col min="9" max="9" width="4" customWidth="1"/>
    <col min="10" max="10" width="5.7109375" customWidth="1"/>
    <col min="11" max="11" width="11.42578125" customWidth="1"/>
    <col min="12" max="12" width="3.7109375" customWidth="1"/>
    <col min="13" max="13" width="5.85546875" customWidth="1"/>
    <col min="14" max="14" width="12" customWidth="1"/>
    <col min="15" max="15" width="6.7109375" customWidth="1"/>
    <col min="16" max="16" width="3.7109375" customWidth="1"/>
    <col min="17" max="17" width="5.7109375" style="7" customWidth="1"/>
    <col min="18" max="18" width="16.5703125" bestFit="1" customWidth="1"/>
    <col min="19" max="19" width="10.7109375" bestFit="1" customWidth="1"/>
  </cols>
  <sheetData>
    <row r="1" spans="1:19" s="13" customFormat="1" ht="35.25" customHeight="1" x14ac:dyDescent="0.25">
      <c r="A1" s="13" t="s">
        <v>5</v>
      </c>
      <c r="B1" s="13" t="s">
        <v>924</v>
      </c>
      <c r="C1" s="13" t="s">
        <v>923</v>
      </c>
      <c r="D1" s="13" t="s">
        <v>88</v>
      </c>
      <c r="E1" s="13" t="s">
        <v>0</v>
      </c>
      <c r="F1" s="13" t="s">
        <v>45</v>
      </c>
      <c r="G1" s="13" t="s">
        <v>1617</v>
      </c>
      <c r="H1" s="19" t="s">
        <v>152</v>
      </c>
      <c r="J1" s="13" t="s">
        <v>5</v>
      </c>
      <c r="K1" s="13" t="s">
        <v>160</v>
      </c>
      <c r="M1" s="13" t="s">
        <v>5</v>
      </c>
      <c r="N1" s="13" t="s">
        <v>926</v>
      </c>
      <c r="O1" s="13" t="s">
        <v>1005</v>
      </c>
      <c r="Q1" s="13" t="s">
        <v>5</v>
      </c>
      <c r="R1" s="13" t="s">
        <v>925</v>
      </c>
      <c r="S1" s="13" t="s">
        <v>923</v>
      </c>
    </row>
    <row r="2" spans="1:19" x14ac:dyDescent="0.25">
      <c r="A2" s="13">
        <v>0</v>
      </c>
      <c r="B2" s="14" t="s">
        <v>159</v>
      </c>
      <c r="C2" t="str">
        <f>VLOOKUP(INT(LEFT(TAccount[[#This Row],[شناسه]])),TAccountCategory[],2,FALSE)</f>
        <v>---</v>
      </c>
      <c r="D2" t="str">
        <f>VLOOKUP(LEFT(TAccount[[#This Row],[شناسه]],3),TAccountGroup[],2,FALSE)</f>
        <v>---</v>
      </c>
      <c r="E2" s="6"/>
      <c r="F2" s="6"/>
      <c r="G2" s="6">
        <f>SUMIF(TArticle[شناسه],TAccount[[#This Row],[شناسه]],TArticle[بدهکار])+SUMIF(TArticle[شناسه],TAccount[[#This Row],[شناسه]],TArticle[بستانکار])</f>
        <v>0</v>
      </c>
      <c r="J2">
        <v>1</v>
      </c>
      <c r="K2" t="s">
        <v>163</v>
      </c>
      <c r="M2">
        <v>0</v>
      </c>
      <c r="N2" s="14" t="s">
        <v>159</v>
      </c>
      <c r="O2" s="14"/>
      <c r="Q2" s="18" t="s">
        <v>1161</v>
      </c>
      <c r="R2" s="14" t="s">
        <v>159</v>
      </c>
      <c r="S2" t="str">
        <f>VLOOKUP(INT(LEFT(TAccountGroup[[#This Row],[شناسه]])),TAccountCategory[],2,FALSE)</f>
        <v>---</v>
      </c>
    </row>
    <row r="3" spans="1:19" x14ac:dyDescent="0.25">
      <c r="A3" s="13" t="s">
        <v>1110</v>
      </c>
      <c r="B3" t="s">
        <v>1111</v>
      </c>
      <c r="C3" t="str">
        <f>VLOOKUP(INT(LEFT(TAccount[[#This Row],[شناسه]])),TAccountCategory[],2,FALSE)</f>
        <v>پرداخت بدهی</v>
      </c>
      <c r="D3" t="str">
        <f>VLOOKUP(LEFT(TAccount[[#This Row],[شناسه]],3),TAccountGroup[],2,FALSE)</f>
        <v>وام بانکی</v>
      </c>
      <c r="E3" s="1"/>
      <c r="F3" s="1"/>
      <c r="G3" s="1">
        <f>SUMIF(TArticle[شناسه],TAccount[[#This Row],[شناسه]],TArticle[بدهکار])+SUMIF(TArticle[شناسه],TAccount[[#This Row],[شناسه]],TArticle[بستانکار])</f>
        <v>81652</v>
      </c>
      <c r="J3">
        <v>2</v>
      </c>
      <c r="K3" t="s">
        <v>161</v>
      </c>
      <c r="M3">
        <v>1</v>
      </c>
      <c r="N3" t="s">
        <v>921</v>
      </c>
      <c r="O3" t="s">
        <v>999</v>
      </c>
      <c r="Q3" s="18" t="s">
        <v>968</v>
      </c>
      <c r="R3" t="s">
        <v>927</v>
      </c>
      <c r="S3" t="str">
        <f>VLOOKUP(INT(LEFT(TAccountGroup[[#This Row],[شناسه]])),TAccountCategory[],2,FALSE)</f>
        <v>پرداخت بدهی</v>
      </c>
    </row>
    <row r="4" spans="1:19" x14ac:dyDescent="0.25">
      <c r="A4" s="13" t="s">
        <v>13</v>
      </c>
      <c r="B4" t="s">
        <v>928</v>
      </c>
      <c r="C4" t="str">
        <f>VLOOKUP(INT(LEFT(TAccount[[#This Row],[شناسه]])),TAccountCategory[],2,FALSE)</f>
        <v>پرداخت بدهی</v>
      </c>
      <c r="D4" t="str">
        <f>VLOOKUP(LEFT(TAccount[[#This Row],[شناسه]],3),TAccountGroup[],2,FALSE)</f>
        <v>وام شرکت</v>
      </c>
      <c r="E4" s="2"/>
      <c r="F4" s="2">
        <v>-1500</v>
      </c>
      <c r="G4" s="2">
        <f>SUMIF(TArticle[شناسه],TAccount[[#This Row],[شناسه]],TArticle[بدهکار])+SUMIF(TArticle[شناسه],TAccount[[#This Row],[شناسه]],TArticle[بستانکار])</f>
        <v>0</v>
      </c>
      <c r="J4">
        <v>3</v>
      </c>
      <c r="K4" t="s">
        <v>164</v>
      </c>
      <c r="M4">
        <v>2</v>
      </c>
      <c r="N4" t="s">
        <v>178</v>
      </c>
      <c r="O4" t="s">
        <v>999</v>
      </c>
      <c r="Q4" s="18" t="s">
        <v>969</v>
      </c>
      <c r="R4" t="s">
        <v>928</v>
      </c>
      <c r="S4" t="str">
        <f>VLOOKUP(INT(LEFT(TAccountGroup[[#This Row],[شناسه]])),TAccountCategory[],2,FALSE)</f>
        <v>پرداخت بدهی</v>
      </c>
    </row>
    <row r="5" spans="1:19" x14ac:dyDescent="0.25">
      <c r="A5" s="13" t="s">
        <v>38</v>
      </c>
      <c r="B5" t="s">
        <v>85</v>
      </c>
      <c r="C5" t="str">
        <f>VLOOKUP(INT(LEFT(TAccount[[#This Row],[شناسه]])),TAccountCategory[],2,FALSE)</f>
        <v>پرداخت بدهی</v>
      </c>
      <c r="D5" t="str">
        <f>VLOOKUP(LEFT(TAccount[[#This Row],[شناسه]],3),TAccountGroup[],2,FALSE)</f>
        <v>چک</v>
      </c>
      <c r="E5" s="2"/>
      <c r="F5" s="2">
        <v>-2300</v>
      </c>
      <c r="G5" s="2">
        <f>SUMIF(TArticle[شناسه],TAccount[[#This Row],[شناسه]],TArticle[بدهکار])+SUMIF(TArticle[شناسه],TAccount[[#This Row],[شناسه]],TArticle[بستانکار])</f>
        <v>8000</v>
      </c>
      <c r="H5">
        <v>1</v>
      </c>
      <c r="J5">
        <v>4</v>
      </c>
      <c r="K5" t="s">
        <v>1098</v>
      </c>
      <c r="M5">
        <v>3</v>
      </c>
      <c r="N5" t="s">
        <v>97</v>
      </c>
      <c r="O5" t="s">
        <v>999</v>
      </c>
      <c r="Q5" s="18" t="s">
        <v>970</v>
      </c>
      <c r="R5" t="s">
        <v>79</v>
      </c>
      <c r="S5" t="str">
        <f>VLOOKUP(INT(LEFT(TAccountGroup[[#This Row],[شناسه]])),TAccountCategory[],2,FALSE)</f>
        <v>پرداخت بدهی</v>
      </c>
    </row>
    <row r="6" spans="1:19" x14ac:dyDescent="0.25">
      <c r="A6" s="13" t="s">
        <v>78</v>
      </c>
      <c r="B6" t="s">
        <v>79</v>
      </c>
      <c r="C6" t="str">
        <f>VLOOKUP(INT(LEFT(TAccount[[#This Row],[شناسه]])),TAccountCategory[],2,FALSE)</f>
        <v>پرداخت بدهی</v>
      </c>
      <c r="D6" t="str">
        <f>VLOOKUP(LEFT(TAccount[[#This Row],[شناسه]],3),TAccountGroup[],2,FALSE)</f>
        <v>چک</v>
      </c>
      <c r="E6" s="6"/>
      <c r="F6" s="6"/>
      <c r="G6" s="6">
        <f>SUMIF(TArticle[شناسه],TAccount[[#This Row],[شناسه]],TArticle[بدهکار])+SUMIF(TArticle[شناسه],TAccount[[#This Row],[شناسه]],TArticle[بستانکار])</f>
        <v>57000</v>
      </c>
      <c r="H6">
        <v>1</v>
      </c>
      <c r="J6">
        <v>5</v>
      </c>
      <c r="K6" t="s">
        <v>167</v>
      </c>
      <c r="M6">
        <v>4</v>
      </c>
      <c r="N6" t="s">
        <v>918</v>
      </c>
      <c r="O6" t="s">
        <v>1000</v>
      </c>
      <c r="Q6" s="18" t="s">
        <v>971</v>
      </c>
      <c r="R6" t="s">
        <v>1016</v>
      </c>
      <c r="S6" t="str">
        <f>VLOOKUP(INT(LEFT(TAccountGroup[[#This Row],[شناسه]])),TAccountCategory[],2,FALSE)</f>
        <v>پرداخت بدهی</v>
      </c>
    </row>
    <row r="7" spans="1:19" x14ac:dyDescent="0.25">
      <c r="A7" s="13" t="s">
        <v>54</v>
      </c>
      <c r="B7" t="s">
        <v>49</v>
      </c>
      <c r="C7" t="str">
        <f>VLOOKUP(INT(LEFT(TAccount[[#This Row],[شناسه]])),TAccountCategory[],2,FALSE)</f>
        <v>پرداخت بدهی</v>
      </c>
      <c r="D7" t="str">
        <f>VLOOKUP(LEFT(TAccount[[#This Row],[شناسه]],3),TAccountGroup[],2,FALSE)</f>
        <v>بدهی نقدی</v>
      </c>
      <c r="E7" s="2"/>
      <c r="F7" s="2"/>
      <c r="G7" s="2">
        <f>SUMIF(TArticle[شناسه],TAccount[[#This Row],[شناسه]],TArticle[بدهکار])+SUMIF(TArticle[شناسه],TAccount[[#This Row],[شناسه]],TArticle[بستانکار])</f>
        <v>0</v>
      </c>
      <c r="J7">
        <v>6</v>
      </c>
      <c r="K7" t="s">
        <v>168</v>
      </c>
      <c r="M7">
        <v>5</v>
      </c>
      <c r="N7" t="s">
        <v>1000</v>
      </c>
      <c r="O7" t="s">
        <v>1000</v>
      </c>
      <c r="Q7" s="18" t="s">
        <v>1003</v>
      </c>
      <c r="R7" t="s">
        <v>1006</v>
      </c>
      <c r="S7" t="str">
        <f>VLOOKUP(INT(LEFT(TAccountGroup[[#This Row],[شناسه]])),TAccountCategory[],2,FALSE)</f>
        <v>پرداخت بدهی</v>
      </c>
    </row>
    <row r="8" spans="1:19" x14ac:dyDescent="0.25">
      <c r="A8" s="13" t="s">
        <v>76</v>
      </c>
      <c r="B8" t="s">
        <v>77</v>
      </c>
      <c r="C8" t="str">
        <f>VLOOKUP(INT(LEFT(TAccount[[#This Row],[شناسه]])),TAccountCategory[],2,FALSE)</f>
        <v>پرداخت بدهی</v>
      </c>
      <c r="D8" t="str">
        <f>VLOOKUP(LEFT(TAccount[[#This Row],[شناسه]],3),TAccountGroup[],2,FALSE)</f>
        <v>بدهی نقدی</v>
      </c>
      <c r="E8" s="6"/>
      <c r="F8" s="6"/>
      <c r="G8" s="6">
        <f>SUMIF(TArticle[شناسه],TAccount[[#This Row],[شناسه]],TArticle[بدهکار])+SUMIF(TArticle[شناسه],TAccount[[#This Row],[شناسه]],TArticle[بستانکار])</f>
        <v>36266</v>
      </c>
      <c r="J8">
        <v>7</v>
      </c>
      <c r="K8" t="s">
        <v>1030</v>
      </c>
      <c r="M8">
        <v>6</v>
      </c>
      <c r="N8" t="s">
        <v>999</v>
      </c>
      <c r="O8" t="s">
        <v>999</v>
      </c>
      <c r="Q8" s="18" t="s">
        <v>972</v>
      </c>
      <c r="R8" t="s">
        <v>929</v>
      </c>
      <c r="S8" t="str">
        <f>VLOOKUP(INT(LEFT(TAccountGroup[[#This Row],[شناسه]])),TAccountCategory[],2,FALSE)</f>
        <v>سرمایه</v>
      </c>
    </row>
    <row r="9" spans="1:19" x14ac:dyDescent="0.25">
      <c r="A9" s="13" t="s">
        <v>1179</v>
      </c>
      <c r="B9" t="s">
        <v>1180</v>
      </c>
      <c r="C9" t="str">
        <f>VLOOKUP(INT(LEFT(TAccount[[#This Row],[شناسه]])),TAccountCategory[],2,FALSE)</f>
        <v>پرداخت بدهی</v>
      </c>
      <c r="D9" t="str">
        <f>VLOOKUP(LEFT(TAccount[[#This Row],[شناسه]],3),TAccountGroup[],2,FALSE)</f>
        <v>بدهی نقدی</v>
      </c>
      <c r="E9" s="1"/>
      <c r="F9" s="1"/>
      <c r="G9" s="1">
        <f>SUMIF(TArticle[شناسه],TAccount[[#This Row],[شناسه]],TArticle[بدهکار])+SUMIF(TArticle[شناسه],TAccount[[#This Row],[شناسه]],TArticle[بستانکار])</f>
        <v>0</v>
      </c>
      <c r="J9">
        <v>8</v>
      </c>
      <c r="K9" t="s">
        <v>1040</v>
      </c>
      <c r="Q9" s="18" t="s">
        <v>973</v>
      </c>
      <c r="R9" t="s">
        <v>930</v>
      </c>
      <c r="S9" t="str">
        <f>VLOOKUP(INT(LEFT(TAccountGroup[[#This Row],[شناسه]])),TAccountCategory[],2,FALSE)</f>
        <v>سرمایه</v>
      </c>
    </row>
    <row r="10" spans="1:19" x14ac:dyDescent="0.25">
      <c r="A10" s="13" t="s">
        <v>1002</v>
      </c>
      <c r="B10" t="s">
        <v>1146</v>
      </c>
      <c r="C10" t="str">
        <f>VLOOKUP(INT(LEFT(TAccount[[#This Row],[شناسه]])),TAccountCategory[],2,FALSE)</f>
        <v>پرداخت بدهی</v>
      </c>
      <c r="D10" t="str">
        <f>VLOOKUP(LEFT(TAccount[[#This Row],[شناسه]],3),TAccountGroup[],2,FALSE)</f>
        <v>پرداخت وام خانگی</v>
      </c>
      <c r="E10" s="6"/>
      <c r="F10" s="6"/>
      <c r="G10" s="6">
        <f>SUMIF(TArticle[شناسه],TAccount[[#This Row],[شناسه]],TArticle[بدهکار])+SUMIF(TArticle[شناسه],TAccount[[#This Row],[شناسه]],TArticle[بستانکار])</f>
        <v>0</v>
      </c>
      <c r="J10">
        <v>9</v>
      </c>
      <c r="K10" t="s">
        <v>1099</v>
      </c>
      <c r="Q10" s="18" t="s">
        <v>974</v>
      </c>
      <c r="R10" t="s">
        <v>1007</v>
      </c>
      <c r="S10" t="str">
        <f>VLOOKUP(INT(LEFT(TAccountGroup[[#This Row],[شناسه]])),TAccountCategory[],2,FALSE)</f>
        <v>سرمایه</v>
      </c>
    </row>
    <row r="11" spans="1:19" x14ac:dyDescent="0.25">
      <c r="A11" s="13" t="s">
        <v>14</v>
      </c>
      <c r="B11" t="s">
        <v>6</v>
      </c>
      <c r="C11" t="str">
        <f>VLOOKUP(INT(LEFT(TAccount[[#This Row],[شناسه]])),TAccountCategory[],2,FALSE)</f>
        <v>سرمایه</v>
      </c>
      <c r="D11" t="str">
        <f>VLOOKUP(LEFT(TAccount[[#This Row],[شناسه]],3),TAccountGroup[],2,FALSE)</f>
        <v>بیمه عمر</v>
      </c>
      <c r="E11" s="2"/>
      <c r="F11" s="2">
        <v>-250</v>
      </c>
      <c r="G11" s="2">
        <f>SUMIF(TArticle[شناسه],TAccount[[#This Row],[شناسه]],TArticle[بدهکار])+SUMIF(TArticle[شناسه],TAccount[[#This Row],[شناسه]],TArticle[بستانکار])</f>
        <v>0</v>
      </c>
      <c r="Q11" s="18" t="s">
        <v>1160</v>
      </c>
      <c r="R11" t="s">
        <v>1159</v>
      </c>
      <c r="S11" t="str">
        <f>VLOOKUP(INT(LEFT(TAccountGroup[[#This Row],[شناسه]])),TAccountCategory[],2,FALSE)</f>
        <v>سرمایه</v>
      </c>
    </row>
    <row r="12" spans="1:19" x14ac:dyDescent="0.25">
      <c r="A12" s="13" t="s">
        <v>15</v>
      </c>
      <c r="B12" t="s">
        <v>197</v>
      </c>
      <c r="C12" t="str">
        <f>VLOOKUP(INT(LEFT(TAccount[[#This Row],[شناسه]])),TAccountCategory[],2,FALSE)</f>
        <v>سرمایه</v>
      </c>
      <c r="D12" t="str">
        <f>VLOOKUP(LEFT(TAccount[[#This Row],[شناسه]],3),TAccountGroup[],2,FALSE)</f>
        <v>وام خانگی</v>
      </c>
      <c r="E12" s="2"/>
      <c r="F12" s="2">
        <v>-500</v>
      </c>
      <c r="G12" s="2">
        <f>SUMIF(TArticle[شناسه],TAccount[[#This Row],[شناسه]],TArticle[بدهکار])+SUMIF(TArticle[شناسه],TAccount[[#This Row],[شناسه]],TArticle[بستانکار])</f>
        <v>0</v>
      </c>
      <c r="H12">
        <v>1</v>
      </c>
      <c r="Q12" s="18" t="s">
        <v>975</v>
      </c>
      <c r="R12" t="s">
        <v>931</v>
      </c>
      <c r="S12" t="str">
        <f>VLOOKUP(INT(LEFT(TAccountGroup[[#This Row],[شناسه]])),TAccountCategory[],2,FALSE)</f>
        <v>هزینه</v>
      </c>
    </row>
    <row r="13" spans="1:19" x14ac:dyDescent="0.25">
      <c r="A13" s="13" t="s">
        <v>41</v>
      </c>
      <c r="B13" t="s">
        <v>198</v>
      </c>
      <c r="C13" t="str">
        <f>VLOOKUP(INT(LEFT(TAccount[[#This Row],[شناسه]])),TAccountCategory[],2,FALSE)</f>
        <v>سرمایه</v>
      </c>
      <c r="D13" t="str">
        <f>VLOOKUP(LEFT(TAccount[[#This Row],[شناسه]],3),TAccountGroup[],2,FALSE)</f>
        <v>وام خانگی</v>
      </c>
      <c r="E13" s="2"/>
      <c r="F13" s="2">
        <v>-350</v>
      </c>
      <c r="G13" s="2">
        <f>SUMIF(TArticle[شناسه],TAccount[[#This Row],[شناسه]],TArticle[بدهکار])+SUMIF(TArticle[شناسه],TAccount[[#This Row],[شناسه]],TArticle[بستانکار])</f>
        <v>4200</v>
      </c>
      <c r="H13">
        <v>1</v>
      </c>
      <c r="Q13" s="18" t="s">
        <v>976</v>
      </c>
      <c r="R13" t="s">
        <v>932</v>
      </c>
      <c r="S13" t="str">
        <f>VLOOKUP(INT(LEFT(TAccountGroup[[#This Row],[شناسه]])),TAccountCategory[],2,FALSE)</f>
        <v>هزینه</v>
      </c>
    </row>
    <row r="14" spans="1:19" x14ac:dyDescent="0.25">
      <c r="A14" s="13" t="s">
        <v>16</v>
      </c>
      <c r="B14" t="s">
        <v>7</v>
      </c>
      <c r="C14" t="str">
        <f>VLOOKUP(INT(LEFT(TAccount[[#This Row],[شناسه]])),TAccountCategory[],2,FALSE)</f>
        <v>هزینه</v>
      </c>
      <c r="D14" t="str">
        <f>VLOOKUP(LEFT(TAccount[[#This Row],[شناسه]],3),TAccountGroup[],2,FALSE)</f>
        <v>قبض</v>
      </c>
      <c r="E14" s="2"/>
      <c r="F14" s="2">
        <v>-140</v>
      </c>
      <c r="G14" s="2">
        <f>SUMIF(TArticle[شناسه],TAccount[[#This Row],[شناسه]],TArticle[بدهکار])+SUMIF(TArticle[شناسه],TAccount[[#This Row],[شناسه]],TArticle[بستانکار])</f>
        <v>0</v>
      </c>
      <c r="Q14" s="18" t="s">
        <v>977</v>
      </c>
      <c r="R14" t="s">
        <v>933</v>
      </c>
      <c r="S14" t="str">
        <f>VLOOKUP(INT(LEFT(TAccountGroup[[#This Row],[شناسه]])),TAccountCategory[],2,FALSE)</f>
        <v>هزینه</v>
      </c>
    </row>
    <row r="15" spans="1:19" x14ac:dyDescent="0.25">
      <c r="A15" s="13" t="s">
        <v>17</v>
      </c>
      <c r="B15" t="s">
        <v>8</v>
      </c>
      <c r="C15" t="str">
        <f>VLOOKUP(INT(LEFT(TAccount[[#This Row],[شناسه]])),TAccountCategory[],2,FALSE)</f>
        <v>هزینه</v>
      </c>
      <c r="D15" t="str">
        <f>VLOOKUP(LEFT(TAccount[[#This Row],[شناسه]],3),TAccountGroup[],2,FALSE)</f>
        <v>قبض</v>
      </c>
      <c r="E15" s="2"/>
      <c r="F15" s="2"/>
      <c r="G15" s="2">
        <f>SUMIF(TArticle[شناسه],TAccount[[#This Row],[شناسه]],TArticle[بدهکار])+SUMIF(TArticle[شناسه],TAccount[[#This Row],[شناسه]],TArticle[بستانکار])</f>
        <v>0</v>
      </c>
      <c r="Q15" s="18" t="s">
        <v>978</v>
      </c>
      <c r="R15" t="s">
        <v>934</v>
      </c>
      <c r="S15" t="str">
        <f>VLOOKUP(INT(LEFT(TAccountGroup[[#This Row],[شناسه]])),TAccountCategory[],2,FALSE)</f>
        <v>هزینه</v>
      </c>
    </row>
    <row r="16" spans="1:19" x14ac:dyDescent="0.25">
      <c r="A16" s="13" t="s">
        <v>18</v>
      </c>
      <c r="B16" t="s">
        <v>9</v>
      </c>
      <c r="C16" t="str">
        <f>VLOOKUP(INT(LEFT(TAccount[[#This Row],[شناسه]])),TAccountCategory[],2,FALSE)</f>
        <v>هزینه</v>
      </c>
      <c r="D16" t="str">
        <f>VLOOKUP(LEFT(TAccount[[#This Row],[شناسه]],3),TAccountGroup[],2,FALSE)</f>
        <v>قبض</v>
      </c>
      <c r="E16" s="2"/>
      <c r="F16" s="2"/>
      <c r="G16" s="2">
        <f>SUMIF(TArticle[شناسه],TAccount[[#This Row],[شناسه]],TArticle[بدهکار])+SUMIF(TArticle[شناسه],TAccount[[#This Row],[شناسه]],TArticle[بستانکار])</f>
        <v>0</v>
      </c>
      <c r="Q16" s="18" t="s">
        <v>979</v>
      </c>
      <c r="R16" t="s">
        <v>935</v>
      </c>
      <c r="S16" t="str">
        <f>VLOOKUP(INT(LEFT(TAccountGroup[[#This Row],[شناسه]])),TAccountCategory[],2,FALSE)</f>
        <v>هزینه</v>
      </c>
    </row>
    <row r="17" spans="1:19" x14ac:dyDescent="0.25">
      <c r="A17" s="13" t="s">
        <v>19</v>
      </c>
      <c r="B17" t="s">
        <v>10</v>
      </c>
      <c r="C17" t="str">
        <f>VLOOKUP(INT(LEFT(TAccount[[#This Row],[شناسه]])),TAccountCategory[],2,FALSE)</f>
        <v>هزینه</v>
      </c>
      <c r="D17" t="str">
        <f>VLOOKUP(LEFT(TAccount[[#This Row],[شناسه]],3),TAccountGroup[],2,FALSE)</f>
        <v>قبض</v>
      </c>
      <c r="E17" s="2"/>
      <c r="F17" s="2"/>
      <c r="G17" s="2">
        <f>SUMIF(TArticle[شناسه],TAccount[[#This Row],[شناسه]],TArticle[بدهکار])+SUMIF(TArticle[شناسه],TAccount[[#This Row],[شناسه]],TArticle[بستانکار])</f>
        <v>0</v>
      </c>
      <c r="Q17" s="18" t="s">
        <v>980</v>
      </c>
      <c r="R17" t="s">
        <v>37</v>
      </c>
      <c r="S17" t="str">
        <f>VLOOKUP(INT(LEFT(TAccountGroup[[#This Row],[شناسه]])),TAccountCategory[],2,FALSE)</f>
        <v>هزینه</v>
      </c>
    </row>
    <row r="18" spans="1:19" x14ac:dyDescent="0.25">
      <c r="A18" s="13" t="s">
        <v>20</v>
      </c>
      <c r="B18" t="s">
        <v>11</v>
      </c>
      <c r="C18" t="str">
        <f>VLOOKUP(INT(LEFT(TAccount[[#This Row],[شناسه]])),TAccountCategory[],2,FALSE)</f>
        <v>هزینه</v>
      </c>
      <c r="D18" t="str">
        <f>VLOOKUP(LEFT(TAccount[[#This Row],[شناسه]],3),TAccountGroup[],2,FALSE)</f>
        <v>قبض</v>
      </c>
      <c r="E18" s="2"/>
      <c r="F18" s="2"/>
      <c r="G18" s="2">
        <f>SUMIF(TArticle[شناسه],TAccount[[#This Row],[شناسه]],TArticle[بدهکار])+SUMIF(TArticle[شناسه],TAccount[[#This Row],[شناسه]],TArticle[بستانکار])</f>
        <v>0</v>
      </c>
      <c r="Q18" s="18" t="s">
        <v>981</v>
      </c>
      <c r="R18" t="s">
        <v>1036</v>
      </c>
      <c r="S18" t="str">
        <f>VLOOKUP(INT(LEFT(TAccountGroup[[#This Row],[شناسه]])),TAccountCategory[],2,FALSE)</f>
        <v>هزینه</v>
      </c>
    </row>
    <row r="19" spans="1:19" x14ac:dyDescent="0.25">
      <c r="A19" s="13" t="s">
        <v>153</v>
      </c>
      <c r="B19" t="s">
        <v>154</v>
      </c>
      <c r="C19" t="str">
        <f>VLOOKUP(INT(LEFT(TAccount[[#This Row],[شناسه]])),TAccountCategory[],2,FALSE)</f>
        <v>هزینه</v>
      </c>
      <c r="D19" t="str">
        <f>VLOOKUP(LEFT(TAccount[[#This Row],[شناسه]],3),TAccountGroup[],2,FALSE)</f>
        <v>قبض</v>
      </c>
      <c r="E19" s="6"/>
      <c r="F19" s="6"/>
      <c r="G19" s="6">
        <f>SUMIF(TArticle[شناسه],TAccount[[#This Row],[شناسه]],TArticle[بدهکار])+SUMIF(TArticle[شناسه],TAccount[[#This Row],[شناسه]],TArticle[بستانکار])</f>
        <v>6100</v>
      </c>
      <c r="Q19" s="18" t="s">
        <v>982</v>
      </c>
      <c r="R19" t="s">
        <v>936</v>
      </c>
      <c r="S19" t="str">
        <f>VLOOKUP(INT(LEFT(TAccountGroup[[#This Row],[شناسه]])),TAccountCategory[],2,FALSE)</f>
        <v>هزینه</v>
      </c>
    </row>
    <row r="20" spans="1:19" x14ac:dyDescent="0.25">
      <c r="A20" s="13" t="s">
        <v>1041</v>
      </c>
      <c r="B20" t="s">
        <v>1176</v>
      </c>
      <c r="C20" t="str">
        <f>VLOOKUP(INT(LEFT(TAccount[[#This Row],[شناسه]])),TAccountCategory[],2,FALSE)</f>
        <v>هزینه</v>
      </c>
      <c r="D20" t="str">
        <f>VLOOKUP(LEFT(TAccount[[#This Row],[شناسه]],3),TAccountGroup[],2,FALSE)</f>
        <v>قبض</v>
      </c>
      <c r="E20" s="35"/>
      <c r="F20" s="35"/>
      <c r="G20" s="35">
        <f>SUMIF(TArticle[شناسه],TAccount[[#This Row],[شناسه]],TArticle[بدهکار])+SUMIF(TArticle[شناسه],TAccount[[#This Row],[شناسه]],TArticle[بستانکار])</f>
        <v>477</v>
      </c>
      <c r="Q20" s="18" t="s">
        <v>983</v>
      </c>
      <c r="R20" t="s">
        <v>937</v>
      </c>
      <c r="S20" t="str">
        <f>VLOOKUP(INT(LEFT(TAccountGroup[[#This Row],[شناسه]])),TAccountCategory[],2,FALSE)</f>
        <v>هزینه</v>
      </c>
    </row>
    <row r="21" spans="1:19" x14ac:dyDescent="0.25">
      <c r="A21" s="13" t="s">
        <v>1107</v>
      </c>
      <c r="B21" t="s">
        <v>1108</v>
      </c>
      <c r="C21" t="str">
        <f>VLOOKUP(INT(LEFT(TAccount[[#This Row],[شناسه]])),TAccountCategory[],2,FALSE)</f>
        <v>هزینه</v>
      </c>
      <c r="D21" t="str">
        <f>VLOOKUP(LEFT(TAccount[[#This Row],[شناسه]],3),TAccountGroup[],2,FALSE)</f>
        <v>قبض</v>
      </c>
      <c r="E21" s="57"/>
      <c r="F21" s="57"/>
      <c r="G21" s="57">
        <f>SUMIF(TArticle[شناسه],TAccount[[#This Row],[شناسه]],TArticle[بدهکار])+SUMIF(TArticle[شناسه],TAccount[[#This Row],[شناسه]],TArticle[بستانکار])</f>
        <v>9163</v>
      </c>
      <c r="Q21" s="18" t="s">
        <v>984</v>
      </c>
      <c r="R21" t="s">
        <v>1012</v>
      </c>
      <c r="S21" t="str">
        <f>VLOOKUP(INT(LEFT(TAccountGroup[[#This Row],[شناسه]])),TAccountCategory[],2,FALSE)</f>
        <v>درآمد</v>
      </c>
    </row>
    <row r="22" spans="1:19" x14ac:dyDescent="0.25">
      <c r="A22" s="13" t="s">
        <v>1163</v>
      </c>
      <c r="B22" t="s">
        <v>1164</v>
      </c>
      <c r="C22" t="str">
        <f>VLOOKUP(INT(LEFT(TAccount[[#This Row],[شناسه]])),TAccountCategory[],2,FALSE)</f>
        <v>هزینه</v>
      </c>
      <c r="D22" t="str">
        <f>VLOOKUP(LEFT(TAccount[[#This Row],[شناسه]],3),TAccountGroup[],2,FALSE)</f>
        <v>قبض</v>
      </c>
      <c r="E22" s="57"/>
      <c r="F22" s="57"/>
      <c r="G22" s="57">
        <f>SUMIF(TArticle[شناسه],TAccount[[#This Row],[شناسه]],TArticle[بدهکار])+SUMIF(TArticle[شناسه],TAccount[[#This Row],[شناسه]],TArticle[بستانکار])</f>
        <v>0</v>
      </c>
      <c r="Q22" s="18" t="s">
        <v>1011</v>
      </c>
      <c r="R22" t="s">
        <v>1010</v>
      </c>
      <c r="S22" t="str">
        <f>VLOOKUP(INT(LEFT(TAccountGroup[[#This Row],[شناسه]])),TAccountCategory[],2,FALSE)</f>
        <v>درآمد</v>
      </c>
    </row>
    <row r="23" spans="1:19" x14ac:dyDescent="0.25">
      <c r="A23" s="13" t="s">
        <v>172</v>
      </c>
      <c r="B23" t="s">
        <v>941</v>
      </c>
      <c r="C23" t="str">
        <f>VLOOKUP(INT(LEFT(TAccount[[#This Row],[شناسه]])),TAccountCategory[],2,FALSE)</f>
        <v>هزینه</v>
      </c>
      <c r="D23" t="str">
        <f>VLOOKUP(LEFT(TAccount[[#This Row],[شناسه]],3),TAccountGroup[],2,FALSE)</f>
        <v>حمل و نقل</v>
      </c>
      <c r="E23" s="6"/>
      <c r="F23" s="6"/>
      <c r="G23" s="6">
        <f>SUMIF(TArticle[شناسه],TAccount[[#This Row],[شناسه]],TArticle[بدهکار])+SUMIF(TArticle[شناسه],TAccount[[#This Row],[شناسه]],TArticle[بستانکار])</f>
        <v>0</v>
      </c>
      <c r="Q23" s="18" t="s">
        <v>985</v>
      </c>
      <c r="R23" t="s">
        <v>1001</v>
      </c>
      <c r="S23" t="str">
        <f>VLOOKUP(INT(LEFT(TAccountGroup[[#This Row],[شناسه]])),TAccountCategory[],2,FALSE)</f>
        <v>درآمد</v>
      </c>
    </row>
    <row r="24" spans="1:19" x14ac:dyDescent="0.25">
      <c r="A24" s="13" t="s">
        <v>21</v>
      </c>
      <c r="B24" t="s">
        <v>157</v>
      </c>
      <c r="C24" t="str">
        <f>VLOOKUP(INT(LEFT(TAccount[[#This Row],[شناسه]])),TAccountCategory[],2,FALSE)</f>
        <v>هزینه</v>
      </c>
      <c r="D24" t="str">
        <f>VLOOKUP(LEFT(TAccount[[#This Row],[شناسه]],3),TAccountGroup[],2,FALSE)</f>
        <v>حمل و نقل</v>
      </c>
      <c r="E24" s="2"/>
      <c r="F24" s="2"/>
      <c r="G24" s="2">
        <f>SUMIF(TArticle[شناسه],TAccount[[#This Row],[شناسه]],TArticle[بدهکار])+SUMIF(TArticle[شناسه],TAccount[[#This Row],[شناسه]],TArticle[بستانکار])</f>
        <v>0</v>
      </c>
      <c r="Q24" s="18" t="s">
        <v>986</v>
      </c>
      <c r="R24" t="s">
        <v>1000</v>
      </c>
      <c r="S24" t="str">
        <f>VLOOKUP(INT(LEFT(TAccountGroup[[#This Row],[شناسه]])),TAccountCategory[],2,FALSE)</f>
        <v>دریافت</v>
      </c>
    </row>
    <row r="25" spans="1:19" x14ac:dyDescent="0.25">
      <c r="A25" s="13" t="s">
        <v>22</v>
      </c>
      <c r="B25" t="s">
        <v>940</v>
      </c>
      <c r="C25" t="str">
        <f>VLOOKUP(INT(LEFT(TAccount[[#This Row],[شناسه]])),TAccountCategory[],2,FALSE)</f>
        <v>هزینه</v>
      </c>
      <c r="D25" t="str">
        <f>VLOOKUP(LEFT(TAccount[[#This Row],[شناسه]],3),TAccountGroup[],2,FALSE)</f>
        <v>حمل و نقل</v>
      </c>
      <c r="E25" s="2"/>
      <c r="F25" s="2"/>
      <c r="G25" s="2">
        <f>SUMIF(TArticle[شناسه],TAccount[[#This Row],[شناسه]],TArticle[بدهکار])+SUMIF(TArticle[شناسه],TAccount[[#This Row],[شناسه]],TArticle[بستانکار])</f>
        <v>0</v>
      </c>
      <c r="Q25" s="18" t="s">
        <v>1020</v>
      </c>
      <c r="R25" t="s">
        <v>1021</v>
      </c>
      <c r="S25" t="str">
        <f>VLOOKUP(INT(LEFT(TAccountGroup[[#This Row],[شناسه]])),TAccountCategory[],2,FALSE)</f>
        <v>دریافت</v>
      </c>
    </row>
    <row r="26" spans="1:19" x14ac:dyDescent="0.25">
      <c r="A26" s="13" t="s">
        <v>171</v>
      </c>
      <c r="B26" t="s">
        <v>158</v>
      </c>
      <c r="C26" t="str">
        <f>VLOOKUP(INT(LEFT(TAccount[[#This Row],[شناسه]])),TAccountCategory[],2,FALSE)</f>
        <v>هزینه</v>
      </c>
      <c r="D26" t="str">
        <f>VLOOKUP(LEFT(TAccount[[#This Row],[شناسه]],3),TAccountGroup[],2,FALSE)</f>
        <v>حمل و نقل</v>
      </c>
      <c r="E26" s="6"/>
      <c r="F26" s="6"/>
      <c r="G26" s="6">
        <f>SUMIF(TArticle[شناسه],TAccount[[#This Row],[شناسه]],TArticle[بدهکار])+SUMIF(TArticle[شناسه],TAccount[[#This Row],[شناسه]],TArticle[بستانکار])</f>
        <v>0</v>
      </c>
      <c r="Q26" s="18" t="s">
        <v>1009</v>
      </c>
      <c r="R26" t="s">
        <v>999</v>
      </c>
      <c r="S26" t="str">
        <f>VLOOKUP(INT(LEFT(TAccountGroup[[#This Row],[شناسه]])),TAccountCategory[],2,FALSE)</f>
        <v>پرداخت</v>
      </c>
    </row>
    <row r="27" spans="1:19" x14ac:dyDescent="0.25">
      <c r="A27" s="13" t="s">
        <v>938</v>
      </c>
      <c r="B27" t="s">
        <v>939</v>
      </c>
      <c r="C27" t="str">
        <f>VLOOKUP(INT(LEFT(TAccount[[#This Row],[شناسه]])),TAccountCategory[],2,FALSE)</f>
        <v>هزینه</v>
      </c>
      <c r="D27" t="str">
        <f>VLOOKUP(LEFT(TAccount[[#This Row],[شناسه]],3),TAccountGroup[],2,FALSE)</f>
        <v>حمل و نقل</v>
      </c>
      <c r="E27" s="1"/>
      <c r="F27" s="1"/>
      <c r="G27" s="1">
        <f>SUMIF(TArticle[شناسه],TAccount[[#This Row],[شناسه]],TArticle[بدهکار])+SUMIF(TArticle[شناسه],TAccount[[#This Row],[شناسه]],TArticle[بستانکار])</f>
        <v>0</v>
      </c>
    </row>
    <row r="28" spans="1:19" x14ac:dyDescent="0.25">
      <c r="A28" s="13" t="s">
        <v>1027</v>
      </c>
      <c r="B28" t="s">
        <v>1028</v>
      </c>
      <c r="C28" t="str">
        <f>VLOOKUP(INT(LEFT(TAccount[[#This Row],[شناسه]])),TAccountCategory[],2,FALSE)</f>
        <v>هزینه</v>
      </c>
      <c r="D28" t="str">
        <f>VLOOKUP(LEFT(TAccount[[#This Row],[شناسه]],3),TAccountGroup[],2,FALSE)</f>
        <v>حمل و نقل</v>
      </c>
      <c r="E28" s="1"/>
      <c r="F28" s="1"/>
      <c r="G28" s="1">
        <f>SUMIF(TArticle[شناسه],TAccount[[#This Row],[شناسه]],TArticle[بدهکار])+SUMIF(TArticle[شناسه],TAccount[[#This Row],[شناسه]],TArticle[بستانکار])</f>
        <v>0</v>
      </c>
    </row>
    <row r="29" spans="1:19" x14ac:dyDescent="0.25">
      <c r="A29" s="13" t="s">
        <v>23</v>
      </c>
      <c r="B29" t="s">
        <v>1076</v>
      </c>
      <c r="C29" t="str">
        <f>VLOOKUP(INT(LEFT(TAccount[[#This Row],[شناسه]])),TAccountCategory[],2,FALSE)</f>
        <v>هزینه</v>
      </c>
      <c r="D29" t="str">
        <f>VLOOKUP(LEFT(TAccount[[#This Row],[شناسه]],3),TAccountGroup[],2,FALSE)</f>
        <v>اغذیه</v>
      </c>
      <c r="E29" s="2"/>
      <c r="F29" s="2"/>
      <c r="G29" s="2">
        <f>SUMIF(TArticle[شناسه],TAccount[[#This Row],[شناسه]],TArticle[بدهکار])+SUMIF(TArticle[شناسه],TAccount[[#This Row],[شناسه]],TArticle[بستانکار])</f>
        <v>0</v>
      </c>
    </row>
    <row r="30" spans="1:19" x14ac:dyDescent="0.25">
      <c r="A30" s="13" t="s">
        <v>24</v>
      </c>
      <c r="B30" t="s">
        <v>25</v>
      </c>
      <c r="C30" t="str">
        <f>VLOOKUP(INT(LEFT(TAccount[[#This Row],[شناسه]])),TAccountCategory[],2,FALSE)</f>
        <v>هزینه</v>
      </c>
      <c r="D30" t="str">
        <f>VLOOKUP(LEFT(TAccount[[#This Row],[شناسه]],3),TAccountGroup[],2,FALSE)</f>
        <v>اغذیه</v>
      </c>
      <c r="E30" s="2"/>
      <c r="F30" s="2"/>
      <c r="G30" s="2">
        <f>SUMIF(TArticle[شناسه],TAccount[[#This Row],[شناسه]],TArticle[بدهکار])+SUMIF(TArticle[شناسه],TAccount[[#This Row],[شناسه]],TArticle[بستانکار])</f>
        <v>0</v>
      </c>
    </row>
    <row r="31" spans="1:19" x14ac:dyDescent="0.25">
      <c r="A31" s="13" t="s">
        <v>12</v>
      </c>
      <c r="B31" t="s">
        <v>26</v>
      </c>
      <c r="C31" t="str">
        <f>VLOOKUP(INT(LEFT(TAccount[[#This Row],[شناسه]])),TAccountCategory[],2,FALSE)</f>
        <v>هزینه</v>
      </c>
      <c r="D31" t="str">
        <f>VLOOKUP(LEFT(TAccount[[#This Row],[شناسه]],3),TAccountGroup[],2,FALSE)</f>
        <v>اغذیه</v>
      </c>
      <c r="E31" s="2"/>
      <c r="F31" s="2"/>
      <c r="G31" s="2">
        <f>SUMIF(TArticle[شناسه],TAccount[[#This Row],[شناسه]],TArticle[بدهکار])+SUMIF(TArticle[شناسه],TAccount[[#This Row],[شناسه]],TArticle[بستانکار])</f>
        <v>5750</v>
      </c>
    </row>
    <row r="32" spans="1:19" x14ac:dyDescent="0.25">
      <c r="A32" s="13" t="s">
        <v>1078</v>
      </c>
      <c r="B32" t="s">
        <v>1079</v>
      </c>
      <c r="C32" t="str">
        <f>VLOOKUP(INT(LEFT(TAccount[[#This Row],[شناسه]])),TAccountCategory[],2,FALSE)</f>
        <v>هزینه</v>
      </c>
      <c r="D32" t="str">
        <f>VLOOKUP(LEFT(TAccount[[#This Row],[شناسه]],3),TAccountGroup[],2,FALSE)</f>
        <v>اغذیه</v>
      </c>
      <c r="E32" s="35"/>
      <c r="F32" s="35"/>
      <c r="G32" s="35">
        <f>SUMIF(TArticle[شناسه],TAccount[[#This Row],[شناسه]],TArticle[بدهکار])+SUMIF(TArticle[شناسه],TAccount[[#This Row],[شناسه]],TArticle[بستانکار])</f>
        <v>0</v>
      </c>
    </row>
    <row r="33" spans="1:7" x14ac:dyDescent="0.25">
      <c r="A33" s="13" t="s">
        <v>28</v>
      </c>
      <c r="B33" t="s">
        <v>27</v>
      </c>
      <c r="C33" t="str">
        <f>VLOOKUP(INT(LEFT(TAccount[[#This Row],[شناسه]])),TAccountCategory[],2,FALSE)</f>
        <v>هزینه</v>
      </c>
      <c r="D33" t="str">
        <f>VLOOKUP(LEFT(TAccount[[#This Row],[شناسه]],3),TAccountGroup[],2,FALSE)</f>
        <v>سلامت</v>
      </c>
      <c r="E33" s="2"/>
      <c r="F33" s="2"/>
      <c r="G33" s="2">
        <f>SUMIF(TArticle[شناسه],TAccount[[#This Row],[شناسه]],TArticle[بدهکار])+SUMIF(TArticle[شناسه],TAccount[[#This Row],[شناسه]],TArticle[بستانکار])</f>
        <v>0</v>
      </c>
    </row>
    <row r="34" spans="1:7" x14ac:dyDescent="0.25">
      <c r="A34" s="13" t="s">
        <v>30</v>
      </c>
      <c r="B34" t="s">
        <v>29</v>
      </c>
      <c r="C34" t="str">
        <f>VLOOKUP(INT(LEFT(TAccount[[#This Row],[شناسه]])),TAccountCategory[],2,FALSE)</f>
        <v>هزینه</v>
      </c>
      <c r="D34" t="str">
        <f>VLOOKUP(LEFT(TAccount[[#This Row],[شناسه]],3),TAccountGroup[],2,FALSE)</f>
        <v>سلامت</v>
      </c>
      <c r="E34" s="2"/>
      <c r="F34" s="2"/>
      <c r="G34" s="2">
        <f>SUMIF(TArticle[شناسه],TAccount[[#This Row],[شناسه]],TArticle[بدهکار])+SUMIF(TArticle[شناسه],TAccount[[#This Row],[شناسه]],TArticle[بستانکار])</f>
        <v>20000</v>
      </c>
    </row>
    <row r="35" spans="1:7" x14ac:dyDescent="0.25">
      <c r="A35" s="13" t="s">
        <v>166</v>
      </c>
      <c r="B35" t="s">
        <v>1004</v>
      </c>
      <c r="C35" t="str">
        <f>VLOOKUP(INT(LEFT(TAccount[[#This Row],[شناسه]])),TAccountCategory[],2,FALSE)</f>
        <v>هزینه</v>
      </c>
      <c r="D35" t="str">
        <f>VLOOKUP(LEFT(TAccount[[#This Row],[شناسه]],3),TAccountGroup[],2,FALSE)</f>
        <v>سلامت</v>
      </c>
      <c r="E35" s="6"/>
      <c r="F35" s="6"/>
      <c r="G35" s="6">
        <f>SUMIF(TArticle[شناسه],TAccount[[#This Row],[شناسه]],TArticle[بدهکار])+SUMIF(TArticle[شناسه],TAccount[[#This Row],[شناسه]],TArticle[بستانکار])</f>
        <v>0</v>
      </c>
    </row>
    <row r="36" spans="1:7" x14ac:dyDescent="0.25">
      <c r="A36" s="13" t="s">
        <v>181</v>
      </c>
      <c r="B36" t="s">
        <v>182</v>
      </c>
      <c r="C36" t="str">
        <f>VLOOKUP(INT(LEFT(TAccount[[#This Row],[شناسه]])),TAccountCategory[],2,FALSE)</f>
        <v>هزینه</v>
      </c>
      <c r="D36" t="str">
        <f>VLOOKUP(LEFT(TAccount[[#This Row],[شناسه]],3),TAccountGroup[],2,FALSE)</f>
        <v>سلامت</v>
      </c>
      <c r="E36" s="6"/>
      <c r="F36" s="6"/>
      <c r="G36" s="6">
        <f>SUMIF(TArticle[شناسه],TAccount[[#This Row],[شناسه]],TArticle[بدهکار])+SUMIF(TArticle[شناسه],TAccount[[#This Row],[شناسه]],TArticle[بستانکار])</f>
        <v>0</v>
      </c>
    </row>
    <row r="37" spans="1:7" x14ac:dyDescent="0.25">
      <c r="A37" s="13" t="s">
        <v>193</v>
      </c>
      <c r="B37" t="s">
        <v>1026</v>
      </c>
      <c r="C37" t="str">
        <f>VLOOKUP(INT(LEFT(TAccount[[#This Row],[شناسه]])),TAccountCategory[],2,FALSE)</f>
        <v>هزینه</v>
      </c>
      <c r="D37" t="str">
        <f>VLOOKUP(LEFT(TAccount[[#This Row],[شناسه]],3),TAccountGroup[],2,FALSE)</f>
        <v>سلامت</v>
      </c>
      <c r="E37" s="6"/>
      <c r="F37" s="6"/>
      <c r="G37" s="6">
        <f>SUMIF(TArticle[شناسه],TAccount[[#This Row],[شناسه]],TArticle[بدهکار])+SUMIF(TArticle[شناسه],TAccount[[#This Row],[شناسه]],TArticle[بستانکار])</f>
        <v>0</v>
      </c>
    </row>
    <row r="38" spans="1:7" x14ac:dyDescent="0.25">
      <c r="A38" s="13" t="s">
        <v>31</v>
      </c>
      <c r="B38" t="s">
        <v>32</v>
      </c>
      <c r="C38" t="str">
        <f>VLOOKUP(INT(LEFT(TAccount[[#This Row],[شناسه]])),TAccountCategory[],2,FALSE)</f>
        <v>هزینه</v>
      </c>
      <c r="D38" t="str">
        <f>VLOOKUP(LEFT(TAccount[[#This Row],[شناسه]],3),TAccountGroup[],2,FALSE)</f>
        <v>پوشاک</v>
      </c>
      <c r="E38" s="2"/>
      <c r="F38" s="2"/>
      <c r="G38" s="2">
        <f>SUMIF(TArticle[شناسه],TAccount[[#This Row],[شناسه]],TArticle[بدهکار])+SUMIF(TArticle[شناسه],TAccount[[#This Row],[شناسه]],TArticle[بستانکار])</f>
        <v>300</v>
      </c>
    </row>
    <row r="39" spans="1:7" x14ac:dyDescent="0.25">
      <c r="A39" s="13" t="s">
        <v>35</v>
      </c>
      <c r="B39" t="s">
        <v>33</v>
      </c>
      <c r="C39" t="str">
        <f>VLOOKUP(INT(LEFT(TAccount[[#This Row],[شناسه]])),TAccountCategory[],2,FALSE)</f>
        <v>هزینه</v>
      </c>
      <c r="D39" t="str">
        <f>VLOOKUP(LEFT(TAccount[[#This Row],[شناسه]],3),TAccountGroup[],2,FALSE)</f>
        <v>پوشاک</v>
      </c>
      <c r="E39" s="2"/>
      <c r="F39" s="2"/>
      <c r="G39" s="2">
        <f>SUMIF(TArticle[شناسه],TAccount[[#This Row],[شناسه]],TArticle[بدهکار])+SUMIF(TArticle[شناسه],TAccount[[#This Row],[شناسه]],TArticle[بستانکار])</f>
        <v>0</v>
      </c>
    </row>
    <row r="40" spans="1:7" x14ac:dyDescent="0.25">
      <c r="A40" s="13" t="s">
        <v>36</v>
      </c>
      <c r="B40" t="s">
        <v>34</v>
      </c>
      <c r="C40" t="str">
        <f>VLOOKUP(INT(LEFT(TAccount[[#This Row],[شناسه]])),TAccountCategory[],2,FALSE)</f>
        <v>هزینه</v>
      </c>
      <c r="D40" t="str">
        <f>VLOOKUP(LEFT(TAccount[[#This Row],[شناسه]],3),TAccountGroup[],2,FALSE)</f>
        <v>پوشاک</v>
      </c>
      <c r="E40" s="2"/>
      <c r="F40" s="2"/>
      <c r="G40" s="2">
        <f>SUMIF(TArticle[شناسه],TAccount[[#This Row],[شناسه]],TArticle[بدهکار])+SUMIF(TArticle[شناسه],TAccount[[#This Row],[شناسه]],TArticle[بستانکار])</f>
        <v>0</v>
      </c>
    </row>
    <row r="41" spans="1:7" x14ac:dyDescent="0.25">
      <c r="A41" s="13" t="s">
        <v>40</v>
      </c>
      <c r="B41" t="s">
        <v>37</v>
      </c>
      <c r="C41" t="str">
        <f>VLOOKUP(INT(LEFT(TAccount[[#This Row],[شناسه]])),TAccountCategory[],2,FALSE)</f>
        <v>هزینه</v>
      </c>
      <c r="D41" t="str">
        <f>VLOOKUP(LEFT(TAccount[[#This Row],[شناسه]],3),TAccountGroup[],2,FALSE)</f>
        <v>کادو</v>
      </c>
      <c r="E41" s="2"/>
      <c r="F41" s="2"/>
      <c r="G41" s="2">
        <f>SUMIF(TArticle[شناسه],TAccount[[#This Row],[شناسه]],TArticle[بدهکار])+SUMIF(TArticle[شناسه],TAccount[[#This Row],[شناسه]],TArticle[بستانکار])</f>
        <v>0</v>
      </c>
    </row>
    <row r="42" spans="1:7" x14ac:dyDescent="0.25">
      <c r="A42" s="13" t="s">
        <v>1044</v>
      </c>
      <c r="B42" t="s">
        <v>1045</v>
      </c>
      <c r="C42" t="str">
        <f>VLOOKUP(INT(LEFT(TAccount[[#This Row],[شناسه]])),TAccountCategory[],2,FALSE)</f>
        <v>هزینه</v>
      </c>
      <c r="D42" t="str">
        <f>VLOOKUP(LEFT(TAccount[[#This Row],[شناسه]],3),TAccountGroup[],2,FALSE)</f>
        <v>کادو</v>
      </c>
      <c r="E42" s="35"/>
      <c r="F42" s="35"/>
      <c r="G42" s="35">
        <f>SUMIF(TArticle[شناسه],TAccount[[#This Row],[شناسه]],TArticle[بدهکار])+SUMIF(TArticle[شناسه],TAccount[[#This Row],[شناسه]],TArticle[بستانکار])</f>
        <v>0</v>
      </c>
    </row>
    <row r="43" spans="1:7" x14ac:dyDescent="0.25">
      <c r="A43" s="13" t="s">
        <v>1181</v>
      </c>
      <c r="B43" t="s">
        <v>1182</v>
      </c>
      <c r="C43" t="str">
        <f>VLOOKUP(INT(LEFT(TAccount[[#This Row],[شناسه]])),TAccountCategory[],2,FALSE)</f>
        <v>هزینه</v>
      </c>
      <c r="D43" t="str">
        <f>VLOOKUP(LEFT(TAccount[[#This Row],[شناسه]],3),TAccountGroup[],2,FALSE)</f>
        <v>کادو</v>
      </c>
      <c r="E43" s="80"/>
      <c r="F43" s="80"/>
      <c r="G43" s="80">
        <f>SUMIF(TArticle[شناسه],TAccount[[#This Row],[شناسه]],TArticle[بدهکار])+SUMIF(TArticle[شناسه],TAccount[[#This Row],[شناسه]],TArticle[بستانکار])</f>
        <v>0</v>
      </c>
    </row>
    <row r="44" spans="1:7" x14ac:dyDescent="0.25">
      <c r="A44" s="13" t="s">
        <v>46</v>
      </c>
      <c r="B44" t="s">
        <v>1086</v>
      </c>
      <c r="C44" t="str">
        <f>VLOOKUP(INT(LEFT(TAccount[[#This Row],[شناسه]])),TAccountCategory[],2,FALSE)</f>
        <v>هزینه</v>
      </c>
      <c r="D44" t="str">
        <f>VLOOKUP(LEFT(TAccount[[#This Row],[شناسه]],3),TAccountGroup[],2,FALSE)</f>
        <v>ورزش،مطالعه،سرگرمی</v>
      </c>
      <c r="E44" s="6"/>
      <c r="F44" s="6">
        <v>-200</v>
      </c>
      <c r="G44" s="6">
        <f>SUMIF(TArticle[شناسه],TAccount[[#This Row],[شناسه]],TArticle[بدهکار])+SUMIF(TArticle[شناسه],TAccount[[#This Row],[شناسه]],TArticle[بستانکار])</f>
        <v>0</v>
      </c>
    </row>
    <row r="45" spans="1:7" x14ac:dyDescent="0.25">
      <c r="A45" s="13" t="s">
        <v>183</v>
      </c>
      <c r="B45" t="s">
        <v>184</v>
      </c>
      <c r="C45" t="str">
        <f>VLOOKUP(INT(LEFT(TAccount[[#This Row],[شناسه]])),TAccountCategory[],2,FALSE)</f>
        <v>هزینه</v>
      </c>
      <c r="D45" t="str">
        <f>VLOOKUP(LEFT(TAccount[[#This Row],[شناسه]],3),TAccountGroup[],2,FALSE)</f>
        <v>ورزش،مطالعه،سرگرمی</v>
      </c>
      <c r="E45" s="1"/>
      <c r="F45" s="1"/>
      <c r="G45" s="1">
        <f>SUMIF(TArticle[شناسه],TAccount[[#This Row],[شناسه]],TArticle[بدهکار])+SUMIF(TArticle[شناسه],TAccount[[#This Row],[شناسه]],TArticle[بستانکار])</f>
        <v>0</v>
      </c>
    </row>
    <row r="46" spans="1:7" x14ac:dyDescent="0.25">
      <c r="A46" s="13" t="s">
        <v>1035</v>
      </c>
      <c r="B46" t="s">
        <v>1037</v>
      </c>
      <c r="C46" t="str">
        <f>VLOOKUP(INT(LEFT(TAccount[[#This Row],[شناسه]])),TAccountCategory[],2,FALSE)</f>
        <v>هزینه</v>
      </c>
      <c r="D46" t="str">
        <f>VLOOKUP(LEFT(TAccount[[#This Row],[شناسه]],3),TAccountGroup[],2,FALSE)</f>
        <v>ورزش،مطالعه،سرگرمی</v>
      </c>
      <c r="E46" s="6"/>
      <c r="F46" s="6"/>
      <c r="G46" s="6">
        <f>SUMIF(TArticle[شناسه],TAccount[[#This Row],[شناسه]],TArticle[بدهکار])+SUMIF(TArticle[شناسه],TAccount[[#This Row],[شناسه]],TArticle[بستانکار])</f>
        <v>0</v>
      </c>
    </row>
    <row r="47" spans="1:7" x14ac:dyDescent="0.25">
      <c r="A47" s="13" t="s">
        <v>1039</v>
      </c>
      <c r="B47" t="s">
        <v>1038</v>
      </c>
      <c r="C47" t="str">
        <f>VLOOKUP(INT(LEFT(TAccount[[#This Row],[شناسه]])),TAccountCategory[],2,FALSE)</f>
        <v>هزینه</v>
      </c>
      <c r="D47" t="str">
        <f>VLOOKUP(LEFT(TAccount[[#This Row],[شناسه]],3),TAccountGroup[],2,FALSE)</f>
        <v>ورزش،مطالعه،سرگرمی</v>
      </c>
      <c r="E47" s="6"/>
      <c r="F47" s="6"/>
      <c r="G47" s="6">
        <f>SUMIF(TArticle[شناسه],TAccount[[#This Row],[شناسه]],TArticle[بدهکار])+SUMIF(TArticle[شناسه],TAccount[[#This Row],[شناسه]],TArticle[بستانکار])</f>
        <v>0</v>
      </c>
    </row>
    <row r="48" spans="1:7" x14ac:dyDescent="0.25">
      <c r="A48" s="13" t="s">
        <v>1047</v>
      </c>
      <c r="B48" t="s">
        <v>1028</v>
      </c>
      <c r="C48" t="str">
        <f>VLOOKUP(INT(LEFT(TAccount[[#This Row],[شناسه]])),TAccountCategory[],2,FALSE)</f>
        <v>هزینه</v>
      </c>
      <c r="D48" t="str">
        <f>VLOOKUP(LEFT(TAccount[[#This Row],[شناسه]],3),TAccountGroup[],2,FALSE)</f>
        <v>ورزش،مطالعه،سرگرمی</v>
      </c>
      <c r="E48" s="35"/>
      <c r="F48" s="35"/>
      <c r="G48" s="35">
        <f>SUMIF(TArticle[شناسه],TAccount[[#This Row],[شناسه]],TArticle[بدهکار])+SUMIF(TArticle[شناسه],TAccount[[#This Row],[شناسه]],TArticle[بستانکار])</f>
        <v>0</v>
      </c>
    </row>
    <row r="49" spans="1:7" x14ac:dyDescent="0.25">
      <c r="A49" s="13" t="s">
        <v>1130</v>
      </c>
      <c r="B49" t="s">
        <v>1131</v>
      </c>
      <c r="C49" t="str">
        <f>VLOOKUP(INT(LEFT(TAccount[[#This Row],[شناسه]])),TAccountCategory[],2,FALSE)</f>
        <v>هزینه</v>
      </c>
      <c r="D49" t="str">
        <f>VLOOKUP(LEFT(TAccount[[#This Row],[شناسه]],3),TAccountGroup[],2,FALSE)</f>
        <v>ورزش،مطالعه،سرگرمی</v>
      </c>
      <c r="E49" s="57"/>
      <c r="F49" s="57"/>
      <c r="G49" s="57">
        <f>SUMIF(TArticle[شناسه],TAccount[[#This Row],[شناسه]],TArticle[بدهکار])+SUMIF(TArticle[شناسه],TAccount[[#This Row],[شناسه]],TArticle[بستانکار])</f>
        <v>0</v>
      </c>
    </row>
    <row r="50" spans="1:7" x14ac:dyDescent="0.25">
      <c r="A50" s="13" t="s">
        <v>1141</v>
      </c>
      <c r="B50" t="s">
        <v>1142</v>
      </c>
      <c r="C50" t="str">
        <f>VLOOKUP(INT(LEFT(TAccount[[#This Row],[شناسه]])),TAccountCategory[],2,FALSE)</f>
        <v>هزینه</v>
      </c>
      <c r="D50" t="str">
        <f>VLOOKUP(LEFT(TAccount[[#This Row],[شناسه]],3),TAccountGroup[],2,FALSE)</f>
        <v>ورزش،مطالعه،سرگرمی</v>
      </c>
      <c r="E50" s="57"/>
      <c r="F50" s="57"/>
      <c r="G50" s="57">
        <f>SUMIF(TArticle[شناسه],TAccount[[#This Row],[شناسه]],TArticle[بدهکار])+SUMIF(TArticle[شناسه],TAccount[[#This Row],[شناسه]],TArticle[بستانکار])</f>
        <v>0</v>
      </c>
    </row>
    <row r="51" spans="1:7" x14ac:dyDescent="0.25">
      <c r="A51" s="13" t="s">
        <v>174</v>
      </c>
      <c r="B51" t="s">
        <v>173</v>
      </c>
      <c r="C51" t="str">
        <f>VLOOKUP(INT(LEFT(TAccount[[#This Row],[شناسه]])),TAccountCategory[],2,FALSE)</f>
        <v>هزینه</v>
      </c>
      <c r="D51" t="str">
        <f>VLOOKUP(LEFT(TAccount[[#This Row],[شناسه]],3),TAccountGroup[],2,FALSE)</f>
        <v>لوازم</v>
      </c>
      <c r="E51" s="6"/>
      <c r="F51" s="6"/>
      <c r="G51" s="6">
        <f>SUMIF(TArticle[شناسه],TAccount[[#This Row],[شناسه]],TArticle[بدهکار])+SUMIF(TArticle[شناسه],TAccount[[#This Row],[شناسه]],TArticle[بستانکار])</f>
        <v>118128</v>
      </c>
    </row>
    <row r="52" spans="1:7" x14ac:dyDescent="0.25">
      <c r="A52" s="13" t="s">
        <v>1140</v>
      </c>
      <c r="B52" t="s">
        <v>1139</v>
      </c>
      <c r="C52" t="str">
        <f>VLOOKUP(INT(LEFT(TAccount[[#This Row],[شناسه]])),TAccountCategory[],2,FALSE)</f>
        <v>هزینه</v>
      </c>
      <c r="D52" t="str">
        <f>VLOOKUP(LEFT(TAccount[[#This Row],[شناسه]],3),TAccountGroup[],2,FALSE)</f>
        <v>لوازم</v>
      </c>
      <c r="E52" s="57"/>
      <c r="F52" s="57"/>
      <c r="G52" s="57">
        <f>SUMIF(TArticle[شناسه],TAccount[[#This Row],[شناسه]],TArticle[بدهکار])+SUMIF(TArticle[شناسه],TAccount[[#This Row],[شناسه]],TArticle[بستانکار])</f>
        <v>0</v>
      </c>
    </row>
    <row r="53" spans="1:7" x14ac:dyDescent="0.25">
      <c r="A53" s="13" t="s">
        <v>1612</v>
      </c>
      <c r="B53" t="s">
        <v>1613</v>
      </c>
      <c r="C53" t="str">
        <f>VLOOKUP(INT(LEFT(TAccount[[#This Row],[شناسه]])),TAccountCategory[],2,FALSE)</f>
        <v>هزینه</v>
      </c>
      <c r="D53" t="str">
        <f>VLOOKUP(LEFT(TAccount[[#This Row],[شناسه]],3),TAccountGroup[],2,FALSE)</f>
        <v>لوازم</v>
      </c>
      <c r="E53" s="83"/>
      <c r="F53" s="83"/>
      <c r="G53" s="83">
        <f>SUMIF(TArticle[شناسه],TAccount[[#This Row],[شناسه]],TArticle[بدهکار])+SUMIF(TArticle[شناسه],TAccount[[#This Row],[شناسه]],TArticle[بستانکار])</f>
        <v>97700</v>
      </c>
    </row>
    <row r="54" spans="1:7" x14ac:dyDescent="0.25">
      <c r="A54" s="13" t="s">
        <v>55</v>
      </c>
      <c r="B54" t="s">
        <v>56</v>
      </c>
      <c r="C54" t="str">
        <f>VLOOKUP(INT(LEFT(TAccount[[#This Row],[شناسه]])),TAccountCategory[],2,FALSE)</f>
        <v>هزینه</v>
      </c>
      <c r="D54" t="str">
        <f>VLOOKUP(LEFT(TAccount[[#This Row],[شناسه]],3),TAccountGroup[],2,FALSE)</f>
        <v>کلی</v>
      </c>
      <c r="E54" s="6"/>
      <c r="F54" s="6"/>
      <c r="G54" s="6">
        <f>SUMIF(TArticle[شناسه],TAccount[[#This Row],[شناسه]],TArticle[بدهکار])+SUMIF(TArticle[شناسه],TAccount[[#This Row],[شناسه]],TArticle[بستانکار])</f>
        <v>364074</v>
      </c>
    </row>
    <row r="55" spans="1:7" x14ac:dyDescent="0.25">
      <c r="A55" s="13" t="s">
        <v>199</v>
      </c>
      <c r="B55" t="s">
        <v>922</v>
      </c>
      <c r="C55" t="str">
        <f>VLOOKUP(INT(LEFT(TAccount[[#This Row],[شناسه]])),TAccountCategory[],2,FALSE)</f>
        <v>هزینه</v>
      </c>
      <c r="D55" t="str">
        <f>VLOOKUP(LEFT(TAccount[[#This Row],[شناسه]],3),TAccountGroup[],2,FALSE)</f>
        <v>کلی</v>
      </c>
      <c r="E55" s="6"/>
      <c r="F55" s="6"/>
      <c r="G55" s="6">
        <f>SUMIF(TArticle[شناسه],TAccount[[#This Row],[شناسه]],TArticle[بدهکار])+SUMIF(TArticle[شناسه],TAccount[[#This Row],[شناسه]],TArticle[بستانکار])</f>
        <v>0</v>
      </c>
    </row>
    <row r="56" spans="1:7" x14ac:dyDescent="0.25">
      <c r="A56" s="13" t="s">
        <v>1048</v>
      </c>
      <c r="B56" t="s">
        <v>1049</v>
      </c>
      <c r="C56" t="str">
        <f>VLOOKUP(INT(LEFT(TAccount[[#This Row],[شناسه]])),TAccountCategory[],2,FALSE)</f>
        <v>هزینه</v>
      </c>
      <c r="D56" t="str">
        <f>VLOOKUP(LEFT(TAccount[[#This Row],[شناسه]],3),TAccountGroup[],2,FALSE)</f>
        <v>کلی</v>
      </c>
      <c r="E56" s="35"/>
      <c r="F56" s="35"/>
      <c r="G56" s="35">
        <f>SUMIF(TArticle[شناسه],TAccount[[#This Row],[شناسه]],TArticle[بدهکار])+SUMIF(TArticle[شناسه],TAccount[[#This Row],[شناسه]],TArticle[بستانکار])</f>
        <v>0</v>
      </c>
    </row>
    <row r="57" spans="1:7" x14ac:dyDescent="0.25">
      <c r="A57" s="13" t="s">
        <v>1147</v>
      </c>
      <c r="B57" t="s">
        <v>1148</v>
      </c>
      <c r="C57" t="str">
        <f>VLOOKUP(INT(LEFT(TAccount[[#This Row],[شناسه]])),TAccountCategory[],2,FALSE)</f>
        <v>هزینه</v>
      </c>
      <c r="D57" t="str">
        <f>VLOOKUP(LEFT(TAccount[[#This Row],[شناسه]],3),TAccountGroup[],2,FALSE)</f>
        <v>کلی</v>
      </c>
      <c r="E57" s="57"/>
      <c r="F57" s="57"/>
      <c r="G57" s="57">
        <f>SUMIF(TArticle[شناسه],TAccount[[#This Row],[شناسه]],TArticle[بدهکار])+SUMIF(TArticle[شناسه],TAccount[[#This Row],[شناسه]],TArticle[بستانکار])</f>
        <v>0</v>
      </c>
    </row>
    <row r="58" spans="1:7" x14ac:dyDescent="0.25">
      <c r="A58" s="13" t="s">
        <v>43</v>
      </c>
      <c r="B58" t="s">
        <v>1594</v>
      </c>
      <c r="C58" t="str">
        <f>VLOOKUP(INT(LEFT(TAccount[[#This Row],[شناسه]])),TAccountCategory[],2,FALSE)</f>
        <v>درآمد</v>
      </c>
      <c r="D58" t="str">
        <f>VLOOKUP(LEFT(TAccount[[#This Row],[شناسه]],3),TAccountGroup[],2,FALSE)</f>
        <v>درآمد کار</v>
      </c>
      <c r="E58" s="6"/>
      <c r="F58" s="6">
        <v>10000</v>
      </c>
      <c r="G58" s="6">
        <f>SUMIF(TArticle[شناسه],TAccount[[#This Row],[شناسه]],TArticle[بدهکار])+SUMIF(TArticle[شناسه],TAccount[[#This Row],[شناسه]],TArticle[بستانکار])</f>
        <v>416023</v>
      </c>
    </row>
    <row r="59" spans="1:7" x14ac:dyDescent="0.25">
      <c r="A59" s="13" t="s">
        <v>1208</v>
      </c>
      <c r="B59" t="s">
        <v>1653</v>
      </c>
      <c r="C59" t="str">
        <f>VLOOKUP(INT(LEFT(TAccount[[#This Row],[شناسه]])),TAccountCategory[],2,FALSE)</f>
        <v>درآمد</v>
      </c>
      <c r="D59" t="str">
        <f>VLOOKUP(LEFT(TAccount[[#This Row],[شناسه]],3),TAccountGroup[],2,FALSE)</f>
        <v>درآمد کار</v>
      </c>
      <c r="E59" s="83"/>
      <c r="F59" s="83"/>
      <c r="G59" s="83">
        <f>SUMIF(TArticle[شناسه],TAccount[[#This Row],[شناسه]],TArticle[بدهکار])+SUMIF(TArticle[شناسه],TAccount[[#This Row],[شناسه]],TArticle[بستانکار])</f>
        <v>0</v>
      </c>
    </row>
    <row r="60" spans="1:7" x14ac:dyDescent="0.25">
      <c r="A60" s="13" t="s">
        <v>1177</v>
      </c>
      <c r="B60" t="s">
        <v>1623</v>
      </c>
      <c r="C60" t="str">
        <f>VLOOKUP(INT(LEFT(TAccount[[#This Row],[شناسه]])),TAccountCategory[],2,FALSE)</f>
        <v>درآمد</v>
      </c>
      <c r="D60" t="str">
        <f>VLOOKUP(LEFT(TAccount[[#This Row],[شناسه]],3),TAccountGroup[],2,FALSE)</f>
        <v>درآمد کار</v>
      </c>
      <c r="E60" s="80"/>
      <c r="F60" s="80"/>
      <c r="G60" s="80">
        <f>SUMIF(TArticle[شناسه],TAccount[[#This Row],[شناسه]],TArticle[بدهکار])+SUMIF(TArticle[شناسه],TAccount[[#This Row],[شناسه]],TArticle[بستانکار])</f>
        <v>2500</v>
      </c>
    </row>
    <row r="61" spans="1:7" x14ac:dyDescent="0.25">
      <c r="A61" s="13" t="s">
        <v>1209</v>
      </c>
      <c r="B61" t="s">
        <v>1595</v>
      </c>
      <c r="C61" t="str">
        <f>VLOOKUP(INT(LEFT(TAccount[[#This Row],[شناسه]])),TAccountCategory[],2,FALSE)</f>
        <v>درآمد</v>
      </c>
      <c r="D61" t="str">
        <f>VLOOKUP(LEFT(TAccount[[#This Row],[شناسه]],3),TAccountGroup[],2,FALSE)</f>
        <v>درآمد کار</v>
      </c>
      <c r="E61" s="83"/>
      <c r="F61" s="83"/>
      <c r="G61" s="83">
        <f>SUMIF(TArticle[شناسه],TAccount[[#This Row],[شناسه]],TArticle[بدهکار])+SUMIF(TArticle[شناسه],TAccount[[#This Row],[شناسه]],TArticle[بستانکار])</f>
        <v>35873</v>
      </c>
    </row>
    <row r="62" spans="1:7" x14ac:dyDescent="0.25">
      <c r="A62" s="13" t="s">
        <v>1210</v>
      </c>
      <c r="B62" t="s">
        <v>1596</v>
      </c>
      <c r="C62" t="str">
        <f>VLOOKUP(INT(LEFT(TAccount[[#This Row],[شناسه]])),TAccountCategory[],2,FALSE)</f>
        <v>درآمد</v>
      </c>
      <c r="D62" t="str">
        <f>VLOOKUP(LEFT(TAccount[[#This Row],[شناسه]],3),TAccountGroup[],2,FALSE)</f>
        <v>درآمد کار</v>
      </c>
      <c r="E62" s="83"/>
      <c r="F62" s="83"/>
      <c r="G62" s="83">
        <f>SUMIF(TArticle[شناسه],TAccount[[#This Row],[شناسه]],TArticle[بدهکار])+SUMIF(TArticle[شناسه],TAccount[[#This Row],[شناسه]],TArticle[بستانکار])</f>
        <v>18339</v>
      </c>
    </row>
    <row r="63" spans="1:7" x14ac:dyDescent="0.25">
      <c r="A63" s="13" t="s">
        <v>1211</v>
      </c>
      <c r="B63" t="s">
        <v>1611</v>
      </c>
      <c r="C63" t="str">
        <f>VLOOKUP(INT(LEFT(TAccount[[#This Row],[شناسه]])),TAccountCategory[],2,FALSE)</f>
        <v>درآمد</v>
      </c>
      <c r="D63" t="str">
        <f>VLOOKUP(LEFT(TAccount[[#This Row],[شناسه]],3),TAccountGroup[],2,FALSE)</f>
        <v>درآمد کار</v>
      </c>
      <c r="E63" s="83"/>
      <c r="F63" s="83"/>
      <c r="G63" s="83">
        <f>SUMIF(TArticle[شناسه],TAccount[[#This Row],[شناسه]],TArticle[بدهکار])+SUMIF(TArticle[شناسه],TAccount[[#This Row],[شناسه]],TArticle[بستانکار])</f>
        <v>10457</v>
      </c>
    </row>
    <row r="64" spans="1:7" x14ac:dyDescent="0.25">
      <c r="A64" s="13" t="s">
        <v>1608</v>
      </c>
      <c r="B64" t="s">
        <v>1606</v>
      </c>
      <c r="C64" t="str">
        <f>VLOOKUP(INT(LEFT(TAccount[[#This Row],[شناسه]])),TAccountCategory[],2,FALSE)</f>
        <v>درآمد</v>
      </c>
      <c r="D64" t="str">
        <f>VLOOKUP(LEFT(TAccount[[#This Row],[شناسه]],3),TAccountGroup[],2,FALSE)</f>
        <v>درآمد کار</v>
      </c>
      <c r="E64" s="83"/>
      <c r="F64" s="83"/>
      <c r="G64" s="83">
        <f>SUMIF(TArticle[شناسه],TAccount[[#This Row],[شناسه]],TArticle[بدهکار])+SUMIF(TArticle[شناسه],TAccount[[#This Row],[شناسه]],TArticle[بستانکار])</f>
        <v>3000</v>
      </c>
    </row>
    <row r="65" spans="1:7" x14ac:dyDescent="0.25">
      <c r="A65" s="13" t="s">
        <v>1592</v>
      </c>
      <c r="B65" t="s">
        <v>1593</v>
      </c>
      <c r="C65" t="str">
        <f>VLOOKUP(INT(LEFT(TAccount[[#This Row],[شناسه]])),TAccountCategory[],2,FALSE)</f>
        <v>درآمد</v>
      </c>
      <c r="D65" t="str">
        <f>VLOOKUP(LEFT(TAccount[[#This Row],[شناسه]],3),TAccountGroup[],2,FALSE)</f>
        <v>درآمد کار</v>
      </c>
      <c r="E65" s="1"/>
      <c r="F65" s="1"/>
      <c r="G65" s="1">
        <f>SUMIF(TArticle[شناسه],TAccount[[#This Row],[شناسه]],TArticle[بدهکار])+SUMIF(TArticle[شناسه],TAccount[[#This Row],[شناسه]],TArticle[بستانکار])</f>
        <v>0</v>
      </c>
    </row>
    <row r="66" spans="1:7" x14ac:dyDescent="0.25">
      <c r="A66" s="13" t="s">
        <v>1013</v>
      </c>
      <c r="B66" t="s">
        <v>114</v>
      </c>
      <c r="C66" t="str">
        <f>VLOOKUP(INT(LEFT(TAccount[[#This Row],[شناسه]])),TAccountCategory[],2,FALSE)</f>
        <v>درآمد</v>
      </c>
      <c r="D66" t="str">
        <f>VLOOKUP(LEFT(TAccount[[#This Row],[شناسه]],3),TAccountGroup[],2,FALSE)</f>
        <v>سود سرمایه</v>
      </c>
      <c r="E66" s="6"/>
      <c r="F66" s="6">
        <f>45.5*4</f>
        <v>182</v>
      </c>
      <c r="G66" s="6">
        <f>SUMIF(TArticle[شناسه],TAccount[[#This Row],[شناسه]],TArticle[بدهکار])+SUMIF(TArticle[شناسه],TAccount[[#This Row],[شناسه]],TArticle[بستانکار])</f>
        <v>12565</v>
      </c>
    </row>
    <row r="67" spans="1:7" x14ac:dyDescent="0.25">
      <c r="A67" s="13" t="s">
        <v>1014</v>
      </c>
      <c r="B67" t="s">
        <v>2439</v>
      </c>
      <c r="C67" t="str">
        <f>VLOOKUP(INT(LEFT(TAccount[[#This Row],[شناسه]])),TAccountCategory[],2,FALSE)</f>
        <v>درآمد</v>
      </c>
      <c r="D67" t="str">
        <f>VLOOKUP(LEFT(TAccount[[#This Row],[شناسه]],3),TAccountGroup[],2,FALSE)</f>
        <v>سود سرمایه</v>
      </c>
      <c r="E67" s="6"/>
      <c r="F67" s="6"/>
      <c r="G67" s="6">
        <f>SUMIF(TArticle[شناسه],TAccount[[#This Row],[شناسه]],TArticle[بدهکار])+SUMIF(TArticle[شناسه],TAccount[[#This Row],[شناسه]],TArticle[بستانکار])</f>
        <v>612</v>
      </c>
    </row>
    <row r="68" spans="1:7" x14ac:dyDescent="0.25">
      <c r="A68" s="13" t="s">
        <v>1042</v>
      </c>
      <c r="B68" t="s">
        <v>2440</v>
      </c>
      <c r="C68" t="str">
        <f>VLOOKUP(INT(LEFT(TAccount[[#This Row],[شناسه]])),TAccountCategory[],2,FALSE)</f>
        <v>درآمد</v>
      </c>
      <c r="D68" t="str">
        <f>VLOOKUP(LEFT(TAccount[[#This Row],[شناسه]],3),TAccountGroup[],2,FALSE)</f>
        <v>سود سرمایه</v>
      </c>
      <c r="E68" s="35"/>
      <c r="F68" s="35"/>
      <c r="G68" s="35">
        <f>SUMIF(TArticle[شناسه],TAccount[[#This Row],[شناسه]],TArticle[بدهکار])+SUMIF(TArticle[شناسه],TAccount[[#This Row],[شناسه]],TArticle[بستانکار])</f>
        <v>9463</v>
      </c>
    </row>
    <row r="69" spans="1:7" x14ac:dyDescent="0.25">
      <c r="A69" s="13" t="s">
        <v>1068</v>
      </c>
      <c r="B69" t="s">
        <v>1001</v>
      </c>
      <c r="C69" t="str">
        <f>VLOOKUP(INT(LEFT(TAccount[[#This Row],[شناسه]])),TAccountCategory[],2,FALSE)</f>
        <v>درآمد</v>
      </c>
      <c r="D69" t="str">
        <f>VLOOKUP(LEFT(TAccount[[#This Row],[شناسه]],3),TAccountGroup[],2,FALSE)</f>
        <v>وصول مطالبات</v>
      </c>
      <c r="E69" s="1"/>
      <c r="F69" s="1"/>
      <c r="G69" s="1">
        <f>SUMIF(TArticle[شناسه],TAccount[[#This Row],[شناسه]],TArticle[بدهکار])+SUMIF(TArticle[شناسه],TAccount[[#This Row],[شناسه]],TArticle[بستانکار])</f>
        <v>0</v>
      </c>
    </row>
    <row r="70" spans="1:7" x14ac:dyDescent="0.25">
      <c r="A70" s="13" t="s">
        <v>112</v>
      </c>
      <c r="B70" t="s">
        <v>1175</v>
      </c>
      <c r="C70" t="str">
        <f>VLOOKUP(INT(LEFT(TAccount[[#This Row],[شناسه]])),TAccountCategory[],2,FALSE)</f>
        <v>دریافت</v>
      </c>
      <c r="D70" t="str">
        <f>VLOOKUP(LEFT(TAccount[[#This Row],[شناسه]],3),TAccountGroup[],2,FALSE)</f>
        <v>دریافت</v>
      </c>
      <c r="E70" s="6"/>
      <c r="F70" s="6"/>
      <c r="G70" s="6">
        <f>SUMIF(TArticle[شناسه],TAccount[[#This Row],[شناسه]],TArticle[بدهکار])+SUMIF(TArticle[شناسه],TAccount[[#This Row],[شناسه]],TArticle[بستانکار])</f>
        <v>257767</v>
      </c>
    </row>
    <row r="71" spans="1:7" x14ac:dyDescent="0.25">
      <c r="A71" s="13" t="s">
        <v>113</v>
      </c>
      <c r="B71" t="s">
        <v>50</v>
      </c>
      <c r="C71" t="str">
        <f>VLOOKUP(INT(LEFT(TAccount[[#This Row],[شناسه]])),TAccountCategory[],2,FALSE)</f>
        <v>دریافت</v>
      </c>
      <c r="D71" t="str">
        <f>VLOOKUP(LEFT(TAccount[[#This Row],[شناسه]],3),TAccountGroup[],2,FALSE)</f>
        <v>دریافت</v>
      </c>
      <c r="E71" s="6"/>
      <c r="F71" s="6"/>
      <c r="G71" s="6">
        <f>SUMIF(TArticle[شناسه],TAccount[[#This Row],[شناسه]],TArticle[بدهکار])+SUMIF(TArticle[شناسه],TAccount[[#This Row],[شناسه]],TArticle[بستانکار])</f>
        <v>0</v>
      </c>
    </row>
    <row r="72" spans="1:7" x14ac:dyDescent="0.25">
      <c r="A72" s="13" t="s">
        <v>1620</v>
      </c>
      <c r="B72" t="s">
        <v>1621</v>
      </c>
      <c r="C72" t="str">
        <f>VLOOKUP(INT(LEFT(TAccount[[#This Row],[شناسه]])),TAccountCategory[],2,FALSE)</f>
        <v>دریافت</v>
      </c>
      <c r="D72" t="str">
        <f>VLOOKUP(LEFT(TAccount[[#This Row],[شناسه]],3),TAccountGroup[],2,FALSE)</f>
        <v>دریافت</v>
      </c>
      <c r="E72" s="96"/>
      <c r="F72" s="96"/>
      <c r="G72" s="1">
        <f>SUMIF(TArticle[شناسه],TAccount[[#This Row],[شناسه]],TArticle[بدهکار])+SUMIF(TArticle[شناسه],TAccount[[#This Row],[شناسه]],TArticle[بستانکار])</f>
        <v>4513</v>
      </c>
    </row>
    <row r="73" spans="1:7" x14ac:dyDescent="0.25">
      <c r="A73" s="13" t="s">
        <v>1019</v>
      </c>
      <c r="B73" t="s">
        <v>47</v>
      </c>
      <c r="C73" t="str">
        <f>VLOOKUP(INT(LEFT(TAccount[[#This Row],[شناسه]])),TAccountCategory[],2,FALSE)</f>
        <v>دریافت</v>
      </c>
      <c r="D73" t="str">
        <f>VLOOKUP(LEFT(TAccount[[#This Row],[شناسه]],3),TAccountGroup[],2,FALSE)</f>
        <v>دریافت قرض</v>
      </c>
      <c r="E73" s="6"/>
      <c r="F73" s="6"/>
      <c r="G73" s="6">
        <f>SUMIF(TArticle[شناسه],TAccount[[#This Row],[شناسه]],TArticle[بدهکار])+SUMIF(TArticle[شناسه],TAccount[[#This Row],[شناسه]],TArticle[بستانکار])</f>
        <v>15000</v>
      </c>
    </row>
    <row r="74" spans="1:7" x14ac:dyDescent="0.25">
      <c r="A74" s="13" t="s">
        <v>1031</v>
      </c>
      <c r="B74" t="s">
        <v>1032</v>
      </c>
      <c r="C74" t="str">
        <f>VLOOKUP(INT(LEFT(TAccount[[#This Row],[شناسه]])),TAccountCategory[],2,FALSE)</f>
        <v>دریافت</v>
      </c>
      <c r="D74" t="str">
        <f>VLOOKUP(LEFT(TAccount[[#This Row],[شناسه]],3),TAccountGroup[],2,FALSE)</f>
        <v>دریافت قرض</v>
      </c>
      <c r="E74" s="1"/>
      <c r="F74" s="1"/>
      <c r="G74" s="1">
        <f>SUMIF(TArticle[شناسه],TAccount[[#This Row],[شناسه]],TArticle[بدهکار])+SUMIF(TArticle[شناسه],TAccount[[#This Row],[شناسه]],TArticle[بستانکار])</f>
        <v>90600</v>
      </c>
    </row>
    <row r="75" spans="1:7" x14ac:dyDescent="0.25">
      <c r="A75" s="13" t="s">
        <v>2437</v>
      </c>
      <c r="B75" t="s">
        <v>2438</v>
      </c>
      <c r="C75" s="164" t="str">
        <f>VLOOKUP(INT(LEFT(TAccount[[#This Row],[شناسه]])),TAccountCategory[],2,FALSE)</f>
        <v>دریافت</v>
      </c>
      <c r="D75" s="164" t="str">
        <f>VLOOKUP(LEFT(TAccount[[#This Row],[شناسه]],3),TAccountGroup[],2,FALSE)</f>
        <v>دریافت قرض</v>
      </c>
      <c r="E75" s="96"/>
      <c r="F75" s="96"/>
      <c r="G75" s="1">
        <f>SUMIF(TArticle[شناسه],TAccount[[#This Row],[شناسه]],TArticle[بدهکار])+SUMIF(TArticle[شناسه],TAccount[[#This Row],[شناسه]],TArticle[بستانکار])</f>
        <v>8404</v>
      </c>
    </row>
    <row r="76" spans="1:7" x14ac:dyDescent="0.25">
      <c r="A76" s="13" t="s">
        <v>1050</v>
      </c>
      <c r="B76" t="s">
        <v>1051</v>
      </c>
      <c r="C76" t="str">
        <f>VLOOKUP(INT(LEFT(TAccount[[#This Row],[شناسه]])),TAccountCategory[],2,FALSE)</f>
        <v>دریافت</v>
      </c>
      <c r="D76" t="str">
        <f>VLOOKUP(LEFT(TAccount[[#This Row],[شناسه]],3),TAccountGroup[],2,FALSE)</f>
        <v>دریافت قرض</v>
      </c>
      <c r="E76" s="35"/>
      <c r="F76" s="35"/>
      <c r="G76" s="35">
        <f>SUMIF(TArticle[شناسه],TAccount[[#This Row],[شناسه]],TArticle[بدهکار])+SUMIF(TArticle[شناسه],TAccount[[#This Row],[شناسه]],TArticle[بستانکار])</f>
        <v>0</v>
      </c>
    </row>
    <row r="77" spans="1:7" x14ac:dyDescent="0.25">
      <c r="A77" s="13" t="s">
        <v>1057</v>
      </c>
      <c r="B77" t="s">
        <v>1058</v>
      </c>
      <c r="C77" t="str">
        <f>VLOOKUP(INT(LEFT(TAccount[[#This Row],[شناسه]])),TAccountCategory[],2,FALSE)</f>
        <v>دریافت</v>
      </c>
      <c r="D77" t="str">
        <f>VLOOKUP(LEFT(TAccount[[#This Row],[شناسه]],3),TAccountGroup[],2,FALSE)</f>
        <v>دریافت قرض</v>
      </c>
      <c r="E77" s="35"/>
      <c r="F77" s="35"/>
      <c r="G77" s="35">
        <f>SUMIF(TArticle[شناسه],TAccount[[#This Row],[شناسه]],TArticle[بدهکار])+SUMIF(TArticle[شناسه],TAccount[[#This Row],[شناسه]],TArticle[بستانکار])</f>
        <v>0</v>
      </c>
    </row>
    <row r="78" spans="1:7" x14ac:dyDescent="0.25">
      <c r="A78" s="13" t="s">
        <v>1172</v>
      </c>
      <c r="B78" t="s">
        <v>1173</v>
      </c>
      <c r="C78" t="str">
        <f>VLOOKUP(INT(LEFT(TAccount[[#This Row],[شناسه]])),TAccountCategory[],2,FALSE)</f>
        <v>دریافت</v>
      </c>
      <c r="D78" t="str">
        <f>VLOOKUP(LEFT(TAccount[[#This Row],[شناسه]],3),TAccountGroup[],2,FALSE)</f>
        <v>دریافت قرض</v>
      </c>
      <c r="E78" s="79"/>
      <c r="F78" s="79"/>
      <c r="G78" s="79">
        <f>SUMIF(TArticle[شناسه],TAccount[[#This Row],[شناسه]],TArticle[بدهکار])+SUMIF(TArticle[شناسه],TAccount[[#This Row],[شناسه]],TArticle[بستانکار])</f>
        <v>83000</v>
      </c>
    </row>
    <row r="79" spans="1:7" x14ac:dyDescent="0.25">
      <c r="A79" s="13" t="s">
        <v>1008</v>
      </c>
      <c r="B79" t="s">
        <v>1174</v>
      </c>
      <c r="C79" t="str">
        <f>VLOOKUP(INT(LEFT(TAccount[[#This Row],[شناسه]])),TAccountCategory[],2,FALSE)</f>
        <v>پرداخت</v>
      </c>
      <c r="D79" t="str">
        <f>VLOOKUP(LEFT(TAccount[[#This Row],[شناسه]],3),TAccountGroup[],2,FALSE)</f>
        <v>پرداخت</v>
      </c>
      <c r="E79" s="6"/>
      <c r="F79" s="6"/>
      <c r="G79" s="6">
        <f>SUMIF(TArticle[شناسه],TAccount[[#This Row],[شناسه]],TArticle[بدهکار])+SUMIF(TArticle[شناسه],TAccount[[#This Row],[شناسه]],TArticle[بستانکار])</f>
        <v>179525</v>
      </c>
    </row>
    <row r="80" spans="1:7" x14ac:dyDescent="0.25">
      <c r="A80" s="13" t="s">
        <v>1015</v>
      </c>
      <c r="B80" t="s">
        <v>48</v>
      </c>
      <c r="C80" t="str">
        <f>VLOOKUP(INT(LEFT(TAccount[[#This Row],[شناسه]])),TAccountCategory[],2,FALSE)</f>
        <v>پرداخت</v>
      </c>
      <c r="D80" t="str">
        <f>VLOOKUP(LEFT(TAccount[[#This Row],[شناسه]],3),TAccountGroup[],2,FALSE)</f>
        <v>پرداخت</v>
      </c>
      <c r="E80" s="6"/>
      <c r="F80" s="6"/>
      <c r="G80" s="6">
        <f>SUMIF(TArticle[شناسه],TAccount[[#This Row],[شناسه]],TArticle[بدهکار])+SUMIF(TArticle[شناسه],TAccount[[#This Row],[شناسه]],TArticle[بستانکار])</f>
        <v>0</v>
      </c>
    </row>
    <row r="81" spans="1:7" x14ac:dyDescent="0.25">
      <c r="A81" s="13" t="s">
        <v>1137</v>
      </c>
      <c r="B81" t="s">
        <v>1138</v>
      </c>
      <c r="C81" t="str">
        <f>VLOOKUP(INT(LEFT(TAccount[[#This Row],[شناسه]])),TAccountCategory[],2,FALSE)</f>
        <v>پرداخت</v>
      </c>
      <c r="D81" t="str">
        <f>VLOOKUP(LEFT(TAccount[[#This Row],[شناسه]],3),TAccountGroup[],2,FALSE)</f>
        <v>پرداخت</v>
      </c>
      <c r="E81" s="57"/>
      <c r="F81" s="57"/>
      <c r="G81" s="57">
        <f>SUMIF(TArticle[شناسه],TAccount[[#This Row],[شناسه]],TArticle[بدهکار])+SUMIF(TArticle[شناسه],TAccount[[#This Row],[شناسه]],TArticle[بستانکار])</f>
        <v>0</v>
      </c>
    </row>
  </sheetData>
  <pageMargins left="0.7" right="0.7" top="0.75" bottom="0.75" header="0.3" footer="0.3"/>
  <pageSetup orientation="portrait" r:id="rId1"/>
  <ignoredErrors>
    <ignoredError sqref="Q2:Q26" numberStoredAsText="1"/>
  </ignoredErrors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4"/>
  <sheetViews>
    <sheetView rightToLeft="1" topLeftCell="A10" zoomScale="145" zoomScaleNormal="145" workbookViewId="0">
      <selection activeCell="K24" sqref="K24"/>
    </sheetView>
  </sheetViews>
  <sheetFormatPr defaultRowHeight="15" x14ac:dyDescent="0.25"/>
  <cols>
    <col min="1" max="1" width="8" style="10" customWidth="1"/>
    <col min="2" max="2" width="15.5703125" customWidth="1"/>
    <col min="3" max="3" width="11" customWidth="1"/>
    <col min="4" max="4" width="10.5703125" customWidth="1"/>
    <col min="5" max="6" width="15.42578125" hidden="1" customWidth="1"/>
    <col min="7" max="7" width="9.5703125" bestFit="1" customWidth="1"/>
    <col min="8" max="8" width="15.42578125" hidden="1" customWidth="1"/>
    <col min="9" max="9" width="6.7109375" bestFit="1" customWidth="1"/>
    <col min="10" max="10" width="7.7109375" bestFit="1" customWidth="1"/>
    <col min="11" max="11" width="19.42578125" bestFit="1" customWidth="1"/>
    <col min="12" max="12" width="21.7109375" bestFit="1" customWidth="1"/>
    <col min="15" max="15" width="28" bestFit="1" customWidth="1"/>
    <col min="16" max="16" width="22.28515625" customWidth="1"/>
  </cols>
  <sheetData>
    <row r="1" spans="1:16" x14ac:dyDescent="0.25">
      <c r="A1" s="7" t="s">
        <v>5</v>
      </c>
      <c r="B1" t="s">
        <v>4</v>
      </c>
      <c r="C1" t="s">
        <v>1024</v>
      </c>
      <c r="D1" t="s">
        <v>1025</v>
      </c>
      <c r="E1" t="s">
        <v>90</v>
      </c>
      <c r="F1" t="s">
        <v>91</v>
      </c>
      <c r="G1" t="s">
        <v>92</v>
      </c>
      <c r="H1" t="s">
        <v>44</v>
      </c>
      <c r="I1" t="s">
        <v>88</v>
      </c>
      <c r="J1" t="s">
        <v>77</v>
      </c>
      <c r="K1" t="s">
        <v>924</v>
      </c>
      <c r="L1" t="s">
        <v>1056</v>
      </c>
      <c r="M1" t="s">
        <v>122</v>
      </c>
      <c r="O1" t="s">
        <v>1114</v>
      </c>
    </row>
    <row r="2" spans="1:16" x14ac:dyDescent="0.25">
      <c r="A2" s="11">
        <v>1</v>
      </c>
      <c r="B2" t="s">
        <v>89</v>
      </c>
      <c r="C2" s="2">
        <f>IF(TContact[[#This Row],[مانده]]&lt;0,0-TContact[[#This Row],[مانده]],0)</f>
        <v>0</v>
      </c>
      <c r="D2" s="2">
        <f>IF(TContact[[#This Row],[مانده]]&gt;0,TContact[مانده],0)</f>
        <v>20270</v>
      </c>
      <c r="E2" s="2">
        <f>SUMIF(TArticle[کد طرف حساب],TContact[[#This Row],[شناسه]],TArticle[بدهکار])</f>
        <v>0</v>
      </c>
      <c r="F2" s="2">
        <f>SUMIF(TArticle[کد طرف حساب],TContact[[#This Row],[شناسه]],TArticle[بستانکار])</f>
        <v>0</v>
      </c>
      <c r="G2" s="2">
        <v>20270</v>
      </c>
      <c r="H2" s="2">
        <f>TContact[[#This Row],[افتتاحیه]]+TContact[[#This Row],[بستانکار تراکنش]]-TContact[[#This Row],[بدهکار تراکنش]]</f>
        <v>20270</v>
      </c>
      <c r="I2" s="1" t="s">
        <v>1201</v>
      </c>
      <c r="J2" s="1"/>
      <c r="K2" s="57"/>
      <c r="L2" s="57"/>
      <c r="M2" s="57"/>
      <c r="O2" t="s">
        <v>1115</v>
      </c>
    </row>
    <row r="3" spans="1:16" x14ac:dyDescent="0.25">
      <c r="A3" s="11">
        <v>2</v>
      </c>
      <c r="B3" t="s">
        <v>53</v>
      </c>
      <c r="C3" s="2">
        <f>IF(TContact[[#This Row],[مانده]]&lt;0,0-TContact[[#This Row],[مانده]],0)</f>
        <v>0</v>
      </c>
      <c r="D3" s="2">
        <f>IF(TContact[[#This Row],[مانده]]&gt;0,TContact[مانده],0)</f>
        <v>0</v>
      </c>
      <c r="E3" s="2">
        <f>SUMIF(TArticle[کد طرف حساب],TContact[[#This Row],[شناسه]],TArticle[بدهکار])</f>
        <v>32000</v>
      </c>
      <c r="F3" s="2">
        <f>SUMIF(TArticle[کد طرف حساب],TContact[[#This Row],[شناسه]],TArticle[بستانکار])</f>
        <v>40000</v>
      </c>
      <c r="G3" s="2">
        <v>-8000</v>
      </c>
      <c r="H3" s="2">
        <f>TContact[[#This Row],[افتتاحیه]]+TContact[[#This Row],[بستانکار تراکنش]]-TContact[[#This Row],[بدهکار تراکنش]]</f>
        <v>0</v>
      </c>
      <c r="I3" s="1" t="s">
        <v>1200</v>
      </c>
      <c r="J3" s="1"/>
      <c r="K3" s="57"/>
      <c r="L3" s="57"/>
      <c r="M3" s="57"/>
      <c r="O3" t="s">
        <v>1116</v>
      </c>
    </row>
    <row r="4" spans="1:16" x14ac:dyDescent="0.25">
      <c r="A4" s="11">
        <v>3</v>
      </c>
      <c r="B4" t="s">
        <v>1626</v>
      </c>
      <c r="C4" s="2">
        <f>IF(TContact[[#This Row],[مانده]]&lt;0,0-TContact[[#This Row],[مانده]],0)</f>
        <v>2142</v>
      </c>
      <c r="D4" s="2">
        <f>IF(TContact[[#This Row],[مانده]]&gt;0,TContact[مانده],0)</f>
        <v>0</v>
      </c>
      <c r="E4" s="2">
        <f>SUMIF(TArticle[کد طرف حساب],TContact[[#This Row],[شناسه]],TArticle[بدهکار])</f>
        <v>2142</v>
      </c>
      <c r="F4" s="2">
        <f>SUMIF(TArticle[کد طرف حساب],TContact[[#This Row],[شناسه]],TArticle[بستانکار])</f>
        <v>0</v>
      </c>
      <c r="G4" s="2"/>
      <c r="H4" s="2">
        <f>TContact[[#This Row],[افتتاحیه]]+TContact[[#This Row],[بستانکار تراکنش]]-TContact[[#This Row],[بدهکار تراکنش]]</f>
        <v>-2142</v>
      </c>
      <c r="I4" s="1" t="s">
        <v>1200</v>
      </c>
      <c r="J4" s="1"/>
      <c r="K4" s="57"/>
      <c r="L4" s="57"/>
      <c r="M4" s="57"/>
      <c r="O4" t="s">
        <v>1117</v>
      </c>
    </row>
    <row r="5" spans="1:16" x14ac:dyDescent="0.25">
      <c r="A5" s="11">
        <v>4</v>
      </c>
      <c r="B5" t="s">
        <v>1676</v>
      </c>
      <c r="C5" s="1">
        <f>IF(TContact[[#This Row],[مانده]]&lt;0,0-TContact[[#This Row],[مانده]],0)</f>
        <v>100000</v>
      </c>
      <c r="D5" s="1">
        <f>IF(TContact[[#This Row],[مانده]]&gt;0,TContact[مانده],0)</f>
        <v>0</v>
      </c>
      <c r="E5" s="1">
        <f>SUMIF(TArticle[کد طرف حساب],TContact[[#This Row],[شناسه]],TArticle[بدهکار])</f>
        <v>100000</v>
      </c>
      <c r="F5" s="1">
        <f>SUMIF(TArticle[کد طرف حساب],TContact[[#This Row],[شناسه]],TArticle[بستانکار])</f>
        <v>0</v>
      </c>
      <c r="G5" s="1"/>
      <c r="H5" s="1">
        <f>TContact[[#This Row],[افتتاحیه]]+TContact[[#This Row],[بستانکار تراکنش]]-TContact[[#This Row],[بدهکار تراکنش]]</f>
        <v>-100000</v>
      </c>
      <c r="I5" s="1" t="s">
        <v>1200</v>
      </c>
      <c r="J5" s="1"/>
      <c r="K5" s="1"/>
      <c r="L5" s="1"/>
      <c r="M5" s="1"/>
      <c r="O5" t="s">
        <v>1118</v>
      </c>
    </row>
    <row r="6" spans="1:16" x14ac:dyDescent="0.25">
      <c r="A6" s="11">
        <v>20</v>
      </c>
      <c r="B6" t="s">
        <v>1199</v>
      </c>
      <c r="C6" s="1">
        <f>IF(TContact[[#This Row],[مانده]]&lt;0,0-TContact[[#This Row],[مانده]],0)</f>
        <v>7000</v>
      </c>
      <c r="D6" s="1">
        <f>IF(TContact[[#This Row],[مانده]]&gt;0,TContact[مانده],0)</f>
        <v>0</v>
      </c>
      <c r="E6" s="1">
        <f>SUMIF(TArticle[کد طرف حساب],TContact[[#This Row],[شناسه]],TArticle[بدهکار])</f>
        <v>0</v>
      </c>
      <c r="F6" s="1">
        <f>SUMIF(TArticle[کد طرف حساب],TContact[[#This Row],[شناسه]],TArticle[بستانکار])</f>
        <v>0</v>
      </c>
      <c r="G6" s="1">
        <v>-7000</v>
      </c>
      <c r="H6" s="1">
        <f>TContact[[#This Row],[افتتاحیه]]+TContact[[#This Row],[بستانکار تراکنش]]-TContact[[#This Row],[بدهکار تراکنش]]</f>
        <v>-7000</v>
      </c>
      <c r="I6" s="1" t="s">
        <v>1200</v>
      </c>
      <c r="J6" s="1"/>
      <c r="K6" s="1"/>
      <c r="L6" s="1"/>
      <c r="M6" s="1"/>
      <c r="O6" t="s">
        <v>1119</v>
      </c>
    </row>
    <row r="7" spans="1:16" x14ac:dyDescent="0.25">
      <c r="A7" s="11">
        <v>21</v>
      </c>
      <c r="B7" t="s">
        <v>95</v>
      </c>
      <c r="C7" s="6">
        <f>IF(TContact[[#This Row],[مانده]]&lt;0,0-TContact[[#This Row],[مانده]],0)</f>
        <v>0</v>
      </c>
      <c r="D7" s="6">
        <f>IF(TContact[[#This Row],[مانده]]&gt;0,TContact[مانده],0)</f>
        <v>0</v>
      </c>
      <c r="E7" s="6">
        <f>SUMIF(TArticle[کد طرف حساب],TContact[[#This Row],[شناسه]],TArticle[بدهکار])</f>
        <v>0</v>
      </c>
      <c r="F7" s="6">
        <f>SUMIF(TArticle[کد طرف حساب],TContact[[#This Row],[شناسه]],TArticle[بستانکار])</f>
        <v>0</v>
      </c>
      <c r="G7" s="6"/>
      <c r="H7" s="6">
        <f>TContact[[#This Row],[افتتاحیه]]+TContact[[#This Row],[بستانکار تراکنش]]-TContact[[#This Row],[بدهکار تراکنش]]</f>
        <v>0</v>
      </c>
      <c r="I7" s="1" t="s">
        <v>1200</v>
      </c>
      <c r="J7" s="1"/>
      <c r="K7" s="57"/>
      <c r="L7" s="57"/>
      <c r="M7" s="57"/>
      <c r="O7" t="s">
        <v>1120</v>
      </c>
      <c r="P7">
        <v>9210877916</v>
      </c>
    </row>
    <row r="8" spans="1:16" x14ac:dyDescent="0.25">
      <c r="A8" s="11">
        <v>22</v>
      </c>
      <c r="B8" t="s">
        <v>93</v>
      </c>
      <c r="C8" s="2">
        <f>IF(TContact[[#This Row],[مانده]]&lt;0,0-TContact[[#This Row],[مانده]],0)</f>
        <v>28000</v>
      </c>
      <c r="D8" s="2">
        <f>IF(TContact[[#This Row],[مانده]]&gt;0,TContact[مانده],0)</f>
        <v>0</v>
      </c>
      <c r="E8" s="2">
        <f>SUMIF(TArticle[کد طرف حساب],TContact[[#This Row],[شناسه]],TArticle[بدهکار])</f>
        <v>0</v>
      </c>
      <c r="F8" s="2">
        <f>SUMIF(TArticle[کد طرف حساب],TContact[[#This Row],[شناسه]],TArticle[بستانکار])</f>
        <v>0</v>
      </c>
      <c r="G8" s="2">
        <v>-28000</v>
      </c>
      <c r="H8" s="2">
        <f>TContact[[#This Row],[افتتاحیه]]+TContact[[#This Row],[بستانکار تراکنش]]-TContact[[#This Row],[بدهکار تراکنش]]</f>
        <v>-28000</v>
      </c>
      <c r="I8" s="1" t="s">
        <v>1200</v>
      </c>
      <c r="J8" s="1"/>
      <c r="K8" s="57"/>
      <c r="L8" s="57"/>
      <c r="M8" s="57"/>
      <c r="O8" t="s">
        <v>1121</v>
      </c>
    </row>
    <row r="9" spans="1:16" x14ac:dyDescent="0.25">
      <c r="A9" s="11">
        <v>23</v>
      </c>
      <c r="B9" t="s">
        <v>96</v>
      </c>
      <c r="C9" s="6">
        <f>IF(TContact[[#This Row],[مانده]]&lt;0,0-TContact[[#This Row],[مانده]],0)</f>
        <v>0</v>
      </c>
      <c r="D9" s="6">
        <f>IF(TContact[[#This Row],[مانده]]&gt;0,TContact[مانده],0)</f>
        <v>4000</v>
      </c>
      <c r="E9" s="6">
        <f>SUMIF(TArticle[کد طرف حساب],TContact[[#This Row],[شناسه]],TArticle[بدهکار])</f>
        <v>0</v>
      </c>
      <c r="F9" s="6">
        <f>SUMIF(TArticle[کد طرف حساب],TContact[[#This Row],[شناسه]],TArticle[بستانکار])</f>
        <v>0</v>
      </c>
      <c r="G9" s="6">
        <v>4000</v>
      </c>
      <c r="H9" s="6">
        <f>TContact[[#This Row],[افتتاحیه]]+TContact[[#This Row],[بستانکار تراکنش]]-TContact[[#This Row],[بدهکار تراکنش]]</f>
        <v>4000</v>
      </c>
      <c r="I9" s="1" t="s">
        <v>1201</v>
      </c>
      <c r="J9" s="1"/>
      <c r="K9" s="57"/>
      <c r="L9" s="57"/>
      <c r="M9" s="57"/>
      <c r="O9" t="s">
        <v>1122</v>
      </c>
    </row>
    <row r="10" spans="1:16" x14ac:dyDescent="0.25">
      <c r="A10" s="11">
        <v>30</v>
      </c>
      <c r="B10" t="s">
        <v>1664</v>
      </c>
      <c r="C10" s="1">
        <f>IF(TContact[[#This Row],[مانده]]&lt;0,0-TContact[[#This Row],[مانده]],0)</f>
        <v>0</v>
      </c>
      <c r="D10" s="1">
        <f>IF(TContact[[#This Row],[مانده]]&gt;0,TContact[مانده],0)</f>
        <v>0</v>
      </c>
      <c r="E10" s="1">
        <f>SUMIF(TArticle[کد طرف حساب],TContact[[#This Row],[شناسه]],TArticle[بدهکار])</f>
        <v>0</v>
      </c>
      <c r="F10" s="1">
        <f>SUMIF(TArticle[کد طرف حساب],TContact[[#This Row],[شناسه]],TArticle[بستانکار])</f>
        <v>0</v>
      </c>
      <c r="G10" s="1"/>
      <c r="H10" s="1">
        <f>TContact[[#This Row],[افتتاحیه]]+TContact[[#This Row],[بستانکار تراکنش]]-TContact[[#This Row],[بدهکار تراکنش]]</f>
        <v>0</v>
      </c>
      <c r="I10" s="1" t="s">
        <v>1200</v>
      </c>
      <c r="J10" s="1"/>
      <c r="K10" s="1"/>
      <c r="L10" s="1"/>
      <c r="M10" s="1"/>
      <c r="O10" t="s">
        <v>1123</v>
      </c>
    </row>
    <row r="11" spans="1:16" x14ac:dyDescent="0.25">
      <c r="A11" s="11">
        <v>33</v>
      </c>
      <c r="B11" t="s">
        <v>1663</v>
      </c>
      <c r="C11" s="1">
        <f>IF(TContact[[#This Row],[مانده]]&lt;0,0-TContact[[#This Row],[مانده]],0)</f>
        <v>20000</v>
      </c>
      <c r="D11" s="1">
        <f>IF(TContact[[#This Row],[مانده]]&gt;0,TContact[مانده],0)</f>
        <v>0</v>
      </c>
      <c r="E11" s="1">
        <f>SUMIF(TArticle[کد طرف حساب],TContact[[#This Row],[شناسه]],TArticle[بدهکار])</f>
        <v>0</v>
      </c>
      <c r="F11" s="1">
        <f>SUMIF(TArticle[کد طرف حساب],TContact[[#This Row],[شناسه]],TArticle[بستانکار])</f>
        <v>0</v>
      </c>
      <c r="G11" s="1">
        <v>-20000</v>
      </c>
      <c r="H11" s="1">
        <f>TContact[[#This Row],[افتتاحیه]]+TContact[[#This Row],[بستانکار تراکنش]]-TContact[[#This Row],[بدهکار تراکنش]]</f>
        <v>-20000</v>
      </c>
      <c r="I11" s="1" t="s">
        <v>1200</v>
      </c>
      <c r="J11" s="1"/>
      <c r="K11" s="1"/>
      <c r="L11" s="1"/>
      <c r="M11" s="1"/>
    </row>
    <row r="12" spans="1:16" x14ac:dyDescent="0.25">
      <c r="A12" s="11">
        <v>100</v>
      </c>
      <c r="B12" t="s">
        <v>155</v>
      </c>
      <c r="C12" s="57">
        <f>IF(TContact[[#This Row],[مانده]]&lt;0,0-TContact[[#This Row],[مانده]],0)</f>
        <v>0</v>
      </c>
      <c r="D12" s="57">
        <f>IF(TContact[[#This Row],[مانده]]&gt;0,TContact[مانده],0)</f>
        <v>4000</v>
      </c>
      <c r="E12" s="57">
        <f>SUMIF(TArticle[کد طرف حساب],TContact[[#This Row],[شناسه]],TArticle[بدهکار])</f>
        <v>0</v>
      </c>
      <c r="F12" s="57">
        <f>SUMIF(TArticle[کد طرف حساب],TContact[[#This Row],[شناسه]],TArticle[بستانکار])</f>
        <v>4000</v>
      </c>
      <c r="G12" s="57"/>
      <c r="H12" s="57">
        <f>TContact[[#This Row],[افتتاحیه]]+TContact[[#This Row],[بستانکار تراکنش]]-TContact[[#This Row],[بدهکار تراکنش]]</f>
        <v>4000</v>
      </c>
      <c r="I12" s="1" t="s">
        <v>1201</v>
      </c>
      <c r="J12" s="1"/>
      <c r="K12" s="1"/>
      <c r="L12" s="57"/>
      <c r="M12" s="57"/>
    </row>
    <row r="13" spans="1:16" x14ac:dyDescent="0.25">
      <c r="A13" s="11">
        <v>103</v>
      </c>
      <c r="B13" t="s">
        <v>196</v>
      </c>
      <c r="C13" s="2">
        <f>IF(TContact[[#This Row],[مانده]]&lt;0,0-TContact[[#This Row],[مانده]],0)</f>
        <v>2100</v>
      </c>
      <c r="D13" s="2">
        <f>IF(TContact[[#This Row],[مانده]]&gt;0,TContact[مانده],0)</f>
        <v>0</v>
      </c>
      <c r="E13" s="2">
        <f>SUMIF(TArticle[کد طرف حساب],TContact[[#This Row],[شناسه]],TArticle[بدهکار])</f>
        <v>18900</v>
      </c>
      <c r="F13" s="2">
        <f>SUMIF(TArticle[کد طرف حساب],TContact[[#This Row],[شناسه]],TArticle[بستانکار])</f>
        <v>4200</v>
      </c>
      <c r="G13" s="2">
        <v>12600</v>
      </c>
      <c r="H13" s="2">
        <f>TContact[[#This Row],[افتتاحیه]]+TContact[[#This Row],[بستانکار تراکنش]]-TContact[[#This Row],[بدهکار تراکنش]]</f>
        <v>-2100</v>
      </c>
      <c r="I13" s="1" t="s">
        <v>170</v>
      </c>
      <c r="J13" s="1">
        <v>-350</v>
      </c>
      <c r="K13" s="57"/>
      <c r="L13" s="57"/>
      <c r="M13" s="57"/>
      <c r="O13" t="s">
        <v>1124</v>
      </c>
    </row>
    <row r="14" spans="1:16" x14ac:dyDescent="0.25">
      <c r="A14" s="11">
        <v>104</v>
      </c>
      <c r="B14" t="s">
        <v>1192</v>
      </c>
      <c r="C14" s="1">
        <f>IF(TContact[[#This Row],[مانده]]&lt;0,0-TContact[[#This Row],[مانده]],0)</f>
        <v>0</v>
      </c>
      <c r="D14" s="1">
        <f>IF(TContact[[#This Row],[مانده]]&gt;0,TContact[مانده],0)</f>
        <v>0</v>
      </c>
      <c r="E14" s="1">
        <f>SUMIF(TArticle[کد طرف حساب],TContact[[#This Row],[شناسه]],TArticle[بدهکار])</f>
        <v>0</v>
      </c>
      <c r="F14" s="1">
        <f>SUMIF(TArticle[کد طرف حساب],TContact[[#This Row],[شناسه]],TArticle[بستانکار])</f>
        <v>2494</v>
      </c>
      <c r="G14" s="1">
        <v>-2494</v>
      </c>
      <c r="H14" s="1">
        <f>TContact[[#This Row],[افتتاحیه]]+TContact[[#This Row],[بستانکار تراکنش]]-TContact[[#This Row],[بدهکار تراکنش]]</f>
        <v>0</v>
      </c>
      <c r="I14" s="1" t="s">
        <v>170</v>
      </c>
      <c r="J14" s="1">
        <v>-278</v>
      </c>
      <c r="K14" s="57"/>
      <c r="L14" s="57"/>
      <c r="M14" s="57"/>
      <c r="O14" t="s">
        <v>1125</v>
      </c>
    </row>
    <row r="15" spans="1:16" x14ac:dyDescent="0.25">
      <c r="A15" s="11">
        <v>104.1</v>
      </c>
      <c r="B15" t="s">
        <v>1193</v>
      </c>
      <c r="C15" s="1">
        <f>IF(TContact[[#This Row],[مانده]]&lt;0,0-TContact[[#This Row],[مانده]],0)</f>
        <v>0</v>
      </c>
      <c r="D15" s="1">
        <f>IF(TContact[[#This Row],[مانده]]&gt;0,TContact[مانده],0)</f>
        <v>7</v>
      </c>
      <c r="E15" s="1">
        <f>SUMIF(TArticle[کد طرف حساب],TContact[[#This Row],[شناسه]],TArticle[بدهکار])</f>
        <v>0</v>
      </c>
      <c r="F15" s="1">
        <f>SUMIF(TArticle[کد طرف حساب],TContact[[#This Row],[شناسه]],TArticle[بستانکار])</f>
        <v>668</v>
      </c>
      <c r="G15" s="1">
        <v>-661</v>
      </c>
      <c r="H15" s="1">
        <f>TContact[[#This Row],[افتتاحیه]]+TContact[[#This Row],[بستانکار تراکنش]]-TContact[[#This Row],[بدهکار تراکنش]]</f>
        <v>7</v>
      </c>
      <c r="I15" s="1" t="s">
        <v>1108</v>
      </c>
      <c r="J15" s="1">
        <v>-84</v>
      </c>
      <c r="K15" s="1"/>
      <c r="L15" s="1"/>
      <c r="M15" s="1"/>
      <c r="O15" t="s">
        <v>1126</v>
      </c>
    </row>
    <row r="16" spans="1:16" x14ac:dyDescent="0.25">
      <c r="A16" s="11">
        <v>105</v>
      </c>
      <c r="B16" t="s">
        <v>1189</v>
      </c>
      <c r="C16" s="2">
        <f>IF(TContact[[#This Row],[مانده]]&lt;0,0-TContact[[#This Row],[مانده]],0)</f>
        <v>11344</v>
      </c>
      <c r="D16" s="2">
        <f>IF(TContact[[#This Row],[مانده]]&gt;0,TContact[مانده],0)</f>
        <v>0</v>
      </c>
      <c r="E16" s="2">
        <f>SUMIF(TArticle[کد طرف حساب],TContact[[#This Row],[شناسه]],TArticle[بدهکار])</f>
        <v>0</v>
      </c>
      <c r="F16" s="2">
        <f>SUMIF(TArticle[کد طرف حساب],TContact[[#This Row],[شناسه]],TArticle[بستانکار])</f>
        <v>22216</v>
      </c>
      <c r="G16" s="2">
        <f>-44460+10900</f>
        <v>-33560</v>
      </c>
      <c r="H16" s="2">
        <f>TContact[[#This Row],[افتتاحیه]]+TContact[[#This Row],[بستانکار تراکنش]]-TContact[[#This Row],[بدهکار تراکنش]]</f>
        <v>-11344</v>
      </c>
      <c r="I16" s="1" t="s">
        <v>170</v>
      </c>
      <c r="J16" s="1">
        <v>-2777</v>
      </c>
      <c r="K16" s="57"/>
      <c r="L16" s="57"/>
      <c r="M16" s="57"/>
      <c r="O16" t="s">
        <v>1127</v>
      </c>
    </row>
    <row r="17" spans="1:15" x14ac:dyDescent="0.25">
      <c r="A17" s="11">
        <v>105.1</v>
      </c>
      <c r="B17" t="s">
        <v>1190</v>
      </c>
      <c r="C17" s="1">
        <f>IF(TContact[[#This Row],[مانده]]&lt;0,0-TContact[[#This Row],[مانده]],0)</f>
        <v>0</v>
      </c>
      <c r="D17" s="1">
        <f>IF(TContact[[#This Row],[مانده]]&gt;0,TContact[مانده],0)</f>
        <v>0</v>
      </c>
      <c r="E17" s="1">
        <f>SUMIF(TArticle[کد طرف حساب],TContact[[#This Row],[شناسه]],TArticle[بدهکار])</f>
        <v>0</v>
      </c>
      <c r="F17" s="1">
        <f>SUMIF(TArticle[کد طرف حساب],TContact[[#This Row],[شناسه]],TArticle[بستانکار])</f>
        <v>0</v>
      </c>
      <c r="G17" s="1"/>
      <c r="H17" s="1">
        <f>TContact[[#This Row],[افتتاحیه]]+TContact[[#This Row],[بستانکار تراکنش]]-TContact[[#This Row],[بدهکار تراکنش]]</f>
        <v>0</v>
      </c>
      <c r="I17" s="1" t="s">
        <v>1108</v>
      </c>
      <c r="J17" s="1">
        <v>-545</v>
      </c>
      <c r="K17" s="1"/>
      <c r="L17" s="1"/>
      <c r="M17" s="1"/>
    </row>
    <row r="18" spans="1:15" x14ac:dyDescent="0.25">
      <c r="A18" s="11">
        <v>107</v>
      </c>
      <c r="B18" t="s">
        <v>1194</v>
      </c>
      <c r="C18" s="1">
        <f>IF(TContact[[#This Row],[مانده]]&lt;0,0-TContact[[#This Row],[مانده]],0)</f>
        <v>0</v>
      </c>
      <c r="D18" s="1">
        <f>IF(TContact[[#This Row],[مانده]]&gt;0,TContact[مانده],0)</f>
        <v>0</v>
      </c>
      <c r="E18" s="1">
        <f>SUMIF(TArticle[کد طرف حساب],TContact[[#This Row],[شناسه]],TArticle[بدهکار])</f>
        <v>0</v>
      </c>
      <c r="F18" s="1">
        <f>SUMIF(TArticle[کد طرف حساب],TContact[[#This Row],[شناسه]],TArticle[بستانکار])</f>
        <v>725</v>
      </c>
      <c r="G18" s="1">
        <v>-725</v>
      </c>
      <c r="H18" s="1">
        <f>TContact[[#This Row],[افتتاحیه]]+TContact[[#This Row],[بستانکار تراکنش]]-TContact[[#This Row],[بدهکار تراکنش]]</f>
        <v>0</v>
      </c>
      <c r="I18" s="1" t="s">
        <v>170</v>
      </c>
      <c r="J18" s="1">
        <v>-104</v>
      </c>
      <c r="K18" s="1" t="s">
        <v>1203</v>
      </c>
      <c r="L18" s="1"/>
      <c r="M18" s="1"/>
      <c r="O18" t="s">
        <v>1128</v>
      </c>
    </row>
    <row r="19" spans="1:15" x14ac:dyDescent="0.25">
      <c r="A19" s="11">
        <v>109</v>
      </c>
      <c r="B19" t="s">
        <v>1195</v>
      </c>
      <c r="C19" s="1">
        <f>IF(TContact[[#This Row],[مانده]]&lt;0,0-TContact[[#This Row],[مانده]],0)</f>
        <v>0</v>
      </c>
      <c r="D19" s="1">
        <f>IF(TContact[[#This Row],[مانده]]&gt;0,TContact[مانده],0)</f>
        <v>0</v>
      </c>
      <c r="E19" s="1">
        <f>SUMIF(TArticle[کد طرف حساب],TContact[[#This Row],[شناسه]],TArticle[بدهکار])</f>
        <v>0</v>
      </c>
      <c r="F19" s="1">
        <f>SUMIF(TArticle[کد طرف حساب],TContact[[#This Row],[شناسه]],TArticle[بستانکار])</f>
        <v>5015</v>
      </c>
      <c r="G19" s="1">
        <f>-5015</f>
        <v>-5015</v>
      </c>
      <c r="H19" s="1">
        <f>TContact[[#This Row],[افتتاحیه]]+TContact[[#This Row],[بستانکار تراکنش]]-TContact[[#This Row],[بدهکار تراکنش]]</f>
        <v>0</v>
      </c>
      <c r="I19" s="1" t="s">
        <v>170</v>
      </c>
      <c r="J19" s="1">
        <v>-1000</v>
      </c>
      <c r="K19" s="1" t="s">
        <v>1598</v>
      </c>
      <c r="L19" s="1"/>
      <c r="M19" s="1"/>
      <c r="O19" t="s">
        <v>1129</v>
      </c>
    </row>
    <row r="20" spans="1:15" x14ac:dyDescent="0.25">
      <c r="A20" s="11">
        <v>109.1</v>
      </c>
      <c r="B20" t="s">
        <v>1197</v>
      </c>
      <c r="C20" s="1">
        <f>IF(TContact[[#This Row],[مانده]]&lt;0,0-TContact[[#This Row],[مانده]],0)</f>
        <v>0</v>
      </c>
      <c r="D20" s="1">
        <f>IF(TContact[[#This Row],[مانده]]&gt;0,TContact[مانده],0)</f>
        <v>0</v>
      </c>
      <c r="E20" s="1">
        <f>SUMIF(TArticle[کد طرف حساب],TContact[[#This Row],[شناسه]],TArticle[بدهکار])</f>
        <v>0</v>
      </c>
      <c r="F20" s="1">
        <f>SUMIF(TArticle[کد طرف حساب],TContact[[#This Row],[شناسه]],TArticle[بستانکار])</f>
        <v>0</v>
      </c>
      <c r="G20" s="1"/>
      <c r="H20" s="1">
        <f>TContact[[#This Row],[افتتاحیه]]+TContact[[#This Row],[بستانکار تراکنش]]-TContact[[#This Row],[بدهکار تراکنش]]</f>
        <v>0</v>
      </c>
      <c r="I20" s="1" t="s">
        <v>1108</v>
      </c>
      <c r="J20" s="1"/>
      <c r="K20" s="1"/>
      <c r="L20" s="1"/>
      <c r="M20" s="1"/>
    </row>
    <row r="21" spans="1:15" x14ac:dyDescent="0.25">
      <c r="A21" s="11">
        <v>110</v>
      </c>
      <c r="B21" t="s">
        <v>1188</v>
      </c>
      <c r="C21" s="1">
        <f>IF(TContact[[#This Row],[مانده]]&lt;0,0-TContact[[#This Row],[مانده]],0)</f>
        <v>24380</v>
      </c>
      <c r="D21" s="1">
        <f>IF(TContact[[#This Row],[مانده]]&gt;0,TContact[مانده],0)</f>
        <v>0</v>
      </c>
      <c r="E21" s="1">
        <f>SUMIF(TArticle[کد طرف حساب],TContact[[#This Row],[شناسه]],TArticle[بدهکار])</f>
        <v>0</v>
      </c>
      <c r="F21" s="1">
        <f>SUMIF(TArticle[کد طرف حساب],TContact[[#This Row],[شناسه]],TArticle[بستانکار])</f>
        <v>23790</v>
      </c>
      <c r="G21" s="1">
        <v>-48170</v>
      </c>
      <c r="H21" s="1">
        <f>TContact[[#This Row],[افتتاحیه]]+TContact[[#This Row],[بستانکار تراکنش]]-TContact[[#This Row],[بدهکار تراکنش]]</f>
        <v>-24380</v>
      </c>
      <c r="I21" s="1" t="s">
        <v>170</v>
      </c>
      <c r="J21" s="1">
        <v>-1900</v>
      </c>
      <c r="K21" s="1">
        <v>140033178864</v>
      </c>
      <c r="L21" s="1" t="s">
        <v>1604</v>
      </c>
      <c r="M21" s="1"/>
      <c r="O21" s="70" t="s">
        <v>1154</v>
      </c>
    </row>
    <row r="22" spans="1:15" x14ac:dyDescent="0.25">
      <c r="A22" s="11">
        <v>110.1</v>
      </c>
      <c r="B22" t="s">
        <v>1191</v>
      </c>
      <c r="C22" s="1">
        <f>IF(TContact[[#This Row],[مانده]]&lt;0,0-TContact[[#This Row],[مانده]],0)</f>
        <v>1240</v>
      </c>
      <c r="D22" s="1">
        <f>IF(TContact[[#This Row],[مانده]]&gt;0,TContact[مانده],0)</f>
        <v>0</v>
      </c>
      <c r="E22" s="1">
        <f>SUMIF(TArticle[کد طرف حساب],TContact[[#This Row],[شناسه]],TArticle[بدهکار])</f>
        <v>0</v>
      </c>
      <c r="F22" s="1">
        <f>SUMIF(TArticle[کد طرف حساب],TContact[[#This Row],[شناسه]],TArticle[بستانکار])</f>
        <v>0</v>
      </c>
      <c r="G22" s="1">
        <v>-1240</v>
      </c>
      <c r="H22" s="1">
        <f>TContact[[#This Row],[افتتاحیه]]+TContact[[#This Row],[بستانکار تراکنش]]-TContact[[#This Row],[بدهکار تراکنش]]</f>
        <v>-1240</v>
      </c>
      <c r="I22" s="1" t="s">
        <v>1108</v>
      </c>
      <c r="J22" s="1"/>
      <c r="K22" s="1"/>
      <c r="L22" s="1">
        <v>6104336740254330</v>
      </c>
      <c r="M22" s="1"/>
      <c r="O22" s="70" t="s">
        <v>1153</v>
      </c>
    </row>
    <row r="23" spans="1:15" x14ac:dyDescent="0.25">
      <c r="A23" s="11">
        <v>111</v>
      </c>
      <c r="B23" t="s">
        <v>1196</v>
      </c>
      <c r="C23" s="1">
        <f>IF(TContact[[#This Row],[مانده]]&lt;0,0-TContact[[#This Row],[مانده]],0)</f>
        <v>24380</v>
      </c>
      <c r="D23" s="1">
        <f>IF(TContact[[#This Row],[مانده]]&gt;0,TContact[مانده],0)</f>
        <v>0</v>
      </c>
      <c r="E23" s="1">
        <f>SUMIF(TArticle[کد طرف حساب],TContact[[#This Row],[شناسه]],TArticle[بدهکار])</f>
        <v>0</v>
      </c>
      <c r="F23" s="1">
        <f>SUMIF(TArticle[کد طرف حساب],TContact[[#This Row],[شناسه]],TArticle[بستانکار])</f>
        <v>23790</v>
      </c>
      <c r="G23" s="1">
        <v>-48170</v>
      </c>
      <c r="H23" s="1">
        <f>TContact[[#This Row],[افتتاحیه]]+TContact[[#This Row],[بستانکار تراکنش]]-TContact[[#This Row],[بدهکار تراکنش]]</f>
        <v>-24380</v>
      </c>
      <c r="I23" s="1" t="s">
        <v>170</v>
      </c>
      <c r="J23" s="1">
        <v>-1900</v>
      </c>
      <c r="K23" s="1" t="s">
        <v>1605</v>
      </c>
      <c r="L23" s="1" t="s">
        <v>1603</v>
      </c>
      <c r="M23" s="1"/>
      <c r="O23" t="s">
        <v>1162</v>
      </c>
    </row>
    <row r="24" spans="1:15" x14ac:dyDescent="0.25">
      <c r="A24" s="11">
        <v>111.1</v>
      </c>
      <c r="B24" t="s">
        <v>1198</v>
      </c>
      <c r="C24" s="1">
        <f>IF(TContact[[#This Row],[مانده]]&lt;0,0-TContact[[#This Row],[مانده]],0)</f>
        <v>1240</v>
      </c>
      <c r="D24" s="1">
        <f>IF(TContact[[#This Row],[مانده]]&gt;0,TContact[مانده],0)</f>
        <v>0</v>
      </c>
      <c r="E24" s="1">
        <f>SUMIF(TArticle[کد طرف حساب],TContact[[#This Row],[شناسه]],TArticle[بدهکار])</f>
        <v>0</v>
      </c>
      <c r="F24" s="1">
        <f>SUMIF(TArticle[کد طرف حساب],TContact[[#This Row],[شناسه]],TArticle[بستانکار])</f>
        <v>0</v>
      </c>
      <c r="G24" s="1">
        <v>-1240</v>
      </c>
      <c r="H24" s="1">
        <f>TContact[[#This Row],[افتتاحیه]]+TContact[[#This Row],[بستانکار تراکنش]]-TContact[[#This Row],[بدهکار تراکنش]]</f>
        <v>-1240</v>
      </c>
      <c r="I24" s="1" t="s">
        <v>1108</v>
      </c>
      <c r="J24" s="1"/>
      <c r="K24" s="1">
        <v>140033194327</v>
      </c>
      <c r="L24" s="1">
        <v>6104336740254350</v>
      </c>
      <c r="M24" s="1"/>
    </row>
    <row r="25" spans="1:15" x14ac:dyDescent="0.25">
      <c r="A25" s="11">
        <v>112</v>
      </c>
      <c r="B25" t="s">
        <v>1204</v>
      </c>
      <c r="C25" s="1">
        <f>IF(TContact[[#This Row],[مانده]]&lt;0,0-TContact[[#This Row],[مانده]],0)</f>
        <v>31920</v>
      </c>
      <c r="D25" s="1">
        <f>IF(TContact[[#This Row],[مانده]]&gt;0,TContact[مانده],0)</f>
        <v>0</v>
      </c>
      <c r="E25" s="1">
        <f>SUMIF(TArticle[کد طرف حساب],TContact[[#This Row],[شناسه]],TArticle[بدهکار])</f>
        <v>0</v>
      </c>
      <c r="F25" s="1">
        <f>SUMIF(TArticle[کد طرف حساب],TContact[[#This Row],[شناسه]],TArticle[بستانکار])</f>
        <v>18080</v>
      </c>
      <c r="G25" s="1">
        <v>-50000</v>
      </c>
      <c r="H25" s="1">
        <f>TContact[[#This Row],[افتتاحیه]]+TContact[[#This Row],[بستانکار تراکنش]]-TContact[[#This Row],[بدهکار تراکنش]]</f>
        <v>-31920</v>
      </c>
      <c r="I25" s="1" t="s">
        <v>170</v>
      </c>
      <c r="J25" s="1">
        <v>-1900</v>
      </c>
      <c r="K25" s="1"/>
      <c r="L25" s="1">
        <v>6037991899604360</v>
      </c>
      <c r="M25" s="1"/>
      <c r="O25">
        <f>48400-32000</f>
        <v>16400</v>
      </c>
    </row>
    <row r="26" spans="1:15" x14ac:dyDescent="0.25">
      <c r="A26" s="11">
        <v>112.1</v>
      </c>
      <c r="B26" t="s">
        <v>1205</v>
      </c>
      <c r="C26" s="1">
        <f>IF(TContact[[#This Row],[مانده]]&lt;0,0-TContact[[#This Row],[مانده]],0)</f>
        <v>609</v>
      </c>
      <c r="D26" s="1">
        <f>IF(TContact[[#This Row],[مانده]]&gt;0,TContact[مانده],0)</f>
        <v>0</v>
      </c>
      <c r="E26" s="1">
        <f>SUMIF(TArticle[کد طرف حساب],TContact[[#This Row],[شناسه]],TArticle[بدهکار])</f>
        <v>0</v>
      </c>
      <c r="F26" s="1">
        <f>SUMIF(TArticle[کد طرف حساب],TContact[[#This Row],[شناسه]],TArticle[بستانکار])</f>
        <v>5424</v>
      </c>
      <c r="G26" s="1">
        <v>-6033</v>
      </c>
      <c r="H26" s="1">
        <f>TContact[[#This Row],[افتتاحیه]]+TContact[[#This Row],[بستانکار تراکنش]]-TContact[[#This Row],[بدهکار تراکنش]]</f>
        <v>-609</v>
      </c>
      <c r="I26" s="1" t="s">
        <v>1108</v>
      </c>
      <c r="J26" s="1"/>
      <c r="K26" s="1"/>
      <c r="L26" s="1"/>
      <c r="M26" s="1"/>
    </row>
    <row r="27" spans="1:15" x14ac:dyDescent="0.25">
      <c r="A27" s="11">
        <v>113</v>
      </c>
      <c r="B27" t="s">
        <v>1178</v>
      </c>
      <c r="C27" s="1">
        <f>IF(TContact[[#This Row],[مانده]]&lt;0,0-TContact[[#This Row],[مانده]],0)</f>
        <v>0</v>
      </c>
      <c r="D27" s="1">
        <f>IF(TContact[[#This Row],[مانده]]&gt;0,TContact[مانده],0)</f>
        <v>0</v>
      </c>
      <c r="E27" s="1">
        <f>SUMIF(TArticle[کد طرف حساب],TContact[[#This Row],[شناسه]],TArticle[بدهکار])</f>
        <v>0</v>
      </c>
      <c r="F27" s="1">
        <f>SUMIF(TArticle[کد طرف حساب],TContact[[#This Row],[شناسه]],TArticle[بستانکار])</f>
        <v>19900</v>
      </c>
      <c r="G27" s="1">
        <v>-19900</v>
      </c>
      <c r="H27" s="1">
        <f>TContact[[#This Row],[افتتاحیه]]+TContact[[#This Row],[بستانکار تراکنش]]-TContact[[#This Row],[بدهکار تراکنش]]</f>
        <v>0</v>
      </c>
      <c r="I27" s="1" t="s">
        <v>170</v>
      </c>
      <c r="J27" s="1">
        <v>-1667</v>
      </c>
      <c r="K27" s="1"/>
      <c r="L27" s="1"/>
      <c r="M27" s="1"/>
    </row>
    <row r="28" spans="1:15" x14ac:dyDescent="0.25">
      <c r="A28" s="11">
        <v>113.1</v>
      </c>
      <c r="B28" t="s">
        <v>1206</v>
      </c>
      <c r="C28" s="1">
        <f>IF(TContact[[#This Row],[مانده]]&lt;0,0-TContact[[#This Row],[مانده]],0)</f>
        <v>0</v>
      </c>
      <c r="D28" s="1">
        <f>IF(TContact[[#This Row],[مانده]]&gt;0,TContact[مانده],0)</f>
        <v>0</v>
      </c>
      <c r="E28" s="1">
        <f>SUMIF(TArticle[کد طرف حساب],TContact[[#This Row],[شناسه]],TArticle[بدهکار])</f>
        <v>0</v>
      </c>
      <c r="F28" s="1">
        <f>SUMIF(TArticle[کد طرف حساب],TContact[[#This Row],[شناسه]],TArticle[بستانکار])</f>
        <v>0</v>
      </c>
      <c r="G28" s="1"/>
      <c r="H28" s="1">
        <f>TContact[[#This Row],[افتتاحیه]]+TContact[[#This Row],[بستانکار تراکنش]]-TContact[[#This Row],[بدهکار تراکنش]]</f>
        <v>0</v>
      </c>
      <c r="I28" s="1" t="s">
        <v>1108</v>
      </c>
      <c r="J28" s="1">
        <v>-333</v>
      </c>
      <c r="K28" s="1"/>
      <c r="L28" s="1"/>
      <c r="M28" s="1"/>
    </row>
    <row r="29" spans="1:15" x14ac:dyDescent="0.25">
      <c r="A29" s="11">
        <v>114</v>
      </c>
      <c r="B29" t="s">
        <v>1678</v>
      </c>
      <c r="C29" s="96">
        <f>IF(TContact[[#This Row],[مانده]]&lt;0,0-TContact[[#This Row],[مانده]],0)</f>
        <v>127842</v>
      </c>
      <c r="D29" s="96">
        <f>IF(TContact[[#This Row],[مانده]]&gt;0,TContact[مانده],0)</f>
        <v>0</v>
      </c>
      <c r="E29" s="96">
        <f>SUMIF(TArticle[کد طرف حساب],TContact[[#This Row],[شناسه]],TArticle[بدهکار])</f>
        <v>0</v>
      </c>
      <c r="F29" s="96">
        <f>SUMIF(TArticle[کد طرف حساب],TContact[[#This Row],[شناسه]],TArticle[بستانکار])</f>
        <v>2334</v>
      </c>
      <c r="G29" s="96">
        <f>TContact[[#This Row],[قسط]]*36</f>
        <v>-130176</v>
      </c>
      <c r="H29" s="96">
        <f>TContact[[#This Row],[افتتاحیه]]+TContact[[#This Row],[بستانکار تراکنش]]-TContact[[#This Row],[بدهکار تراکنش]]</f>
        <v>-127842</v>
      </c>
      <c r="I29" s="1" t="s">
        <v>1679</v>
      </c>
      <c r="J29" s="1">
        <v>-3616</v>
      </c>
      <c r="K29" s="96"/>
      <c r="L29" s="96"/>
      <c r="M29" s="96"/>
    </row>
    <row r="30" spans="1:15" x14ac:dyDescent="0.25">
      <c r="A30" s="11">
        <v>115</v>
      </c>
      <c r="B30" t="s">
        <v>2435</v>
      </c>
      <c r="C30" s="96">
        <f>IF(TContact[[#This Row],[مانده]]&lt;0,0-TContact[[#This Row],[مانده]],0)</f>
        <v>60000</v>
      </c>
      <c r="D30" s="96">
        <f>IF(TContact[[#This Row],[مانده]]&gt;0,TContact[مانده],0)</f>
        <v>0</v>
      </c>
      <c r="E30" s="96">
        <f>SUMIF(TArticle[کد طرف حساب],TContact[[#This Row],[شناسه]],TArticle[بدهکار])</f>
        <v>60000</v>
      </c>
      <c r="F30" s="96">
        <f>SUMIF(TArticle[کد طرف حساب],TContact[[#This Row],[شناسه]],TArticle[بستانکار])</f>
        <v>0</v>
      </c>
      <c r="G30" s="96"/>
      <c r="H30" s="96">
        <f>TContact[[#This Row],[افتتاحیه]]+TContact[[#This Row],[بستانکار تراکنش]]-TContact[[#This Row],[بدهکار تراکنش]]</f>
        <v>-60000</v>
      </c>
      <c r="I30" s="1" t="s">
        <v>170</v>
      </c>
      <c r="J30" s="1">
        <f>-75000/36</f>
        <v>-2083.3333333333335</v>
      </c>
      <c r="K30" s="96"/>
      <c r="L30" s="96"/>
      <c r="M30" s="96"/>
    </row>
    <row r="31" spans="1:15" x14ac:dyDescent="0.25">
      <c r="A31" s="11">
        <v>115.1</v>
      </c>
      <c r="B31" t="s">
        <v>2441</v>
      </c>
      <c r="C31" s="96">
        <f>IF(TContact[[#This Row],[مانده]]&lt;0,0-TContact[[#This Row],[مانده]],0)</f>
        <v>7702</v>
      </c>
      <c r="D31" s="96">
        <f>IF(TContact[[#This Row],[مانده]]&gt;0,TContact[مانده],0)</f>
        <v>0</v>
      </c>
      <c r="E31" s="96">
        <f>SUMIF(TArticle[کد طرف حساب],TContact[[#This Row],[شناسه]],TArticle[بدهکار])</f>
        <v>7702</v>
      </c>
      <c r="F31" s="96">
        <f>SUMIF(TArticle[کد طرف حساب],TContact[[#This Row],[شناسه]],TArticle[بستانکار])</f>
        <v>0</v>
      </c>
      <c r="G31" s="96"/>
      <c r="H31" s="96">
        <f>TContact[[#This Row],[افتتاحیه]]+TContact[[#This Row],[بستانکار تراکنش]]-TContact[[#This Row],[بدهکار تراکنش]]</f>
        <v>-7702</v>
      </c>
      <c r="I31" s="1" t="s">
        <v>1108</v>
      </c>
      <c r="J31" s="1"/>
      <c r="K31" s="96"/>
      <c r="L31" s="96"/>
      <c r="M31" s="96"/>
    </row>
    <row r="32" spans="1:15" x14ac:dyDescent="0.25">
      <c r="A32" s="11">
        <v>116</v>
      </c>
      <c r="B32" t="s">
        <v>2436</v>
      </c>
      <c r="C32" s="96">
        <f>IF(TContact[[#This Row],[مانده]]&lt;0,0-TContact[[#This Row],[مانده]],0)</f>
        <v>11700</v>
      </c>
      <c r="D32" s="96">
        <f>IF(TContact[[#This Row],[مانده]]&gt;0,TContact[مانده],0)</f>
        <v>0</v>
      </c>
      <c r="E32" s="96">
        <f>SUMIF(TArticle[کد طرف حساب],TContact[[#This Row],[شناسه]],TArticle[بدهکار])</f>
        <v>11700</v>
      </c>
      <c r="F32" s="96">
        <f>SUMIF(TArticle[کد طرف حساب],TContact[[#This Row],[شناسه]],TArticle[بستانکار])</f>
        <v>0</v>
      </c>
      <c r="G32" s="96"/>
      <c r="H32" s="96">
        <f>TContact[[#This Row],[افتتاحیه]]+TContact[[#This Row],[بستانکار تراکنش]]-TContact[[#This Row],[بدهکار تراکنش]]</f>
        <v>-11700</v>
      </c>
      <c r="I32" s="1" t="s">
        <v>170</v>
      </c>
      <c r="J32" s="1">
        <v>-532</v>
      </c>
      <c r="K32" s="96"/>
      <c r="L32" s="96"/>
      <c r="M32" s="96"/>
    </row>
    <row r="33" spans="1:13" x14ac:dyDescent="0.25">
      <c r="A33" s="11">
        <v>116.1</v>
      </c>
      <c r="B33" t="s">
        <v>2442</v>
      </c>
      <c r="C33" s="96">
        <f>IF(TContact[[#This Row],[مانده]]&lt;0,0-TContact[[#This Row],[مانده]],0)</f>
        <v>702</v>
      </c>
      <c r="D33" s="96">
        <f>IF(TContact[[#This Row],[مانده]]&gt;0,TContact[مانده],0)</f>
        <v>0</v>
      </c>
      <c r="E33" s="96">
        <f>SUMIF(TArticle[کد طرف حساب],TContact[[#This Row],[شناسه]],TArticle[بدهکار])</f>
        <v>702</v>
      </c>
      <c r="F33" s="96">
        <f>SUMIF(TArticle[کد طرف حساب],TContact[[#This Row],[شناسه]],TArticle[بستانکار])</f>
        <v>0</v>
      </c>
      <c r="G33" s="96"/>
      <c r="H33" s="96">
        <f>TContact[[#This Row],[افتتاحیه]]+TContact[[#This Row],[بستانکار تراکنش]]-TContact[[#This Row],[بدهکار تراکنش]]</f>
        <v>-702</v>
      </c>
      <c r="I33" s="1" t="s">
        <v>1108</v>
      </c>
      <c r="J33" s="1"/>
      <c r="K33" s="96"/>
      <c r="L33" s="96"/>
      <c r="M33" s="96"/>
    </row>
    <row r="34" spans="1:13" x14ac:dyDescent="0.25">
      <c r="A34" s="11">
        <v>117</v>
      </c>
      <c r="B34" t="s">
        <v>2828</v>
      </c>
      <c r="C34" s="96">
        <f>IF(TContact[[#This Row],[مانده]]&lt;0,0-TContact[[#This Row],[مانده]],0)</f>
        <v>51000</v>
      </c>
      <c r="D34" s="96">
        <f>IF(TContact[[#This Row],[مانده]]&gt;0,TContact[مانده],0)</f>
        <v>0</v>
      </c>
      <c r="E34" s="96">
        <f>SUMIF(TArticle[کد طرف حساب],TContact[[#This Row],[شناسه]],TArticle[بدهکار])</f>
        <v>51000</v>
      </c>
      <c r="F34" s="96">
        <f>SUMIF(TArticle[کد طرف حساب],TContact[[#This Row],[شناسه]],TArticle[بستانکار])</f>
        <v>0</v>
      </c>
      <c r="G34" s="96"/>
      <c r="H34" s="96">
        <f>TContact[[#This Row],[افتتاحیه]]+TContact[[#This Row],[بستانکار تراکنش]]-TContact[[#This Row],[بدهکار تراکنش]]</f>
        <v>-51000</v>
      </c>
      <c r="I34" s="1" t="s">
        <v>77</v>
      </c>
      <c r="J34" s="1"/>
      <c r="K34" s="96"/>
      <c r="L34" s="96"/>
      <c r="M34" s="96"/>
    </row>
    <row r="35" spans="1:13" x14ac:dyDescent="0.25">
      <c r="A35" s="11"/>
      <c r="C35" s="2"/>
      <c r="D35" s="2"/>
      <c r="E35" s="2">
        <f>SUMIF(TArticle[کد طرف حساب],TContact[[#This Row],[شناسه]],TArticle[بدهکار])</f>
        <v>0</v>
      </c>
      <c r="F35" s="2">
        <f>SUMIF(TArticle[کد طرف حساب],TContact[[#This Row],[شناسه]],TArticle[بستانکار])</f>
        <v>0</v>
      </c>
      <c r="G35" s="2"/>
      <c r="H35" s="2" t="e">
        <f>TContact[[#This Row],[افتتاحیه]]+TContact[[#This Row],[بستانکار تراکنش]]-TContact[[#This Row],[بدهکار تراکنش]]</f>
        <v>#VALUE!</v>
      </c>
      <c r="I35" s="1"/>
      <c r="J35" s="1"/>
      <c r="K35" s="57"/>
      <c r="L35" s="57"/>
      <c r="M35" s="57"/>
    </row>
    <row r="36" spans="1:13" x14ac:dyDescent="0.25">
      <c r="A36" s="11"/>
      <c r="C36" s="2"/>
      <c r="D36" s="2"/>
      <c r="E36" s="2">
        <f>SUMIF(TArticle[کد طرف حساب],TContact[[#This Row],[شناسه]],TArticle[بدهکار])</f>
        <v>0</v>
      </c>
      <c r="F36" s="2">
        <f>SUMIF(TArticle[کد طرف حساب],TContact[[#This Row],[شناسه]],TArticle[بستانکار])</f>
        <v>0</v>
      </c>
      <c r="G36" s="87"/>
      <c r="H36" s="2" t="e">
        <f>TContact[[#This Row],[افتتاحیه]]+TContact[[#This Row],[بستانکار تراکنش]]-TContact[[#This Row],[بدهکار تراکنش]]</f>
        <v>#VALUE!</v>
      </c>
      <c r="I36" s="1"/>
      <c r="J36" s="1"/>
      <c r="K36" s="57"/>
      <c r="L36" s="57"/>
      <c r="M36" s="57"/>
    </row>
    <row r="37" spans="1:13" x14ac:dyDescent="0.25">
      <c r="A37" s="11"/>
      <c r="C37" s="83"/>
      <c r="D37" s="83"/>
      <c r="E37" s="83">
        <f>SUMIF(TArticle[کد طرف حساب],TContact[[#This Row],[شناسه]],TArticle[بدهکار])</f>
        <v>0</v>
      </c>
      <c r="F37" s="83">
        <f>SUMIF(TArticle[کد طرف حساب],TContact[[#This Row],[شناسه]],TArticle[بستانکار])</f>
        <v>0</v>
      </c>
      <c r="G37" s="83"/>
      <c r="H37" s="83" t="e">
        <f>TContact[[#This Row],[افتتاحیه]]+TContact[[#This Row],[بستانکار تراکنش]]-TContact[[#This Row],[بدهکار تراکنش]]</f>
        <v>#VALUE!</v>
      </c>
      <c r="I37" s="1"/>
      <c r="J37" s="1"/>
      <c r="K37" s="83"/>
      <c r="L37" s="83"/>
      <c r="M37" s="83"/>
    </row>
    <row r="38" spans="1:13" x14ac:dyDescent="0.25">
      <c r="A38" s="11"/>
      <c r="C38" s="2"/>
      <c r="D38" s="2"/>
      <c r="E38" s="2">
        <f>SUMIF(TArticle[کد طرف حساب],TContact[[#This Row],[شناسه]],TArticle[بدهکار])</f>
        <v>0</v>
      </c>
      <c r="F38" s="2">
        <f>SUMIF(TArticle[کد طرف حساب],TContact[[#This Row],[شناسه]],TArticle[بستانکار])</f>
        <v>0</v>
      </c>
      <c r="G38" s="2"/>
      <c r="H38" s="2" t="e">
        <f>TContact[[#This Row],[افتتاحیه]]+TContact[[#This Row],[بستانکار تراکنش]]-TContact[[#This Row],[بدهکار تراکنش]]</f>
        <v>#VALUE!</v>
      </c>
      <c r="I38" s="1"/>
      <c r="J38" s="1"/>
      <c r="K38" s="57"/>
      <c r="L38" s="57"/>
      <c r="M38" s="57"/>
    </row>
    <row r="39" spans="1:13" x14ac:dyDescent="0.25">
      <c r="A39" s="11"/>
      <c r="C39" s="83"/>
      <c r="D39" s="83"/>
      <c r="E39" s="83">
        <f>SUMIF(TArticle[کد طرف حساب],TContact[[#This Row],[شناسه]],TArticle[بدهکار])</f>
        <v>0</v>
      </c>
      <c r="F39" s="83">
        <f>SUMIF(TArticle[کد طرف حساب],TContact[[#This Row],[شناسه]],TArticle[بستانکار])</f>
        <v>0</v>
      </c>
      <c r="G39" s="83"/>
      <c r="H39" s="83" t="e">
        <f>TContact[[#This Row],[افتتاحیه]]+TContact[[#This Row],[بستانکار تراکنش]]-TContact[[#This Row],[بدهکار تراکنش]]</f>
        <v>#VALUE!</v>
      </c>
      <c r="I39" s="1"/>
      <c r="J39" s="1"/>
      <c r="K39" s="83"/>
      <c r="L39" s="83"/>
      <c r="M39" s="83"/>
    </row>
    <row r="40" spans="1:13" x14ac:dyDescent="0.25">
      <c r="A40" s="11"/>
      <c r="C40" s="83"/>
      <c r="D40" s="83"/>
      <c r="E40" s="83">
        <f>SUMIF(TArticle[کد طرف حساب],TContact[[#This Row],[شناسه]],TArticle[بدهکار])</f>
        <v>0</v>
      </c>
      <c r="F40" s="83">
        <f>SUMIF(TArticle[کد طرف حساب],TContact[[#This Row],[شناسه]],TArticle[بستانکار])</f>
        <v>0</v>
      </c>
      <c r="G40" s="83"/>
      <c r="H40" s="83" t="e">
        <f>TContact[[#This Row],[افتتاحیه]]+TContact[[#This Row],[بستانکار تراکنش]]-TContact[[#This Row],[بدهکار تراکنش]]</f>
        <v>#VALUE!</v>
      </c>
      <c r="I40" s="1"/>
      <c r="J40" s="1"/>
      <c r="K40" s="83"/>
      <c r="L40" s="83"/>
      <c r="M40" s="83"/>
    </row>
    <row r="41" spans="1:13" x14ac:dyDescent="0.25">
      <c r="A41" s="11"/>
      <c r="C41" s="6"/>
      <c r="D41" s="6"/>
      <c r="E41" s="6">
        <f>SUMIF(TArticle[کد طرف حساب],TContact[[#This Row],[شناسه]],TArticle[بدهکار])</f>
        <v>0</v>
      </c>
      <c r="F41" s="6">
        <f>SUMIF(TArticle[کد طرف حساب],TContact[[#This Row],[شناسه]],TArticle[بستانکار])</f>
        <v>0</v>
      </c>
      <c r="G41" s="6"/>
      <c r="H41" s="6" t="e">
        <f>TContact[[#This Row],[افتتاحیه]]+TContact[[#This Row],[بستانکار تراکنش]]-TContact[[#This Row],[بدهکار تراکنش]]</f>
        <v>#VALUE!</v>
      </c>
      <c r="I41" s="1"/>
      <c r="J41" s="1"/>
      <c r="K41" s="57"/>
      <c r="L41" s="57"/>
      <c r="M41" s="57"/>
    </row>
    <row r="42" spans="1:13" x14ac:dyDescent="0.25">
      <c r="A42" s="11"/>
      <c r="C42" s="6"/>
      <c r="D42" s="6"/>
      <c r="E42" s="6">
        <f>SUMIF(TArticle[کد طرف حساب],TContact[[#This Row],[شناسه]],TArticle[بدهکار])</f>
        <v>0</v>
      </c>
      <c r="F42" s="6">
        <f>SUMIF(TArticle[کد طرف حساب],TContact[[#This Row],[شناسه]],TArticle[بستانکار])</f>
        <v>0</v>
      </c>
      <c r="G42" s="6"/>
      <c r="H42" s="6" t="e">
        <f>TContact[[#This Row],[افتتاحیه]]+TContact[[#This Row],[بستانکار تراکنش]]-TContact[[#This Row],[بدهکار تراکنش]]</f>
        <v>#VALUE!</v>
      </c>
      <c r="I42" s="1"/>
      <c r="J42" s="1"/>
      <c r="K42" s="57"/>
      <c r="L42" s="57"/>
      <c r="M42" s="57"/>
    </row>
    <row r="43" spans="1:13" x14ac:dyDescent="0.25">
      <c r="A43" s="11"/>
      <c r="C43" s="57"/>
      <c r="D43" s="57"/>
      <c r="E43" s="57">
        <f>SUMIF(TArticle[کد طرف حساب],TContact[[#This Row],[شناسه]],TArticle[بدهکار])</f>
        <v>0</v>
      </c>
      <c r="F43" s="57">
        <f>SUMIF(TArticle[کد طرف حساب],TContact[[#This Row],[شناسه]],TArticle[بستانکار])</f>
        <v>0</v>
      </c>
      <c r="G43" s="57"/>
      <c r="H43" s="57" t="e">
        <f>TContact[[#This Row],[افتتاحیه]]+TContact[[#This Row],[بستانکار تراکنش]]-TContact[[#This Row],[بدهکار تراکنش]]</f>
        <v>#VALUE!</v>
      </c>
      <c r="I43" s="1"/>
      <c r="J43" s="1"/>
      <c r="K43" s="57"/>
      <c r="L43" s="57"/>
      <c r="M43" s="57"/>
    </row>
    <row r="44" spans="1:13" x14ac:dyDescent="0.25">
      <c r="A44" s="11"/>
      <c r="C44" s="2"/>
      <c r="D44" s="2"/>
      <c r="E44" s="2">
        <f>SUMIF(TArticle[کد طرف حساب],TContact[[#This Row],[شناسه]],TArticle[بدهکار])</f>
        <v>0</v>
      </c>
      <c r="F44" s="2">
        <f>SUMIF(TArticle[کد طرف حساب],TContact[[#This Row],[شناسه]],TArticle[بستانکار])</f>
        <v>0</v>
      </c>
      <c r="G44" s="2"/>
      <c r="H44" s="2" t="e">
        <f>TContact[[#This Row],[افتتاحیه]]+TContact[[#This Row],[بستانکار تراکنش]]-TContact[[#This Row],[بدهکار تراکنش]]</f>
        <v>#VALUE!</v>
      </c>
      <c r="I44" s="1"/>
      <c r="J44" s="1"/>
      <c r="K44" s="57"/>
      <c r="L44" s="57"/>
      <c r="M44" s="5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H30"/>
  <sheetViews>
    <sheetView rightToLeft="1" zoomScale="115" zoomScaleNormal="115" workbookViewId="0">
      <selection activeCell="M9" sqref="M9"/>
    </sheetView>
  </sheetViews>
  <sheetFormatPr defaultRowHeight="15" x14ac:dyDescent="0.25"/>
  <cols>
    <col min="1" max="1" width="8.28515625" style="10" bestFit="1" customWidth="1"/>
    <col min="2" max="2" width="12.5703125" bestFit="1" customWidth="1"/>
    <col min="3" max="3" width="15.42578125" hidden="1" customWidth="1"/>
    <col min="4" max="4" width="7.5703125" hidden="1" customWidth="1"/>
    <col min="5" max="5" width="9.5703125" bestFit="1" customWidth="1"/>
    <col min="6" max="6" width="8.7109375" customWidth="1"/>
    <col min="7" max="7" width="5.7109375" customWidth="1"/>
    <col min="8" max="8" width="8.85546875" customWidth="1"/>
    <col min="9" max="9" width="5.7109375" hidden="1" customWidth="1"/>
    <col min="10" max="10" width="8.140625" bestFit="1" customWidth="1"/>
    <col min="11" max="11" width="11.85546875" bestFit="1" customWidth="1"/>
    <col min="12" max="12" width="33.5703125" customWidth="1"/>
    <col min="13" max="13" width="20.5703125" customWidth="1"/>
    <col min="14" max="14" width="19" bestFit="1" customWidth="1"/>
    <col min="15" max="15" width="12.85546875" bestFit="1" customWidth="1"/>
    <col min="16" max="16" width="7.85546875" style="7" bestFit="1" customWidth="1"/>
    <col min="17" max="17" width="8" bestFit="1" customWidth="1"/>
    <col min="18" max="18" width="20.5703125" bestFit="1" customWidth="1"/>
    <col min="19" max="19" width="20.5703125" customWidth="1"/>
    <col min="22" max="22" width="9.140625" bestFit="1" customWidth="1"/>
    <col min="23" max="23" width="19" bestFit="1" customWidth="1"/>
    <col min="24" max="24" width="33.140625" bestFit="1" customWidth="1"/>
    <col min="25" max="25" width="13" bestFit="1" customWidth="1"/>
    <col min="26" max="26" width="19" bestFit="1" customWidth="1"/>
    <col min="16362" max="16362" width="11" bestFit="1" customWidth="1"/>
    <col min="16375" max="16375" width="10.5703125" bestFit="1" customWidth="1"/>
    <col min="16376" max="16376" width="10.140625" bestFit="1" customWidth="1"/>
    <col min="16377" max="16384" width="10.140625" customWidth="1"/>
  </cols>
  <sheetData>
    <row r="1" spans="1:27 16360:16362" ht="16.5" customHeight="1" x14ac:dyDescent="0.25">
      <c r="A1" s="7" t="s">
        <v>5</v>
      </c>
      <c r="B1" t="s">
        <v>4</v>
      </c>
      <c r="C1" t="s">
        <v>90</v>
      </c>
      <c r="D1" t="s">
        <v>91</v>
      </c>
      <c r="E1" t="s">
        <v>92</v>
      </c>
      <c r="F1" t="s">
        <v>156</v>
      </c>
      <c r="G1" t="s">
        <v>155</v>
      </c>
      <c r="H1" t="s">
        <v>44</v>
      </c>
      <c r="I1" t="s">
        <v>1029</v>
      </c>
      <c r="J1" t="s">
        <v>100</v>
      </c>
      <c r="K1" t="s">
        <v>88</v>
      </c>
      <c r="L1" t="s">
        <v>122</v>
      </c>
      <c r="M1" t="s">
        <v>116</v>
      </c>
      <c r="N1" t="s">
        <v>115</v>
      </c>
      <c r="O1" t="s">
        <v>140</v>
      </c>
      <c r="P1" t="s">
        <v>117</v>
      </c>
      <c r="Q1" s="7" t="s">
        <v>118</v>
      </c>
      <c r="R1" t="s">
        <v>51</v>
      </c>
      <c r="S1" t="s">
        <v>1599</v>
      </c>
      <c r="U1" s="41" t="s">
        <v>4</v>
      </c>
      <c r="V1" s="41" t="s">
        <v>100</v>
      </c>
      <c r="W1" s="41" t="s">
        <v>1056</v>
      </c>
      <c r="X1" s="42" t="s">
        <v>122</v>
      </c>
      <c r="Y1" s="42" t="s">
        <v>116</v>
      </c>
      <c r="Z1" s="42" t="s">
        <v>115</v>
      </c>
      <c r="AA1" s="76" t="s">
        <v>1171</v>
      </c>
    </row>
    <row r="2" spans="1:27 16360:16362" hidden="1" x14ac:dyDescent="0.25">
      <c r="A2" s="11">
        <v>1</v>
      </c>
      <c r="B2" t="s">
        <v>108</v>
      </c>
      <c r="C2" s="6">
        <f>SUMIF(TArticle[کد بانک],TBank[[#This Row],[شناسه]],TArticle[بدهکار بانک])</f>
        <v>0</v>
      </c>
      <c r="D2" s="6">
        <f>SUMIF(TArticle[کد بانک],TBank[[#This Row],[شناسه]],TArticle[بستانکار بانک])</f>
        <v>300</v>
      </c>
      <c r="E2" s="6"/>
      <c r="F2" s="6">
        <f>TBank[[#This Row],[افتتاحیه]]+TBank[[#This Row],[بستانکار تراکنش]]-TBank[[#This Row],[بدهکار تراکنش]]</f>
        <v>300</v>
      </c>
      <c r="G2" s="6">
        <v>0</v>
      </c>
      <c r="H2" s="6">
        <f>TBank[[#This Row],[قابل برداشت]]+TBank[[#This Row],[مسدودی]]</f>
        <v>300</v>
      </c>
      <c r="I2" s="6">
        <f>TBank[[#This Row],[مسدودی]]+TBank[[#This Row],[افتتاحیه]]</f>
        <v>0</v>
      </c>
      <c r="J2" s="1" t="s">
        <v>128</v>
      </c>
      <c r="K2" s="6" t="s">
        <v>128</v>
      </c>
      <c r="L2" s="6"/>
      <c r="M2" s="8"/>
      <c r="N2" s="9" t="s">
        <v>1673</v>
      </c>
      <c r="O2" s="8"/>
      <c r="P2" s="8"/>
      <c r="Q2" s="32"/>
      <c r="R2" s="71"/>
      <c r="S2" s="85"/>
      <c r="U2" s="40" t="s">
        <v>1053</v>
      </c>
      <c r="V2" s="40" t="s">
        <v>1055</v>
      </c>
      <c r="W2" s="56" t="s">
        <v>1097</v>
      </c>
      <c r="X2" s="43" t="s">
        <v>1054</v>
      </c>
      <c r="Z2" t="s">
        <v>1052</v>
      </c>
    </row>
    <row r="3" spans="1:27 16360:16362" ht="30" hidden="1" x14ac:dyDescent="0.25">
      <c r="A3" s="11">
        <v>2</v>
      </c>
      <c r="B3" t="s">
        <v>1064</v>
      </c>
      <c r="C3" s="6">
        <f>SUMIF(TArticle[کد بانک],TBank[[#This Row],[شناسه]],TArticle[بدهکار بانک])</f>
        <v>608211</v>
      </c>
      <c r="D3" s="6">
        <f>SUMIF(TArticle[کد بانک],TBank[[#This Row],[شناسه]],TArticle[بستانکار بانک])</f>
        <v>616610</v>
      </c>
      <c r="E3" s="6">
        <f>191+999</f>
        <v>1190</v>
      </c>
      <c r="F3" s="6">
        <f>TBank[[#This Row],[افتتاحیه]]+TBank[[#This Row],[بستانکار تراکنش]]-TBank[[#This Row],[بدهکار تراکنش]]</f>
        <v>9589</v>
      </c>
      <c r="G3" s="6">
        <v>0</v>
      </c>
      <c r="H3" s="6">
        <f>TBank[[#This Row],[قابل برداشت]]+TBank[[#This Row],[مسدودی]]</f>
        <v>9589</v>
      </c>
      <c r="I3" s="6">
        <f>TBank[[#This Row],[مسدودی]]+TBank[[#This Row],[افتتاحیه]]</f>
        <v>1190</v>
      </c>
      <c r="J3" s="1" t="s">
        <v>1094</v>
      </c>
      <c r="K3" s="1" t="s">
        <v>1070</v>
      </c>
      <c r="L3" s="50" t="s">
        <v>1089</v>
      </c>
      <c r="M3" s="9" t="s">
        <v>125</v>
      </c>
      <c r="N3" s="9" t="s">
        <v>119</v>
      </c>
      <c r="O3" s="8" t="s">
        <v>151</v>
      </c>
      <c r="P3" s="8" t="s">
        <v>136</v>
      </c>
      <c r="Q3" s="33">
        <v>3212</v>
      </c>
      <c r="R3" s="71"/>
      <c r="S3" s="85"/>
      <c r="U3" s="40" t="s">
        <v>52</v>
      </c>
      <c r="V3" s="40" t="s">
        <v>179</v>
      </c>
      <c r="W3" s="56"/>
      <c r="X3" s="43" t="s">
        <v>1074</v>
      </c>
      <c r="Z3" t="s">
        <v>1075</v>
      </c>
      <c r="XEH3">
        <v>134628759</v>
      </c>
    </row>
    <row r="4" spans="1:27 16360:16362" ht="30" hidden="1" x14ac:dyDescent="0.25">
      <c r="A4" s="11">
        <v>3</v>
      </c>
      <c r="B4" t="s">
        <v>175</v>
      </c>
      <c r="C4" s="6">
        <f>SUMIF(TArticle[کد بانک],TBank[[#This Row],[شناسه]],TArticle[بدهکار بانک])</f>
        <v>0</v>
      </c>
      <c r="D4" s="6">
        <f>SUMIF(TArticle[کد بانک],TBank[[#This Row],[شناسه]],TArticle[بستانکار بانک])</f>
        <v>0</v>
      </c>
      <c r="E4" s="6"/>
      <c r="F4" s="6">
        <f>TBank[[#This Row],[افتتاحیه]]+TBank[[#This Row],[بستانکار تراکنش]]-TBank[[#This Row],[بدهکار تراکنش]]</f>
        <v>0</v>
      </c>
      <c r="G4" s="6">
        <v>10</v>
      </c>
      <c r="H4" s="6">
        <f>TBank[[#This Row],[قابل برداشت]]+TBank[[#This Row],[مسدودی]]</f>
        <v>10</v>
      </c>
      <c r="I4" s="6">
        <f>TBank[[#This Row],[مسدودی]]+TBank[[#This Row],[افتتاحیه]]</f>
        <v>10</v>
      </c>
      <c r="J4" s="1" t="s">
        <v>175</v>
      </c>
      <c r="K4" s="1" t="s">
        <v>1071</v>
      </c>
      <c r="L4" s="50" t="s">
        <v>1090</v>
      </c>
      <c r="M4" s="8" t="s">
        <v>126</v>
      </c>
      <c r="N4" s="9" t="s">
        <v>120</v>
      </c>
      <c r="O4" s="8" t="s">
        <v>42</v>
      </c>
      <c r="P4" s="8" t="s">
        <v>138</v>
      </c>
      <c r="Q4" s="34" t="s">
        <v>137</v>
      </c>
      <c r="R4" s="71"/>
      <c r="S4" s="85"/>
      <c r="U4" s="40" t="s">
        <v>1133</v>
      </c>
      <c r="V4" s="40" t="s">
        <v>179</v>
      </c>
      <c r="W4" s="56" t="s">
        <v>1136</v>
      </c>
      <c r="X4" s="62" t="s">
        <v>1134</v>
      </c>
      <c r="Z4" t="s">
        <v>1135</v>
      </c>
      <c r="AA4" t="s">
        <v>1170</v>
      </c>
      <c r="XEH4">
        <v>4628759013</v>
      </c>
    </row>
    <row r="5" spans="1:27 16360:16362" ht="31.5" hidden="1" customHeight="1" x14ac:dyDescent="0.25">
      <c r="A5" s="11">
        <v>4</v>
      </c>
      <c r="B5" t="s">
        <v>176</v>
      </c>
      <c r="C5" s="6">
        <f>SUMIF(TArticle[کد بانک],TBank[[#This Row],[شناسه]],TArticle[بدهکار بانک])</f>
        <v>108950</v>
      </c>
      <c r="D5" s="6">
        <f>SUMIF(TArticle[کد بانک],TBank[[#This Row],[شناسه]],TArticle[بستانکار بانک])</f>
        <v>108950</v>
      </c>
      <c r="E5" s="6"/>
      <c r="F5" s="6">
        <f>TBank[[#This Row],[افتتاحیه]]+TBank[[#This Row],[بستانکار تراکنش]]-TBank[[#This Row],[بدهکار تراکنش]]</f>
        <v>0</v>
      </c>
      <c r="G5" s="6">
        <v>2</v>
      </c>
      <c r="H5" s="6">
        <f>TBank[[#This Row],[قابل برداشت]]+TBank[[#This Row],[مسدودی]]</f>
        <v>2</v>
      </c>
      <c r="I5" s="6">
        <f>TBank[[#This Row],[مسدودی]]+TBank[[#This Row],[افتتاحیه]]</f>
        <v>2</v>
      </c>
      <c r="J5" s="1" t="s">
        <v>176</v>
      </c>
      <c r="K5" s="1" t="s">
        <v>1071</v>
      </c>
      <c r="L5" s="50" t="s">
        <v>1091</v>
      </c>
      <c r="M5" s="9" t="s">
        <v>123</v>
      </c>
      <c r="N5" s="55" t="s">
        <v>1132</v>
      </c>
      <c r="O5" s="8" t="s">
        <v>150</v>
      </c>
      <c r="P5" s="8"/>
      <c r="Q5" s="33"/>
      <c r="R5" s="71"/>
      <c r="S5" s="85"/>
      <c r="U5" s="40" t="s">
        <v>1145</v>
      </c>
      <c r="V5" s="40"/>
      <c r="W5" s="56" t="s">
        <v>1144</v>
      </c>
      <c r="X5" s="62"/>
      <c r="Z5" t="s">
        <v>1143</v>
      </c>
      <c r="XEG5" t="s">
        <v>1062</v>
      </c>
      <c r="XEH5" t="s">
        <v>1061</v>
      </c>
    </row>
    <row r="6" spans="1:27 16360:16362" ht="30" hidden="1" x14ac:dyDescent="0.25">
      <c r="A6" s="11">
        <v>5</v>
      </c>
      <c r="B6" t="s">
        <v>1065</v>
      </c>
      <c r="C6" s="6">
        <f>SUMIF(TArticle[کد بانک],TBank[[#This Row],[شناسه]],TArticle[بدهکار بانک])</f>
        <v>0</v>
      </c>
      <c r="D6" s="6">
        <f>SUMIF(TArticle[کد بانک],TBank[[#This Row],[شناسه]],TArticle[بستانکار بانک])</f>
        <v>0</v>
      </c>
      <c r="E6" s="6"/>
      <c r="F6" s="6">
        <f>TBank[[#This Row],[افتتاحیه]]+TBank[[#This Row],[بستانکار تراکنش]]-TBank[[#This Row],[بدهکار تراکنش]]</f>
        <v>0</v>
      </c>
      <c r="G6" s="6">
        <v>10</v>
      </c>
      <c r="H6" s="6">
        <f>TBank[[#This Row],[قابل برداشت]]+TBank[[#This Row],[مسدودی]]</f>
        <v>10</v>
      </c>
      <c r="I6" s="6">
        <f>TBank[[#This Row],[مسدودی]]+TBank[[#This Row],[افتتاحیه]]</f>
        <v>10</v>
      </c>
      <c r="J6" s="1" t="s">
        <v>81</v>
      </c>
      <c r="K6" s="1" t="s">
        <v>1070</v>
      </c>
      <c r="L6" s="50" t="s">
        <v>1092</v>
      </c>
      <c r="M6" s="8" t="s">
        <v>121</v>
      </c>
      <c r="N6" s="55" t="s">
        <v>1105</v>
      </c>
      <c r="O6" s="8" t="s">
        <v>149</v>
      </c>
      <c r="P6" s="8"/>
      <c r="Q6" s="32"/>
      <c r="R6" s="71"/>
      <c r="S6" s="85"/>
      <c r="XEF6" t="s">
        <v>1073</v>
      </c>
    </row>
    <row r="7" spans="1:27 16360:16362" ht="30" hidden="1" x14ac:dyDescent="0.25">
      <c r="A7" s="11">
        <v>6</v>
      </c>
      <c r="B7" t="s">
        <v>177</v>
      </c>
      <c r="C7" s="6">
        <f>SUMIF(TArticle[کد بانک],TBank[[#This Row],[شناسه]],TArticle[بدهکار بانک])</f>
        <v>0</v>
      </c>
      <c r="D7" s="6">
        <f>SUMIF(TArticle[کد بانک],TBank[[#This Row],[شناسه]],TArticle[بستانکار بانک])</f>
        <v>0</v>
      </c>
      <c r="E7" s="6"/>
      <c r="F7" s="6">
        <f>TBank[[#This Row],[افتتاحیه]]+TBank[[#This Row],[بستانکار تراکنش]]-TBank[[#This Row],[بدهکار تراکنش]]</f>
        <v>0</v>
      </c>
      <c r="G7" s="6">
        <v>0</v>
      </c>
      <c r="H7" s="6">
        <f>TBank[[#This Row],[قابل برداشت]]+TBank[[#This Row],[مسدودی]]</f>
        <v>0</v>
      </c>
      <c r="I7" s="6">
        <f>TBank[[#This Row],[مسدودی]]+TBank[[#This Row],[افتتاحیه]]</f>
        <v>0</v>
      </c>
      <c r="J7" s="1" t="s">
        <v>177</v>
      </c>
      <c r="K7" s="1" t="s">
        <v>1071</v>
      </c>
      <c r="L7" s="50" t="s">
        <v>1093</v>
      </c>
      <c r="M7" s="9" t="s">
        <v>124</v>
      </c>
      <c r="N7" s="55" t="s">
        <v>1096</v>
      </c>
      <c r="O7" s="8" t="s">
        <v>148</v>
      </c>
      <c r="P7" s="8" t="s">
        <v>139</v>
      </c>
      <c r="Q7" s="33">
        <v>5987</v>
      </c>
      <c r="R7" s="71"/>
      <c r="S7" s="85"/>
    </row>
    <row r="8" spans="1:27 16360:16362" hidden="1" x14ac:dyDescent="0.25">
      <c r="A8" s="11">
        <v>7</v>
      </c>
      <c r="B8" t="s">
        <v>178</v>
      </c>
      <c r="C8" s="6">
        <f>SUMIF(TArticle[کد بانک],TBank[[#This Row],[شناسه]],TArticle[بدهکار بانک])</f>
        <v>0</v>
      </c>
      <c r="D8" s="6">
        <f>SUMIF(TArticle[کد بانک],TBank[[#This Row],[شناسه]],TArticle[بستانکار بانک])</f>
        <v>0</v>
      </c>
      <c r="E8" s="6"/>
      <c r="F8" s="6">
        <f>TBank[[#This Row],[افتتاحیه]]+TBank[[#This Row],[بستانکار تراکنش]]-TBank[[#This Row],[بدهکار تراکنش]]</f>
        <v>0</v>
      </c>
      <c r="G8" s="6">
        <v>10</v>
      </c>
      <c r="H8" s="6">
        <f>TBank[[#This Row],[قابل برداشت]]+TBank[[#This Row],[مسدودی]]</f>
        <v>10</v>
      </c>
      <c r="I8" s="6">
        <f>TBank[[#This Row],[مسدودی]]+TBank[[#This Row],[افتتاحیه]]</f>
        <v>10</v>
      </c>
      <c r="J8" s="1" t="s">
        <v>178</v>
      </c>
      <c r="K8" s="1" t="s">
        <v>1071</v>
      </c>
      <c r="L8" s="6" t="s">
        <v>127</v>
      </c>
      <c r="M8" s="8" t="s">
        <v>130</v>
      </c>
      <c r="N8" s="8" t="s">
        <v>129</v>
      </c>
      <c r="O8" s="8" t="s">
        <v>147</v>
      </c>
      <c r="P8" s="9" t="s">
        <v>1059</v>
      </c>
      <c r="Q8" s="44" t="s">
        <v>1060</v>
      </c>
      <c r="R8" s="71"/>
      <c r="S8" s="85"/>
      <c r="XEH8">
        <v>25434540</v>
      </c>
    </row>
    <row r="9" spans="1:27 16360:16362" x14ac:dyDescent="0.25">
      <c r="A9" s="11">
        <v>8</v>
      </c>
      <c r="B9" t="s">
        <v>179</v>
      </c>
      <c r="C9" s="6">
        <f>SUMIF(TArticle[کد بانک],TBank[[#This Row],[شناسه]],TArticle[بدهکار بانک])</f>
        <v>0</v>
      </c>
      <c r="D9" s="6">
        <f>SUMIF(TArticle[کد بانک],TBank[[#This Row],[شناسه]],TArticle[بستانکار بانک])</f>
        <v>0</v>
      </c>
      <c r="E9" s="6"/>
      <c r="F9" s="6">
        <f>TBank[[#This Row],[افتتاحیه]]+TBank[[#This Row],[بستانکار تراکنش]]-TBank[[#This Row],[بدهکار تراکنش]]</f>
        <v>0</v>
      </c>
      <c r="G9" s="6">
        <v>10</v>
      </c>
      <c r="H9" s="6">
        <f>TBank[[#This Row],[قابل برداشت]]+TBank[[#This Row],[مسدودی]]</f>
        <v>10</v>
      </c>
      <c r="I9" s="6">
        <f>TBank[[#This Row],[مسدودی]]+TBank[[#This Row],[افتتاحیه]]</f>
        <v>10</v>
      </c>
      <c r="J9" s="1" t="s">
        <v>179</v>
      </c>
      <c r="K9" s="1" t="s">
        <v>1071</v>
      </c>
      <c r="L9" s="1" t="s">
        <v>132</v>
      </c>
      <c r="M9" s="9" t="s">
        <v>135</v>
      </c>
      <c r="N9" s="9" t="s">
        <v>131</v>
      </c>
      <c r="O9" s="8" t="s">
        <v>146</v>
      </c>
      <c r="P9" s="8" t="s">
        <v>133</v>
      </c>
      <c r="Q9" s="32" t="s">
        <v>134</v>
      </c>
      <c r="R9" s="9"/>
      <c r="S9" s="9"/>
    </row>
    <row r="10" spans="1:27 16360:16362" hidden="1" x14ac:dyDescent="0.25">
      <c r="A10" s="11">
        <v>9</v>
      </c>
      <c r="B10" t="s">
        <v>180</v>
      </c>
      <c r="C10" s="6">
        <f>SUMIF(TArticle[کد بانک],TBank[[#This Row],[شناسه]],TArticle[بدهکار بانک])</f>
        <v>0</v>
      </c>
      <c r="D10" s="6">
        <f>SUMIF(TArticle[کد بانک],TBank[[#This Row],[شناسه]],TArticle[بستانکار بانک])</f>
        <v>0</v>
      </c>
      <c r="E10" s="6"/>
      <c r="F10" s="6">
        <f>TBank[[#This Row],[افتتاحیه]]+TBank[[#This Row],[بستانکار تراکنش]]-TBank[[#This Row],[بدهکار تراکنش]]</f>
        <v>0</v>
      </c>
      <c r="G10" s="6">
        <v>0</v>
      </c>
      <c r="H10" s="6">
        <f>TBank[[#This Row],[قابل برداشت]]+TBank[[#This Row],[مسدودی]]</f>
        <v>0</v>
      </c>
      <c r="I10" s="6">
        <f>TBank[[#This Row],[مسدودی]]+TBank[[#This Row],[افتتاحیه]]</f>
        <v>0</v>
      </c>
      <c r="J10" s="1" t="s">
        <v>180</v>
      </c>
      <c r="K10" s="1" t="s">
        <v>1071</v>
      </c>
      <c r="L10" s="6" t="s">
        <v>141</v>
      </c>
      <c r="M10" s="8" t="s">
        <v>143</v>
      </c>
      <c r="N10" s="8" t="s">
        <v>142</v>
      </c>
      <c r="O10" s="8" t="s">
        <v>144</v>
      </c>
      <c r="P10" s="8" t="s">
        <v>145</v>
      </c>
      <c r="Q10" s="33">
        <v>983</v>
      </c>
      <c r="R10" s="71"/>
      <c r="S10" s="85"/>
    </row>
    <row r="11" spans="1:27 16360:16362" hidden="1" x14ac:dyDescent="0.25">
      <c r="A11" s="11">
        <v>10</v>
      </c>
      <c r="B11" t="s">
        <v>1113</v>
      </c>
      <c r="C11" s="6">
        <f>SUMIF(TArticle[کد بانک],TBank[[#This Row],[شناسه]],TArticle[بدهکار بانک])</f>
        <v>191404</v>
      </c>
      <c r="D11" s="6">
        <f>SUMIF(TArticle[کد بانک],TBank[[#This Row],[شناسه]],TArticle[بستانکار بانک])</f>
        <v>191404</v>
      </c>
      <c r="E11" s="6"/>
      <c r="F11" s="6">
        <f>TBank[[#This Row],[افتتاحیه]]+TBank[[#This Row],[بستانکار تراکنش]]-TBank[[#This Row],[بدهکار تراکنش]]</f>
        <v>0</v>
      </c>
      <c r="G11" s="6">
        <v>0</v>
      </c>
      <c r="H11" s="6">
        <f>TBank[[#This Row],[قابل برداشت]]+TBank[[#This Row],[مسدودی]]</f>
        <v>0</v>
      </c>
      <c r="I11" s="6">
        <f>TBank[[#This Row],[مسدودی]]+TBank[[#This Row],[افتتاحیه]]</f>
        <v>0</v>
      </c>
      <c r="J11" s="1" t="s">
        <v>128</v>
      </c>
      <c r="K11" s="6" t="s">
        <v>128</v>
      </c>
      <c r="L11" s="6"/>
      <c r="M11" s="8"/>
      <c r="N11" s="8"/>
      <c r="O11" s="8"/>
      <c r="P11" s="8"/>
      <c r="Q11" s="32"/>
      <c r="R11" s="71"/>
      <c r="S11" s="85"/>
    </row>
    <row r="12" spans="1:27 16360:16362" hidden="1" x14ac:dyDescent="0.25">
      <c r="A12" s="11">
        <v>11</v>
      </c>
      <c r="B12" t="s">
        <v>100</v>
      </c>
      <c r="C12" s="6">
        <f>SUMIF(TArticle[کد بانک],TBank[[#This Row],[شناسه]],TArticle[بدهکار بانک])</f>
        <v>0</v>
      </c>
      <c r="D12" s="6">
        <f>SUMIF(TArticle[کد بانک],TBank[[#This Row],[شناسه]],TArticle[بستانکار بانک])</f>
        <v>0</v>
      </c>
      <c r="E12" s="6"/>
      <c r="F12" s="6">
        <f>TBank[[#This Row],[افتتاحیه]]+TBank[[#This Row],[بستانکار تراکنش]]-TBank[[#This Row],[بدهکار تراکنش]]</f>
        <v>0</v>
      </c>
      <c r="G12" s="6">
        <v>0</v>
      </c>
      <c r="H12" s="6">
        <f>TBank[[#This Row],[قابل برداشت]]+TBank[[#This Row],[مسدودی]]</f>
        <v>0</v>
      </c>
      <c r="I12" s="6">
        <f>TBank[[#This Row],[مسدودی]]+TBank[[#This Row],[افتتاحیه]]</f>
        <v>0</v>
      </c>
      <c r="J12" s="1"/>
      <c r="K12" s="6" t="s">
        <v>100</v>
      </c>
      <c r="L12" s="6"/>
      <c r="M12" s="8"/>
      <c r="N12" s="8"/>
      <c r="O12" s="8"/>
      <c r="P12" s="8"/>
      <c r="Q12" s="32"/>
      <c r="R12" s="71"/>
      <c r="S12" s="85"/>
    </row>
    <row r="13" spans="1:27 16360:16362" hidden="1" x14ac:dyDescent="0.25">
      <c r="A13" s="11">
        <v>12</v>
      </c>
      <c r="B13" t="s">
        <v>1066</v>
      </c>
      <c r="C13" s="35">
        <f>SUMIF(TArticle[کد بانک],TBank[[#This Row],[شناسه]],TArticle[بدهکار بانک])</f>
        <v>120</v>
      </c>
      <c r="D13" s="35">
        <f>SUMIF(TArticle[کد بانک],TBank[[#This Row],[شناسه]],TArticle[بستانکار بانک])</f>
        <v>612</v>
      </c>
      <c r="E13" s="35">
        <v>120</v>
      </c>
      <c r="F13" s="35">
        <f>TBank[[#This Row],[افتتاحیه]]+TBank[[#This Row],[بستانکار تراکنش]]-TBank[[#This Row],[بدهکار تراکنش]]</f>
        <v>612</v>
      </c>
      <c r="G13" s="35">
        <v>0</v>
      </c>
      <c r="H13" s="35">
        <f>TBank[[#This Row],[قابل برداشت]]+TBank[[#This Row],[مسدودی]]</f>
        <v>612</v>
      </c>
      <c r="I13" s="35">
        <f>TBank[[#This Row],[مسدودی]]+TBank[[#This Row],[افتتاحیه]]</f>
        <v>120</v>
      </c>
      <c r="J13" s="1" t="s">
        <v>1094</v>
      </c>
      <c r="K13" s="1" t="s">
        <v>1071</v>
      </c>
      <c r="L13" s="35"/>
      <c r="M13" s="45"/>
      <c r="N13" s="45"/>
      <c r="O13" s="45"/>
      <c r="P13" s="45"/>
      <c r="Q13" s="46"/>
      <c r="R13" s="71"/>
      <c r="S13" s="85"/>
    </row>
    <row r="14" spans="1:27 16360:16362" hidden="1" x14ac:dyDescent="0.25">
      <c r="A14" s="11">
        <v>13</v>
      </c>
      <c r="B14" t="s">
        <v>1067</v>
      </c>
      <c r="C14" s="35">
        <f>SUMIF(TArticle[کد بانک],TBank[[#This Row],[شناسه]],TArticle[بدهکار بانک])</f>
        <v>0</v>
      </c>
      <c r="D14" s="35">
        <f>SUMIF(TArticle[کد بانک],TBank[[#This Row],[شناسه]],TArticle[بستانکار بانک])</f>
        <v>0</v>
      </c>
      <c r="E14" s="35"/>
      <c r="F14" s="35">
        <f>TBank[[#This Row],[افتتاحیه]]+TBank[[#This Row],[بستانکار تراکنش]]-TBank[[#This Row],[بدهکار تراکنش]]</f>
        <v>0</v>
      </c>
      <c r="G14" s="35">
        <v>2</v>
      </c>
      <c r="H14" s="35">
        <f>TBank[[#This Row],[قابل برداشت]]+TBank[[#This Row],[مسدودی]]</f>
        <v>2</v>
      </c>
      <c r="I14" s="35">
        <f>TBank[[#This Row],[مسدودی]]+TBank[[#This Row],[افتتاحیه]]</f>
        <v>2</v>
      </c>
      <c r="J14" s="1" t="s">
        <v>176</v>
      </c>
      <c r="K14" s="1" t="s">
        <v>1071</v>
      </c>
      <c r="L14" s="35"/>
      <c r="M14" s="45" t="s">
        <v>1082</v>
      </c>
      <c r="N14" s="45"/>
      <c r="O14" s="45"/>
      <c r="P14" s="45"/>
      <c r="Q14" s="46"/>
      <c r="R14" s="71"/>
      <c r="S14" s="85"/>
    </row>
    <row r="15" spans="1:27 16360:16362" hidden="1" x14ac:dyDescent="0.25">
      <c r="A15" s="11">
        <v>14</v>
      </c>
      <c r="B15" t="s">
        <v>1063</v>
      </c>
      <c r="C15" s="35">
        <f>SUMIF(TArticle[کد بانک],TBank[[#This Row],[شناسه]],TArticle[بدهکار بانک])</f>
        <v>0</v>
      </c>
      <c r="D15" s="35">
        <f>SUMIF(TArticle[کد بانک],TBank[[#This Row],[شناسه]],TArticle[بستانکار بانک])</f>
        <v>0</v>
      </c>
      <c r="E15" s="35"/>
      <c r="F15" s="35">
        <f>TBank[[#This Row],[افتتاحیه]]+TBank[[#This Row],[بستانکار تراکنش]]-TBank[[#This Row],[بدهکار تراکنش]]</f>
        <v>0</v>
      </c>
      <c r="G15" s="35">
        <v>0</v>
      </c>
      <c r="H15" s="35">
        <f>TBank[[#This Row],[قابل برداشت]]+TBank[[#This Row],[مسدودی]]</f>
        <v>0</v>
      </c>
      <c r="I15" s="35">
        <f>TBank[[#This Row],[مسدودی]]+TBank[[#This Row],[افتتاحیه]]</f>
        <v>0</v>
      </c>
      <c r="J15" s="1" t="s">
        <v>176</v>
      </c>
      <c r="K15" s="1" t="s">
        <v>1070</v>
      </c>
      <c r="L15" s="35"/>
      <c r="M15" s="45"/>
      <c r="N15" s="45"/>
      <c r="O15" s="45"/>
      <c r="P15" s="45"/>
      <c r="Q15" s="46"/>
      <c r="R15" s="71"/>
      <c r="S15" s="85"/>
    </row>
    <row r="16" spans="1:27 16360:16362" ht="30" hidden="1" x14ac:dyDescent="0.25">
      <c r="A16" s="11">
        <v>15</v>
      </c>
      <c r="B16" t="s">
        <v>1069</v>
      </c>
      <c r="C16" s="35">
        <f>SUMIF(TArticle[کد بانک],TBank[[#This Row],[شناسه]],TArticle[بدهکار بانک])</f>
        <v>0</v>
      </c>
      <c r="D16" s="35">
        <f>SUMIF(TArticle[کد بانک],TBank[[#This Row],[شناسه]],TArticle[بستانکار بانک])</f>
        <v>0</v>
      </c>
      <c r="E16" s="35"/>
      <c r="F16" s="35">
        <f>TBank[[#This Row],[افتتاحیه]]+TBank[[#This Row],[بستانکار تراکنش]]-TBank[[#This Row],[بدهکار تراکنش]]</f>
        <v>0</v>
      </c>
      <c r="G16" s="35">
        <v>0</v>
      </c>
      <c r="H16" s="35">
        <f>TBank[[#This Row],[قابل برداشت]]+TBank[[#This Row],[مسدودی]]</f>
        <v>0</v>
      </c>
      <c r="I16" s="35">
        <f>TBank[[#This Row],[مسدودی]]+TBank[[#This Row],[افتتاحیه]]</f>
        <v>0</v>
      </c>
      <c r="J16" s="35" t="s">
        <v>81</v>
      </c>
      <c r="K16" s="1" t="s">
        <v>1072</v>
      </c>
      <c r="L16" s="53" t="s">
        <v>1087</v>
      </c>
      <c r="M16" s="45" t="s">
        <v>1088</v>
      </c>
      <c r="N16" s="45"/>
      <c r="O16" s="45"/>
      <c r="P16" s="45"/>
      <c r="Q16" s="46"/>
      <c r="R16" s="71"/>
      <c r="S16" s="85"/>
    </row>
    <row r="17" spans="1:26 16362:16362" ht="30" hidden="1" x14ac:dyDescent="0.25">
      <c r="A17" s="11">
        <v>16</v>
      </c>
      <c r="B17" t="s">
        <v>1080</v>
      </c>
      <c r="C17" s="35">
        <f>SUMIF(TArticle[کد بانک],TBank[[#This Row],[شناسه]],TArticle[بدهکار بانک])</f>
        <v>38158</v>
      </c>
      <c r="D17" s="35">
        <f>SUMIF(TArticle[کد بانک],TBank[[#This Row],[شناسه]],TArticle[بستانکار بانک])</f>
        <v>12344</v>
      </c>
      <c r="E17" s="35">
        <f>22199+3615</f>
        <v>25814</v>
      </c>
      <c r="F17" s="35">
        <f>TBank[[#This Row],[افتتاحیه]]+TBank[[#This Row],[بستانکار تراکنش]]-TBank[[#This Row],[بدهکار تراکنش]]</f>
        <v>0</v>
      </c>
      <c r="G17" s="35">
        <v>30</v>
      </c>
      <c r="H17" s="35">
        <f>TBank[[#This Row],[قابل برداشت]]+TBank[[#This Row],[مسدودی]]</f>
        <v>30</v>
      </c>
      <c r="I17" s="35">
        <f>TBank[[#This Row],[مسدودی]]+TBank[[#This Row],[افتتاحیه]]</f>
        <v>25844</v>
      </c>
      <c r="J17" s="1" t="s">
        <v>1080</v>
      </c>
      <c r="K17" s="1" t="s">
        <v>1081</v>
      </c>
      <c r="L17" s="50" t="s">
        <v>1085</v>
      </c>
      <c r="M17" s="55" t="s">
        <v>1186</v>
      </c>
      <c r="N17" s="55" t="s">
        <v>1095</v>
      </c>
      <c r="O17" s="48">
        <v>7433626</v>
      </c>
      <c r="P17" s="9" t="s">
        <v>1169</v>
      </c>
      <c r="Q17" s="47">
        <v>276</v>
      </c>
      <c r="R17" s="71"/>
      <c r="S17" s="85"/>
    </row>
    <row r="18" spans="1:26 16362:16362" ht="30" hidden="1" x14ac:dyDescent="0.25">
      <c r="A18" s="11">
        <v>17</v>
      </c>
      <c r="B18" t="s">
        <v>1100</v>
      </c>
      <c r="C18" s="35">
        <f>SUMIF(TArticle[کد بانک],TBank[[#This Row],[شناسه]],TArticle[بدهکار بانک])</f>
        <v>0</v>
      </c>
      <c r="D18" s="35">
        <f>SUMIF(TArticle[کد بانک],TBank[[#This Row],[شناسه]],TArticle[بستانکار بانک])</f>
        <v>0</v>
      </c>
      <c r="E18" s="35"/>
      <c r="F18" s="35">
        <f>TBank[[#This Row],[افتتاحیه]]+TBank[[#This Row],[بستانکار تراکنش]]-TBank[[#This Row],[بدهکار تراکنش]]</f>
        <v>0</v>
      </c>
      <c r="G18" s="35"/>
      <c r="H18" s="35">
        <f>TBank[[#This Row],[قابل برداشت]]+TBank[[#This Row],[مسدودی]]</f>
        <v>0</v>
      </c>
      <c r="I18" s="35">
        <f>TBank[[#This Row],[مسدودی]]+TBank[[#This Row],[افتتاحیه]]</f>
        <v>0</v>
      </c>
      <c r="J18" s="35" t="s">
        <v>1094</v>
      </c>
      <c r="K18" s="1" t="s">
        <v>1071</v>
      </c>
      <c r="L18" s="53" t="s">
        <v>1104</v>
      </c>
      <c r="M18" s="55" t="s">
        <v>1106</v>
      </c>
      <c r="N18" s="54" t="s">
        <v>1101</v>
      </c>
      <c r="O18" s="45"/>
      <c r="P18" s="46" t="s">
        <v>1102</v>
      </c>
      <c r="Q18" s="46" t="s">
        <v>1103</v>
      </c>
      <c r="R18" s="71"/>
      <c r="S18" s="85"/>
    </row>
    <row r="19" spans="1:26 16362:16362" ht="30" hidden="1" x14ac:dyDescent="0.25">
      <c r="A19" s="11">
        <v>18</v>
      </c>
      <c r="B19" t="s">
        <v>1149</v>
      </c>
      <c r="C19" s="1">
        <f>SUMIF(TArticle[کد بانک],TBank[[#This Row],[شناسه]],TArticle[بدهکار بانک])</f>
        <v>0</v>
      </c>
      <c r="D19" s="1">
        <f>SUMIF(TArticle[کد بانک],TBank[[#This Row],[شناسه]],TArticle[بستانکار بانک])</f>
        <v>0</v>
      </c>
      <c r="E19" s="1"/>
      <c r="F19" s="1">
        <f>TBank[[#This Row],[افتتاحیه]]+TBank[[#This Row],[بستانکار تراکنش]]-TBank[[#This Row],[بدهکار تراکنش]]</f>
        <v>0</v>
      </c>
      <c r="G19" s="1"/>
      <c r="H19" s="1">
        <f>TBank[[#This Row],[قابل برداشت]]+TBank[[#This Row],[مسدودی]]</f>
        <v>0</v>
      </c>
      <c r="I19" s="1">
        <f>TBank[[#This Row],[مسدودی]]+TBank[[#This Row],[افتتاحیه]]</f>
        <v>0</v>
      </c>
      <c r="J19" s="1" t="s">
        <v>1080</v>
      </c>
      <c r="K19" s="1" t="s">
        <v>1081</v>
      </c>
      <c r="L19" s="50" t="s">
        <v>1152</v>
      </c>
      <c r="M19" s="55" t="s">
        <v>1202</v>
      </c>
      <c r="N19" s="55" t="s">
        <v>1150</v>
      </c>
      <c r="O19" s="9"/>
      <c r="P19" s="44" t="s">
        <v>1102</v>
      </c>
      <c r="Q19" s="44" t="s">
        <v>1151</v>
      </c>
      <c r="R19" s="9" t="s">
        <v>1187</v>
      </c>
      <c r="S19" s="85"/>
    </row>
    <row r="20" spans="1:26 16362:16362" hidden="1" x14ac:dyDescent="0.25">
      <c r="A20" s="11">
        <v>19</v>
      </c>
      <c r="B20" t="s">
        <v>1165</v>
      </c>
      <c r="C20" s="1">
        <f>SUMIF(TArticle[کد بانک],TBank[[#This Row],[شناسه]],TArticle[بدهکار بانک])</f>
        <v>0</v>
      </c>
      <c r="D20" s="1">
        <f>SUMIF(TArticle[کد بانک],TBank[[#This Row],[شناسه]],TArticle[بستانکار بانک])</f>
        <v>0</v>
      </c>
      <c r="E20" s="1"/>
      <c r="F20" s="1">
        <f>TBank[[#This Row],[افتتاحیه]]+TBank[[#This Row],[بستانکار تراکنش]]-TBank[[#This Row],[بدهکار تراکنش]]</f>
        <v>0</v>
      </c>
      <c r="G20" s="1">
        <v>800</v>
      </c>
      <c r="H20" s="1">
        <f>TBank[[#This Row],[قابل برداشت]]+TBank[[#This Row],[مسدودی]]</f>
        <v>800</v>
      </c>
      <c r="I20" s="1">
        <f>TBank[[#This Row],[مسدودی]]+TBank[[#This Row],[افتتاحیه]]</f>
        <v>800</v>
      </c>
      <c r="J20" s="1" t="s">
        <v>1080</v>
      </c>
      <c r="K20" s="1" t="s">
        <v>1081</v>
      </c>
      <c r="L20" s="1"/>
      <c r="M20" s="9"/>
      <c r="N20" s="9"/>
      <c r="O20" s="9"/>
      <c r="P20" s="44"/>
      <c r="Q20" s="44"/>
      <c r="R20" s="71" t="s">
        <v>1166</v>
      </c>
      <c r="S20" s="85"/>
    </row>
    <row r="21" spans="1:26 16362:16362" ht="30" hidden="1" x14ac:dyDescent="0.25">
      <c r="A21" s="11">
        <v>20</v>
      </c>
      <c r="B21" t="s">
        <v>1055</v>
      </c>
      <c r="C21" s="57">
        <f>SUMIF(TArticle[کد بانک],TBank[[#This Row],[شناسه]],TArticle[بدهکار بانک])</f>
        <v>0</v>
      </c>
      <c r="D21" s="57">
        <f>SUMIF(TArticle[کد بانک],TBank[[#This Row],[شناسه]],TArticle[بستانکار بانک])</f>
        <v>0</v>
      </c>
      <c r="E21" s="57"/>
      <c r="F21" s="57">
        <f>TBank[[#This Row],[افتتاحیه]]+TBank[[#This Row],[بستانکار تراکنش]]-TBank[[#This Row],[بدهکار تراکنش]]</f>
        <v>0</v>
      </c>
      <c r="G21" s="57"/>
      <c r="H21" s="57">
        <f>TBank[[#This Row],[قابل برداشت]]+TBank[[#This Row],[مسدودی]]</f>
        <v>0</v>
      </c>
      <c r="I21" s="57">
        <f>TBank[[#This Row],[مسدودی]]+TBank[[#This Row],[افتتاحیه]]</f>
        <v>0</v>
      </c>
      <c r="J21" s="57" t="s">
        <v>1055</v>
      </c>
      <c r="K21" s="1" t="s">
        <v>1081</v>
      </c>
      <c r="L21" s="73" t="s">
        <v>1155</v>
      </c>
      <c r="M21" s="75">
        <v>7834058</v>
      </c>
      <c r="N21" s="74" t="s">
        <v>1156</v>
      </c>
      <c r="O21" s="71"/>
      <c r="P21" s="72" t="s">
        <v>1158</v>
      </c>
      <c r="Q21" s="72" t="s">
        <v>1157</v>
      </c>
      <c r="R21" s="71" t="s">
        <v>1168</v>
      </c>
      <c r="S21" s="85"/>
      <c r="XEH21">
        <v>7834058</v>
      </c>
    </row>
    <row r="22" spans="1:26 16362:16362" x14ac:dyDescent="0.25">
      <c r="A22" s="11">
        <v>21</v>
      </c>
      <c r="B22" t="s">
        <v>1213</v>
      </c>
      <c r="C22" s="83">
        <f>SUMIF(TArticle[کد بانک],TBank[[#This Row],[شناسه]],TArticle[بدهکار بانک])</f>
        <v>0</v>
      </c>
      <c r="D22" s="83">
        <f>SUMIF(TArticle[کد بانک],TBank[[#This Row],[شناسه]],TArticle[بستانکار بانک])</f>
        <v>0</v>
      </c>
      <c r="E22" s="83"/>
      <c r="F22" s="83">
        <f>TBank[[#This Row],[افتتاحیه]]+TBank[[#This Row],[بستانکار تراکنش]]-TBank[[#This Row],[بدهکار تراکنش]]</f>
        <v>0</v>
      </c>
      <c r="G22" s="83"/>
      <c r="H22" s="83">
        <f>TBank[[#This Row],[قابل برداشت]]+TBank[[#This Row],[مسدودی]]</f>
        <v>0</v>
      </c>
      <c r="I22" s="83">
        <f>TBank[[#This Row],[مسدودی]]+TBank[[#This Row],[افتتاحیه]]</f>
        <v>0</v>
      </c>
      <c r="J22" s="1" t="s">
        <v>179</v>
      </c>
      <c r="K22" s="1" t="s">
        <v>1071</v>
      </c>
      <c r="L22" s="83"/>
      <c r="M22" s="85"/>
      <c r="N22" s="85"/>
      <c r="O22" s="85"/>
      <c r="P22" s="86"/>
      <c r="Q22" s="86"/>
      <c r="R22" s="85"/>
      <c r="S22" s="85"/>
      <c r="V22" s="1"/>
      <c r="W22" s="1"/>
      <c r="X22" s="1"/>
      <c r="Y22" s="1"/>
      <c r="Z22" s="5"/>
    </row>
    <row r="23" spans="1:26 16362:16362" hidden="1" x14ac:dyDescent="0.25">
      <c r="A23" s="11">
        <v>22</v>
      </c>
      <c r="B23" t="s">
        <v>1159</v>
      </c>
      <c r="C23" s="57">
        <f>SUMIF(TArticle[کد بانک],TBank[[#This Row],[شناسه]],TArticle[بدهکار بانک])</f>
        <v>19825</v>
      </c>
      <c r="D23" s="57">
        <f>SUMIF(TArticle[کد بانک],TBank[[#This Row],[شناسه]],TArticle[بستانکار بانک])</f>
        <v>15200</v>
      </c>
      <c r="E23" s="57">
        <v>4625</v>
      </c>
      <c r="F23" s="57">
        <f>TBank[[#This Row],[افتتاحیه]]+TBank[[#This Row],[بستانکار تراکنش]]-TBank[[#This Row],[بدهکار تراکنش]]</f>
        <v>0</v>
      </c>
      <c r="G23" s="1"/>
      <c r="H23" s="57">
        <f>TBank[[#This Row],[قابل برداشت]]+TBank[[#This Row],[مسدودی]]</f>
        <v>0</v>
      </c>
      <c r="I23" s="57">
        <f>TBank[[#This Row],[مسدودی]]+TBank[[#This Row],[افتتاحیه]]</f>
        <v>4625</v>
      </c>
      <c r="J23" s="57" t="s">
        <v>1159</v>
      </c>
      <c r="K23" s="57" t="s">
        <v>1159</v>
      </c>
      <c r="L23" s="57"/>
      <c r="M23" s="71"/>
      <c r="N23" s="71"/>
      <c r="O23" s="71"/>
      <c r="P23" s="72"/>
      <c r="Q23" s="72"/>
      <c r="R23" s="71" t="s">
        <v>1167</v>
      </c>
      <c r="S23" s="85"/>
    </row>
    <row r="24" spans="1:26 16362:16362" hidden="1" x14ac:dyDescent="0.25">
      <c r="A24" s="11">
        <v>24</v>
      </c>
      <c r="B24" t="s">
        <v>1183</v>
      </c>
      <c r="C24" s="80">
        <f>SUMIF(TArticle[کد بانک],TBank[[#This Row],[شناسه]],TArticle[بدهکار بانک])</f>
        <v>0</v>
      </c>
      <c r="D24" s="80">
        <f>SUMIF(TArticle[کد بانک],TBank[[#This Row],[شناسه]],TArticle[بستانکار بانک])</f>
        <v>0</v>
      </c>
      <c r="E24" s="80"/>
      <c r="F24" s="80">
        <f>TBank[[#This Row],[افتتاحیه]]+TBank[[#This Row],[بستانکار تراکنش]]-TBank[[#This Row],[بدهکار تراکنش]]</f>
        <v>0</v>
      </c>
      <c r="G24" s="80">
        <v>100</v>
      </c>
      <c r="H24" s="80">
        <f>TBank[[#This Row],[قابل برداشت]]+TBank[[#This Row],[مسدودی]]</f>
        <v>100</v>
      </c>
      <c r="I24" s="80">
        <f>TBank[[#This Row],[مسدودی]]+TBank[[#This Row],[افتتاحیه]]</f>
        <v>100</v>
      </c>
      <c r="J24" s="80" t="s">
        <v>1183</v>
      </c>
      <c r="K24" s="1" t="s">
        <v>1185</v>
      </c>
      <c r="L24" s="80"/>
      <c r="M24" s="81"/>
      <c r="N24" s="81"/>
      <c r="O24" s="81"/>
      <c r="P24" s="82"/>
      <c r="Q24" s="82"/>
      <c r="R24" s="81"/>
      <c r="S24" s="85"/>
    </row>
    <row r="25" spans="1:26 16362:16362" hidden="1" x14ac:dyDescent="0.25">
      <c r="A25" s="11">
        <v>25</v>
      </c>
      <c r="B25" t="s">
        <v>1184</v>
      </c>
      <c r="C25" s="80">
        <f>SUMIF(TArticle[کد بانک],TBank[[#This Row],[شناسه]],TArticle[بدهکار بانک])</f>
        <v>0</v>
      </c>
      <c r="D25" s="80">
        <f>SUMIF(TArticle[کد بانک],TBank[[#This Row],[شناسه]],TArticle[بستانکار بانک])</f>
        <v>0</v>
      </c>
      <c r="E25" s="80"/>
      <c r="F25" s="80">
        <f>TBank[[#This Row],[افتتاحیه]]+TBank[[#This Row],[بستانکار تراکنش]]-TBank[[#This Row],[بدهکار تراکنش]]</f>
        <v>0</v>
      </c>
      <c r="G25" s="80">
        <v>50</v>
      </c>
      <c r="H25" s="80">
        <f>TBank[[#This Row],[قابل برداشت]]+TBank[[#This Row],[مسدودی]]</f>
        <v>50</v>
      </c>
      <c r="I25" s="80">
        <f>TBank[[#This Row],[مسدودی]]+TBank[[#This Row],[افتتاحیه]]</f>
        <v>50</v>
      </c>
      <c r="J25" s="80" t="s">
        <v>1183</v>
      </c>
      <c r="K25" s="1" t="s">
        <v>1185</v>
      </c>
      <c r="L25" s="80"/>
      <c r="M25" s="81"/>
      <c r="N25" s="81"/>
      <c r="O25" s="81"/>
      <c r="P25" s="82"/>
      <c r="Q25" s="82"/>
      <c r="R25" s="81"/>
      <c r="S25" s="9" t="s">
        <v>1598</v>
      </c>
    </row>
    <row r="26" spans="1:26 16362:16362" hidden="1" x14ac:dyDescent="0.25">
      <c r="A26" s="11">
        <v>26</v>
      </c>
      <c r="B26" t="s">
        <v>1207</v>
      </c>
      <c r="C26" s="57">
        <f>SUMIF(TArticle[کد بانک],TBank[[#This Row],[شناسه]],TArticle[بدهکار بانک])</f>
        <v>0</v>
      </c>
      <c r="D26" s="57">
        <f>SUMIF(TArticle[کد بانک],TBank[[#This Row],[شناسه]],TArticle[بستانکار بانک])</f>
        <v>0</v>
      </c>
      <c r="E26" s="57"/>
      <c r="F26" s="57">
        <f>TBank[[#This Row],[افتتاحیه]]+TBank[[#This Row],[بستانکار تراکنش]]-TBank[[#This Row],[بدهکار تراکنش]]</f>
        <v>0</v>
      </c>
      <c r="G26" s="57"/>
      <c r="H26" s="57">
        <f>TBank[[#This Row],[قابل برداشت]]+TBank[[#This Row],[مسدودی]]</f>
        <v>0</v>
      </c>
      <c r="I26" s="57">
        <f>TBank[[#This Row],[مسدودی]]+TBank[[#This Row],[افتتاحیه]]</f>
        <v>0</v>
      </c>
      <c r="J26" s="1" t="s">
        <v>1185</v>
      </c>
      <c r="K26" s="1" t="s">
        <v>79</v>
      </c>
      <c r="L26" s="57"/>
      <c r="M26" s="71"/>
      <c r="N26" s="71"/>
      <c r="O26" s="71"/>
      <c r="P26" s="72"/>
      <c r="Q26" s="72"/>
      <c r="R26" s="71"/>
      <c r="S26" s="85"/>
    </row>
    <row r="27" spans="1:26 16362:16362" hidden="1" x14ac:dyDescent="0.25">
      <c r="A27" s="11">
        <v>27</v>
      </c>
      <c r="B27" t="s">
        <v>1601</v>
      </c>
      <c r="C27" s="83">
        <f>SUMIF(TArticle[کد بانک],TBank[[#This Row],[شناسه]],TArticle[بدهکار بانک])</f>
        <v>4163</v>
      </c>
      <c r="D27" s="83">
        <f>SUMIF(TArticle[کد بانک],TBank[[#This Row],[شناسه]],TArticle[بستانکار بانک])</f>
        <v>6163</v>
      </c>
      <c r="E27" s="83"/>
      <c r="F27" s="83">
        <f>TBank[[#This Row],[افتتاحیه]]+TBank[[#This Row],[بستانکار تراکنش]]-TBank[[#This Row],[بدهکار تراکنش]]</f>
        <v>2000</v>
      </c>
      <c r="G27" s="83"/>
      <c r="H27" s="83">
        <f>TBank[[#This Row],[قابل برداشت]]+TBank[[#This Row],[مسدودی]]</f>
        <v>2000</v>
      </c>
      <c r="I27" s="83">
        <f>TBank[[#This Row],[مسدودی]]+TBank[[#This Row],[افتتاحیه]]</f>
        <v>0</v>
      </c>
      <c r="J27" s="83"/>
      <c r="K27" s="1" t="s">
        <v>1600</v>
      </c>
      <c r="L27" s="83"/>
      <c r="M27" s="85"/>
      <c r="N27" s="85"/>
      <c r="O27" s="85"/>
      <c r="P27" s="86"/>
      <c r="Q27" s="86"/>
      <c r="R27" s="85"/>
      <c r="S27" s="85"/>
    </row>
    <row r="28" spans="1:26 16362:16362" hidden="1" x14ac:dyDescent="0.25">
      <c r="A28" s="11">
        <v>28</v>
      </c>
      <c r="B28" t="s">
        <v>1602</v>
      </c>
      <c r="C28" s="83">
        <f>SUMIF(TArticle[کد بانک],TBank[[#This Row],[شناسه]],TArticle[بدهکار بانک])</f>
        <v>0</v>
      </c>
      <c r="D28" s="83">
        <f>SUMIF(TArticle[کد بانک],TBank[[#This Row],[شناسه]],TArticle[بستانکار بانک])</f>
        <v>500</v>
      </c>
      <c r="E28" s="83"/>
      <c r="F28" s="83">
        <f>TBank[[#This Row],[افتتاحیه]]+TBank[[#This Row],[بستانکار تراکنش]]-TBank[[#This Row],[بدهکار تراکنش]]</f>
        <v>500</v>
      </c>
      <c r="G28" s="83">
        <v>50</v>
      </c>
      <c r="H28" s="83">
        <f>TBank[[#This Row],[قابل برداشت]]+TBank[[#This Row],[مسدودی]]</f>
        <v>550</v>
      </c>
      <c r="I28" s="83">
        <f>TBank[[#This Row],[مسدودی]]+TBank[[#This Row],[افتتاحیه]]</f>
        <v>50</v>
      </c>
      <c r="J28" s="83"/>
      <c r="K28" s="1" t="s">
        <v>1600</v>
      </c>
      <c r="L28" s="83"/>
      <c r="M28" s="85"/>
      <c r="N28" s="85"/>
      <c r="O28" s="85"/>
      <c r="P28" s="86"/>
      <c r="Q28" s="86"/>
      <c r="R28" s="85"/>
      <c r="S28" s="85"/>
    </row>
    <row r="29" spans="1:26 16362:16362" hidden="1" x14ac:dyDescent="0.25">
      <c r="A29" s="11">
        <v>30</v>
      </c>
      <c r="B29" t="s">
        <v>1606</v>
      </c>
      <c r="C29" s="83">
        <f>SUMIF(TArticle[کد بانک],TBank[[#This Row],[شناسه]],TArticle[بدهکار بانک])</f>
        <v>10114</v>
      </c>
      <c r="D29" s="83">
        <f>SUMIF(TArticle[کد بانک],TBank[[#This Row],[شناسه]],TArticle[بستانکار بانک])</f>
        <v>10033</v>
      </c>
      <c r="E29" s="83">
        <v>937</v>
      </c>
      <c r="F29" s="83">
        <f>TBank[[#This Row],[افتتاحیه]]+TBank[[#This Row],[بستانکار تراکنش]]-TBank[[#This Row],[بدهکار تراکنش]]</f>
        <v>856</v>
      </c>
      <c r="G29" s="83"/>
      <c r="H29" s="83">
        <f>TBank[[#This Row],[قابل برداشت]]+TBank[[#This Row],[مسدودی]]</f>
        <v>856</v>
      </c>
      <c r="I29" s="83">
        <f>TBank[[#This Row],[مسدودی]]+TBank[[#This Row],[افتتاحیه]]</f>
        <v>937</v>
      </c>
      <c r="J29" s="1" t="s">
        <v>1094</v>
      </c>
      <c r="K29" s="1" t="s">
        <v>1607</v>
      </c>
      <c r="L29" s="83"/>
      <c r="M29" s="85"/>
      <c r="N29" s="85"/>
      <c r="O29" s="85"/>
      <c r="P29" s="86"/>
      <c r="Q29" s="86"/>
      <c r="R29" s="85"/>
      <c r="S29" s="85"/>
    </row>
    <row r="30" spans="1:26 16362:16362" hidden="1" x14ac:dyDescent="0.25">
      <c r="A30" s="11">
        <v>31</v>
      </c>
      <c r="B30" t="s">
        <v>1609</v>
      </c>
      <c r="C30" s="83">
        <f>SUMIF(TArticle[کد بانک],TBank[[#This Row],[شناسه]],TArticle[بدهکار بانک])</f>
        <v>7390</v>
      </c>
      <c r="D30" s="83">
        <f>SUMIF(TArticle[کد بانک],TBank[[#This Row],[شناسه]],TArticle[بستانکار بانک])</f>
        <v>6000</v>
      </c>
      <c r="E30" s="83">
        <v>2120</v>
      </c>
      <c r="F30" s="83">
        <f>TBank[[#This Row],[افتتاحیه]]+TBank[[#This Row],[بستانکار تراکنش]]-TBank[[#This Row],[بدهکار تراکنش]]</f>
        <v>730</v>
      </c>
      <c r="G30" s="83"/>
      <c r="H30" s="83">
        <f>TBank[[#This Row],[قابل برداشت]]+TBank[[#This Row],[مسدودی]]</f>
        <v>730</v>
      </c>
      <c r="I30" s="83">
        <f>TBank[[#This Row],[مسدودی]]+TBank[[#This Row],[افتتاحیه]]</f>
        <v>2120</v>
      </c>
      <c r="J30" s="1" t="s">
        <v>1094</v>
      </c>
      <c r="K30" s="1" t="s">
        <v>1607</v>
      </c>
      <c r="L30" s="83"/>
      <c r="M30" s="85"/>
      <c r="N30" s="85"/>
      <c r="O30" s="85"/>
      <c r="P30" s="86"/>
      <c r="Q30" s="86"/>
      <c r="R30" s="85"/>
      <c r="S30" s="85"/>
    </row>
  </sheetData>
  <pageMargins left="0.7" right="0.7" top="0.75" bottom="0.75" header="0.3" footer="0.3"/>
  <pageSetup orientation="portrait" r:id="rId1"/>
  <ignoredErrors>
    <ignoredError sqref="W2 W4 N2" numberStoredAsText="1"/>
  </ignoredErrors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AA144-48BF-472B-9EBA-A0AB936535D6}">
  <sheetPr codeName="Sheet6"/>
  <dimension ref="A1:M28"/>
  <sheetViews>
    <sheetView rightToLeft="1" workbookViewId="0">
      <selection activeCell="C24" sqref="C24"/>
    </sheetView>
  </sheetViews>
  <sheetFormatPr defaultRowHeight="15" x14ac:dyDescent="0.25"/>
  <cols>
    <col min="1" max="1" width="14.42578125" customWidth="1"/>
    <col min="2" max="2" width="15.28515625" bestFit="1" customWidth="1"/>
    <col min="3" max="3" width="14.28515625" bestFit="1" customWidth="1"/>
    <col min="4" max="4" width="10.7109375" customWidth="1"/>
    <col min="5" max="5" width="11" customWidth="1"/>
    <col min="6" max="6" width="15.28515625" bestFit="1" customWidth="1"/>
    <col min="7" max="7" width="4.5703125" customWidth="1"/>
    <col min="8" max="8" width="7.42578125" bestFit="1" customWidth="1"/>
    <col min="9" max="9" width="12.5703125" customWidth="1"/>
    <col min="10" max="10" width="12.85546875" customWidth="1"/>
    <col min="11" max="11" width="7.42578125" customWidth="1"/>
    <col min="12" max="12" width="14.28515625" bestFit="1" customWidth="1"/>
    <col min="13" max="13" width="15.7109375" customWidth="1"/>
  </cols>
  <sheetData>
    <row r="1" spans="1:13" ht="15.75" thickBot="1" x14ac:dyDescent="0.3">
      <c r="A1" s="172" t="s">
        <v>1630</v>
      </c>
      <c r="B1" s="173"/>
      <c r="C1" s="173"/>
      <c r="D1" s="173"/>
      <c r="E1" s="173"/>
      <c r="F1" s="174"/>
      <c r="H1" s="172" t="s">
        <v>1631</v>
      </c>
      <c r="I1" s="173"/>
      <c r="J1" s="174"/>
      <c r="K1" s="172" t="s">
        <v>1632</v>
      </c>
      <c r="L1" s="174"/>
    </row>
    <row r="2" spans="1:13" ht="15.75" thickBot="1" x14ac:dyDescent="0.3">
      <c r="A2" s="98">
        <f>Table1125[[#Totals],[تعداد]]</f>
        <v>1919</v>
      </c>
      <c r="B2" s="99">
        <f>Table1125[[#Totals],[قیمت کل]]/Table1125[[#Totals],[تعداد]]</f>
        <v>270765.22668056277</v>
      </c>
      <c r="C2" s="100" t="s">
        <v>1633</v>
      </c>
      <c r="D2" s="101">
        <f>IFERROR((366*INT(LEFT(C2,4)))-512034+INT(RIGHT(LEFT(C2,7),2))*31+INT(RIGHT(C2,2)),"")</f>
        <v>399</v>
      </c>
      <c r="E2" s="102">
        <f>F2-D2</f>
        <v>0.11783868416705445</v>
      </c>
      <c r="F2" s="103">
        <f>Table1125[[#Totals],[ضریب]]/Table1125[[#Totals],[تعداد]]/B2</f>
        <v>399.11783868416705</v>
      </c>
      <c r="H2" s="104">
        <f>Table11[[#Totals],[تعداد]]</f>
        <v>5</v>
      </c>
      <c r="I2" s="105">
        <f>Table11[[#Totals],[قیمت کل]]/Table11[[#Totals],[تعداد]]</f>
        <v>35886479</v>
      </c>
      <c r="J2" s="106">
        <f>I2*H2</f>
        <v>179432395</v>
      </c>
      <c r="K2" s="175">
        <v>3593</v>
      </c>
      <c r="L2" s="176"/>
    </row>
    <row r="3" spans="1:13" x14ac:dyDescent="0.25">
      <c r="A3" s="97" t="s">
        <v>1634</v>
      </c>
      <c r="B3" s="107" t="s">
        <v>1635</v>
      </c>
      <c r="C3" s="108" t="s">
        <v>200</v>
      </c>
      <c r="D3" s="109" t="s">
        <v>165</v>
      </c>
      <c r="E3" s="109" t="s">
        <v>1636</v>
      </c>
      <c r="F3" t="s">
        <v>1637</v>
      </c>
      <c r="H3" s="97" t="s">
        <v>1634</v>
      </c>
      <c r="I3" t="s">
        <v>1635</v>
      </c>
      <c r="J3" t="s">
        <v>1637</v>
      </c>
      <c r="K3" t="s">
        <v>1638</v>
      </c>
      <c r="L3" t="s">
        <v>1639</v>
      </c>
    </row>
    <row r="4" spans="1:13" x14ac:dyDescent="0.25">
      <c r="A4">
        <v>1899</v>
      </c>
      <c r="B4" s="110">
        <v>270930</v>
      </c>
      <c r="C4" s="111" t="s">
        <v>1633</v>
      </c>
      <c r="D4" s="112">
        <f t="shared" ref="D4:D11" si="0">IFERROR((366*INT(LEFT(C4,4)))-512034+INT(RIGHT(LEFT(C4,7),2))*31+INT(RIGHT(C4,2)),"")</f>
        <v>399</v>
      </c>
      <c r="E4" s="113">
        <f>IFERROR(Table1125[[#This Row],[روز]]*Table1125[[#This Row],[قیمت کل]],"")</f>
        <v>205283931930</v>
      </c>
      <c r="F4" s="114">
        <f>Table1125[[#This Row],[قیمت]]*Table1125[[#This Row],[تعداد]]</f>
        <v>514496070</v>
      </c>
      <c r="H4">
        <v>1</v>
      </c>
      <c r="I4" s="110">
        <v>134380322</v>
      </c>
      <c r="J4" s="110">
        <f>Table11[[#This Row],[قیمت]]*Table11[[#This Row],[تعداد]]</f>
        <v>134380322</v>
      </c>
      <c r="K4" s="115">
        <f>Table11[[#This Row],[قیمت کل]]/Table11[[#Totals],[قیمت کل]]</f>
        <v>0.74891895635679384</v>
      </c>
      <c r="L4" s="5">
        <f>Table11[[#This Row],[درصد]]*$K$2</f>
        <v>2690.8658101899605</v>
      </c>
    </row>
    <row r="5" spans="1:13" x14ac:dyDescent="0.25">
      <c r="A5">
        <v>20</v>
      </c>
      <c r="B5" s="110">
        <v>255120</v>
      </c>
      <c r="C5" s="116" t="s">
        <v>1640</v>
      </c>
      <c r="D5" s="117">
        <f t="shared" si="0"/>
        <v>411</v>
      </c>
      <c r="E5" s="113">
        <f>IFERROR(Table1125[[#This Row],[روز]]*Table1125[[#This Row],[قیمت کل]],"")</f>
        <v>2097086400</v>
      </c>
      <c r="F5" s="114">
        <f>Table1125[[#This Row],[قیمت]]*Table1125[[#This Row],[تعداد]]</f>
        <v>5102400</v>
      </c>
      <c r="H5">
        <v>1</v>
      </c>
      <c r="I5" s="110">
        <v>5658465</v>
      </c>
      <c r="J5" s="110">
        <f>Table11[[#This Row],[قیمت]]*Table11[[#This Row],[تعداد]]</f>
        <v>5658465</v>
      </c>
      <c r="K5" s="115">
        <f>Table11[[#This Row],[قیمت کل]]/Table11[[#Totals],[قیمت کل]]</f>
        <v>3.1535359041493037E-2</v>
      </c>
      <c r="L5" s="5">
        <f>Table11[[#This Row],[درصد]]*$K$2</f>
        <v>113.30654503608449</v>
      </c>
    </row>
    <row r="6" spans="1:13" x14ac:dyDescent="0.25">
      <c r="B6" s="110"/>
      <c r="C6" s="116"/>
      <c r="D6" s="117" t="str">
        <f t="shared" si="0"/>
        <v/>
      </c>
      <c r="E6" s="113" t="str">
        <f>IFERROR(Table1125[[#This Row],[روز]]*Table1125[[#This Row],[قیمت کل]],"")</f>
        <v/>
      </c>
      <c r="F6" s="114">
        <f>Table1125[[#This Row],[قیمت]]*Table1125[[#This Row],[تعداد]]</f>
        <v>0</v>
      </c>
      <c r="H6">
        <v>1</v>
      </c>
      <c r="I6" s="110">
        <v>3510884</v>
      </c>
      <c r="J6" s="110">
        <f>Table11[[#This Row],[قیمت]]*Table11[[#This Row],[تعداد]]</f>
        <v>3510884</v>
      </c>
      <c r="K6" s="115">
        <f>Table11[[#This Row],[قیمت کل]]/Table11[[#Totals],[قیمت کل]]</f>
        <v>1.9566611703533243E-2</v>
      </c>
      <c r="L6" s="5">
        <f>Table11[[#This Row],[درصد]]*$K$2</f>
        <v>70.302835850794949</v>
      </c>
    </row>
    <row r="7" spans="1:13" x14ac:dyDescent="0.25">
      <c r="B7" s="110"/>
      <c r="C7" s="116"/>
      <c r="D7" s="117" t="str">
        <f t="shared" si="0"/>
        <v/>
      </c>
      <c r="E7" s="113" t="str">
        <f>IFERROR(Table1125[[#This Row],[روز]]*Table1125[[#This Row],[قیمت کل]],"")</f>
        <v/>
      </c>
      <c r="F7" s="114">
        <f>Table1125[[#This Row],[قیمت]]*Table1125[[#This Row],[تعداد]]</f>
        <v>0</v>
      </c>
      <c r="H7">
        <v>1</v>
      </c>
      <c r="I7" s="110">
        <v>6377132</v>
      </c>
      <c r="J7" s="110">
        <f>Table11[[#This Row],[قیمت]]*Table11[[#This Row],[تعداد]]</f>
        <v>6377132</v>
      </c>
      <c r="K7" s="115">
        <f>Table11[[#This Row],[قیمت کل]]/Table11[[#Totals],[قیمت کل]]</f>
        <v>3.5540583404685647E-2</v>
      </c>
      <c r="L7" s="5">
        <f>Table11[[#This Row],[درصد]]*$K$2</f>
        <v>127.69731617303553</v>
      </c>
    </row>
    <row r="8" spans="1:13" x14ac:dyDescent="0.25">
      <c r="B8" s="110"/>
      <c r="C8" s="116"/>
      <c r="D8" s="117" t="str">
        <f t="shared" si="0"/>
        <v/>
      </c>
      <c r="E8" s="113" t="str">
        <f>IFERROR(Table1125[[#This Row],[روز]]*Table1125[[#This Row],[قیمت کل]],"")</f>
        <v/>
      </c>
      <c r="F8" s="114">
        <f>Table1125[[#This Row],[قیمت]]*Table1125[[#This Row],[تعداد]]</f>
        <v>0</v>
      </c>
      <c r="H8">
        <v>1</v>
      </c>
      <c r="I8" s="110">
        <v>29505592</v>
      </c>
      <c r="J8" s="110">
        <f>Table11[[#This Row],[قیمت]]*Table11[[#This Row],[تعداد]]</f>
        <v>29505592</v>
      </c>
      <c r="K8" s="115">
        <f>Table11[[#This Row],[قیمت کل]]/Table11[[#Totals],[قیمت کل]]</f>
        <v>0.16443848949349418</v>
      </c>
      <c r="L8" s="5">
        <f>Table11[[#This Row],[درصد]]*$K$2</f>
        <v>590.82749275012463</v>
      </c>
    </row>
    <row r="9" spans="1:13" x14ac:dyDescent="0.25">
      <c r="B9" s="110"/>
      <c r="C9" s="116"/>
      <c r="D9" s="117" t="str">
        <f t="shared" si="0"/>
        <v/>
      </c>
      <c r="E9" s="113" t="str">
        <f>IFERROR(Table1125[[#This Row],[روز]]*Table1125[[#This Row],[قیمت کل]],"")</f>
        <v/>
      </c>
      <c r="F9" s="114">
        <f>Table1125[[#This Row],[قیمت]]*Table1125[[#This Row],[تعداد]]</f>
        <v>0</v>
      </c>
      <c r="H9">
        <f>SUBTOTAL(109,Table11[تعداد])</f>
        <v>5</v>
      </c>
      <c r="J9" s="5">
        <f>SUBTOTAL(109,Table11[قیمت کل])</f>
        <v>179432395</v>
      </c>
      <c r="L9" s="5">
        <f>SUBTOTAL(109,Table11[تسهیم])</f>
        <v>3593.0000000000005</v>
      </c>
    </row>
    <row r="10" spans="1:13" ht="15.75" thickBot="1" x14ac:dyDescent="0.3">
      <c r="B10" s="110"/>
      <c r="C10" s="116"/>
      <c r="D10" s="117" t="str">
        <f t="shared" si="0"/>
        <v/>
      </c>
      <c r="E10" s="113" t="str">
        <f>IFERROR(Table1125[[#This Row],[روز]]*Table1125[[#This Row],[قیمت کل]],"")</f>
        <v/>
      </c>
      <c r="F10" s="114">
        <f>Table1125[[#This Row],[قیمت]]*Table1125[[#This Row],[تعداد]]</f>
        <v>0</v>
      </c>
    </row>
    <row r="11" spans="1:13" x14ac:dyDescent="0.25">
      <c r="B11" s="110"/>
      <c r="C11" s="116"/>
      <c r="D11" s="117" t="str">
        <f t="shared" si="0"/>
        <v/>
      </c>
      <c r="E11" s="113" t="str">
        <f>IFERROR(Table1125[[#This Row],[روز]]*Table1125[[#This Row],[قیمت کل]],"")</f>
        <v/>
      </c>
      <c r="F11" s="114">
        <f>Table1125[[#This Row],[قیمت]]*Table1125[[#This Row],[تعداد]]</f>
        <v>0</v>
      </c>
      <c r="H11" s="118" t="s">
        <v>1641</v>
      </c>
      <c r="I11" s="119" t="s">
        <v>1642</v>
      </c>
      <c r="J11" s="120" t="s">
        <v>1643</v>
      </c>
    </row>
    <row r="12" spans="1:13" x14ac:dyDescent="0.25">
      <c r="A12">
        <f>SUBTOTAL(109,Table1125[تعداد])</f>
        <v>1919</v>
      </c>
      <c r="B12" s="5"/>
      <c r="C12" s="108"/>
      <c r="D12" s="121"/>
      <c r="E12" s="122">
        <f>SUBTOTAL(109,Table1125[ضریب])</f>
        <v>207381018330</v>
      </c>
      <c r="F12" s="110">
        <f>SUBTOTAL(109,Table1125[قیمت کل])</f>
        <v>519598470</v>
      </c>
      <c r="H12" s="123" t="s">
        <v>1644</v>
      </c>
      <c r="I12" s="124">
        <v>23436</v>
      </c>
      <c r="J12" s="125">
        <v>25260</v>
      </c>
    </row>
    <row r="13" spans="1:13" ht="15.75" thickBot="1" x14ac:dyDescent="0.3">
      <c r="H13" s="123" t="s">
        <v>1634</v>
      </c>
      <c r="I13" s="126">
        <v>5219</v>
      </c>
      <c r="J13" s="127">
        <v>3154</v>
      </c>
      <c r="M13" s="151">
        <v>159294703</v>
      </c>
    </row>
    <row r="14" spans="1:13" ht="15.75" thickTop="1" x14ac:dyDescent="0.25">
      <c r="A14" s="128" t="s">
        <v>1645</v>
      </c>
      <c r="B14" s="150">
        <v>107974278</v>
      </c>
      <c r="C14" s="150">
        <v>10000000</v>
      </c>
      <c r="D14" s="150"/>
      <c r="E14" s="150"/>
      <c r="F14" s="147"/>
      <c r="H14" s="130"/>
      <c r="I14" s="131">
        <f>I12/I13</f>
        <v>4.4905154244108063</v>
      </c>
      <c r="J14" s="132">
        <f>J12/J13</f>
        <v>8.0088776157260622</v>
      </c>
      <c r="M14" s="4">
        <f>M13/31*30</f>
        <v>154156164.19354838</v>
      </c>
    </row>
    <row r="15" spans="1:13" ht="15.75" thickBot="1" x14ac:dyDescent="0.3">
      <c r="A15" s="133" t="s">
        <v>1646</v>
      </c>
      <c r="B15" s="151">
        <f>159294703/31*30</f>
        <v>154156164.19354838</v>
      </c>
      <c r="C15" s="151">
        <f>14260000/31*30</f>
        <v>13800000</v>
      </c>
      <c r="D15" s="151"/>
      <c r="E15" s="151"/>
      <c r="F15" s="152"/>
      <c r="I15" s="136" t="str">
        <f>IF(I14&gt;J14,I14/J14,"")</f>
        <v/>
      </c>
      <c r="J15" s="137">
        <f>IF(I14&lt;J14,J14/I14,"")</f>
        <v>1.7835096550808296</v>
      </c>
    </row>
    <row r="16" spans="1:13" ht="15.75" thickBot="1" x14ac:dyDescent="0.3">
      <c r="A16" s="133" t="s">
        <v>1638</v>
      </c>
      <c r="B16" s="138">
        <f>IFERROR((B15-B14)/B14,"")</f>
        <v>0.42771192407091974</v>
      </c>
      <c r="C16" s="138">
        <f>IFERROR((C15-C14)/C14,"")</f>
        <v>0.38</v>
      </c>
      <c r="D16" s="138" t="str">
        <f>IFERROR((D15-D14)/D14,"")</f>
        <v/>
      </c>
      <c r="E16" s="138" t="str">
        <f>IFERROR((E15-E14)/E14,"")</f>
        <v/>
      </c>
      <c r="F16" s="139" t="str">
        <f>IFERROR((F15-F14)/F14,"")</f>
        <v/>
      </c>
    </row>
    <row r="17" spans="1:13" ht="15.75" thickBot="1" x14ac:dyDescent="0.3">
      <c r="A17" s="140" t="s">
        <v>1647</v>
      </c>
      <c r="B17" s="141">
        <f>B15-B14</f>
        <v>46181886.193548381</v>
      </c>
      <c r="C17" s="141">
        <f>C15-C14</f>
        <v>3800000</v>
      </c>
      <c r="D17" s="141">
        <f>D15-D14</f>
        <v>0</v>
      </c>
      <c r="E17" s="141">
        <f>E15-E14</f>
        <v>0</v>
      </c>
      <c r="F17" s="142">
        <f>F15-F14</f>
        <v>0</v>
      </c>
      <c r="I17" s="143" t="s">
        <v>1648</v>
      </c>
      <c r="J17" s="144"/>
      <c r="L17" s="143" t="s">
        <v>1648</v>
      </c>
      <c r="M17" s="144"/>
    </row>
    <row r="18" spans="1:13" ht="16.5" thickTop="1" thickBot="1" x14ac:dyDescent="0.3">
      <c r="I18" s="145">
        <v>5387</v>
      </c>
      <c r="J18" s="146">
        <v>21</v>
      </c>
      <c r="L18" s="153">
        <f>M18*L19/M19</f>
        <v>35</v>
      </c>
      <c r="M18" s="146">
        <v>21</v>
      </c>
    </row>
    <row r="19" spans="1:13" ht="16.5" thickTop="1" thickBot="1" x14ac:dyDescent="0.3">
      <c r="A19" s="128" t="s">
        <v>1645</v>
      </c>
      <c r="B19" s="129">
        <v>104375135</v>
      </c>
      <c r="C19" s="129">
        <f>159294703/31*30</f>
        <v>154156164.19354838</v>
      </c>
      <c r="D19" s="129"/>
      <c r="E19" s="129"/>
      <c r="F19" s="147"/>
      <c r="I19" s="148">
        <f>J19*I18/J18</f>
        <v>25652.380952380954</v>
      </c>
      <c r="J19" s="149">
        <v>100</v>
      </c>
      <c r="L19" s="154">
        <v>100</v>
      </c>
      <c r="M19" s="149">
        <v>60</v>
      </c>
    </row>
    <row r="20" spans="1:13" ht="15.75" thickBot="1" x14ac:dyDescent="0.3">
      <c r="A20" s="133" t="s">
        <v>1638</v>
      </c>
      <c r="B20" s="134">
        <v>40</v>
      </c>
      <c r="C20" s="134">
        <v>40</v>
      </c>
      <c r="D20" s="134"/>
      <c r="E20" s="134"/>
      <c r="F20" s="135"/>
    </row>
    <row r="21" spans="1:13" ht="15.75" thickBot="1" x14ac:dyDescent="0.3">
      <c r="A21" s="133" t="s">
        <v>1649</v>
      </c>
      <c r="B21" s="161">
        <f>B20*B19/100</f>
        <v>41750054</v>
      </c>
      <c r="C21" s="161">
        <f>C20*C19/100</f>
        <v>61662465.677419357</v>
      </c>
      <c r="D21" s="161">
        <f>D20*D19/100</f>
        <v>0</v>
      </c>
      <c r="E21" s="161">
        <f>E20*E19/100</f>
        <v>0</v>
      </c>
      <c r="F21" s="162">
        <f>F20*F19/100</f>
        <v>0</v>
      </c>
      <c r="H21" s="1"/>
      <c r="I21" s="177" t="s">
        <v>1650</v>
      </c>
      <c r="J21" s="178"/>
      <c r="L21" s="177" t="s">
        <v>1651</v>
      </c>
      <c r="M21" s="178"/>
    </row>
    <row r="22" spans="1:13" ht="15.75" thickBot="1" x14ac:dyDescent="0.3">
      <c r="A22" s="140" t="s">
        <v>1646</v>
      </c>
      <c r="B22" s="141">
        <f>B19+B20*B19/100</f>
        <v>146125189</v>
      </c>
      <c r="C22" s="141">
        <f>C19+C20*C19/100</f>
        <v>215818629.87096775</v>
      </c>
      <c r="D22" s="141">
        <f>D19+D20*D19/100</f>
        <v>0</v>
      </c>
      <c r="E22" s="141">
        <f>E19+E20*E19/100</f>
        <v>0</v>
      </c>
      <c r="F22" s="142">
        <f>F19+F20*F19/100</f>
        <v>0</v>
      </c>
      <c r="I22" s="155">
        <v>78280849</v>
      </c>
      <c r="J22" s="156">
        <v>50640533</v>
      </c>
      <c r="L22" s="155">
        <v>860229</v>
      </c>
      <c r="M22" s="156">
        <v>1224680</v>
      </c>
    </row>
    <row r="23" spans="1:13" ht="16.5" thickTop="1" thickBot="1" x14ac:dyDescent="0.3">
      <c r="I23" s="157">
        <v>91</v>
      </c>
      <c r="J23" s="158">
        <v>41.35</v>
      </c>
      <c r="L23" s="157">
        <v>91</v>
      </c>
      <c r="M23" s="158">
        <v>91</v>
      </c>
    </row>
    <row r="24" spans="1:13" ht="16.5" thickTop="1" thickBot="1" x14ac:dyDescent="0.3">
      <c r="A24" s="128" t="s">
        <v>1645</v>
      </c>
      <c r="B24" s="150">
        <f>117974278+6000000+5310990+3500000</f>
        <v>132785268</v>
      </c>
      <c r="C24" s="150">
        <f>159294703/31*30+13500000+8359500+14260000</f>
        <v>190275664.19354838</v>
      </c>
      <c r="D24" s="150"/>
      <c r="E24" s="150"/>
      <c r="F24" s="147"/>
      <c r="I24" s="159">
        <f>I22/I23</f>
        <v>860229.10989010986</v>
      </c>
      <c r="J24" s="160">
        <f>J22/J23</f>
        <v>1224680.3627569529</v>
      </c>
      <c r="L24" s="159">
        <f>L23*L22</f>
        <v>78280839</v>
      </c>
      <c r="M24" s="160">
        <f>M23*M22</f>
        <v>111445880</v>
      </c>
    </row>
    <row r="25" spans="1:13" x14ac:dyDescent="0.25">
      <c r="A25" s="133" t="s">
        <v>1649</v>
      </c>
      <c r="B25" s="151">
        <v>53515907</v>
      </c>
      <c r="C25" s="151">
        <v>75728066</v>
      </c>
      <c r="D25" s="151"/>
      <c r="E25" s="151"/>
      <c r="F25" s="152"/>
      <c r="J25" s="5">
        <f>J24-I24</f>
        <v>364451.25286684302</v>
      </c>
      <c r="M25" s="5">
        <f>M24-L24</f>
        <v>33165041</v>
      </c>
    </row>
    <row r="26" spans="1:13" x14ac:dyDescent="0.25">
      <c r="A26" s="133" t="s">
        <v>1638</v>
      </c>
      <c r="B26" s="138">
        <f>IFERROR(B25/B24,"")</f>
        <v>0.40302593658206121</v>
      </c>
      <c r="C26" s="138">
        <f>IFERROR(C25/C24,"")</f>
        <v>0.39799133704754497</v>
      </c>
      <c r="D26" s="138" t="str">
        <f>IFERROR(D25/D24,"")</f>
        <v/>
      </c>
      <c r="E26" s="138" t="str">
        <f>IFERROR(E25/E24,"")</f>
        <v/>
      </c>
      <c r="F26" s="139" t="str">
        <f>IFERROR(F25/F24,"")</f>
        <v/>
      </c>
    </row>
    <row r="27" spans="1:13" ht="15.75" thickBot="1" x14ac:dyDescent="0.3">
      <c r="A27" s="140" t="s">
        <v>1647</v>
      </c>
      <c r="B27" s="141">
        <f>B24-B25</f>
        <v>79269361</v>
      </c>
      <c r="C27" s="141">
        <f>C24-C25</f>
        <v>114547598.19354838</v>
      </c>
      <c r="D27" s="141">
        <f>D24-D25</f>
        <v>0</v>
      </c>
      <c r="E27" s="141">
        <f>E24-E25</f>
        <v>0</v>
      </c>
      <c r="F27" s="142">
        <f>F24-F25</f>
        <v>0</v>
      </c>
    </row>
    <row r="28" spans="1:13" ht="15.75" thickTop="1" x14ac:dyDescent="0.25"/>
  </sheetData>
  <mergeCells count="6">
    <mergeCell ref="A1:F1"/>
    <mergeCell ref="H1:J1"/>
    <mergeCell ref="K1:L1"/>
    <mergeCell ref="K2:L2"/>
    <mergeCell ref="I21:J21"/>
    <mergeCell ref="L21:M21"/>
  </mergeCells>
  <conditionalFormatting sqref="C4:D4">
    <cfRule type="expression" dxfId="70" priority="2">
      <formula>$AD$1&gt;1</formula>
    </cfRule>
  </conditionalFormatting>
  <conditionalFormatting sqref="C4:D4">
    <cfRule type="expression" dxfId="69" priority="1" stopIfTrue="1">
      <formula>$AE10=2</formula>
    </cfRule>
  </conditionalFormatting>
  <conditionalFormatting sqref="C4:D4">
    <cfRule type="expression" dxfId="68" priority="3">
      <formula>AND(INT($AJ10)=1,INT($AI10)=0)</formula>
    </cfRule>
    <cfRule type="expression" dxfId="67" priority="4">
      <formula>AND(INT($AJ10)=1,INT($AI10)=1)</formula>
    </cfRule>
    <cfRule type="expression" dxfId="66" priority="5">
      <formula>AND(INT($AJ10)=0,INT($AI10)=0)</formula>
    </cfRule>
    <cfRule type="expression" dxfId="65" priority="6">
      <formula>AND(INT($AJ10)=0,INT($AI10)=1)</formula>
    </cfRule>
  </conditionalFormatting>
  <conditionalFormatting sqref="C4:D4">
    <cfRule type="expression" dxfId="64" priority="7">
      <formula>INT($AD$1)=2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191"/>
  <sheetViews>
    <sheetView rightToLeft="1" topLeftCell="A2154" workbookViewId="0">
      <selection activeCell="A2191" sqref="A2191"/>
    </sheetView>
  </sheetViews>
  <sheetFormatPr defaultRowHeight="15" x14ac:dyDescent="0.25"/>
  <cols>
    <col min="1" max="1" width="10.42578125" bestFit="1" customWidth="1"/>
    <col min="2" max="2" width="3.140625" customWidth="1"/>
    <col min="3" max="3" width="3.42578125" customWidth="1"/>
    <col min="4" max="4" width="4.5703125" customWidth="1"/>
    <col min="5" max="5" width="7.42578125" customWidth="1"/>
    <col min="6" max="6" width="2.140625" customWidth="1"/>
    <col min="7" max="7" width="9.85546875" style="13" bestFit="1" customWidth="1"/>
    <col min="8" max="8" width="7.140625" style="13" bestFit="1" customWidth="1"/>
    <col min="9" max="9" width="7.5703125" bestFit="1" customWidth="1"/>
    <col min="10" max="10" width="6" bestFit="1" customWidth="1"/>
    <col min="11" max="11" width="7.5703125" bestFit="1" customWidth="1"/>
    <col min="12" max="12" width="11.42578125" customWidth="1"/>
    <col min="13" max="13" width="10.85546875" customWidth="1"/>
    <col min="14" max="14" width="12.28515625" customWidth="1"/>
    <col min="15" max="15" width="19.5703125" customWidth="1"/>
    <col min="16" max="16" width="9.42578125" customWidth="1"/>
    <col min="17" max="17" width="18.140625" customWidth="1"/>
    <col min="20" max="20" width="8.28515625" bestFit="1" customWidth="1"/>
    <col min="21" max="21" width="11" customWidth="1"/>
  </cols>
  <sheetData>
    <row r="1" spans="1:26" s="12" customFormat="1" ht="33.75" customHeight="1" x14ac:dyDescent="0.25">
      <c r="A1" s="12" t="s">
        <v>200</v>
      </c>
      <c r="B1" s="12" t="s">
        <v>165</v>
      </c>
      <c r="C1" s="12" t="s">
        <v>1</v>
      </c>
      <c r="D1" s="12" t="s">
        <v>80</v>
      </c>
      <c r="E1" s="12" t="s">
        <v>942</v>
      </c>
      <c r="F1" s="12" t="s">
        <v>202</v>
      </c>
      <c r="G1" s="13" t="s">
        <v>201</v>
      </c>
      <c r="H1" s="19" t="s">
        <v>1023</v>
      </c>
      <c r="I1" s="12" t="s">
        <v>97</v>
      </c>
      <c r="J1" s="12" t="s">
        <v>918</v>
      </c>
      <c r="K1" s="12" t="s">
        <v>2434</v>
      </c>
      <c r="L1" s="12" t="s">
        <v>921</v>
      </c>
      <c r="M1" s="12" t="s">
        <v>1018</v>
      </c>
      <c r="N1" s="12" t="s">
        <v>1017</v>
      </c>
      <c r="O1" s="12" t="s">
        <v>1034</v>
      </c>
      <c r="P1" s="12" t="s">
        <v>1043</v>
      </c>
      <c r="Q1" s="12" t="s">
        <v>1046</v>
      </c>
      <c r="X1" s="12" t="s">
        <v>5</v>
      </c>
      <c r="Y1" s="12" t="s">
        <v>201</v>
      </c>
      <c r="Z1"/>
    </row>
    <row r="2" spans="1:26" x14ac:dyDescent="0.25">
      <c r="A2" s="3" t="s">
        <v>205</v>
      </c>
      <c r="B2" t="str">
        <f>RIGHT(TDays[[#This Row],[تاریخ]],2)</f>
        <v>01</v>
      </c>
      <c r="C2" t="str">
        <f>RIGHT(LEFT(TDays[[#This Row],[تاریخ]],7),2)</f>
        <v>01</v>
      </c>
      <c r="D2" t="str">
        <f>LEFT(TDays[[#This Row],[تاریخ]],4)</f>
        <v>1401</v>
      </c>
      <c r="E2" t="str">
        <f>LEFT(TDays[[#This Row],[تاریخ]],7)</f>
        <v>1401-01</v>
      </c>
      <c r="F2">
        <v>2</v>
      </c>
      <c r="G2" s="15" t="str">
        <f>VLOOKUP(TDays[[#This Row],[کد روز هفته]],TDaysOfTheWeek[],2,FALSE)</f>
        <v>دوشنبه</v>
      </c>
      <c r="H2" s="15">
        <f>IFERROR(IF(E1&lt;&gt;E2,1,INT(H1)+IF(TDays[[#This Row],[کد روز هفته]]=0,1,0)),1)</f>
        <v>1</v>
      </c>
      <c r="I2">
        <f>-SUMIF(TArticle[تاریخ],TDays[[#This Row],[تاریخ]],TArticle[هزینه])</f>
        <v>0</v>
      </c>
      <c r="J2">
        <f>SUMIF(TArticle[تاریخ],TDays[[#This Row],[تاریخ]],TArticle[درآمد تتا])</f>
        <v>0</v>
      </c>
      <c r="K2">
        <f>SUMIF(TArticle[تاریخ],TDays[[#This Row],[تاریخ]],TArticle[اسنپ])</f>
        <v>0</v>
      </c>
      <c r="L2">
        <f>-SUMIF(TArticle[تاریخ],TDays[[#This Row],[تاریخ]],TArticle[پرداخت بدهی])</f>
        <v>0</v>
      </c>
      <c r="M2">
        <f>SUMIF(TArticle[تاریخ],TDays[[#This Row],[تاریخ]],TArticle[افزایش بدهی])</f>
        <v>0</v>
      </c>
      <c r="N2">
        <f>-SUMIF(TArticle[تاریخ],TDays[[#This Row],[تاریخ]],TArticle[افزایش سرمایه])</f>
        <v>0</v>
      </c>
      <c r="O2">
        <f>SUMIF(TArticle[تاریخ],TDays[[#This Row],[تاریخ]],TArticle[تعداد تراکنش انجام شده])</f>
        <v>0</v>
      </c>
      <c r="P2">
        <f>INT(((TDays[[#This Row],[ماه]]-1)*31+TDays[[#This Row],[روز]]+1)/7)+1</f>
        <v>1</v>
      </c>
      <c r="Q2">
        <f>SUMIF(TArticle[تاریخ],TDays[[#This Row],[تاریخ]],TArticle[تراکنش برنامه ریزی شده])</f>
        <v>0</v>
      </c>
      <c r="X2">
        <v>0</v>
      </c>
      <c r="Y2" s="6" t="s">
        <v>187</v>
      </c>
    </row>
    <row r="3" spans="1:26" x14ac:dyDescent="0.25">
      <c r="A3" s="3" t="s">
        <v>206</v>
      </c>
      <c r="B3" t="str">
        <f>RIGHT(TDays[[#This Row],[تاریخ]],2)</f>
        <v>02</v>
      </c>
      <c r="C3" t="str">
        <f>RIGHT(LEFT(TDays[[#This Row],[تاریخ]],7),2)</f>
        <v>01</v>
      </c>
      <c r="D3" t="str">
        <f>LEFT(TDays[[#This Row],[تاریخ]],4)</f>
        <v>1401</v>
      </c>
      <c r="E3" t="str">
        <f>LEFT(TDays[[#This Row],[تاریخ]],7)</f>
        <v>1401-01</v>
      </c>
      <c r="F3">
        <v>3</v>
      </c>
      <c r="G3" s="15" t="str">
        <f>VLOOKUP(TDays[[#This Row],[کد روز هفته]],TDaysOfTheWeek[],2,FALSE)</f>
        <v>سه شنبه</v>
      </c>
      <c r="H3" s="15">
        <f>IFERROR(IF(E2&lt;&gt;E3,1,INT(H2)+IF(TDays[[#This Row],[کد روز هفته]]=0,1,0)),1)</f>
        <v>1</v>
      </c>
      <c r="I3">
        <f>-SUMIF(TArticle[تاریخ],TDays[[#This Row],[تاریخ]],TArticle[هزینه])</f>
        <v>0</v>
      </c>
      <c r="J3">
        <f>SUMIF(TArticle[تاریخ],TDays[[#This Row],[تاریخ]],TArticle[درآمد تتا])</f>
        <v>0</v>
      </c>
      <c r="K3">
        <f>SUMIF(TArticle[تاریخ],TDays[[#This Row],[تاریخ]],TArticle[اسنپ])</f>
        <v>0</v>
      </c>
      <c r="L3">
        <f>-SUMIF(TArticle[تاریخ],TDays[[#This Row],[تاریخ]],TArticle[پرداخت بدهی])</f>
        <v>0</v>
      </c>
      <c r="M3">
        <f>SUMIF(TArticle[تاریخ],TDays[[#This Row],[تاریخ]],TArticle[افزایش بدهی])</f>
        <v>0</v>
      </c>
      <c r="N3">
        <f>-SUMIF(TArticle[تاریخ],TDays[[#This Row],[تاریخ]],TArticle[افزایش سرمایه])</f>
        <v>0</v>
      </c>
      <c r="O3">
        <f>SUMIF(TArticle[تاریخ],TDays[[#This Row],[تاریخ]],TArticle[تعداد تراکنش انجام شده])</f>
        <v>0</v>
      </c>
      <c r="P3">
        <f>INT(((TDays[[#This Row],[ماه]]-1)*31+TDays[[#This Row],[روز]]+1)/7)+1</f>
        <v>1</v>
      </c>
      <c r="Q3">
        <f>SUMIF(TArticle[تاریخ],TDays[[#This Row],[تاریخ]],TArticle[تراکنش برنامه ریزی شده])</f>
        <v>0</v>
      </c>
      <c r="X3">
        <v>1</v>
      </c>
      <c r="Y3" s="6" t="s">
        <v>186</v>
      </c>
    </row>
    <row r="4" spans="1:26" x14ac:dyDescent="0.25">
      <c r="A4" s="3" t="s">
        <v>207</v>
      </c>
      <c r="B4" t="str">
        <f>RIGHT(TDays[[#This Row],[تاریخ]],2)</f>
        <v>03</v>
      </c>
      <c r="C4" t="str">
        <f>RIGHT(LEFT(TDays[[#This Row],[تاریخ]],7),2)</f>
        <v>01</v>
      </c>
      <c r="D4" t="str">
        <f>LEFT(TDays[[#This Row],[تاریخ]],4)</f>
        <v>1401</v>
      </c>
      <c r="E4" t="str">
        <f>LEFT(TDays[[#This Row],[تاریخ]],7)</f>
        <v>1401-01</v>
      </c>
      <c r="F4">
        <v>4</v>
      </c>
      <c r="G4" s="15" t="str">
        <f>VLOOKUP(TDays[[#This Row],[کد روز هفته]],TDaysOfTheWeek[],2,FALSE)</f>
        <v>چهارشنبه</v>
      </c>
      <c r="H4" s="15">
        <f>IFERROR(IF(E3&lt;&gt;E4,1,INT(H3)+IF(TDays[[#This Row],[کد روز هفته]]=0,1,0)),1)</f>
        <v>1</v>
      </c>
      <c r="I4">
        <f>-SUMIF(TArticle[تاریخ],TDays[[#This Row],[تاریخ]],TArticle[هزینه])</f>
        <v>0</v>
      </c>
      <c r="J4">
        <f>SUMIF(TArticle[تاریخ],TDays[[#This Row],[تاریخ]],TArticle[درآمد تتا])</f>
        <v>0</v>
      </c>
      <c r="K4">
        <f>SUMIF(TArticle[تاریخ],TDays[[#This Row],[تاریخ]],TArticle[اسنپ])</f>
        <v>0</v>
      </c>
      <c r="L4">
        <f>-SUMIF(TArticle[تاریخ],TDays[[#This Row],[تاریخ]],TArticle[پرداخت بدهی])</f>
        <v>0</v>
      </c>
      <c r="M4">
        <f>SUMIF(TArticle[تاریخ],TDays[[#This Row],[تاریخ]],TArticle[افزایش بدهی])</f>
        <v>0</v>
      </c>
      <c r="N4">
        <f>-SUMIF(TArticle[تاریخ],TDays[[#This Row],[تاریخ]],TArticle[افزایش سرمایه])</f>
        <v>0</v>
      </c>
      <c r="O4">
        <f>SUMIF(TArticle[تاریخ],TDays[[#This Row],[تاریخ]],TArticle[تعداد تراکنش انجام شده])</f>
        <v>0</v>
      </c>
      <c r="P4">
        <f>INT(((TDays[[#This Row],[ماه]]-1)*31+TDays[[#This Row],[روز]]+1)/7)+1</f>
        <v>1</v>
      </c>
      <c r="Q4">
        <f>SUMIF(TArticle[تاریخ],TDays[[#This Row],[تاریخ]],TArticle[تراکنش برنامه ریزی شده])</f>
        <v>0</v>
      </c>
      <c r="X4">
        <v>2</v>
      </c>
      <c r="Y4" s="6" t="s">
        <v>190</v>
      </c>
    </row>
    <row r="5" spans="1:26" x14ac:dyDescent="0.25">
      <c r="A5" s="3" t="s">
        <v>208</v>
      </c>
      <c r="B5" t="str">
        <f>RIGHT(TDays[[#This Row],[تاریخ]],2)</f>
        <v>04</v>
      </c>
      <c r="C5" t="str">
        <f>RIGHT(LEFT(TDays[[#This Row],[تاریخ]],7),2)</f>
        <v>01</v>
      </c>
      <c r="D5" t="str">
        <f>LEFT(TDays[[#This Row],[تاریخ]],4)</f>
        <v>1401</v>
      </c>
      <c r="E5" t="str">
        <f>LEFT(TDays[[#This Row],[تاریخ]],7)</f>
        <v>1401-01</v>
      </c>
      <c r="F5">
        <v>5</v>
      </c>
      <c r="G5" s="15" t="str">
        <f>VLOOKUP(TDays[[#This Row],[کد روز هفته]],TDaysOfTheWeek[],2,FALSE)</f>
        <v>پنجشنبه</v>
      </c>
      <c r="H5" s="15">
        <f>IFERROR(IF(E4&lt;&gt;E5,1,INT(H4)+IF(TDays[[#This Row],[کد روز هفته]]=0,1,0)),1)</f>
        <v>1</v>
      </c>
      <c r="I5">
        <f>-SUMIF(TArticle[تاریخ],TDays[[#This Row],[تاریخ]],TArticle[هزینه])</f>
        <v>0</v>
      </c>
      <c r="J5">
        <f>SUMIF(TArticle[تاریخ],TDays[[#This Row],[تاریخ]],TArticle[درآمد تتا])</f>
        <v>0</v>
      </c>
      <c r="K5">
        <f>SUMIF(TArticle[تاریخ],TDays[[#This Row],[تاریخ]],TArticle[اسنپ])</f>
        <v>0</v>
      </c>
      <c r="L5">
        <f>-SUMIF(TArticle[تاریخ],TDays[[#This Row],[تاریخ]],TArticle[پرداخت بدهی])</f>
        <v>0</v>
      </c>
      <c r="M5">
        <f>SUMIF(TArticle[تاریخ],TDays[[#This Row],[تاریخ]],TArticle[افزایش بدهی])</f>
        <v>0</v>
      </c>
      <c r="N5">
        <f>-SUMIF(TArticle[تاریخ],TDays[[#This Row],[تاریخ]],TArticle[افزایش سرمایه])</f>
        <v>0</v>
      </c>
      <c r="O5">
        <f>SUMIF(TArticle[تاریخ],TDays[[#This Row],[تاریخ]],TArticle[تعداد تراکنش انجام شده])</f>
        <v>0</v>
      </c>
      <c r="P5">
        <f>INT(((TDays[[#This Row],[ماه]]-1)*31+TDays[[#This Row],[روز]]+1)/7)+1</f>
        <v>1</v>
      </c>
      <c r="Q5">
        <f>SUMIF(TArticle[تاریخ],TDays[[#This Row],[تاریخ]],TArticle[تراکنش برنامه ریزی شده])</f>
        <v>0</v>
      </c>
      <c r="X5">
        <v>3</v>
      </c>
      <c r="Y5" s="6" t="s">
        <v>191</v>
      </c>
    </row>
    <row r="6" spans="1:26" x14ac:dyDescent="0.25">
      <c r="A6" s="3" t="s">
        <v>209</v>
      </c>
      <c r="B6" t="str">
        <f>RIGHT(TDays[[#This Row],[تاریخ]],2)</f>
        <v>05</v>
      </c>
      <c r="C6" t="str">
        <f>RIGHT(LEFT(TDays[[#This Row],[تاریخ]],7),2)</f>
        <v>01</v>
      </c>
      <c r="D6" t="str">
        <f>LEFT(TDays[[#This Row],[تاریخ]],4)</f>
        <v>1401</v>
      </c>
      <c r="E6" t="str">
        <f>LEFT(TDays[[#This Row],[تاریخ]],7)</f>
        <v>1401-01</v>
      </c>
      <c r="F6">
        <v>6</v>
      </c>
      <c r="G6" s="15" t="str">
        <f>VLOOKUP(TDays[[#This Row],[کد روز هفته]],TDaysOfTheWeek[],2,FALSE)</f>
        <v>جمعه</v>
      </c>
      <c r="H6" s="15">
        <f>IFERROR(IF(E5&lt;&gt;E6,1,INT(H5)+IF(TDays[[#This Row],[کد روز هفته]]=0,1,0)),1)</f>
        <v>1</v>
      </c>
      <c r="I6">
        <f>-SUMIF(TArticle[تاریخ],TDays[[#This Row],[تاریخ]],TArticle[هزینه])</f>
        <v>0</v>
      </c>
      <c r="J6">
        <f>SUMIF(TArticle[تاریخ],TDays[[#This Row],[تاریخ]],TArticle[درآمد تتا])</f>
        <v>0</v>
      </c>
      <c r="K6">
        <f>SUMIF(TArticle[تاریخ],TDays[[#This Row],[تاریخ]],TArticle[اسنپ])</f>
        <v>0</v>
      </c>
      <c r="L6">
        <f>-SUMIF(TArticle[تاریخ],TDays[[#This Row],[تاریخ]],TArticle[پرداخت بدهی])</f>
        <v>0</v>
      </c>
      <c r="M6">
        <f>SUMIF(TArticle[تاریخ],TDays[[#This Row],[تاریخ]],TArticle[افزایش بدهی])</f>
        <v>0</v>
      </c>
      <c r="N6">
        <f>-SUMIF(TArticle[تاریخ],TDays[[#This Row],[تاریخ]],TArticle[افزایش سرمایه])</f>
        <v>0</v>
      </c>
      <c r="O6">
        <f>SUMIF(TArticle[تاریخ],TDays[[#This Row],[تاریخ]],TArticle[تعداد تراکنش انجام شده])</f>
        <v>0</v>
      </c>
      <c r="P6">
        <f>INT(((TDays[[#This Row],[ماه]]-1)*31+TDays[[#This Row],[روز]]+1)/7)+1</f>
        <v>1</v>
      </c>
      <c r="Q6">
        <f>SUMIF(TArticle[تاریخ],TDays[[#This Row],[تاریخ]],TArticle[تراکنش برنامه ریزی شده])</f>
        <v>0</v>
      </c>
      <c r="X6">
        <v>4</v>
      </c>
      <c r="Y6" s="6" t="s">
        <v>192</v>
      </c>
    </row>
    <row r="7" spans="1:26" x14ac:dyDescent="0.25">
      <c r="A7" s="3" t="s">
        <v>210</v>
      </c>
      <c r="B7" t="str">
        <f>RIGHT(TDays[[#This Row],[تاریخ]],2)</f>
        <v>06</v>
      </c>
      <c r="C7" t="str">
        <f>RIGHT(LEFT(TDays[[#This Row],[تاریخ]],7),2)</f>
        <v>01</v>
      </c>
      <c r="D7" t="str">
        <f>LEFT(TDays[[#This Row],[تاریخ]],4)</f>
        <v>1401</v>
      </c>
      <c r="E7" t="str">
        <f>LEFT(TDays[[#This Row],[تاریخ]],7)</f>
        <v>1401-01</v>
      </c>
      <c r="F7">
        <v>0</v>
      </c>
      <c r="G7" s="15" t="str">
        <f>VLOOKUP(TDays[[#This Row],[کد روز هفته]],TDaysOfTheWeek[],2,FALSE)</f>
        <v>شنبه</v>
      </c>
      <c r="H7" s="15">
        <f>IFERROR(IF(E6&lt;&gt;E7,1,INT(H6)+IF(TDays[[#This Row],[کد روز هفته]]=0,1,0)),1)</f>
        <v>2</v>
      </c>
      <c r="I7">
        <f>-SUMIF(TArticle[تاریخ],TDays[[#This Row],[تاریخ]],TArticle[هزینه])</f>
        <v>0</v>
      </c>
      <c r="J7">
        <f>SUMIF(TArticle[تاریخ],TDays[[#This Row],[تاریخ]],TArticle[درآمد تتا])</f>
        <v>0</v>
      </c>
      <c r="K7">
        <f>SUMIF(TArticle[تاریخ],TDays[[#This Row],[تاریخ]],TArticle[اسنپ])</f>
        <v>0</v>
      </c>
      <c r="L7">
        <f>-SUMIF(TArticle[تاریخ],TDays[[#This Row],[تاریخ]],TArticle[پرداخت بدهی])</f>
        <v>0</v>
      </c>
      <c r="M7">
        <f>SUMIF(TArticle[تاریخ],TDays[[#This Row],[تاریخ]],TArticle[افزایش بدهی])</f>
        <v>0</v>
      </c>
      <c r="N7">
        <f>-SUMIF(TArticle[تاریخ],TDays[[#This Row],[تاریخ]],TArticle[افزایش سرمایه])</f>
        <v>0</v>
      </c>
      <c r="O7">
        <f>SUMIF(TArticle[تاریخ],TDays[[#This Row],[تاریخ]],TArticle[تعداد تراکنش انجام شده])</f>
        <v>0</v>
      </c>
      <c r="P7">
        <f>INT(((TDays[[#This Row],[ماه]]-1)*31+TDays[[#This Row],[روز]]+1)/7)+1</f>
        <v>2</v>
      </c>
      <c r="Q7">
        <f>SUMIF(TArticle[تاریخ],TDays[[#This Row],[تاریخ]],TArticle[تراکنش برنامه ریزی شده])</f>
        <v>0</v>
      </c>
      <c r="X7">
        <v>5</v>
      </c>
      <c r="Y7" s="6" t="s">
        <v>189</v>
      </c>
    </row>
    <row r="8" spans="1:26" x14ac:dyDescent="0.25">
      <c r="A8" s="3" t="s">
        <v>211</v>
      </c>
      <c r="B8" t="str">
        <f>RIGHT(TDays[[#This Row],[تاریخ]],2)</f>
        <v>07</v>
      </c>
      <c r="C8" t="str">
        <f>RIGHT(LEFT(TDays[[#This Row],[تاریخ]],7),2)</f>
        <v>01</v>
      </c>
      <c r="D8" t="str">
        <f>LEFT(TDays[[#This Row],[تاریخ]],4)</f>
        <v>1401</v>
      </c>
      <c r="E8" t="str">
        <f>LEFT(TDays[[#This Row],[تاریخ]],7)</f>
        <v>1401-01</v>
      </c>
      <c r="F8">
        <v>1</v>
      </c>
      <c r="G8" s="15" t="str">
        <f>VLOOKUP(TDays[[#This Row],[کد روز هفته]],TDaysOfTheWeek[],2,FALSE)</f>
        <v>یکشنبه</v>
      </c>
      <c r="H8" s="15">
        <f>IFERROR(IF(E7&lt;&gt;E8,1,INT(H7)+IF(TDays[[#This Row],[کد روز هفته]]=0,1,0)),1)</f>
        <v>2</v>
      </c>
      <c r="I8">
        <f>-SUMIF(TArticle[تاریخ],TDays[[#This Row],[تاریخ]],TArticle[هزینه])</f>
        <v>0</v>
      </c>
      <c r="J8">
        <f>SUMIF(TArticle[تاریخ],TDays[[#This Row],[تاریخ]],TArticle[درآمد تتا])</f>
        <v>0</v>
      </c>
      <c r="K8">
        <f>SUMIF(TArticle[تاریخ],TDays[[#This Row],[تاریخ]],TArticle[اسنپ])</f>
        <v>0</v>
      </c>
      <c r="L8">
        <f>-SUMIF(TArticle[تاریخ],TDays[[#This Row],[تاریخ]],TArticle[پرداخت بدهی])</f>
        <v>0</v>
      </c>
      <c r="M8">
        <f>SUMIF(TArticle[تاریخ],TDays[[#This Row],[تاریخ]],TArticle[افزایش بدهی])</f>
        <v>0</v>
      </c>
      <c r="N8">
        <f>-SUMIF(TArticle[تاریخ],TDays[[#This Row],[تاریخ]],TArticle[افزایش سرمایه])</f>
        <v>0</v>
      </c>
      <c r="O8">
        <f>SUMIF(TArticle[تاریخ],TDays[[#This Row],[تاریخ]],TArticle[تعداد تراکنش انجام شده])</f>
        <v>0</v>
      </c>
      <c r="P8">
        <f>INT(((TDays[[#This Row],[ماه]]-1)*31+TDays[[#This Row],[روز]]+1)/7)+1</f>
        <v>2</v>
      </c>
      <c r="Q8">
        <f>SUMIF(TArticle[تاریخ],TDays[[#This Row],[تاریخ]],TArticle[تراکنش برنامه ریزی شده])</f>
        <v>0</v>
      </c>
      <c r="X8">
        <v>6</v>
      </c>
      <c r="Y8" s="6" t="s">
        <v>188</v>
      </c>
    </row>
    <row r="9" spans="1:26" x14ac:dyDescent="0.25">
      <c r="A9" s="3" t="s">
        <v>212</v>
      </c>
      <c r="B9" t="str">
        <f>RIGHT(TDays[[#This Row],[تاریخ]],2)</f>
        <v>08</v>
      </c>
      <c r="C9" t="str">
        <f>RIGHT(LEFT(TDays[[#This Row],[تاریخ]],7),2)</f>
        <v>01</v>
      </c>
      <c r="D9" t="str">
        <f>LEFT(TDays[[#This Row],[تاریخ]],4)</f>
        <v>1401</v>
      </c>
      <c r="E9" t="str">
        <f>LEFT(TDays[[#This Row],[تاریخ]],7)</f>
        <v>1401-01</v>
      </c>
      <c r="F9">
        <v>2</v>
      </c>
      <c r="G9" s="15" t="str">
        <f>VLOOKUP(TDays[[#This Row],[کد روز هفته]],TDaysOfTheWeek[],2,FALSE)</f>
        <v>دوشنبه</v>
      </c>
      <c r="H9" s="15">
        <f>IFERROR(IF(E8&lt;&gt;E9,1,INT(H8)+IF(TDays[[#This Row],[کد روز هفته]]=0,1,0)),1)</f>
        <v>2</v>
      </c>
      <c r="I9">
        <f>-SUMIF(TArticle[تاریخ],TDays[[#This Row],[تاریخ]],TArticle[هزینه])</f>
        <v>0</v>
      </c>
      <c r="J9">
        <f>SUMIF(TArticle[تاریخ],TDays[[#This Row],[تاریخ]],TArticle[درآمد تتا])</f>
        <v>0</v>
      </c>
      <c r="K9">
        <f>SUMIF(TArticle[تاریخ],TDays[[#This Row],[تاریخ]],TArticle[اسنپ])</f>
        <v>0</v>
      </c>
      <c r="L9">
        <f>-SUMIF(TArticle[تاریخ],TDays[[#This Row],[تاریخ]],TArticle[پرداخت بدهی])</f>
        <v>0</v>
      </c>
      <c r="M9">
        <f>SUMIF(TArticle[تاریخ],TDays[[#This Row],[تاریخ]],TArticle[افزایش بدهی])</f>
        <v>0</v>
      </c>
      <c r="N9">
        <f>-SUMIF(TArticle[تاریخ],TDays[[#This Row],[تاریخ]],TArticle[افزایش سرمایه])</f>
        <v>0</v>
      </c>
      <c r="O9">
        <f>SUMIF(TArticle[تاریخ],TDays[[#This Row],[تاریخ]],TArticle[تعداد تراکنش انجام شده])</f>
        <v>0</v>
      </c>
      <c r="P9">
        <f>INT(((TDays[[#This Row],[ماه]]-1)*31+TDays[[#This Row],[روز]]+1)/7)+1</f>
        <v>2</v>
      </c>
      <c r="Q9">
        <f>SUMIF(TArticle[تاریخ],TDays[[#This Row],[تاریخ]],TArticle[تراکنش برنامه ریزی شده])</f>
        <v>0</v>
      </c>
    </row>
    <row r="10" spans="1:26" x14ac:dyDescent="0.25">
      <c r="A10" s="3" t="s">
        <v>213</v>
      </c>
      <c r="B10" t="str">
        <f>RIGHT(TDays[[#This Row],[تاریخ]],2)</f>
        <v>09</v>
      </c>
      <c r="C10" t="str">
        <f>RIGHT(LEFT(TDays[[#This Row],[تاریخ]],7),2)</f>
        <v>01</v>
      </c>
      <c r="D10" t="str">
        <f>LEFT(TDays[[#This Row],[تاریخ]],4)</f>
        <v>1401</v>
      </c>
      <c r="E10" t="str">
        <f>LEFT(TDays[[#This Row],[تاریخ]],7)</f>
        <v>1401-01</v>
      </c>
      <c r="F10">
        <v>3</v>
      </c>
      <c r="G10" s="15" t="str">
        <f>VLOOKUP(TDays[[#This Row],[کد روز هفته]],TDaysOfTheWeek[],2,FALSE)</f>
        <v>سه شنبه</v>
      </c>
      <c r="H10" s="15">
        <f>IFERROR(IF(E9&lt;&gt;E10,1,INT(H9)+IF(TDays[[#This Row],[کد روز هفته]]=0,1,0)),1)</f>
        <v>2</v>
      </c>
      <c r="I10">
        <f>-SUMIF(TArticle[تاریخ],TDays[[#This Row],[تاریخ]],TArticle[هزینه])</f>
        <v>5201</v>
      </c>
      <c r="J10">
        <f>SUMIF(TArticle[تاریخ],TDays[[#This Row],[تاریخ]],TArticle[درآمد تتا])</f>
        <v>0</v>
      </c>
      <c r="K10">
        <f>SUMIF(TArticle[تاریخ],TDays[[#This Row],[تاریخ]],TArticle[اسنپ])</f>
        <v>0</v>
      </c>
      <c r="L10">
        <f>-SUMIF(TArticle[تاریخ],TDays[[#This Row],[تاریخ]],TArticle[پرداخت بدهی])</f>
        <v>0</v>
      </c>
      <c r="M10">
        <f>SUMIF(TArticle[تاریخ],TDays[[#This Row],[تاریخ]],TArticle[افزایش بدهی])</f>
        <v>0</v>
      </c>
      <c r="N10">
        <f>-SUMIF(TArticle[تاریخ],TDays[[#This Row],[تاریخ]],TArticle[افزایش سرمایه])</f>
        <v>0</v>
      </c>
      <c r="O10">
        <f>SUMIF(TArticle[تاریخ],TDays[[#This Row],[تاریخ]],TArticle[تعداد تراکنش انجام شده])</f>
        <v>3</v>
      </c>
      <c r="P10">
        <f>INT(((TDays[[#This Row],[ماه]]-1)*31+TDays[[#This Row],[روز]]+1)/7)+1</f>
        <v>2</v>
      </c>
      <c r="Q10">
        <f>SUMIF(TArticle[تاریخ],TDays[[#This Row],[تاریخ]],TArticle[تراکنش برنامه ریزی شده])</f>
        <v>0</v>
      </c>
    </row>
    <row r="11" spans="1:26" x14ac:dyDescent="0.25">
      <c r="A11" s="3" t="s">
        <v>214</v>
      </c>
      <c r="B11" t="str">
        <f>RIGHT(TDays[[#This Row],[تاریخ]],2)</f>
        <v>10</v>
      </c>
      <c r="C11" t="str">
        <f>RIGHT(LEFT(TDays[[#This Row],[تاریخ]],7),2)</f>
        <v>01</v>
      </c>
      <c r="D11" t="str">
        <f>LEFT(TDays[[#This Row],[تاریخ]],4)</f>
        <v>1401</v>
      </c>
      <c r="E11" t="str">
        <f>LEFT(TDays[[#This Row],[تاریخ]],7)</f>
        <v>1401-01</v>
      </c>
      <c r="F11">
        <v>4</v>
      </c>
      <c r="G11" s="15" t="str">
        <f>VLOOKUP(TDays[[#This Row],[کد روز هفته]],TDaysOfTheWeek[],2,FALSE)</f>
        <v>چهارشنبه</v>
      </c>
      <c r="H11" s="15">
        <f>IFERROR(IF(E10&lt;&gt;E11,1,INT(H10)+IF(TDays[[#This Row],[کد روز هفته]]=0,1,0)),1)</f>
        <v>2</v>
      </c>
      <c r="I11">
        <f>-SUMIF(TArticle[تاریخ],TDays[[#This Row],[تاریخ]],TArticle[هزینه])</f>
        <v>0</v>
      </c>
      <c r="J11">
        <f>SUMIF(TArticle[تاریخ],TDays[[#This Row],[تاریخ]],TArticle[درآمد تتا])</f>
        <v>0</v>
      </c>
      <c r="K11">
        <f>SUMIF(TArticle[تاریخ],TDays[[#This Row],[تاریخ]],TArticle[اسنپ])</f>
        <v>0</v>
      </c>
      <c r="L11">
        <f>-SUMIF(TArticle[تاریخ],TDays[[#This Row],[تاریخ]],TArticle[پرداخت بدهی])</f>
        <v>0</v>
      </c>
      <c r="M11">
        <f>SUMIF(TArticle[تاریخ],TDays[[#This Row],[تاریخ]],TArticle[افزایش بدهی])</f>
        <v>0</v>
      </c>
      <c r="N11">
        <f>-SUMIF(TArticle[تاریخ],TDays[[#This Row],[تاریخ]],TArticle[افزایش سرمایه])</f>
        <v>350</v>
      </c>
      <c r="O11">
        <f>SUMIF(TArticle[تاریخ],TDays[[#This Row],[تاریخ]],TArticle[تعداد تراکنش انجام شده])</f>
        <v>2</v>
      </c>
      <c r="P11">
        <f>INT(((TDays[[#This Row],[ماه]]-1)*31+TDays[[#This Row],[روز]]+1)/7)+1</f>
        <v>2</v>
      </c>
      <c r="Q11">
        <f>SUMIF(TArticle[تاریخ],TDays[[#This Row],[تاریخ]],TArticle[تراکنش برنامه ریزی شده])</f>
        <v>0</v>
      </c>
    </row>
    <row r="12" spans="1:26" x14ac:dyDescent="0.25">
      <c r="A12" s="3" t="s">
        <v>215</v>
      </c>
      <c r="B12" t="str">
        <f>RIGHT(TDays[[#This Row],[تاریخ]],2)</f>
        <v>11</v>
      </c>
      <c r="C12" t="str">
        <f>RIGHT(LEFT(TDays[[#This Row],[تاریخ]],7),2)</f>
        <v>01</v>
      </c>
      <c r="D12" t="str">
        <f>LEFT(TDays[[#This Row],[تاریخ]],4)</f>
        <v>1401</v>
      </c>
      <c r="E12" t="str">
        <f>LEFT(TDays[[#This Row],[تاریخ]],7)</f>
        <v>1401-01</v>
      </c>
      <c r="F12">
        <v>5</v>
      </c>
      <c r="G12" s="15" t="str">
        <f>VLOOKUP(TDays[[#This Row],[کد روز هفته]],TDaysOfTheWeek[],2,FALSE)</f>
        <v>پنجشنبه</v>
      </c>
      <c r="H12" s="15">
        <f>IFERROR(IF(E11&lt;&gt;E12,1,INT(H11)+IF(TDays[[#This Row],[کد روز هفته]]=0,1,0)),1)</f>
        <v>2</v>
      </c>
      <c r="I12">
        <f>-SUMIF(TArticle[تاریخ],TDays[[#This Row],[تاریخ]],TArticle[هزینه])</f>
        <v>0</v>
      </c>
      <c r="J12">
        <f>SUMIF(TArticle[تاریخ],TDays[[#This Row],[تاریخ]],TArticle[درآمد تتا])</f>
        <v>0</v>
      </c>
      <c r="K12">
        <f>SUMIF(TArticle[تاریخ],TDays[[#This Row],[تاریخ]],TArticle[اسنپ])</f>
        <v>0</v>
      </c>
      <c r="L12">
        <f>-SUMIF(TArticle[تاریخ],TDays[[#This Row],[تاریخ]],TArticle[پرداخت بدهی])</f>
        <v>0</v>
      </c>
      <c r="M12">
        <f>SUMIF(TArticle[تاریخ],TDays[[#This Row],[تاریخ]],TArticle[افزایش بدهی])</f>
        <v>0</v>
      </c>
      <c r="N12">
        <f>-SUMIF(TArticle[تاریخ],TDays[[#This Row],[تاریخ]],TArticle[افزایش سرمایه])</f>
        <v>0</v>
      </c>
      <c r="O12">
        <f>SUMIF(TArticle[تاریخ],TDays[[#This Row],[تاریخ]],TArticle[تعداد تراکنش انجام شده])</f>
        <v>0</v>
      </c>
      <c r="P12">
        <f>INT(((TDays[[#This Row],[ماه]]-1)*31+TDays[[#This Row],[روز]]+1)/7)+1</f>
        <v>2</v>
      </c>
      <c r="Q12">
        <f>SUMIF(TArticle[تاریخ],TDays[[#This Row],[تاریخ]],TArticle[تراکنش برنامه ریزی شده])</f>
        <v>0</v>
      </c>
    </row>
    <row r="13" spans="1:26" x14ac:dyDescent="0.25">
      <c r="A13" s="3" t="s">
        <v>216</v>
      </c>
      <c r="B13" t="str">
        <f>RIGHT(TDays[[#This Row],[تاریخ]],2)</f>
        <v>12</v>
      </c>
      <c r="C13" t="str">
        <f>RIGHT(LEFT(TDays[[#This Row],[تاریخ]],7),2)</f>
        <v>01</v>
      </c>
      <c r="D13" t="str">
        <f>LEFT(TDays[[#This Row],[تاریخ]],4)</f>
        <v>1401</v>
      </c>
      <c r="E13" t="str">
        <f>LEFT(TDays[[#This Row],[تاریخ]],7)</f>
        <v>1401-01</v>
      </c>
      <c r="F13">
        <v>6</v>
      </c>
      <c r="G13" s="15" t="str">
        <f>VLOOKUP(TDays[[#This Row],[کد روز هفته]],TDaysOfTheWeek[],2,FALSE)</f>
        <v>جمعه</v>
      </c>
      <c r="H13" s="15">
        <f>IFERROR(IF(E12&lt;&gt;E13,1,INT(H12)+IF(TDays[[#This Row],[کد روز هفته]]=0,1,0)),1)</f>
        <v>2</v>
      </c>
      <c r="I13">
        <f>-SUMIF(TArticle[تاریخ],TDays[[#This Row],[تاریخ]],TArticle[هزینه])</f>
        <v>0</v>
      </c>
      <c r="J13">
        <f>SUMIF(TArticle[تاریخ],TDays[[#This Row],[تاریخ]],TArticle[درآمد تتا])</f>
        <v>0</v>
      </c>
      <c r="K13">
        <f>SUMIF(TArticle[تاریخ],TDays[[#This Row],[تاریخ]],TArticle[اسنپ])</f>
        <v>0</v>
      </c>
      <c r="L13">
        <f>-SUMIF(TArticle[تاریخ],TDays[[#This Row],[تاریخ]],TArticle[پرداخت بدهی])</f>
        <v>0</v>
      </c>
      <c r="M13">
        <f>SUMIF(TArticle[تاریخ],TDays[[#This Row],[تاریخ]],TArticle[افزایش بدهی])</f>
        <v>0</v>
      </c>
      <c r="N13">
        <f>-SUMIF(TArticle[تاریخ],TDays[[#This Row],[تاریخ]],TArticle[افزایش سرمایه])</f>
        <v>0</v>
      </c>
      <c r="O13">
        <f>SUMIF(TArticle[تاریخ],TDays[[#This Row],[تاریخ]],TArticle[تعداد تراکنش انجام شده])</f>
        <v>0</v>
      </c>
      <c r="P13">
        <f>INT(((TDays[[#This Row],[ماه]]-1)*31+TDays[[#This Row],[روز]]+1)/7)+1</f>
        <v>2</v>
      </c>
      <c r="Q13">
        <f>SUMIF(TArticle[تاریخ],TDays[[#This Row],[تاریخ]],TArticle[تراکنش برنامه ریزی شده])</f>
        <v>0</v>
      </c>
    </row>
    <row r="14" spans="1:26" x14ac:dyDescent="0.25">
      <c r="A14" s="3" t="s">
        <v>217</v>
      </c>
      <c r="B14" t="str">
        <f>RIGHT(TDays[[#This Row],[تاریخ]],2)</f>
        <v>13</v>
      </c>
      <c r="C14" t="str">
        <f>RIGHT(LEFT(TDays[[#This Row],[تاریخ]],7),2)</f>
        <v>01</v>
      </c>
      <c r="D14" t="str">
        <f>LEFT(TDays[[#This Row],[تاریخ]],4)</f>
        <v>1401</v>
      </c>
      <c r="E14" t="str">
        <f>LEFT(TDays[[#This Row],[تاریخ]],7)</f>
        <v>1401-01</v>
      </c>
      <c r="F14">
        <v>0</v>
      </c>
      <c r="G14" s="15" t="str">
        <f>VLOOKUP(TDays[[#This Row],[کد روز هفته]],TDaysOfTheWeek[],2,FALSE)</f>
        <v>شنبه</v>
      </c>
      <c r="H14" s="15">
        <f>IFERROR(IF(E13&lt;&gt;E14,1,INT(H13)+IF(TDays[[#This Row],[کد روز هفته]]=0,1,0)),1)</f>
        <v>3</v>
      </c>
      <c r="I14">
        <f>-SUMIF(TArticle[تاریخ],TDays[[#This Row],[تاریخ]],TArticle[هزینه])</f>
        <v>0</v>
      </c>
      <c r="J14">
        <f>SUMIF(TArticle[تاریخ],TDays[[#This Row],[تاریخ]],TArticle[درآمد تتا])</f>
        <v>0</v>
      </c>
      <c r="K14">
        <f>SUMIF(TArticle[تاریخ],TDays[[#This Row],[تاریخ]],TArticle[اسنپ])</f>
        <v>0</v>
      </c>
      <c r="L14">
        <f>-SUMIF(TArticle[تاریخ],TDays[[#This Row],[تاریخ]],TArticle[پرداخت بدهی])</f>
        <v>0</v>
      </c>
      <c r="M14">
        <f>SUMIF(TArticle[تاریخ],TDays[[#This Row],[تاریخ]],TArticle[افزایش بدهی])</f>
        <v>0</v>
      </c>
      <c r="N14">
        <f>-SUMIF(TArticle[تاریخ],TDays[[#This Row],[تاریخ]],TArticle[افزایش سرمایه])</f>
        <v>0</v>
      </c>
      <c r="O14">
        <f>SUMIF(TArticle[تاریخ],TDays[[#This Row],[تاریخ]],TArticle[تعداد تراکنش انجام شده])</f>
        <v>0</v>
      </c>
      <c r="P14">
        <f>INT(((TDays[[#This Row],[ماه]]-1)*31+TDays[[#This Row],[روز]]+1)/7)+1</f>
        <v>3</v>
      </c>
      <c r="Q14">
        <f>SUMIF(TArticle[تاریخ],TDays[[#This Row],[تاریخ]],TArticle[تراکنش برنامه ریزی شده])</f>
        <v>0</v>
      </c>
    </row>
    <row r="15" spans="1:26" x14ac:dyDescent="0.25">
      <c r="A15" s="3" t="s">
        <v>58</v>
      </c>
      <c r="B15" t="str">
        <f>RIGHT(TDays[[#This Row],[تاریخ]],2)</f>
        <v>14</v>
      </c>
      <c r="C15" t="str">
        <f>RIGHT(LEFT(TDays[[#This Row],[تاریخ]],7),2)</f>
        <v>01</v>
      </c>
      <c r="D15" t="str">
        <f>LEFT(TDays[[#This Row],[تاریخ]],4)</f>
        <v>1401</v>
      </c>
      <c r="E15" t="str">
        <f>LEFT(TDays[[#This Row],[تاریخ]],7)</f>
        <v>1401-01</v>
      </c>
      <c r="F15">
        <v>1</v>
      </c>
      <c r="G15" s="15" t="str">
        <f>VLOOKUP(TDays[[#This Row],[کد روز هفته]],TDaysOfTheWeek[],2,FALSE)</f>
        <v>یکشنبه</v>
      </c>
      <c r="H15" s="15">
        <f>IFERROR(IF(E14&lt;&gt;E15,1,INT(H14)+IF(TDays[[#This Row],[کد روز هفته]]=0,1,0)),1)</f>
        <v>3</v>
      </c>
      <c r="I15">
        <f>-SUMIF(TArticle[تاریخ],TDays[[#This Row],[تاریخ]],TArticle[هزینه])</f>
        <v>6050</v>
      </c>
      <c r="J15">
        <f>SUMIF(TArticle[تاریخ],TDays[[#This Row],[تاریخ]],TArticle[درآمد تتا])</f>
        <v>0</v>
      </c>
      <c r="K15">
        <f>SUMIF(TArticle[تاریخ],TDays[[#This Row],[تاریخ]],TArticle[اسنپ])</f>
        <v>0</v>
      </c>
      <c r="L15">
        <f>-SUMIF(TArticle[تاریخ],TDays[[#This Row],[تاریخ]],TArticle[پرداخت بدهی])</f>
        <v>0</v>
      </c>
      <c r="M15">
        <f>SUMIF(TArticle[تاریخ],TDays[[#This Row],[تاریخ]],TArticle[افزایش بدهی])</f>
        <v>0</v>
      </c>
      <c r="N15">
        <f>-SUMIF(TArticle[تاریخ],TDays[[#This Row],[تاریخ]],TArticle[افزایش سرمایه])</f>
        <v>0</v>
      </c>
      <c r="O15">
        <f>SUMIF(TArticle[تاریخ],TDays[[#This Row],[تاریخ]],TArticle[تعداد تراکنش انجام شده])</f>
        <v>5</v>
      </c>
      <c r="P15">
        <f>INT(((TDays[[#This Row],[ماه]]-1)*31+TDays[[#This Row],[روز]]+1)/7)+1</f>
        <v>3</v>
      </c>
      <c r="Q15">
        <f>SUMIF(TArticle[تاریخ],TDays[[#This Row],[تاریخ]],TArticle[تراکنش برنامه ریزی شده])</f>
        <v>0</v>
      </c>
    </row>
    <row r="16" spans="1:26" x14ac:dyDescent="0.25">
      <c r="A16" s="3" t="s">
        <v>218</v>
      </c>
      <c r="B16" t="str">
        <f>RIGHT(TDays[[#This Row],[تاریخ]],2)</f>
        <v>15</v>
      </c>
      <c r="C16" t="str">
        <f>RIGHT(LEFT(TDays[[#This Row],[تاریخ]],7),2)</f>
        <v>01</v>
      </c>
      <c r="D16" t="str">
        <f>LEFT(TDays[[#This Row],[تاریخ]],4)</f>
        <v>1401</v>
      </c>
      <c r="E16" t="str">
        <f>LEFT(TDays[[#This Row],[تاریخ]],7)</f>
        <v>1401-01</v>
      </c>
      <c r="F16">
        <v>2</v>
      </c>
      <c r="G16" s="15" t="str">
        <f>VLOOKUP(TDays[[#This Row],[کد روز هفته]],TDaysOfTheWeek[],2,FALSE)</f>
        <v>دوشنبه</v>
      </c>
      <c r="H16" s="15">
        <f>IFERROR(IF(E15&lt;&gt;E16,1,INT(H15)+IF(TDays[[#This Row],[کد روز هفته]]=0,1,0)),1)</f>
        <v>3</v>
      </c>
      <c r="I16">
        <f>-SUMIF(TArticle[تاریخ],TDays[[#This Row],[تاریخ]],TArticle[هزینه])</f>
        <v>0</v>
      </c>
      <c r="J16">
        <f>SUMIF(TArticle[تاریخ],TDays[[#This Row],[تاریخ]],TArticle[درآمد تتا])</f>
        <v>0</v>
      </c>
      <c r="K16">
        <f>SUMIF(TArticle[تاریخ],TDays[[#This Row],[تاریخ]],TArticle[اسنپ])</f>
        <v>0</v>
      </c>
      <c r="L16">
        <f>-SUMIF(TArticle[تاریخ],TDays[[#This Row],[تاریخ]],TArticle[پرداخت بدهی])</f>
        <v>0</v>
      </c>
      <c r="M16">
        <f>SUMIF(TArticle[تاریخ],TDays[[#This Row],[تاریخ]],TArticle[افزایش بدهی])</f>
        <v>0</v>
      </c>
      <c r="N16">
        <f>-SUMIF(TArticle[تاریخ],TDays[[#This Row],[تاریخ]],TArticle[افزایش سرمایه])</f>
        <v>0</v>
      </c>
      <c r="O16">
        <f>SUMIF(TArticle[تاریخ],TDays[[#This Row],[تاریخ]],TArticle[تعداد تراکنش انجام شده])</f>
        <v>0</v>
      </c>
      <c r="P16">
        <f>INT(((TDays[[#This Row],[ماه]]-1)*31+TDays[[#This Row],[روز]]+1)/7)+1</f>
        <v>3</v>
      </c>
      <c r="Q16">
        <f>SUMIF(TArticle[تاریخ],TDays[[#This Row],[تاریخ]],TArticle[تراکنش برنامه ریزی شده])</f>
        <v>0</v>
      </c>
    </row>
    <row r="17" spans="1:17" x14ac:dyDescent="0.25">
      <c r="A17" s="3" t="s">
        <v>219</v>
      </c>
      <c r="B17" t="str">
        <f>RIGHT(TDays[[#This Row],[تاریخ]],2)</f>
        <v>16</v>
      </c>
      <c r="C17" t="str">
        <f>RIGHT(LEFT(TDays[[#This Row],[تاریخ]],7),2)</f>
        <v>01</v>
      </c>
      <c r="D17" t="str">
        <f>LEFT(TDays[[#This Row],[تاریخ]],4)</f>
        <v>1401</v>
      </c>
      <c r="E17" t="str">
        <f>LEFT(TDays[[#This Row],[تاریخ]],7)</f>
        <v>1401-01</v>
      </c>
      <c r="F17">
        <v>3</v>
      </c>
      <c r="G17" s="15" t="str">
        <f>VLOOKUP(TDays[[#This Row],[کد روز هفته]],TDaysOfTheWeek[],2,FALSE)</f>
        <v>سه شنبه</v>
      </c>
      <c r="H17" s="15">
        <f>IFERROR(IF(E16&lt;&gt;E17,1,INT(H16)+IF(TDays[[#This Row],[کد روز هفته]]=0,1,0)),1)</f>
        <v>3</v>
      </c>
      <c r="I17">
        <f>-SUMIF(TArticle[تاریخ],TDays[[#This Row],[تاریخ]],TArticle[هزینه])</f>
        <v>0</v>
      </c>
      <c r="J17">
        <f>SUMIF(TArticle[تاریخ],TDays[[#This Row],[تاریخ]],TArticle[درآمد تتا])</f>
        <v>0</v>
      </c>
      <c r="K17">
        <f>SUMIF(TArticle[تاریخ],TDays[[#This Row],[تاریخ]],TArticle[اسنپ])</f>
        <v>0</v>
      </c>
      <c r="L17">
        <f>-SUMIF(TArticle[تاریخ],TDays[[#This Row],[تاریخ]],TArticle[پرداخت بدهی])</f>
        <v>0</v>
      </c>
      <c r="M17">
        <f>SUMIF(TArticle[تاریخ],TDays[[#This Row],[تاریخ]],TArticle[افزایش بدهی])</f>
        <v>0</v>
      </c>
      <c r="N17">
        <f>-SUMIF(TArticle[تاریخ],TDays[[#This Row],[تاریخ]],TArticle[افزایش سرمایه])</f>
        <v>0</v>
      </c>
      <c r="O17">
        <f>SUMIF(TArticle[تاریخ],TDays[[#This Row],[تاریخ]],TArticle[تعداد تراکنش انجام شده])</f>
        <v>0</v>
      </c>
      <c r="P17">
        <f>INT(((TDays[[#This Row],[ماه]]-1)*31+TDays[[#This Row],[روز]]+1)/7)+1</f>
        <v>3</v>
      </c>
      <c r="Q17">
        <f>SUMIF(TArticle[تاریخ],TDays[[#This Row],[تاریخ]],TArticle[تراکنش برنامه ریزی شده])</f>
        <v>0</v>
      </c>
    </row>
    <row r="18" spans="1:17" x14ac:dyDescent="0.25">
      <c r="A18" s="3" t="s">
        <v>220</v>
      </c>
      <c r="B18" t="str">
        <f>RIGHT(TDays[[#This Row],[تاریخ]],2)</f>
        <v>17</v>
      </c>
      <c r="C18" t="str">
        <f>RIGHT(LEFT(TDays[[#This Row],[تاریخ]],7),2)</f>
        <v>01</v>
      </c>
      <c r="D18" t="str">
        <f>LEFT(TDays[[#This Row],[تاریخ]],4)</f>
        <v>1401</v>
      </c>
      <c r="E18" t="str">
        <f>LEFT(TDays[[#This Row],[تاریخ]],7)</f>
        <v>1401-01</v>
      </c>
      <c r="F18">
        <v>4</v>
      </c>
      <c r="G18" s="15" t="str">
        <f>VLOOKUP(TDays[[#This Row],[کد روز هفته]],TDaysOfTheWeek[],2,FALSE)</f>
        <v>چهارشنبه</v>
      </c>
      <c r="H18" s="15">
        <f>IFERROR(IF(E17&lt;&gt;E18,1,INT(H17)+IF(TDays[[#This Row],[کد روز هفته]]=0,1,0)),1)</f>
        <v>3</v>
      </c>
      <c r="I18">
        <f>-SUMIF(TArticle[تاریخ],TDays[[#This Row],[تاریخ]],TArticle[هزینه])</f>
        <v>83</v>
      </c>
      <c r="J18">
        <f>SUMIF(TArticle[تاریخ],TDays[[#This Row],[تاریخ]],TArticle[درآمد تتا])</f>
        <v>0</v>
      </c>
      <c r="K18">
        <f>SUMIF(TArticle[تاریخ],TDays[[#This Row],[تاریخ]],TArticle[اسنپ])</f>
        <v>0</v>
      </c>
      <c r="L18">
        <f>-SUMIF(TArticle[تاریخ],TDays[[#This Row],[تاریخ]],TArticle[پرداخت بدهی])</f>
        <v>6847</v>
      </c>
      <c r="M18">
        <f>SUMIF(TArticle[تاریخ],TDays[[#This Row],[تاریخ]],TArticle[افزایش بدهی])</f>
        <v>0</v>
      </c>
      <c r="N18">
        <f>-SUMIF(TArticle[تاریخ],TDays[[#This Row],[تاریخ]],TArticle[افزایش سرمایه])</f>
        <v>0</v>
      </c>
      <c r="O18">
        <f>SUMIF(TArticle[تاریخ],TDays[[#This Row],[تاریخ]],TArticle[تعداد تراکنش انجام شده])</f>
        <v>7</v>
      </c>
      <c r="P18">
        <f>INT(((TDays[[#This Row],[ماه]]-1)*31+TDays[[#This Row],[روز]]+1)/7)+1</f>
        <v>3</v>
      </c>
      <c r="Q18">
        <f>SUMIF(TArticle[تاریخ],TDays[[#This Row],[تاریخ]],TArticle[تراکنش برنامه ریزی شده])</f>
        <v>0</v>
      </c>
    </row>
    <row r="19" spans="1:17" x14ac:dyDescent="0.25">
      <c r="A19" s="3" t="s">
        <v>221</v>
      </c>
      <c r="B19" t="str">
        <f>RIGHT(TDays[[#This Row],[تاریخ]],2)</f>
        <v>18</v>
      </c>
      <c r="C19" t="str">
        <f>RIGHT(LEFT(TDays[[#This Row],[تاریخ]],7),2)</f>
        <v>01</v>
      </c>
      <c r="D19" t="str">
        <f>LEFT(TDays[[#This Row],[تاریخ]],4)</f>
        <v>1401</v>
      </c>
      <c r="E19" t="str">
        <f>LEFT(TDays[[#This Row],[تاریخ]],7)</f>
        <v>1401-01</v>
      </c>
      <c r="F19">
        <v>5</v>
      </c>
      <c r="G19" s="15" t="str">
        <f>VLOOKUP(TDays[[#This Row],[کد روز هفته]],TDaysOfTheWeek[],2,FALSE)</f>
        <v>پنجشنبه</v>
      </c>
      <c r="H19" s="15">
        <f>IFERROR(IF(E18&lt;&gt;E19,1,INT(H18)+IF(TDays[[#This Row],[کد روز هفته]]=0,1,0)),1)</f>
        <v>3</v>
      </c>
      <c r="I19">
        <f>-SUMIF(TArticle[تاریخ],TDays[[#This Row],[تاریخ]],TArticle[هزینه])</f>
        <v>0</v>
      </c>
      <c r="J19">
        <f>SUMIF(TArticle[تاریخ],TDays[[#This Row],[تاریخ]],TArticle[درآمد تتا])</f>
        <v>0</v>
      </c>
      <c r="K19">
        <f>SUMIF(TArticle[تاریخ],TDays[[#This Row],[تاریخ]],TArticle[اسنپ])</f>
        <v>0</v>
      </c>
      <c r="L19">
        <f>-SUMIF(TArticle[تاریخ],TDays[[#This Row],[تاریخ]],TArticle[پرداخت بدهی])</f>
        <v>0</v>
      </c>
      <c r="M19">
        <f>SUMIF(TArticle[تاریخ],TDays[[#This Row],[تاریخ]],TArticle[افزایش بدهی])</f>
        <v>0</v>
      </c>
      <c r="N19">
        <f>-SUMIF(TArticle[تاریخ],TDays[[#This Row],[تاریخ]],TArticle[افزایش سرمایه])</f>
        <v>0</v>
      </c>
      <c r="O19">
        <f>SUMIF(TArticle[تاریخ],TDays[[#This Row],[تاریخ]],TArticle[تعداد تراکنش انجام شده])</f>
        <v>0</v>
      </c>
      <c r="P19">
        <f>INT(((TDays[[#This Row],[ماه]]-1)*31+TDays[[#This Row],[روز]]+1)/7)+1</f>
        <v>3</v>
      </c>
      <c r="Q19">
        <f>SUMIF(TArticle[تاریخ],TDays[[#This Row],[تاریخ]],TArticle[تراکنش برنامه ریزی شده])</f>
        <v>0</v>
      </c>
    </row>
    <row r="20" spans="1:17" x14ac:dyDescent="0.25">
      <c r="A20" s="3" t="s">
        <v>222</v>
      </c>
      <c r="B20" t="str">
        <f>RIGHT(TDays[[#This Row],[تاریخ]],2)</f>
        <v>19</v>
      </c>
      <c r="C20" t="str">
        <f>RIGHT(LEFT(TDays[[#This Row],[تاریخ]],7),2)</f>
        <v>01</v>
      </c>
      <c r="D20" t="str">
        <f>LEFT(TDays[[#This Row],[تاریخ]],4)</f>
        <v>1401</v>
      </c>
      <c r="E20" t="str">
        <f>LEFT(TDays[[#This Row],[تاریخ]],7)</f>
        <v>1401-01</v>
      </c>
      <c r="F20">
        <v>6</v>
      </c>
      <c r="G20" s="15" t="str">
        <f>VLOOKUP(TDays[[#This Row],[کد روز هفته]],TDaysOfTheWeek[],2,FALSE)</f>
        <v>جمعه</v>
      </c>
      <c r="H20" s="15">
        <f>IFERROR(IF(E19&lt;&gt;E20,1,INT(H19)+IF(TDays[[#This Row],[کد روز هفته]]=0,1,0)),1)</f>
        <v>3</v>
      </c>
      <c r="I20">
        <f>-SUMIF(TArticle[تاریخ],TDays[[#This Row],[تاریخ]],TArticle[هزینه])</f>
        <v>0</v>
      </c>
      <c r="J20">
        <f>SUMIF(TArticle[تاریخ],TDays[[#This Row],[تاریخ]],TArticle[درآمد تتا])</f>
        <v>0</v>
      </c>
      <c r="K20">
        <f>SUMIF(TArticle[تاریخ],TDays[[#This Row],[تاریخ]],TArticle[اسنپ])</f>
        <v>0</v>
      </c>
      <c r="L20">
        <f>-SUMIF(TArticle[تاریخ],TDays[[#This Row],[تاریخ]],TArticle[پرداخت بدهی])</f>
        <v>0</v>
      </c>
      <c r="M20">
        <f>SUMIF(TArticle[تاریخ],TDays[[#This Row],[تاریخ]],TArticle[افزایش بدهی])</f>
        <v>0</v>
      </c>
      <c r="N20">
        <f>-SUMIF(TArticle[تاریخ],TDays[[#This Row],[تاریخ]],TArticle[افزایش سرمایه])</f>
        <v>0</v>
      </c>
      <c r="O20">
        <f>SUMIF(TArticle[تاریخ],TDays[[#This Row],[تاریخ]],TArticle[تعداد تراکنش انجام شده])</f>
        <v>0</v>
      </c>
      <c r="P20">
        <f>INT(((TDays[[#This Row],[ماه]]-1)*31+TDays[[#This Row],[روز]]+1)/7)+1</f>
        <v>3</v>
      </c>
      <c r="Q20">
        <f>SUMIF(TArticle[تاریخ],TDays[[#This Row],[تاریخ]],TArticle[تراکنش برنامه ریزی شده])</f>
        <v>0</v>
      </c>
    </row>
    <row r="21" spans="1:17" x14ac:dyDescent="0.25">
      <c r="A21" s="3" t="s">
        <v>223</v>
      </c>
      <c r="B21" t="str">
        <f>RIGHT(TDays[[#This Row],[تاریخ]],2)</f>
        <v>20</v>
      </c>
      <c r="C21" t="str">
        <f>RIGHT(LEFT(TDays[[#This Row],[تاریخ]],7),2)</f>
        <v>01</v>
      </c>
      <c r="D21" t="str">
        <f>LEFT(TDays[[#This Row],[تاریخ]],4)</f>
        <v>1401</v>
      </c>
      <c r="E21" t="str">
        <f>LEFT(TDays[[#This Row],[تاریخ]],7)</f>
        <v>1401-01</v>
      </c>
      <c r="F21">
        <v>0</v>
      </c>
      <c r="G21" s="15" t="str">
        <f>VLOOKUP(TDays[[#This Row],[کد روز هفته]],TDaysOfTheWeek[],2,FALSE)</f>
        <v>شنبه</v>
      </c>
      <c r="H21" s="15">
        <f>IFERROR(IF(E20&lt;&gt;E21,1,INT(H20)+IF(TDays[[#This Row],[کد روز هفته]]=0,1,0)),1)</f>
        <v>4</v>
      </c>
      <c r="I21">
        <f>-SUMIF(TArticle[تاریخ],TDays[[#This Row],[تاریخ]],TArticle[هزینه])</f>
        <v>0</v>
      </c>
      <c r="J21">
        <f>SUMIF(TArticle[تاریخ],TDays[[#This Row],[تاریخ]],TArticle[درآمد تتا])</f>
        <v>0</v>
      </c>
      <c r="K21">
        <f>SUMIF(TArticle[تاریخ],TDays[[#This Row],[تاریخ]],TArticle[اسنپ])</f>
        <v>0</v>
      </c>
      <c r="L21">
        <f>-SUMIF(TArticle[تاریخ],TDays[[#This Row],[تاریخ]],TArticle[پرداخت بدهی])</f>
        <v>0</v>
      </c>
      <c r="M21">
        <f>SUMIF(TArticle[تاریخ],TDays[[#This Row],[تاریخ]],TArticle[افزایش بدهی])</f>
        <v>0</v>
      </c>
      <c r="N21">
        <f>-SUMIF(TArticle[تاریخ],TDays[[#This Row],[تاریخ]],TArticle[افزایش سرمایه])</f>
        <v>0</v>
      </c>
      <c r="O21">
        <f>SUMIF(TArticle[تاریخ],TDays[[#This Row],[تاریخ]],TArticle[تعداد تراکنش انجام شده])</f>
        <v>0</v>
      </c>
      <c r="P21">
        <f>INT(((TDays[[#This Row],[ماه]]-1)*31+TDays[[#This Row],[روز]]+1)/7)+1</f>
        <v>4</v>
      </c>
      <c r="Q21">
        <f>SUMIF(TArticle[تاریخ],TDays[[#This Row],[تاریخ]],TArticle[تراکنش برنامه ریزی شده])</f>
        <v>0</v>
      </c>
    </row>
    <row r="22" spans="1:17" x14ac:dyDescent="0.25">
      <c r="A22" s="3" t="s">
        <v>224</v>
      </c>
      <c r="B22" t="str">
        <f>RIGHT(TDays[[#This Row],[تاریخ]],2)</f>
        <v>21</v>
      </c>
      <c r="C22" t="str">
        <f>RIGHT(LEFT(TDays[[#This Row],[تاریخ]],7),2)</f>
        <v>01</v>
      </c>
      <c r="D22" t="str">
        <f>LEFT(TDays[[#This Row],[تاریخ]],4)</f>
        <v>1401</v>
      </c>
      <c r="E22" t="str">
        <f>LEFT(TDays[[#This Row],[تاریخ]],7)</f>
        <v>1401-01</v>
      </c>
      <c r="F22">
        <v>1</v>
      </c>
      <c r="G22" s="15" t="str">
        <f>VLOOKUP(TDays[[#This Row],[کد روز هفته]],TDaysOfTheWeek[],2,FALSE)</f>
        <v>یکشنبه</v>
      </c>
      <c r="H22" s="15">
        <f>IFERROR(IF(E21&lt;&gt;E22,1,INT(H21)+IF(TDays[[#This Row],[کد روز هفته]]=0,1,0)),1)</f>
        <v>4</v>
      </c>
      <c r="I22">
        <f>-SUMIF(TArticle[تاریخ],TDays[[#This Row],[تاریخ]],TArticle[هزینه])</f>
        <v>0</v>
      </c>
      <c r="J22">
        <f>SUMIF(TArticle[تاریخ],TDays[[#This Row],[تاریخ]],TArticle[درآمد تتا])</f>
        <v>0</v>
      </c>
      <c r="K22">
        <f>SUMIF(TArticle[تاریخ],TDays[[#This Row],[تاریخ]],TArticle[اسنپ])</f>
        <v>0</v>
      </c>
      <c r="L22">
        <f>-SUMIF(TArticle[تاریخ],TDays[[#This Row],[تاریخ]],TArticle[پرداخت بدهی])</f>
        <v>0</v>
      </c>
      <c r="M22">
        <f>SUMIF(TArticle[تاریخ],TDays[[#This Row],[تاریخ]],TArticle[افزایش بدهی])</f>
        <v>0</v>
      </c>
      <c r="N22">
        <f>-SUMIF(TArticle[تاریخ],TDays[[#This Row],[تاریخ]],TArticle[افزایش سرمایه])</f>
        <v>0</v>
      </c>
      <c r="O22">
        <f>SUMIF(TArticle[تاریخ],TDays[[#This Row],[تاریخ]],TArticle[تعداد تراکنش انجام شده])</f>
        <v>0</v>
      </c>
      <c r="P22">
        <f>INT(((TDays[[#This Row],[ماه]]-1)*31+TDays[[#This Row],[روز]]+1)/7)+1</f>
        <v>4</v>
      </c>
      <c r="Q22">
        <f>SUMIF(TArticle[تاریخ],TDays[[#This Row],[تاریخ]],TArticle[تراکنش برنامه ریزی شده])</f>
        <v>0</v>
      </c>
    </row>
    <row r="23" spans="1:17" x14ac:dyDescent="0.25">
      <c r="A23" s="3" t="s">
        <v>225</v>
      </c>
      <c r="B23" t="str">
        <f>RIGHT(TDays[[#This Row],[تاریخ]],2)</f>
        <v>22</v>
      </c>
      <c r="C23" t="str">
        <f>RIGHT(LEFT(TDays[[#This Row],[تاریخ]],7),2)</f>
        <v>01</v>
      </c>
      <c r="D23" t="str">
        <f>LEFT(TDays[[#This Row],[تاریخ]],4)</f>
        <v>1401</v>
      </c>
      <c r="E23" t="str">
        <f>LEFT(TDays[[#This Row],[تاریخ]],7)</f>
        <v>1401-01</v>
      </c>
      <c r="F23">
        <v>2</v>
      </c>
      <c r="G23" s="15" t="str">
        <f>VLOOKUP(TDays[[#This Row],[کد روز هفته]],TDaysOfTheWeek[],2,FALSE)</f>
        <v>دوشنبه</v>
      </c>
      <c r="H23" s="15">
        <f>IFERROR(IF(E22&lt;&gt;E23,1,INT(H22)+IF(TDays[[#This Row],[کد روز هفته]]=0,1,0)),1)</f>
        <v>4</v>
      </c>
      <c r="I23">
        <f>-SUMIF(TArticle[تاریخ],TDays[[#This Row],[تاریخ]],TArticle[هزینه])</f>
        <v>0</v>
      </c>
      <c r="J23">
        <f>SUMIF(TArticle[تاریخ],TDays[[#This Row],[تاریخ]],TArticle[درآمد تتا])</f>
        <v>0</v>
      </c>
      <c r="K23">
        <f>SUMIF(TArticle[تاریخ],TDays[[#This Row],[تاریخ]],TArticle[اسنپ])</f>
        <v>0</v>
      </c>
      <c r="L23">
        <f>-SUMIF(TArticle[تاریخ],TDays[[#This Row],[تاریخ]],TArticle[پرداخت بدهی])</f>
        <v>0</v>
      </c>
      <c r="M23">
        <f>SUMIF(TArticle[تاریخ],TDays[[#This Row],[تاریخ]],TArticle[افزایش بدهی])</f>
        <v>0</v>
      </c>
      <c r="N23">
        <f>-SUMIF(TArticle[تاریخ],TDays[[#This Row],[تاریخ]],TArticle[افزایش سرمایه])</f>
        <v>0</v>
      </c>
      <c r="O23">
        <f>SUMIF(TArticle[تاریخ],TDays[[#This Row],[تاریخ]],TArticle[تعداد تراکنش انجام شده])</f>
        <v>0</v>
      </c>
      <c r="P23">
        <f>INT(((TDays[[#This Row],[ماه]]-1)*31+TDays[[#This Row],[روز]]+1)/7)+1</f>
        <v>4</v>
      </c>
      <c r="Q23">
        <f>SUMIF(TArticle[تاریخ],TDays[[#This Row],[تاریخ]],TArticle[تراکنش برنامه ریزی شده])</f>
        <v>0</v>
      </c>
    </row>
    <row r="24" spans="1:17" x14ac:dyDescent="0.25">
      <c r="A24" s="3" t="s">
        <v>226</v>
      </c>
      <c r="B24" t="str">
        <f>RIGHT(TDays[[#This Row],[تاریخ]],2)</f>
        <v>23</v>
      </c>
      <c r="C24" t="str">
        <f>RIGHT(LEFT(TDays[[#This Row],[تاریخ]],7),2)</f>
        <v>01</v>
      </c>
      <c r="D24" t="str">
        <f>LEFT(TDays[[#This Row],[تاریخ]],4)</f>
        <v>1401</v>
      </c>
      <c r="E24" t="str">
        <f>LEFT(TDays[[#This Row],[تاریخ]],7)</f>
        <v>1401-01</v>
      </c>
      <c r="F24">
        <v>3</v>
      </c>
      <c r="G24" s="15" t="str">
        <f>VLOOKUP(TDays[[#This Row],[کد روز هفته]],TDaysOfTheWeek[],2,FALSE)</f>
        <v>سه شنبه</v>
      </c>
      <c r="H24" s="15">
        <f>IFERROR(IF(E23&lt;&gt;E24,1,INT(H23)+IF(TDays[[#This Row],[کد روز هفته]]=0,1,0)),1)</f>
        <v>4</v>
      </c>
      <c r="I24">
        <f>-SUMIF(TArticle[تاریخ],TDays[[#This Row],[تاریخ]],TArticle[هزینه])</f>
        <v>0</v>
      </c>
      <c r="J24">
        <f>SUMIF(TArticle[تاریخ],TDays[[#This Row],[تاریخ]],TArticle[درآمد تتا])</f>
        <v>0</v>
      </c>
      <c r="K24">
        <f>SUMIF(TArticle[تاریخ],TDays[[#This Row],[تاریخ]],TArticle[اسنپ])</f>
        <v>0</v>
      </c>
      <c r="L24">
        <f>-SUMIF(TArticle[تاریخ],TDays[[#This Row],[تاریخ]],TArticle[پرداخت بدهی])</f>
        <v>0</v>
      </c>
      <c r="M24">
        <f>SUMIF(TArticle[تاریخ],TDays[[#This Row],[تاریخ]],TArticle[افزایش بدهی])</f>
        <v>0</v>
      </c>
      <c r="N24">
        <f>-SUMIF(TArticle[تاریخ],TDays[[#This Row],[تاریخ]],TArticle[افزایش سرمایه])</f>
        <v>0</v>
      </c>
      <c r="O24">
        <f>SUMIF(TArticle[تاریخ],TDays[[#This Row],[تاریخ]],TArticle[تعداد تراکنش انجام شده])</f>
        <v>0</v>
      </c>
      <c r="P24">
        <f>INT(((TDays[[#This Row],[ماه]]-1)*31+TDays[[#This Row],[روز]]+1)/7)+1</f>
        <v>4</v>
      </c>
      <c r="Q24">
        <f>SUMIF(TArticle[تاریخ],TDays[[#This Row],[تاریخ]],TArticle[تراکنش برنامه ریزی شده])</f>
        <v>0</v>
      </c>
    </row>
    <row r="25" spans="1:17" x14ac:dyDescent="0.25">
      <c r="A25" s="3" t="s">
        <v>227</v>
      </c>
      <c r="B25" t="str">
        <f>RIGHT(TDays[[#This Row],[تاریخ]],2)</f>
        <v>24</v>
      </c>
      <c r="C25" t="str">
        <f>RIGHT(LEFT(TDays[[#This Row],[تاریخ]],7),2)</f>
        <v>01</v>
      </c>
      <c r="D25" t="str">
        <f>LEFT(TDays[[#This Row],[تاریخ]],4)</f>
        <v>1401</v>
      </c>
      <c r="E25" t="str">
        <f>LEFT(TDays[[#This Row],[تاریخ]],7)</f>
        <v>1401-01</v>
      </c>
      <c r="F25">
        <v>4</v>
      </c>
      <c r="G25" s="15" t="str">
        <f>VLOOKUP(TDays[[#This Row],[کد روز هفته]],TDaysOfTheWeek[],2,FALSE)</f>
        <v>چهارشنبه</v>
      </c>
      <c r="H25" s="15">
        <f>IFERROR(IF(E24&lt;&gt;E25,1,INT(H24)+IF(TDays[[#This Row],[کد روز هفته]]=0,1,0)),1)</f>
        <v>4</v>
      </c>
      <c r="I25">
        <f>-SUMIF(TArticle[تاریخ],TDays[[#This Row],[تاریخ]],TArticle[هزینه])</f>
        <v>0</v>
      </c>
      <c r="J25">
        <f>SUMIF(TArticle[تاریخ],TDays[[#This Row],[تاریخ]],TArticle[درآمد تتا])</f>
        <v>0</v>
      </c>
      <c r="K25">
        <f>SUMIF(TArticle[تاریخ],TDays[[#This Row],[تاریخ]],TArticle[اسنپ])</f>
        <v>0</v>
      </c>
      <c r="L25">
        <f>-SUMIF(TArticle[تاریخ],TDays[[#This Row],[تاریخ]],TArticle[پرداخت بدهی])</f>
        <v>0</v>
      </c>
      <c r="M25">
        <f>SUMIF(TArticle[تاریخ],TDays[[#This Row],[تاریخ]],TArticle[افزایش بدهی])</f>
        <v>0</v>
      </c>
      <c r="N25">
        <f>-SUMIF(TArticle[تاریخ],TDays[[#This Row],[تاریخ]],TArticle[افزایش سرمایه])</f>
        <v>0</v>
      </c>
      <c r="O25">
        <f>SUMIF(TArticle[تاریخ],TDays[[#This Row],[تاریخ]],TArticle[تعداد تراکنش انجام شده])</f>
        <v>0</v>
      </c>
      <c r="P25">
        <f>INT(((TDays[[#This Row],[ماه]]-1)*31+TDays[[#This Row],[روز]]+1)/7)+1</f>
        <v>4</v>
      </c>
      <c r="Q25">
        <f>SUMIF(TArticle[تاریخ],TDays[[#This Row],[تاریخ]],TArticle[تراکنش برنامه ریزی شده])</f>
        <v>0</v>
      </c>
    </row>
    <row r="26" spans="1:17" x14ac:dyDescent="0.25">
      <c r="A26" s="3" t="s">
        <v>228</v>
      </c>
      <c r="B26" t="str">
        <f>RIGHT(TDays[[#This Row],[تاریخ]],2)</f>
        <v>25</v>
      </c>
      <c r="C26" t="str">
        <f>RIGHT(LEFT(TDays[[#This Row],[تاریخ]],7),2)</f>
        <v>01</v>
      </c>
      <c r="D26" t="str">
        <f>LEFT(TDays[[#This Row],[تاریخ]],4)</f>
        <v>1401</v>
      </c>
      <c r="E26" t="str">
        <f>LEFT(TDays[[#This Row],[تاریخ]],7)</f>
        <v>1401-01</v>
      </c>
      <c r="F26">
        <v>5</v>
      </c>
      <c r="G26" s="15" t="str">
        <f>VLOOKUP(TDays[[#This Row],[کد روز هفته]],TDaysOfTheWeek[],2,FALSE)</f>
        <v>پنجشنبه</v>
      </c>
      <c r="H26" s="15">
        <f>IFERROR(IF(E25&lt;&gt;E26,1,INT(H25)+IF(TDays[[#This Row],[کد روز هفته]]=0,1,0)),1)</f>
        <v>4</v>
      </c>
      <c r="I26">
        <f>-SUMIF(TArticle[تاریخ],TDays[[#This Row],[تاریخ]],TArticle[هزینه])</f>
        <v>0</v>
      </c>
      <c r="J26">
        <f>SUMIF(TArticle[تاریخ],TDays[[#This Row],[تاریخ]],TArticle[درآمد تتا])</f>
        <v>0</v>
      </c>
      <c r="K26">
        <f>SUMIF(TArticle[تاریخ],TDays[[#This Row],[تاریخ]],TArticle[اسنپ])</f>
        <v>0</v>
      </c>
      <c r="L26">
        <f>-SUMIF(TArticle[تاریخ],TDays[[#This Row],[تاریخ]],TArticle[پرداخت بدهی])</f>
        <v>0</v>
      </c>
      <c r="M26">
        <f>SUMIF(TArticle[تاریخ],TDays[[#This Row],[تاریخ]],TArticle[افزایش بدهی])</f>
        <v>0</v>
      </c>
      <c r="N26">
        <f>-SUMIF(TArticle[تاریخ],TDays[[#This Row],[تاریخ]],TArticle[افزایش سرمایه])</f>
        <v>0</v>
      </c>
      <c r="O26">
        <f>SUMIF(TArticle[تاریخ],TDays[[#This Row],[تاریخ]],TArticle[تعداد تراکنش انجام شده])</f>
        <v>1</v>
      </c>
      <c r="P26">
        <f>INT(((TDays[[#This Row],[ماه]]-1)*31+TDays[[#This Row],[روز]]+1)/7)+1</f>
        <v>4</v>
      </c>
      <c r="Q26">
        <f>SUMIF(TArticle[تاریخ],TDays[[#This Row],[تاریخ]],TArticle[تراکنش برنامه ریزی شده])</f>
        <v>0</v>
      </c>
    </row>
    <row r="27" spans="1:17" x14ac:dyDescent="0.25">
      <c r="A27" s="3" t="s">
        <v>229</v>
      </c>
      <c r="B27" t="str">
        <f>RIGHT(TDays[[#This Row],[تاریخ]],2)</f>
        <v>26</v>
      </c>
      <c r="C27" t="str">
        <f>RIGHT(LEFT(TDays[[#This Row],[تاریخ]],7),2)</f>
        <v>01</v>
      </c>
      <c r="D27" t="str">
        <f>LEFT(TDays[[#This Row],[تاریخ]],4)</f>
        <v>1401</v>
      </c>
      <c r="E27" t="str">
        <f>LEFT(TDays[[#This Row],[تاریخ]],7)</f>
        <v>1401-01</v>
      </c>
      <c r="F27">
        <v>6</v>
      </c>
      <c r="G27" s="15" t="str">
        <f>VLOOKUP(TDays[[#This Row],[کد روز هفته]],TDaysOfTheWeek[],2,FALSE)</f>
        <v>جمعه</v>
      </c>
      <c r="H27" s="15">
        <f>IFERROR(IF(E26&lt;&gt;E27,1,INT(H26)+IF(TDays[[#This Row],[کد روز هفته]]=0,1,0)),1)</f>
        <v>4</v>
      </c>
      <c r="I27">
        <f>-SUMIF(TArticle[تاریخ],TDays[[#This Row],[تاریخ]],TArticle[هزینه])</f>
        <v>0</v>
      </c>
      <c r="J27">
        <f>SUMIF(TArticle[تاریخ],TDays[[#This Row],[تاریخ]],TArticle[درآمد تتا])</f>
        <v>0</v>
      </c>
      <c r="K27">
        <f>SUMIF(TArticle[تاریخ],TDays[[#This Row],[تاریخ]],TArticle[اسنپ])</f>
        <v>0</v>
      </c>
      <c r="L27">
        <f>-SUMIF(TArticle[تاریخ],TDays[[#This Row],[تاریخ]],TArticle[پرداخت بدهی])</f>
        <v>0</v>
      </c>
      <c r="M27">
        <f>SUMIF(TArticle[تاریخ],TDays[[#This Row],[تاریخ]],TArticle[افزایش بدهی])</f>
        <v>0</v>
      </c>
      <c r="N27">
        <f>-SUMIF(TArticle[تاریخ],TDays[[#This Row],[تاریخ]],TArticle[افزایش سرمایه])</f>
        <v>0</v>
      </c>
      <c r="O27">
        <f>SUMIF(TArticle[تاریخ],TDays[[#This Row],[تاریخ]],TArticle[تعداد تراکنش انجام شده])</f>
        <v>0</v>
      </c>
      <c r="P27">
        <f>INT(((TDays[[#This Row],[ماه]]-1)*31+TDays[[#This Row],[روز]]+1)/7)+1</f>
        <v>4</v>
      </c>
      <c r="Q27">
        <f>SUMIF(TArticle[تاریخ],TDays[[#This Row],[تاریخ]],TArticle[تراکنش برنامه ریزی شده])</f>
        <v>0</v>
      </c>
    </row>
    <row r="28" spans="1:17" x14ac:dyDescent="0.25">
      <c r="A28" s="3" t="s">
        <v>230</v>
      </c>
      <c r="B28" t="str">
        <f>RIGHT(TDays[[#This Row],[تاریخ]],2)</f>
        <v>27</v>
      </c>
      <c r="C28" t="str">
        <f>RIGHT(LEFT(TDays[[#This Row],[تاریخ]],7),2)</f>
        <v>01</v>
      </c>
      <c r="D28" t="str">
        <f>LEFT(TDays[[#This Row],[تاریخ]],4)</f>
        <v>1401</v>
      </c>
      <c r="E28" t="str">
        <f>LEFT(TDays[[#This Row],[تاریخ]],7)</f>
        <v>1401-01</v>
      </c>
      <c r="F28">
        <v>0</v>
      </c>
      <c r="G28" s="15" t="str">
        <f>VLOOKUP(TDays[[#This Row],[کد روز هفته]],TDaysOfTheWeek[],2,FALSE)</f>
        <v>شنبه</v>
      </c>
      <c r="H28" s="15">
        <f>IFERROR(IF(E27&lt;&gt;E28,1,INT(H27)+IF(TDays[[#This Row],[کد روز هفته]]=0,1,0)),1)</f>
        <v>5</v>
      </c>
      <c r="I28">
        <f>-SUMIF(TArticle[تاریخ],TDays[[#This Row],[تاریخ]],TArticle[هزینه])</f>
        <v>1890</v>
      </c>
      <c r="J28">
        <f>SUMIF(TArticle[تاریخ],TDays[[#This Row],[تاریخ]],TArticle[درآمد تتا])</f>
        <v>0</v>
      </c>
      <c r="K28">
        <f>SUMIF(TArticle[تاریخ],TDays[[#This Row],[تاریخ]],TArticle[اسنپ])</f>
        <v>0</v>
      </c>
      <c r="L28">
        <f>-SUMIF(TArticle[تاریخ],TDays[[#This Row],[تاریخ]],TArticle[پرداخت بدهی])</f>
        <v>0</v>
      </c>
      <c r="M28">
        <f>SUMIF(TArticle[تاریخ],TDays[[#This Row],[تاریخ]],TArticle[افزایش بدهی])</f>
        <v>0</v>
      </c>
      <c r="N28">
        <f>-SUMIF(TArticle[تاریخ],TDays[[#This Row],[تاریخ]],TArticle[افزایش سرمایه])</f>
        <v>0</v>
      </c>
      <c r="O28">
        <f>SUMIF(TArticle[تاریخ],TDays[[#This Row],[تاریخ]],TArticle[تعداد تراکنش انجام شده])</f>
        <v>1</v>
      </c>
      <c r="P28">
        <f>INT(((TDays[[#This Row],[ماه]]-1)*31+TDays[[#This Row],[روز]]+1)/7)+1</f>
        <v>5</v>
      </c>
      <c r="Q28">
        <f>SUMIF(TArticle[تاریخ],TDays[[#This Row],[تاریخ]],TArticle[تراکنش برنامه ریزی شده])</f>
        <v>0</v>
      </c>
    </row>
    <row r="29" spans="1:17" x14ac:dyDescent="0.25">
      <c r="A29" s="3" t="s">
        <v>231</v>
      </c>
      <c r="B29" t="str">
        <f>RIGHT(TDays[[#This Row],[تاریخ]],2)</f>
        <v>28</v>
      </c>
      <c r="C29" t="str">
        <f>RIGHT(LEFT(TDays[[#This Row],[تاریخ]],7),2)</f>
        <v>01</v>
      </c>
      <c r="D29" t="str">
        <f>LEFT(TDays[[#This Row],[تاریخ]],4)</f>
        <v>1401</v>
      </c>
      <c r="E29" t="str">
        <f>LEFT(TDays[[#This Row],[تاریخ]],7)</f>
        <v>1401-01</v>
      </c>
      <c r="F29">
        <v>1</v>
      </c>
      <c r="G29" s="15" t="str">
        <f>VLOOKUP(TDays[[#This Row],[کد روز هفته]],TDaysOfTheWeek[],2,FALSE)</f>
        <v>یکشنبه</v>
      </c>
      <c r="H29" s="15">
        <f>IFERROR(IF(E28&lt;&gt;E29,1,INT(H28)+IF(TDays[[#This Row],[کد روز هفته]]=0,1,0)),1)</f>
        <v>5</v>
      </c>
      <c r="I29">
        <f>-SUMIF(TArticle[تاریخ],TDays[[#This Row],[تاریخ]],TArticle[هزینه])</f>
        <v>9000</v>
      </c>
      <c r="J29">
        <f>SUMIF(TArticle[تاریخ],TDays[[#This Row],[تاریخ]],TArticle[درآمد تتا])</f>
        <v>0</v>
      </c>
      <c r="K29">
        <f>SUMIF(TArticle[تاریخ],TDays[[#This Row],[تاریخ]],TArticle[اسنپ])</f>
        <v>0</v>
      </c>
      <c r="L29">
        <f>-SUMIF(TArticle[تاریخ],TDays[[#This Row],[تاریخ]],TArticle[پرداخت بدهی])</f>
        <v>0</v>
      </c>
      <c r="M29">
        <f>SUMIF(TArticle[تاریخ],TDays[[#This Row],[تاریخ]],TArticle[افزایش بدهی])</f>
        <v>0</v>
      </c>
      <c r="N29">
        <f>-SUMIF(TArticle[تاریخ],TDays[[#This Row],[تاریخ]],TArticle[افزایش سرمایه])</f>
        <v>0</v>
      </c>
      <c r="O29">
        <f>SUMIF(TArticle[تاریخ],TDays[[#This Row],[تاریخ]],TArticle[تعداد تراکنش انجام شده])</f>
        <v>1</v>
      </c>
      <c r="P29">
        <f>INT(((TDays[[#This Row],[ماه]]-1)*31+TDays[[#This Row],[روز]]+1)/7)+1</f>
        <v>5</v>
      </c>
      <c r="Q29">
        <f>SUMIF(TArticle[تاریخ],TDays[[#This Row],[تاریخ]],TArticle[تراکنش برنامه ریزی شده])</f>
        <v>0</v>
      </c>
    </row>
    <row r="30" spans="1:17" x14ac:dyDescent="0.25">
      <c r="A30" s="3" t="s">
        <v>232</v>
      </c>
      <c r="B30" t="str">
        <f>RIGHT(TDays[[#This Row],[تاریخ]],2)</f>
        <v>29</v>
      </c>
      <c r="C30" t="str">
        <f>RIGHT(LEFT(TDays[[#This Row],[تاریخ]],7),2)</f>
        <v>01</v>
      </c>
      <c r="D30" t="str">
        <f>LEFT(TDays[[#This Row],[تاریخ]],4)</f>
        <v>1401</v>
      </c>
      <c r="E30" t="str">
        <f>LEFT(TDays[[#This Row],[تاریخ]],7)</f>
        <v>1401-01</v>
      </c>
      <c r="F30">
        <v>2</v>
      </c>
      <c r="G30" s="15" t="str">
        <f>VLOOKUP(TDays[[#This Row],[کد روز هفته]],TDaysOfTheWeek[],2,FALSE)</f>
        <v>دوشنبه</v>
      </c>
      <c r="H30" s="15">
        <f>IFERROR(IF(E29&lt;&gt;E30,1,INT(H29)+IF(TDays[[#This Row],[کد روز هفته]]=0,1,0)),1)</f>
        <v>5</v>
      </c>
      <c r="I30">
        <f>-SUMIF(TArticle[تاریخ],TDays[[#This Row],[تاریخ]],TArticle[هزینه])</f>
        <v>3547</v>
      </c>
      <c r="J30">
        <f>SUMIF(TArticle[تاریخ],TDays[[#This Row],[تاریخ]],TArticle[درآمد تتا])</f>
        <v>0</v>
      </c>
      <c r="K30">
        <f>SUMIF(TArticle[تاریخ],TDays[[#This Row],[تاریخ]],TArticle[اسنپ])</f>
        <v>0</v>
      </c>
      <c r="L30">
        <f>-SUMIF(TArticle[تاریخ],TDays[[#This Row],[تاریخ]],TArticle[پرداخت بدهی])</f>
        <v>0</v>
      </c>
      <c r="M30">
        <f>SUMIF(TArticle[تاریخ],TDays[[#This Row],[تاریخ]],TArticle[افزایش بدهی])</f>
        <v>0</v>
      </c>
      <c r="N30">
        <f>-SUMIF(TArticle[تاریخ],TDays[[#This Row],[تاریخ]],TArticle[افزایش سرمایه])</f>
        <v>0</v>
      </c>
      <c r="O30">
        <f>SUMIF(TArticle[تاریخ],TDays[[#This Row],[تاریخ]],TArticle[تعداد تراکنش انجام شده])</f>
        <v>3</v>
      </c>
      <c r="P30">
        <f>INT(((TDays[[#This Row],[ماه]]-1)*31+TDays[[#This Row],[روز]]+1)/7)+1</f>
        <v>5</v>
      </c>
      <c r="Q30">
        <f>SUMIF(TArticle[تاریخ],TDays[[#This Row],[تاریخ]],TArticle[تراکنش برنامه ریزی شده])</f>
        <v>0</v>
      </c>
    </row>
    <row r="31" spans="1:17" x14ac:dyDescent="0.25">
      <c r="A31" s="3" t="s">
        <v>233</v>
      </c>
      <c r="B31" t="str">
        <f>RIGHT(TDays[[#This Row],[تاریخ]],2)</f>
        <v>30</v>
      </c>
      <c r="C31" t="str">
        <f>RIGHT(LEFT(TDays[[#This Row],[تاریخ]],7),2)</f>
        <v>01</v>
      </c>
      <c r="D31" t="str">
        <f>LEFT(TDays[[#This Row],[تاریخ]],4)</f>
        <v>1401</v>
      </c>
      <c r="E31" t="str">
        <f>LEFT(TDays[[#This Row],[تاریخ]],7)</f>
        <v>1401-01</v>
      </c>
      <c r="F31">
        <v>3</v>
      </c>
      <c r="G31" s="15" t="str">
        <f>VLOOKUP(TDays[[#This Row],[کد روز هفته]],TDaysOfTheWeek[],2,FALSE)</f>
        <v>سه شنبه</v>
      </c>
      <c r="H31" s="15">
        <f>IFERROR(IF(E30&lt;&gt;E31,1,INT(H30)+IF(TDays[[#This Row],[کد روز هفته]]=0,1,0)),1)</f>
        <v>5</v>
      </c>
      <c r="I31">
        <f>-SUMIF(TArticle[تاریخ],TDays[[#This Row],[تاریخ]],TArticle[هزینه])</f>
        <v>8561</v>
      </c>
      <c r="J31">
        <f>SUMIF(TArticle[تاریخ],TDays[[#This Row],[تاریخ]],TArticle[درآمد تتا])</f>
        <v>24516</v>
      </c>
      <c r="K31">
        <f>SUMIF(TArticle[تاریخ],TDays[[#This Row],[تاریخ]],TArticle[اسنپ])</f>
        <v>0</v>
      </c>
      <c r="L31">
        <f>-SUMIF(TArticle[تاریخ],TDays[[#This Row],[تاریخ]],TArticle[پرداخت بدهی])</f>
        <v>0</v>
      </c>
      <c r="M31">
        <f>SUMIF(TArticle[تاریخ],TDays[[#This Row],[تاریخ]],TArticle[افزایش بدهی])</f>
        <v>0</v>
      </c>
      <c r="N31">
        <f>-SUMIF(TArticle[تاریخ],TDays[[#This Row],[تاریخ]],TArticle[افزایش سرمایه])</f>
        <v>0</v>
      </c>
      <c r="O31">
        <f>SUMIF(TArticle[تاریخ],TDays[[#This Row],[تاریخ]],TArticle[تعداد تراکنش انجام شده])</f>
        <v>4</v>
      </c>
      <c r="P31">
        <f>INT(((TDays[[#This Row],[ماه]]-1)*31+TDays[[#This Row],[روز]]+1)/7)+1</f>
        <v>5</v>
      </c>
      <c r="Q31">
        <f>SUMIF(TArticle[تاریخ],TDays[[#This Row],[تاریخ]],TArticle[تراکنش برنامه ریزی شده])</f>
        <v>0</v>
      </c>
    </row>
    <row r="32" spans="1:17" x14ac:dyDescent="0.25">
      <c r="A32" s="3" t="s">
        <v>234</v>
      </c>
      <c r="B32" t="str">
        <f>RIGHT(TDays[[#This Row],[تاریخ]],2)</f>
        <v>31</v>
      </c>
      <c r="C32" t="str">
        <f>RIGHT(LEFT(TDays[[#This Row],[تاریخ]],7),2)</f>
        <v>01</v>
      </c>
      <c r="D32" t="str">
        <f>LEFT(TDays[[#This Row],[تاریخ]],4)</f>
        <v>1401</v>
      </c>
      <c r="E32" t="str">
        <f>LEFT(TDays[[#This Row],[تاریخ]],7)</f>
        <v>1401-01</v>
      </c>
      <c r="F32">
        <v>4</v>
      </c>
      <c r="G32" s="15" t="str">
        <f>VLOOKUP(TDays[[#This Row],[کد روز هفته]],TDaysOfTheWeek[],2,FALSE)</f>
        <v>چهارشنبه</v>
      </c>
      <c r="H32" s="15">
        <f>IFERROR(IF(E31&lt;&gt;E32,1,INT(H31)+IF(TDays[[#This Row],[کد روز هفته]]=0,1,0)),1)</f>
        <v>5</v>
      </c>
      <c r="I32">
        <f>-SUMIF(TArticle[تاریخ],TDays[[#This Row],[تاریخ]],TArticle[هزینه])</f>
        <v>0</v>
      </c>
      <c r="J32">
        <f>SUMIF(TArticle[تاریخ],TDays[[#This Row],[تاریخ]],TArticle[درآمد تتا])</f>
        <v>0</v>
      </c>
      <c r="K32">
        <f>SUMIF(TArticle[تاریخ],TDays[[#This Row],[تاریخ]],TArticle[اسنپ])</f>
        <v>0</v>
      </c>
      <c r="L32">
        <f>-SUMIF(TArticle[تاریخ],TDays[[#This Row],[تاریخ]],TArticle[پرداخت بدهی])</f>
        <v>8245</v>
      </c>
      <c r="M32">
        <f>SUMIF(TArticle[تاریخ],TDays[[#This Row],[تاریخ]],TArticle[افزایش بدهی])</f>
        <v>0</v>
      </c>
      <c r="N32">
        <f>-SUMIF(TArticle[تاریخ],TDays[[#This Row],[تاریخ]],TArticle[افزایش سرمایه])</f>
        <v>0</v>
      </c>
      <c r="O32">
        <f>SUMIF(TArticle[تاریخ],TDays[[#This Row],[تاریخ]],TArticle[تعداد تراکنش انجام شده])</f>
        <v>4</v>
      </c>
      <c r="P32">
        <f>INT(((TDays[[#This Row],[ماه]]-1)*31+TDays[[#This Row],[روز]]+1)/7)+1</f>
        <v>5</v>
      </c>
      <c r="Q32">
        <f>SUMIF(TArticle[تاریخ],TDays[[#This Row],[تاریخ]],TArticle[تراکنش برنامه ریزی شده])</f>
        <v>0</v>
      </c>
    </row>
    <row r="33" spans="1:17" x14ac:dyDescent="0.25">
      <c r="A33" s="3" t="s">
        <v>235</v>
      </c>
      <c r="B33" t="str">
        <f>RIGHT(TDays[[#This Row],[تاریخ]],2)</f>
        <v>01</v>
      </c>
      <c r="C33" t="str">
        <f>RIGHT(LEFT(TDays[[#This Row],[تاریخ]],7),2)</f>
        <v>02</v>
      </c>
      <c r="D33" t="str">
        <f>LEFT(TDays[[#This Row],[تاریخ]],4)</f>
        <v>1401</v>
      </c>
      <c r="E33" t="str">
        <f>LEFT(TDays[[#This Row],[تاریخ]],7)</f>
        <v>1401-02</v>
      </c>
      <c r="F33">
        <v>5</v>
      </c>
      <c r="G33" s="15" t="str">
        <f>VLOOKUP(TDays[[#This Row],[کد روز هفته]],TDaysOfTheWeek[],2,FALSE)</f>
        <v>پنجشنبه</v>
      </c>
      <c r="H33" s="15">
        <f>IFERROR(IF(E32&lt;&gt;E33,1,INT(H32)+IF(TDays[[#This Row],[کد روز هفته]]=0,1,0)),1)</f>
        <v>1</v>
      </c>
      <c r="I33">
        <f>-SUMIF(TArticle[تاریخ],TDays[[#This Row],[تاریخ]],TArticle[هزینه])</f>
        <v>334</v>
      </c>
      <c r="J33">
        <f>SUMIF(TArticle[تاریخ],TDays[[#This Row],[تاریخ]],TArticle[درآمد تتا])</f>
        <v>0</v>
      </c>
      <c r="K33">
        <f>SUMIF(TArticle[تاریخ],TDays[[#This Row],[تاریخ]],TArticle[اسنپ])</f>
        <v>0</v>
      </c>
      <c r="L33">
        <f>-SUMIF(TArticle[تاریخ],TDays[[#This Row],[تاریخ]],TArticle[پرداخت بدهی])</f>
        <v>0</v>
      </c>
      <c r="M33">
        <f>SUMIF(TArticle[تاریخ],TDays[[#This Row],[تاریخ]],TArticle[افزایش بدهی])</f>
        <v>0</v>
      </c>
      <c r="N33">
        <f>-SUMIF(TArticle[تاریخ],TDays[[#This Row],[تاریخ]],TArticle[افزایش سرمایه])</f>
        <v>0</v>
      </c>
      <c r="O33">
        <f>SUMIF(TArticle[تاریخ],TDays[[#This Row],[تاریخ]],TArticle[تعداد تراکنش انجام شده])</f>
        <v>2</v>
      </c>
      <c r="P33">
        <f>INT(((TDays[[#This Row],[ماه]]-1)*31+TDays[[#This Row],[روز]]+1)/7)+1</f>
        <v>5</v>
      </c>
      <c r="Q33">
        <f>SUMIF(TArticle[تاریخ],TDays[[#This Row],[تاریخ]],TArticle[تراکنش برنامه ریزی شده])</f>
        <v>0</v>
      </c>
    </row>
    <row r="34" spans="1:17" x14ac:dyDescent="0.25">
      <c r="A34" s="3" t="s">
        <v>236</v>
      </c>
      <c r="B34" t="str">
        <f>RIGHT(TDays[[#This Row],[تاریخ]],2)</f>
        <v>02</v>
      </c>
      <c r="C34" t="str">
        <f>RIGHT(LEFT(TDays[[#This Row],[تاریخ]],7),2)</f>
        <v>02</v>
      </c>
      <c r="D34" t="str">
        <f>LEFT(TDays[[#This Row],[تاریخ]],4)</f>
        <v>1401</v>
      </c>
      <c r="E34" t="str">
        <f>LEFT(TDays[[#This Row],[تاریخ]],7)</f>
        <v>1401-02</v>
      </c>
      <c r="F34">
        <v>6</v>
      </c>
      <c r="G34" s="15" t="str">
        <f>VLOOKUP(TDays[[#This Row],[کد روز هفته]],TDaysOfTheWeek[],2,FALSE)</f>
        <v>جمعه</v>
      </c>
      <c r="H34" s="15">
        <f>IFERROR(IF(E33&lt;&gt;E34,1,INT(H33)+IF(TDays[[#This Row],[کد روز هفته]]=0,1,0)),1)</f>
        <v>1</v>
      </c>
      <c r="I34">
        <f>-SUMIF(TArticle[تاریخ],TDays[[#This Row],[تاریخ]],TArticle[هزینه])</f>
        <v>0</v>
      </c>
      <c r="J34">
        <f>SUMIF(TArticle[تاریخ],TDays[[#This Row],[تاریخ]],TArticle[درآمد تتا])</f>
        <v>0</v>
      </c>
      <c r="K34">
        <f>SUMIF(TArticle[تاریخ],TDays[[#This Row],[تاریخ]],TArticle[اسنپ])</f>
        <v>0</v>
      </c>
      <c r="L34">
        <f>-SUMIF(TArticle[تاریخ],TDays[[#This Row],[تاریخ]],TArticle[پرداخت بدهی])</f>
        <v>0</v>
      </c>
      <c r="M34">
        <f>SUMIF(TArticle[تاریخ],TDays[[#This Row],[تاریخ]],TArticle[افزایش بدهی])</f>
        <v>0</v>
      </c>
      <c r="N34">
        <f>-SUMIF(TArticle[تاریخ],TDays[[#This Row],[تاریخ]],TArticle[افزایش سرمایه])</f>
        <v>0</v>
      </c>
      <c r="O34">
        <f>SUMIF(TArticle[تاریخ],TDays[[#This Row],[تاریخ]],TArticle[تعداد تراکنش انجام شده])</f>
        <v>0</v>
      </c>
      <c r="P34">
        <f>INT(((TDays[[#This Row],[ماه]]-1)*31+TDays[[#This Row],[روز]]+1)/7)+1</f>
        <v>5</v>
      </c>
      <c r="Q34">
        <f>SUMIF(TArticle[تاریخ],TDays[[#This Row],[تاریخ]],TArticle[تراکنش برنامه ریزی شده])</f>
        <v>0</v>
      </c>
    </row>
    <row r="35" spans="1:17" x14ac:dyDescent="0.25">
      <c r="A35" s="3" t="s">
        <v>237</v>
      </c>
      <c r="B35" t="str">
        <f>RIGHT(TDays[[#This Row],[تاریخ]],2)</f>
        <v>03</v>
      </c>
      <c r="C35" t="str">
        <f>RIGHT(LEFT(TDays[[#This Row],[تاریخ]],7),2)</f>
        <v>02</v>
      </c>
      <c r="D35" t="str">
        <f>LEFT(TDays[[#This Row],[تاریخ]],4)</f>
        <v>1401</v>
      </c>
      <c r="E35" t="str">
        <f>LEFT(TDays[[#This Row],[تاریخ]],7)</f>
        <v>1401-02</v>
      </c>
      <c r="F35">
        <v>0</v>
      </c>
      <c r="G35" s="15" t="str">
        <f>VLOOKUP(TDays[[#This Row],[کد روز هفته]],TDaysOfTheWeek[],2,FALSE)</f>
        <v>شنبه</v>
      </c>
      <c r="H35" s="15">
        <f>IFERROR(IF(E34&lt;&gt;E35,1,INT(H34)+IF(TDays[[#This Row],[کد روز هفته]]=0,1,0)),1)</f>
        <v>2</v>
      </c>
      <c r="I35">
        <f>-SUMIF(TArticle[تاریخ],TDays[[#This Row],[تاریخ]],TArticle[هزینه])</f>
        <v>0</v>
      </c>
      <c r="J35">
        <f>SUMIF(TArticle[تاریخ],TDays[[#This Row],[تاریخ]],TArticle[درآمد تتا])</f>
        <v>0</v>
      </c>
      <c r="K35">
        <f>SUMIF(TArticle[تاریخ],TDays[[#This Row],[تاریخ]],TArticle[اسنپ])</f>
        <v>0</v>
      </c>
      <c r="L35">
        <f>-SUMIF(TArticle[تاریخ],TDays[[#This Row],[تاریخ]],TArticle[پرداخت بدهی])</f>
        <v>0</v>
      </c>
      <c r="M35">
        <f>SUMIF(TArticle[تاریخ],TDays[[#This Row],[تاریخ]],TArticle[افزایش بدهی])</f>
        <v>0</v>
      </c>
      <c r="N35">
        <f>-SUMIF(TArticle[تاریخ],TDays[[#This Row],[تاریخ]],TArticle[افزایش سرمایه])</f>
        <v>0</v>
      </c>
      <c r="O35">
        <f>SUMIF(TArticle[تاریخ],TDays[[#This Row],[تاریخ]],TArticle[تعداد تراکنش انجام شده])</f>
        <v>0</v>
      </c>
      <c r="P35">
        <f>INT(((TDays[[#This Row],[ماه]]-1)*31+TDays[[#This Row],[روز]]+1)/7)+1</f>
        <v>6</v>
      </c>
      <c r="Q35">
        <f>SUMIF(TArticle[تاریخ],TDays[[#This Row],[تاریخ]],TArticle[تراکنش برنامه ریزی شده])</f>
        <v>0</v>
      </c>
    </row>
    <row r="36" spans="1:17" x14ac:dyDescent="0.25">
      <c r="A36" s="3" t="s">
        <v>238</v>
      </c>
      <c r="B36" t="str">
        <f>RIGHT(TDays[[#This Row],[تاریخ]],2)</f>
        <v>04</v>
      </c>
      <c r="C36" t="str">
        <f>RIGHT(LEFT(TDays[[#This Row],[تاریخ]],7),2)</f>
        <v>02</v>
      </c>
      <c r="D36" t="str">
        <f>LEFT(TDays[[#This Row],[تاریخ]],4)</f>
        <v>1401</v>
      </c>
      <c r="E36" t="str">
        <f>LEFT(TDays[[#This Row],[تاریخ]],7)</f>
        <v>1401-02</v>
      </c>
      <c r="F36">
        <v>1</v>
      </c>
      <c r="G36" s="15" t="str">
        <f>VLOOKUP(TDays[[#This Row],[کد روز هفته]],TDaysOfTheWeek[],2,FALSE)</f>
        <v>یکشنبه</v>
      </c>
      <c r="H36" s="15">
        <f>IFERROR(IF(E35&lt;&gt;E36,1,INT(H35)+IF(TDays[[#This Row],[کد روز هفته]]=0,1,0)),1)</f>
        <v>2</v>
      </c>
      <c r="I36">
        <f>-SUMIF(TArticle[تاریخ],TDays[[#This Row],[تاریخ]],TArticle[هزینه])</f>
        <v>0</v>
      </c>
      <c r="J36">
        <f>SUMIF(TArticle[تاریخ],TDays[[#This Row],[تاریخ]],TArticle[درآمد تتا])</f>
        <v>0</v>
      </c>
      <c r="K36">
        <f>SUMIF(TArticle[تاریخ],TDays[[#This Row],[تاریخ]],TArticle[اسنپ])</f>
        <v>0</v>
      </c>
      <c r="L36">
        <f>-SUMIF(TArticle[تاریخ],TDays[[#This Row],[تاریخ]],TArticle[پرداخت بدهی])</f>
        <v>0</v>
      </c>
      <c r="M36">
        <f>SUMIF(TArticle[تاریخ],TDays[[#This Row],[تاریخ]],TArticle[افزایش بدهی])</f>
        <v>0</v>
      </c>
      <c r="N36">
        <f>-SUMIF(TArticle[تاریخ],TDays[[#This Row],[تاریخ]],TArticle[افزایش سرمایه])</f>
        <v>0</v>
      </c>
      <c r="O36">
        <f>SUMIF(TArticle[تاریخ],TDays[[#This Row],[تاریخ]],TArticle[تعداد تراکنش انجام شده])</f>
        <v>0</v>
      </c>
      <c r="P36">
        <f>INT(((TDays[[#This Row],[ماه]]-1)*31+TDays[[#This Row],[روز]]+1)/7)+1</f>
        <v>6</v>
      </c>
      <c r="Q36">
        <f>SUMIF(TArticle[تاریخ],TDays[[#This Row],[تاریخ]],TArticle[تراکنش برنامه ریزی شده])</f>
        <v>0</v>
      </c>
    </row>
    <row r="37" spans="1:17" x14ac:dyDescent="0.25">
      <c r="A37" s="3" t="s">
        <v>239</v>
      </c>
      <c r="B37" t="str">
        <f>RIGHT(TDays[[#This Row],[تاریخ]],2)</f>
        <v>05</v>
      </c>
      <c r="C37" t="str">
        <f>RIGHT(LEFT(TDays[[#This Row],[تاریخ]],7),2)</f>
        <v>02</v>
      </c>
      <c r="D37" t="str">
        <f>LEFT(TDays[[#This Row],[تاریخ]],4)</f>
        <v>1401</v>
      </c>
      <c r="E37" t="str">
        <f>LEFT(TDays[[#This Row],[تاریخ]],7)</f>
        <v>1401-02</v>
      </c>
      <c r="F37">
        <v>2</v>
      </c>
      <c r="G37" s="15" t="str">
        <f>VLOOKUP(TDays[[#This Row],[کد روز هفته]],TDaysOfTheWeek[],2,FALSE)</f>
        <v>دوشنبه</v>
      </c>
      <c r="H37" s="15">
        <f>IFERROR(IF(E36&lt;&gt;E37,1,INT(H36)+IF(TDays[[#This Row],[کد روز هفته]]=0,1,0)),1)</f>
        <v>2</v>
      </c>
      <c r="I37">
        <f>-SUMIF(TArticle[تاریخ],TDays[[#This Row],[تاریخ]],TArticle[هزینه])</f>
        <v>0</v>
      </c>
      <c r="J37">
        <f>SUMIF(TArticle[تاریخ],TDays[[#This Row],[تاریخ]],TArticle[درآمد تتا])</f>
        <v>0</v>
      </c>
      <c r="K37">
        <f>SUMIF(TArticle[تاریخ],TDays[[#This Row],[تاریخ]],TArticle[اسنپ])</f>
        <v>0</v>
      </c>
      <c r="L37">
        <f>-SUMIF(TArticle[تاریخ],TDays[[#This Row],[تاریخ]],TArticle[پرداخت بدهی])</f>
        <v>0</v>
      </c>
      <c r="M37">
        <f>SUMIF(TArticle[تاریخ],TDays[[#This Row],[تاریخ]],TArticle[افزایش بدهی])</f>
        <v>0</v>
      </c>
      <c r="N37">
        <f>-SUMIF(TArticle[تاریخ],TDays[[#This Row],[تاریخ]],TArticle[افزایش سرمایه])</f>
        <v>0</v>
      </c>
      <c r="O37">
        <f>SUMIF(TArticle[تاریخ],TDays[[#This Row],[تاریخ]],TArticle[تعداد تراکنش انجام شده])</f>
        <v>0</v>
      </c>
      <c r="P37">
        <f>INT(((TDays[[#This Row],[ماه]]-1)*31+TDays[[#This Row],[روز]]+1)/7)+1</f>
        <v>6</v>
      </c>
      <c r="Q37">
        <f>SUMIF(TArticle[تاریخ],TDays[[#This Row],[تاریخ]],TArticle[تراکنش برنامه ریزی شده])</f>
        <v>0</v>
      </c>
    </row>
    <row r="38" spans="1:17" x14ac:dyDescent="0.25">
      <c r="A38" s="3" t="s">
        <v>240</v>
      </c>
      <c r="B38" t="str">
        <f>RIGHT(TDays[[#This Row],[تاریخ]],2)</f>
        <v>06</v>
      </c>
      <c r="C38" t="str">
        <f>RIGHT(LEFT(TDays[[#This Row],[تاریخ]],7),2)</f>
        <v>02</v>
      </c>
      <c r="D38" t="str">
        <f>LEFT(TDays[[#This Row],[تاریخ]],4)</f>
        <v>1401</v>
      </c>
      <c r="E38" t="str">
        <f>LEFT(TDays[[#This Row],[تاریخ]],7)</f>
        <v>1401-02</v>
      </c>
      <c r="F38">
        <v>3</v>
      </c>
      <c r="G38" s="15" t="str">
        <f>VLOOKUP(TDays[[#This Row],[کد روز هفته]],TDaysOfTheWeek[],2,FALSE)</f>
        <v>سه شنبه</v>
      </c>
      <c r="H38" s="15">
        <f>IFERROR(IF(E37&lt;&gt;E38,1,INT(H37)+IF(TDays[[#This Row],[کد روز هفته]]=0,1,0)),1)</f>
        <v>2</v>
      </c>
      <c r="I38">
        <f>-SUMIF(TArticle[تاریخ],TDays[[#This Row],[تاریخ]],TArticle[هزینه])</f>
        <v>0</v>
      </c>
      <c r="J38">
        <f>SUMIF(TArticle[تاریخ],TDays[[#This Row],[تاریخ]],TArticle[درآمد تتا])</f>
        <v>0</v>
      </c>
      <c r="K38">
        <f>SUMIF(TArticle[تاریخ],TDays[[#This Row],[تاریخ]],TArticle[اسنپ])</f>
        <v>0</v>
      </c>
      <c r="L38">
        <f>-SUMIF(TArticle[تاریخ],TDays[[#This Row],[تاریخ]],TArticle[پرداخت بدهی])</f>
        <v>0</v>
      </c>
      <c r="M38">
        <f>SUMIF(TArticle[تاریخ],TDays[[#This Row],[تاریخ]],TArticle[افزایش بدهی])</f>
        <v>0</v>
      </c>
      <c r="N38">
        <f>-SUMIF(TArticle[تاریخ],TDays[[#This Row],[تاریخ]],TArticle[افزایش سرمایه])</f>
        <v>0</v>
      </c>
      <c r="O38">
        <f>SUMIF(TArticle[تاریخ],TDays[[#This Row],[تاریخ]],TArticle[تعداد تراکنش انجام شده])</f>
        <v>0</v>
      </c>
      <c r="P38">
        <f>INT(((TDays[[#This Row],[ماه]]-1)*31+TDays[[#This Row],[روز]]+1)/7)+1</f>
        <v>6</v>
      </c>
      <c r="Q38">
        <f>SUMIF(TArticle[تاریخ],TDays[[#This Row],[تاریخ]],TArticle[تراکنش برنامه ریزی شده])</f>
        <v>0</v>
      </c>
    </row>
    <row r="39" spans="1:17" x14ac:dyDescent="0.25">
      <c r="A39" s="3" t="s">
        <v>241</v>
      </c>
      <c r="B39" t="str">
        <f>RIGHT(TDays[[#This Row],[تاریخ]],2)</f>
        <v>07</v>
      </c>
      <c r="C39" t="str">
        <f>RIGHT(LEFT(TDays[[#This Row],[تاریخ]],7),2)</f>
        <v>02</v>
      </c>
      <c r="D39" t="str">
        <f>LEFT(TDays[[#This Row],[تاریخ]],4)</f>
        <v>1401</v>
      </c>
      <c r="E39" t="str">
        <f>LEFT(TDays[[#This Row],[تاریخ]],7)</f>
        <v>1401-02</v>
      </c>
      <c r="F39">
        <v>4</v>
      </c>
      <c r="G39" s="15" t="str">
        <f>VLOOKUP(TDays[[#This Row],[کد روز هفته]],TDaysOfTheWeek[],2,FALSE)</f>
        <v>چهارشنبه</v>
      </c>
      <c r="H39" s="15">
        <f>IFERROR(IF(E38&lt;&gt;E39,1,INT(H38)+IF(TDays[[#This Row],[کد روز هفته]]=0,1,0)),1)</f>
        <v>2</v>
      </c>
      <c r="I39">
        <f>-SUMIF(TArticle[تاریخ],TDays[[#This Row],[تاریخ]],TArticle[هزینه])</f>
        <v>0</v>
      </c>
      <c r="J39">
        <f>SUMIF(TArticle[تاریخ],TDays[[#This Row],[تاریخ]],TArticle[درآمد تتا])</f>
        <v>0</v>
      </c>
      <c r="K39">
        <f>SUMIF(TArticle[تاریخ],TDays[[#This Row],[تاریخ]],TArticle[اسنپ])</f>
        <v>0</v>
      </c>
      <c r="L39">
        <f>-SUMIF(TArticle[تاریخ],TDays[[#This Row],[تاریخ]],TArticle[پرداخت بدهی])</f>
        <v>4000</v>
      </c>
      <c r="M39">
        <f>SUMIF(TArticle[تاریخ],TDays[[#This Row],[تاریخ]],TArticle[افزایش بدهی])</f>
        <v>0</v>
      </c>
      <c r="N39">
        <f>-SUMIF(TArticle[تاریخ],TDays[[#This Row],[تاریخ]],TArticle[افزایش سرمایه])</f>
        <v>0</v>
      </c>
      <c r="O39">
        <f>SUMIF(TArticle[تاریخ],TDays[[#This Row],[تاریخ]],TArticle[تعداد تراکنش انجام شده])</f>
        <v>1</v>
      </c>
      <c r="P39">
        <f>INT(((TDays[[#This Row],[ماه]]-1)*31+TDays[[#This Row],[روز]]+1)/7)+1</f>
        <v>6</v>
      </c>
      <c r="Q39">
        <f>SUMIF(TArticle[تاریخ],TDays[[#This Row],[تاریخ]],TArticle[تراکنش برنامه ریزی شده])</f>
        <v>0</v>
      </c>
    </row>
    <row r="40" spans="1:17" x14ac:dyDescent="0.25">
      <c r="A40" s="3" t="s">
        <v>242</v>
      </c>
      <c r="B40" t="str">
        <f>RIGHT(TDays[[#This Row],[تاریخ]],2)</f>
        <v>08</v>
      </c>
      <c r="C40" t="str">
        <f>RIGHT(LEFT(TDays[[#This Row],[تاریخ]],7),2)</f>
        <v>02</v>
      </c>
      <c r="D40" t="str">
        <f>LEFT(TDays[[#This Row],[تاریخ]],4)</f>
        <v>1401</v>
      </c>
      <c r="E40" t="str">
        <f>LEFT(TDays[[#This Row],[تاریخ]],7)</f>
        <v>1401-02</v>
      </c>
      <c r="F40">
        <v>5</v>
      </c>
      <c r="G40" s="15" t="str">
        <f>VLOOKUP(TDays[[#This Row],[کد روز هفته]],TDaysOfTheWeek[],2,FALSE)</f>
        <v>پنجشنبه</v>
      </c>
      <c r="H40" s="15">
        <f>IFERROR(IF(E39&lt;&gt;E40,1,INT(H39)+IF(TDays[[#This Row],[کد روز هفته]]=0,1,0)),1)</f>
        <v>2</v>
      </c>
      <c r="I40">
        <f>-SUMIF(TArticle[تاریخ],TDays[[#This Row],[تاریخ]],TArticle[هزینه])</f>
        <v>0</v>
      </c>
      <c r="J40">
        <f>SUMIF(TArticle[تاریخ],TDays[[#This Row],[تاریخ]],TArticle[درآمد تتا])</f>
        <v>0</v>
      </c>
      <c r="K40">
        <f>SUMIF(TArticle[تاریخ],TDays[[#This Row],[تاریخ]],TArticle[اسنپ])</f>
        <v>0</v>
      </c>
      <c r="L40">
        <f>-SUMIF(TArticle[تاریخ],TDays[[#This Row],[تاریخ]],TArticle[پرداخت بدهی])</f>
        <v>0</v>
      </c>
      <c r="M40">
        <f>SUMIF(TArticle[تاریخ],TDays[[#This Row],[تاریخ]],TArticle[افزایش بدهی])</f>
        <v>0</v>
      </c>
      <c r="N40">
        <f>-SUMIF(TArticle[تاریخ],TDays[[#This Row],[تاریخ]],TArticle[افزایش سرمایه])</f>
        <v>0</v>
      </c>
      <c r="O40">
        <f>SUMIF(TArticle[تاریخ],TDays[[#This Row],[تاریخ]],TArticle[تعداد تراکنش انجام شده])</f>
        <v>0</v>
      </c>
      <c r="P40">
        <f>INT(((TDays[[#This Row],[ماه]]-1)*31+TDays[[#This Row],[روز]]+1)/7)+1</f>
        <v>6</v>
      </c>
      <c r="Q40">
        <f>SUMIF(TArticle[تاریخ],TDays[[#This Row],[تاریخ]],TArticle[تراکنش برنامه ریزی شده])</f>
        <v>0</v>
      </c>
    </row>
    <row r="41" spans="1:17" x14ac:dyDescent="0.25">
      <c r="A41" s="3" t="s">
        <v>243</v>
      </c>
      <c r="B41" t="str">
        <f>RIGHT(TDays[[#This Row],[تاریخ]],2)</f>
        <v>09</v>
      </c>
      <c r="C41" t="str">
        <f>RIGHT(LEFT(TDays[[#This Row],[تاریخ]],7),2)</f>
        <v>02</v>
      </c>
      <c r="D41" t="str">
        <f>LEFT(TDays[[#This Row],[تاریخ]],4)</f>
        <v>1401</v>
      </c>
      <c r="E41" t="str">
        <f>LEFT(TDays[[#This Row],[تاریخ]],7)</f>
        <v>1401-02</v>
      </c>
      <c r="F41">
        <v>6</v>
      </c>
      <c r="G41" s="15" t="str">
        <f>VLOOKUP(TDays[[#This Row],[کد روز هفته]],TDaysOfTheWeek[],2,FALSE)</f>
        <v>جمعه</v>
      </c>
      <c r="H41" s="15">
        <f>IFERROR(IF(E40&lt;&gt;E41,1,INT(H40)+IF(TDays[[#This Row],[کد روز هفته]]=0,1,0)),1)</f>
        <v>2</v>
      </c>
      <c r="I41">
        <f>-SUMIF(TArticle[تاریخ],TDays[[#This Row],[تاریخ]],TArticle[هزینه])</f>
        <v>0</v>
      </c>
      <c r="J41">
        <f>SUMIF(TArticle[تاریخ],TDays[[#This Row],[تاریخ]],TArticle[درآمد تتا])</f>
        <v>0</v>
      </c>
      <c r="K41">
        <f>SUMIF(TArticle[تاریخ],TDays[[#This Row],[تاریخ]],TArticle[اسنپ])</f>
        <v>0</v>
      </c>
      <c r="L41">
        <f>-SUMIF(TArticle[تاریخ],TDays[[#This Row],[تاریخ]],TArticle[پرداخت بدهی])</f>
        <v>0</v>
      </c>
      <c r="M41">
        <f>SUMIF(TArticle[تاریخ],TDays[[#This Row],[تاریخ]],TArticle[افزایش بدهی])</f>
        <v>0</v>
      </c>
      <c r="N41">
        <f>-SUMIF(TArticle[تاریخ],TDays[[#This Row],[تاریخ]],TArticle[افزایش سرمایه])</f>
        <v>0</v>
      </c>
      <c r="O41">
        <f>SUMIF(TArticle[تاریخ],TDays[[#This Row],[تاریخ]],TArticle[تعداد تراکنش انجام شده])</f>
        <v>0</v>
      </c>
      <c r="P41">
        <f>INT(((TDays[[#This Row],[ماه]]-1)*31+TDays[[#This Row],[روز]]+1)/7)+1</f>
        <v>6</v>
      </c>
      <c r="Q41">
        <f>SUMIF(TArticle[تاریخ],TDays[[#This Row],[تاریخ]],TArticle[تراکنش برنامه ریزی شده])</f>
        <v>0</v>
      </c>
    </row>
    <row r="42" spans="1:17" x14ac:dyDescent="0.25">
      <c r="A42" s="3" t="s">
        <v>244</v>
      </c>
      <c r="B42" t="str">
        <f>RIGHT(TDays[[#This Row],[تاریخ]],2)</f>
        <v>10</v>
      </c>
      <c r="C42" t="str">
        <f>RIGHT(LEFT(TDays[[#This Row],[تاریخ]],7),2)</f>
        <v>02</v>
      </c>
      <c r="D42" t="str">
        <f>LEFT(TDays[[#This Row],[تاریخ]],4)</f>
        <v>1401</v>
      </c>
      <c r="E42" t="str">
        <f>LEFT(TDays[[#This Row],[تاریخ]],7)</f>
        <v>1401-02</v>
      </c>
      <c r="F42">
        <v>0</v>
      </c>
      <c r="G42" s="15" t="str">
        <f>VLOOKUP(TDays[[#This Row],[کد روز هفته]],TDaysOfTheWeek[],2,FALSE)</f>
        <v>شنبه</v>
      </c>
      <c r="H42" s="15">
        <f>IFERROR(IF(E41&lt;&gt;E42,1,INT(H41)+IF(TDays[[#This Row],[کد روز هفته]]=0,1,0)),1)</f>
        <v>3</v>
      </c>
      <c r="I42">
        <f>-SUMIF(TArticle[تاریخ],TDays[[#This Row],[تاریخ]],TArticle[هزینه])</f>
        <v>0</v>
      </c>
      <c r="J42">
        <f>SUMIF(TArticle[تاریخ],TDays[[#This Row],[تاریخ]],TArticle[درآمد تتا])</f>
        <v>0</v>
      </c>
      <c r="K42">
        <f>SUMIF(TArticle[تاریخ],TDays[[#This Row],[تاریخ]],TArticle[اسنپ])</f>
        <v>0</v>
      </c>
      <c r="L42">
        <f>-SUMIF(TArticle[تاریخ],TDays[[#This Row],[تاریخ]],TArticle[پرداخت بدهی])</f>
        <v>0</v>
      </c>
      <c r="M42">
        <f>SUMIF(TArticle[تاریخ],TDays[[#This Row],[تاریخ]],TArticle[افزایش بدهی])</f>
        <v>0</v>
      </c>
      <c r="N42">
        <f>-SUMIF(TArticle[تاریخ],TDays[[#This Row],[تاریخ]],TArticle[افزایش سرمایه])</f>
        <v>0</v>
      </c>
      <c r="O42">
        <f>SUMIF(TArticle[تاریخ],TDays[[#This Row],[تاریخ]],TArticle[تعداد تراکنش انجام شده])</f>
        <v>0</v>
      </c>
      <c r="P42">
        <f>INT(((TDays[[#This Row],[ماه]]-1)*31+TDays[[#This Row],[روز]]+1)/7)+1</f>
        <v>7</v>
      </c>
      <c r="Q42">
        <f>SUMIF(TArticle[تاریخ],TDays[[#This Row],[تاریخ]],TArticle[تراکنش برنامه ریزی شده])</f>
        <v>0</v>
      </c>
    </row>
    <row r="43" spans="1:17" x14ac:dyDescent="0.25">
      <c r="A43" s="3" t="s">
        <v>245</v>
      </c>
      <c r="B43" t="str">
        <f>RIGHT(TDays[[#This Row],[تاریخ]],2)</f>
        <v>11</v>
      </c>
      <c r="C43" t="str">
        <f>RIGHT(LEFT(TDays[[#This Row],[تاریخ]],7),2)</f>
        <v>02</v>
      </c>
      <c r="D43" t="str">
        <f>LEFT(TDays[[#This Row],[تاریخ]],4)</f>
        <v>1401</v>
      </c>
      <c r="E43" t="str">
        <f>LEFT(TDays[[#This Row],[تاریخ]],7)</f>
        <v>1401-02</v>
      </c>
      <c r="F43">
        <v>1</v>
      </c>
      <c r="G43" s="15" t="str">
        <f>VLOOKUP(TDays[[#This Row],[کد روز هفته]],TDaysOfTheWeek[],2,FALSE)</f>
        <v>یکشنبه</v>
      </c>
      <c r="H43" s="15">
        <f>IFERROR(IF(E42&lt;&gt;E43,1,INT(H42)+IF(TDays[[#This Row],[کد روز هفته]]=0,1,0)),1)</f>
        <v>3</v>
      </c>
      <c r="I43">
        <f>-SUMIF(TArticle[تاریخ],TDays[[#This Row],[تاریخ]],TArticle[هزینه])</f>
        <v>7600</v>
      </c>
      <c r="J43">
        <f>SUMIF(TArticle[تاریخ],TDays[[#This Row],[تاریخ]],TArticle[درآمد تتا])</f>
        <v>0</v>
      </c>
      <c r="K43">
        <f>SUMIF(TArticle[تاریخ],TDays[[#This Row],[تاریخ]],TArticle[اسنپ])</f>
        <v>0</v>
      </c>
      <c r="L43">
        <f>-SUMIF(TArticle[تاریخ],TDays[[#This Row],[تاریخ]],TArticle[پرداخت بدهی])</f>
        <v>0</v>
      </c>
      <c r="M43">
        <f>SUMIF(TArticle[تاریخ],TDays[[#This Row],[تاریخ]],TArticle[افزایش بدهی])</f>
        <v>0</v>
      </c>
      <c r="N43">
        <f>-SUMIF(TArticle[تاریخ],TDays[[#This Row],[تاریخ]],TArticle[افزایش سرمایه])</f>
        <v>0</v>
      </c>
      <c r="O43">
        <f>SUMIF(TArticle[تاریخ],TDays[[#This Row],[تاریخ]],TArticle[تعداد تراکنش انجام شده])</f>
        <v>2</v>
      </c>
      <c r="P43">
        <f>INT(((TDays[[#This Row],[ماه]]-1)*31+TDays[[#This Row],[روز]]+1)/7)+1</f>
        <v>7</v>
      </c>
      <c r="Q43">
        <f>SUMIF(TArticle[تاریخ],TDays[[#This Row],[تاریخ]],TArticle[تراکنش برنامه ریزی شده])</f>
        <v>0</v>
      </c>
    </row>
    <row r="44" spans="1:17" x14ac:dyDescent="0.25">
      <c r="A44" s="3" t="s">
        <v>246</v>
      </c>
      <c r="B44" t="str">
        <f>RIGHT(TDays[[#This Row],[تاریخ]],2)</f>
        <v>12</v>
      </c>
      <c r="C44" t="str">
        <f>RIGHT(LEFT(TDays[[#This Row],[تاریخ]],7),2)</f>
        <v>02</v>
      </c>
      <c r="D44" t="str">
        <f>LEFT(TDays[[#This Row],[تاریخ]],4)</f>
        <v>1401</v>
      </c>
      <c r="E44" t="str">
        <f>LEFT(TDays[[#This Row],[تاریخ]],7)</f>
        <v>1401-02</v>
      </c>
      <c r="F44">
        <v>2</v>
      </c>
      <c r="G44" s="15" t="str">
        <f>VLOOKUP(TDays[[#This Row],[کد روز هفته]],TDaysOfTheWeek[],2,FALSE)</f>
        <v>دوشنبه</v>
      </c>
      <c r="H44" s="15">
        <f>IFERROR(IF(E43&lt;&gt;E44,1,INT(H43)+IF(TDays[[#This Row],[کد روز هفته]]=0,1,0)),1)</f>
        <v>3</v>
      </c>
      <c r="I44">
        <f>-SUMIF(TArticle[تاریخ],TDays[[#This Row],[تاریخ]],TArticle[هزینه])</f>
        <v>6790</v>
      </c>
      <c r="J44">
        <f>SUMIF(TArticle[تاریخ],TDays[[#This Row],[تاریخ]],TArticle[درآمد تتا])</f>
        <v>0</v>
      </c>
      <c r="K44">
        <f>SUMIF(TArticle[تاریخ],TDays[[#This Row],[تاریخ]],TArticle[اسنپ])</f>
        <v>0</v>
      </c>
      <c r="L44">
        <f>-SUMIF(TArticle[تاریخ],TDays[[#This Row],[تاریخ]],TArticle[پرداخت بدهی])</f>
        <v>0</v>
      </c>
      <c r="M44">
        <f>SUMIF(TArticle[تاریخ],TDays[[#This Row],[تاریخ]],TArticle[افزایش بدهی])</f>
        <v>0</v>
      </c>
      <c r="N44">
        <f>-SUMIF(TArticle[تاریخ],TDays[[#This Row],[تاریخ]],TArticle[افزایش سرمایه])</f>
        <v>0</v>
      </c>
      <c r="O44">
        <f>SUMIF(TArticle[تاریخ],TDays[[#This Row],[تاریخ]],TArticle[تعداد تراکنش انجام شده])</f>
        <v>2</v>
      </c>
      <c r="P44">
        <f>INT(((TDays[[#This Row],[ماه]]-1)*31+TDays[[#This Row],[روز]]+1)/7)+1</f>
        <v>7</v>
      </c>
      <c r="Q44">
        <f>SUMIF(TArticle[تاریخ],TDays[[#This Row],[تاریخ]],TArticle[تراکنش برنامه ریزی شده])</f>
        <v>0</v>
      </c>
    </row>
    <row r="45" spans="1:17" x14ac:dyDescent="0.25">
      <c r="A45" s="3" t="s">
        <v>247</v>
      </c>
      <c r="B45" t="str">
        <f>RIGHT(TDays[[#This Row],[تاریخ]],2)</f>
        <v>13</v>
      </c>
      <c r="C45" t="str">
        <f>RIGHT(LEFT(TDays[[#This Row],[تاریخ]],7),2)</f>
        <v>02</v>
      </c>
      <c r="D45" t="str">
        <f>LEFT(TDays[[#This Row],[تاریخ]],4)</f>
        <v>1401</v>
      </c>
      <c r="E45" t="str">
        <f>LEFT(TDays[[#This Row],[تاریخ]],7)</f>
        <v>1401-02</v>
      </c>
      <c r="F45">
        <v>3</v>
      </c>
      <c r="G45" s="15" t="str">
        <f>VLOOKUP(TDays[[#This Row],[کد روز هفته]],TDaysOfTheWeek[],2,FALSE)</f>
        <v>سه شنبه</v>
      </c>
      <c r="H45" s="15">
        <f>IFERROR(IF(E44&lt;&gt;E45,1,INT(H44)+IF(TDays[[#This Row],[کد روز هفته]]=0,1,0)),1)</f>
        <v>3</v>
      </c>
      <c r="I45">
        <f>-SUMIF(TArticle[تاریخ],TDays[[#This Row],[تاریخ]],TArticle[هزینه])</f>
        <v>0</v>
      </c>
      <c r="J45">
        <f>SUMIF(TArticle[تاریخ],TDays[[#This Row],[تاریخ]],TArticle[درآمد تتا])</f>
        <v>0</v>
      </c>
      <c r="K45">
        <f>SUMIF(TArticle[تاریخ],TDays[[#This Row],[تاریخ]],TArticle[اسنپ])</f>
        <v>0</v>
      </c>
      <c r="L45">
        <f>-SUMIF(TArticle[تاریخ],TDays[[#This Row],[تاریخ]],TArticle[پرداخت بدهی])</f>
        <v>0</v>
      </c>
      <c r="M45">
        <f>SUMIF(TArticle[تاریخ],TDays[[#This Row],[تاریخ]],TArticle[افزایش بدهی])</f>
        <v>0</v>
      </c>
      <c r="N45">
        <f>-SUMIF(TArticle[تاریخ],TDays[[#This Row],[تاریخ]],TArticle[افزایش سرمایه])</f>
        <v>0</v>
      </c>
      <c r="O45">
        <f>SUMIF(TArticle[تاریخ],TDays[[#This Row],[تاریخ]],TArticle[تعداد تراکنش انجام شده])</f>
        <v>0</v>
      </c>
      <c r="P45">
        <f>INT(((TDays[[#This Row],[ماه]]-1)*31+TDays[[#This Row],[روز]]+1)/7)+1</f>
        <v>7</v>
      </c>
      <c r="Q45">
        <f>SUMIF(TArticle[تاریخ],TDays[[#This Row],[تاریخ]],TArticle[تراکنش برنامه ریزی شده])</f>
        <v>0</v>
      </c>
    </row>
    <row r="46" spans="1:17" x14ac:dyDescent="0.25">
      <c r="A46" s="3" t="s">
        <v>59</v>
      </c>
      <c r="B46" t="str">
        <f>RIGHT(TDays[[#This Row],[تاریخ]],2)</f>
        <v>14</v>
      </c>
      <c r="C46" t="str">
        <f>RIGHT(LEFT(TDays[[#This Row],[تاریخ]],7),2)</f>
        <v>02</v>
      </c>
      <c r="D46" t="str">
        <f>LEFT(TDays[[#This Row],[تاریخ]],4)</f>
        <v>1401</v>
      </c>
      <c r="E46" t="str">
        <f>LEFT(TDays[[#This Row],[تاریخ]],7)</f>
        <v>1401-02</v>
      </c>
      <c r="F46">
        <v>4</v>
      </c>
      <c r="G46" s="15" t="str">
        <f>VLOOKUP(TDays[[#This Row],[کد روز هفته]],TDaysOfTheWeek[],2,FALSE)</f>
        <v>چهارشنبه</v>
      </c>
      <c r="H46" s="15">
        <f>IFERROR(IF(E45&lt;&gt;E46,1,INT(H45)+IF(TDays[[#This Row],[کد روز هفته]]=0,1,0)),1)</f>
        <v>3</v>
      </c>
      <c r="I46">
        <f>-SUMIF(TArticle[تاریخ],TDays[[#This Row],[تاریخ]],TArticle[هزینه])</f>
        <v>0</v>
      </c>
      <c r="J46">
        <f>SUMIF(TArticle[تاریخ],TDays[[#This Row],[تاریخ]],TArticle[درآمد تتا])</f>
        <v>0</v>
      </c>
      <c r="K46">
        <f>SUMIF(TArticle[تاریخ],TDays[[#This Row],[تاریخ]],TArticle[اسنپ])</f>
        <v>0</v>
      </c>
      <c r="L46">
        <f>-SUMIF(TArticle[تاریخ],TDays[[#This Row],[تاریخ]],TArticle[پرداخت بدهی])</f>
        <v>0</v>
      </c>
      <c r="M46">
        <f>SUMIF(TArticle[تاریخ],TDays[[#This Row],[تاریخ]],TArticle[افزایش بدهی])</f>
        <v>0</v>
      </c>
      <c r="N46">
        <f>-SUMIF(TArticle[تاریخ],TDays[[#This Row],[تاریخ]],TArticle[افزایش سرمایه])</f>
        <v>0</v>
      </c>
      <c r="O46">
        <f>SUMIF(TArticle[تاریخ],TDays[[#This Row],[تاریخ]],TArticle[تعداد تراکنش انجام شده])</f>
        <v>0</v>
      </c>
      <c r="P46">
        <f>INT(((TDays[[#This Row],[ماه]]-1)*31+TDays[[#This Row],[روز]]+1)/7)+1</f>
        <v>7</v>
      </c>
      <c r="Q46">
        <f>SUMIF(TArticle[تاریخ],TDays[[#This Row],[تاریخ]],TArticle[تراکنش برنامه ریزی شده])</f>
        <v>0</v>
      </c>
    </row>
    <row r="47" spans="1:17" x14ac:dyDescent="0.25">
      <c r="A47" s="3" t="s">
        <v>248</v>
      </c>
      <c r="B47" t="str">
        <f>RIGHT(TDays[[#This Row],[تاریخ]],2)</f>
        <v>15</v>
      </c>
      <c r="C47" t="str">
        <f>RIGHT(LEFT(TDays[[#This Row],[تاریخ]],7),2)</f>
        <v>02</v>
      </c>
      <c r="D47" t="str">
        <f>LEFT(TDays[[#This Row],[تاریخ]],4)</f>
        <v>1401</v>
      </c>
      <c r="E47" t="str">
        <f>LEFT(TDays[[#This Row],[تاریخ]],7)</f>
        <v>1401-02</v>
      </c>
      <c r="F47">
        <v>5</v>
      </c>
      <c r="G47" s="15" t="str">
        <f>VLOOKUP(TDays[[#This Row],[کد روز هفته]],TDaysOfTheWeek[],2,FALSE)</f>
        <v>پنجشنبه</v>
      </c>
      <c r="H47" s="15">
        <f>IFERROR(IF(E46&lt;&gt;E47,1,INT(H46)+IF(TDays[[#This Row],[کد روز هفته]]=0,1,0)),1)</f>
        <v>3</v>
      </c>
      <c r="I47">
        <f>-SUMIF(TArticle[تاریخ],TDays[[#This Row],[تاریخ]],TArticle[هزینه])</f>
        <v>0</v>
      </c>
      <c r="J47">
        <f>SUMIF(TArticle[تاریخ],TDays[[#This Row],[تاریخ]],TArticle[درآمد تتا])</f>
        <v>0</v>
      </c>
      <c r="K47">
        <f>SUMIF(TArticle[تاریخ],TDays[[#This Row],[تاریخ]],TArticle[اسنپ])</f>
        <v>0</v>
      </c>
      <c r="L47">
        <f>-SUMIF(TArticle[تاریخ],TDays[[#This Row],[تاریخ]],TArticle[پرداخت بدهی])</f>
        <v>0</v>
      </c>
      <c r="M47">
        <f>SUMIF(TArticle[تاریخ],TDays[[#This Row],[تاریخ]],TArticle[افزایش بدهی])</f>
        <v>0</v>
      </c>
      <c r="N47">
        <f>-SUMIF(TArticle[تاریخ],TDays[[#This Row],[تاریخ]],TArticle[افزایش سرمایه])</f>
        <v>350</v>
      </c>
      <c r="O47">
        <f>SUMIF(TArticle[تاریخ],TDays[[#This Row],[تاریخ]],TArticle[تعداد تراکنش انجام شده])</f>
        <v>1</v>
      </c>
      <c r="P47">
        <f>INT(((TDays[[#This Row],[ماه]]-1)*31+TDays[[#This Row],[روز]]+1)/7)+1</f>
        <v>7</v>
      </c>
      <c r="Q47">
        <f>SUMIF(TArticle[تاریخ],TDays[[#This Row],[تاریخ]],TArticle[تراکنش برنامه ریزی شده])</f>
        <v>0</v>
      </c>
    </row>
    <row r="48" spans="1:17" x14ac:dyDescent="0.25">
      <c r="A48" s="3" t="s">
        <v>249</v>
      </c>
      <c r="B48" t="str">
        <f>RIGHT(TDays[[#This Row],[تاریخ]],2)</f>
        <v>16</v>
      </c>
      <c r="C48" t="str">
        <f>RIGHT(LEFT(TDays[[#This Row],[تاریخ]],7),2)</f>
        <v>02</v>
      </c>
      <c r="D48" t="str">
        <f>LEFT(TDays[[#This Row],[تاریخ]],4)</f>
        <v>1401</v>
      </c>
      <c r="E48" t="str">
        <f>LEFT(TDays[[#This Row],[تاریخ]],7)</f>
        <v>1401-02</v>
      </c>
      <c r="F48">
        <v>6</v>
      </c>
      <c r="G48" s="15" t="str">
        <f>VLOOKUP(TDays[[#This Row],[کد روز هفته]],TDaysOfTheWeek[],2,FALSE)</f>
        <v>جمعه</v>
      </c>
      <c r="H48" s="15">
        <f>IFERROR(IF(E47&lt;&gt;E48,1,INT(H47)+IF(TDays[[#This Row],[کد روز هفته]]=0,1,0)),1)</f>
        <v>3</v>
      </c>
      <c r="I48">
        <f>-SUMIF(TArticle[تاریخ],TDays[[#This Row],[تاریخ]],TArticle[هزینه])</f>
        <v>0</v>
      </c>
      <c r="J48">
        <f>SUMIF(TArticle[تاریخ],TDays[[#This Row],[تاریخ]],TArticle[درآمد تتا])</f>
        <v>0</v>
      </c>
      <c r="K48">
        <f>SUMIF(TArticle[تاریخ],TDays[[#This Row],[تاریخ]],TArticle[اسنپ])</f>
        <v>0</v>
      </c>
      <c r="L48">
        <f>-SUMIF(TArticle[تاریخ],TDays[[#This Row],[تاریخ]],TArticle[پرداخت بدهی])</f>
        <v>0</v>
      </c>
      <c r="M48">
        <f>SUMIF(TArticle[تاریخ],TDays[[#This Row],[تاریخ]],TArticle[افزایش بدهی])</f>
        <v>0</v>
      </c>
      <c r="N48">
        <f>-SUMIF(TArticle[تاریخ],TDays[[#This Row],[تاریخ]],TArticle[افزایش سرمایه])</f>
        <v>0</v>
      </c>
      <c r="O48">
        <f>SUMIF(TArticle[تاریخ],TDays[[#This Row],[تاریخ]],TArticle[تعداد تراکنش انجام شده])</f>
        <v>0</v>
      </c>
      <c r="P48">
        <f>INT(((TDays[[#This Row],[ماه]]-1)*31+TDays[[#This Row],[روز]]+1)/7)+1</f>
        <v>7</v>
      </c>
      <c r="Q48">
        <f>SUMIF(TArticle[تاریخ],TDays[[#This Row],[تاریخ]],TArticle[تراکنش برنامه ریزی شده])</f>
        <v>0</v>
      </c>
    </row>
    <row r="49" spans="1:17" x14ac:dyDescent="0.25">
      <c r="A49" s="3" t="s">
        <v>250</v>
      </c>
      <c r="B49" t="str">
        <f>RIGHT(TDays[[#This Row],[تاریخ]],2)</f>
        <v>17</v>
      </c>
      <c r="C49" t="str">
        <f>RIGHT(LEFT(TDays[[#This Row],[تاریخ]],7),2)</f>
        <v>02</v>
      </c>
      <c r="D49" t="str">
        <f>LEFT(TDays[[#This Row],[تاریخ]],4)</f>
        <v>1401</v>
      </c>
      <c r="E49" t="str">
        <f>LEFT(TDays[[#This Row],[تاریخ]],7)</f>
        <v>1401-02</v>
      </c>
      <c r="F49">
        <v>0</v>
      </c>
      <c r="G49" s="15" t="str">
        <f>VLOOKUP(TDays[[#This Row],[کد روز هفته]],TDaysOfTheWeek[],2,FALSE)</f>
        <v>شنبه</v>
      </c>
      <c r="H49" s="15">
        <f>IFERROR(IF(E48&lt;&gt;E49,1,INT(H48)+IF(TDays[[#This Row],[کد روز هفته]]=0,1,0)),1)</f>
        <v>4</v>
      </c>
      <c r="I49">
        <f>-SUMIF(TArticle[تاریخ],TDays[[#This Row],[تاریخ]],TArticle[هزینه])</f>
        <v>0</v>
      </c>
      <c r="J49">
        <f>SUMIF(TArticle[تاریخ],TDays[[#This Row],[تاریخ]],TArticle[درآمد تتا])</f>
        <v>0</v>
      </c>
      <c r="K49">
        <f>SUMIF(TArticle[تاریخ],TDays[[#This Row],[تاریخ]],TArticle[اسنپ])</f>
        <v>0</v>
      </c>
      <c r="L49">
        <f>-SUMIF(TArticle[تاریخ],TDays[[#This Row],[تاریخ]],TArticle[پرداخت بدهی])</f>
        <v>0</v>
      </c>
      <c r="M49">
        <f>SUMIF(TArticle[تاریخ],TDays[[#This Row],[تاریخ]],TArticle[افزایش بدهی])</f>
        <v>0</v>
      </c>
      <c r="N49">
        <f>-SUMIF(TArticle[تاریخ],TDays[[#This Row],[تاریخ]],TArticle[افزایش سرمایه])</f>
        <v>0</v>
      </c>
      <c r="O49">
        <f>SUMIF(TArticle[تاریخ],TDays[[#This Row],[تاریخ]],TArticle[تعداد تراکنش انجام شده])</f>
        <v>0</v>
      </c>
      <c r="P49">
        <f>INT(((TDays[[#This Row],[ماه]]-1)*31+TDays[[#This Row],[روز]]+1)/7)+1</f>
        <v>8</v>
      </c>
      <c r="Q49">
        <f>SUMIF(TArticle[تاریخ],TDays[[#This Row],[تاریخ]],TArticle[تراکنش برنامه ریزی شده])</f>
        <v>0</v>
      </c>
    </row>
    <row r="50" spans="1:17" x14ac:dyDescent="0.25">
      <c r="A50" s="3" t="s">
        <v>251</v>
      </c>
      <c r="B50" t="str">
        <f>RIGHT(TDays[[#This Row],[تاریخ]],2)</f>
        <v>18</v>
      </c>
      <c r="C50" t="str">
        <f>RIGHT(LEFT(TDays[[#This Row],[تاریخ]],7),2)</f>
        <v>02</v>
      </c>
      <c r="D50" t="str">
        <f>LEFT(TDays[[#This Row],[تاریخ]],4)</f>
        <v>1401</v>
      </c>
      <c r="E50" t="str">
        <f>LEFT(TDays[[#This Row],[تاریخ]],7)</f>
        <v>1401-02</v>
      </c>
      <c r="F50">
        <v>1</v>
      </c>
      <c r="G50" s="15" t="str">
        <f>VLOOKUP(TDays[[#This Row],[کد روز هفته]],TDaysOfTheWeek[],2,FALSE)</f>
        <v>یکشنبه</v>
      </c>
      <c r="H50" s="15">
        <f>IFERROR(IF(E49&lt;&gt;E50,1,INT(H49)+IF(TDays[[#This Row],[کد روز هفته]]=0,1,0)),1)</f>
        <v>4</v>
      </c>
      <c r="I50">
        <f>-SUMIF(TArticle[تاریخ],TDays[[#This Row],[تاریخ]],TArticle[هزینه])</f>
        <v>0</v>
      </c>
      <c r="J50">
        <f>SUMIF(TArticle[تاریخ],TDays[[#This Row],[تاریخ]],TArticle[درآمد تتا])</f>
        <v>0</v>
      </c>
      <c r="K50">
        <f>SUMIF(TArticle[تاریخ],TDays[[#This Row],[تاریخ]],TArticle[اسنپ])</f>
        <v>0</v>
      </c>
      <c r="L50">
        <f>-SUMIF(TArticle[تاریخ],TDays[[#This Row],[تاریخ]],TArticle[پرداخت بدهی])</f>
        <v>0</v>
      </c>
      <c r="M50">
        <f>SUMIF(TArticle[تاریخ],TDays[[#This Row],[تاریخ]],TArticle[افزایش بدهی])</f>
        <v>0</v>
      </c>
      <c r="N50">
        <f>-SUMIF(TArticle[تاریخ],TDays[[#This Row],[تاریخ]],TArticle[افزایش سرمایه])</f>
        <v>0</v>
      </c>
      <c r="O50">
        <f>SUMIF(TArticle[تاریخ],TDays[[#This Row],[تاریخ]],TArticle[تعداد تراکنش انجام شده])</f>
        <v>0</v>
      </c>
      <c r="P50">
        <f>INT(((TDays[[#This Row],[ماه]]-1)*31+TDays[[#This Row],[روز]]+1)/7)+1</f>
        <v>8</v>
      </c>
      <c r="Q50">
        <f>SUMIF(TArticle[تاریخ],TDays[[#This Row],[تاریخ]],TArticle[تراکنش برنامه ریزی شده])</f>
        <v>0</v>
      </c>
    </row>
    <row r="51" spans="1:17" x14ac:dyDescent="0.25">
      <c r="A51" s="3" t="s">
        <v>252</v>
      </c>
      <c r="B51" t="str">
        <f>RIGHT(TDays[[#This Row],[تاریخ]],2)</f>
        <v>19</v>
      </c>
      <c r="C51" t="str">
        <f>RIGHT(LEFT(TDays[[#This Row],[تاریخ]],7),2)</f>
        <v>02</v>
      </c>
      <c r="D51" t="str">
        <f>LEFT(TDays[[#This Row],[تاریخ]],4)</f>
        <v>1401</v>
      </c>
      <c r="E51" t="str">
        <f>LEFT(TDays[[#This Row],[تاریخ]],7)</f>
        <v>1401-02</v>
      </c>
      <c r="F51">
        <v>2</v>
      </c>
      <c r="G51" s="15" t="str">
        <f>VLOOKUP(TDays[[#This Row],[کد روز هفته]],TDaysOfTheWeek[],2,FALSE)</f>
        <v>دوشنبه</v>
      </c>
      <c r="H51" s="15">
        <f>IFERROR(IF(E50&lt;&gt;E51,1,INT(H50)+IF(TDays[[#This Row],[کد روز هفته]]=0,1,0)),1)</f>
        <v>4</v>
      </c>
      <c r="I51">
        <f>-SUMIF(TArticle[تاریخ],TDays[[#This Row],[تاریخ]],TArticle[هزینه])</f>
        <v>0</v>
      </c>
      <c r="J51">
        <f>SUMIF(TArticle[تاریخ],TDays[[#This Row],[تاریخ]],TArticle[درآمد تتا])</f>
        <v>0</v>
      </c>
      <c r="K51">
        <f>SUMIF(TArticle[تاریخ],TDays[[#This Row],[تاریخ]],TArticle[اسنپ])</f>
        <v>0</v>
      </c>
      <c r="L51">
        <f>-SUMIF(TArticle[تاریخ],TDays[[#This Row],[تاریخ]],TArticle[پرداخت بدهی])</f>
        <v>0</v>
      </c>
      <c r="M51">
        <f>SUMIF(TArticle[تاریخ],TDays[[#This Row],[تاریخ]],TArticle[افزایش بدهی])</f>
        <v>0</v>
      </c>
      <c r="N51">
        <f>-SUMIF(TArticle[تاریخ],TDays[[#This Row],[تاریخ]],TArticle[افزایش سرمایه])</f>
        <v>0</v>
      </c>
      <c r="O51">
        <f>SUMIF(TArticle[تاریخ],TDays[[#This Row],[تاریخ]],TArticle[تعداد تراکنش انجام شده])</f>
        <v>0</v>
      </c>
      <c r="P51">
        <f>INT(((TDays[[#This Row],[ماه]]-1)*31+TDays[[#This Row],[روز]]+1)/7)+1</f>
        <v>8</v>
      </c>
      <c r="Q51">
        <f>SUMIF(TArticle[تاریخ],TDays[[#This Row],[تاریخ]],TArticle[تراکنش برنامه ریزی شده])</f>
        <v>0</v>
      </c>
    </row>
    <row r="52" spans="1:17" x14ac:dyDescent="0.25">
      <c r="A52" s="3" t="s">
        <v>253</v>
      </c>
      <c r="B52" t="str">
        <f>RIGHT(TDays[[#This Row],[تاریخ]],2)</f>
        <v>20</v>
      </c>
      <c r="C52" t="str">
        <f>RIGHT(LEFT(TDays[[#This Row],[تاریخ]],7),2)</f>
        <v>02</v>
      </c>
      <c r="D52" t="str">
        <f>LEFT(TDays[[#This Row],[تاریخ]],4)</f>
        <v>1401</v>
      </c>
      <c r="E52" t="str">
        <f>LEFT(TDays[[#This Row],[تاریخ]],7)</f>
        <v>1401-02</v>
      </c>
      <c r="F52">
        <v>3</v>
      </c>
      <c r="G52" s="15" t="str">
        <f>VLOOKUP(TDays[[#This Row],[کد روز هفته]],TDaysOfTheWeek[],2,FALSE)</f>
        <v>سه شنبه</v>
      </c>
      <c r="H52" s="15">
        <f>IFERROR(IF(E51&lt;&gt;E52,1,INT(H51)+IF(TDays[[#This Row],[کد روز هفته]]=0,1,0)),1)</f>
        <v>4</v>
      </c>
      <c r="I52">
        <f>-SUMIF(TArticle[تاریخ],TDays[[#This Row],[تاریخ]],TArticle[هزینه])</f>
        <v>0</v>
      </c>
      <c r="J52">
        <f>SUMIF(TArticle[تاریخ],TDays[[#This Row],[تاریخ]],TArticle[درآمد تتا])</f>
        <v>0</v>
      </c>
      <c r="K52">
        <f>SUMIF(TArticle[تاریخ],TDays[[#This Row],[تاریخ]],TArticle[اسنپ])</f>
        <v>0</v>
      </c>
      <c r="L52">
        <f>-SUMIF(TArticle[تاریخ],TDays[[#This Row],[تاریخ]],TArticle[پرداخت بدهی])</f>
        <v>0</v>
      </c>
      <c r="M52">
        <f>SUMIF(TArticle[تاریخ],TDays[[#This Row],[تاریخ]],TArticle[افزایش بدهی])</f>
        <v>0</v>
      </c>
      <c r="N52">
        <f>-SUMIF(TArticle[تاریخ],TDays[[#This Row],[تاریخ]],TArticle[افزایش سرمایه])</f>
        <v>0</v>
      </c>
      <c r="O52">
        <f>SUMIF(TArticle[تاریخ],TDays[[#This Row],[تاریخ]],TArticle[تعداد تراکنش انجام شده])</f>
        <v>0</v>
      </c>
      <c r="P52">
        <f>INT(((TDays[[#This Row],[ماه]]-1)*31+TDays[[#This Row],[روز]]+1)/7)+1</f>
        <v>8</v>
      </c>
      <c r="Q52">
        <f>SUMIF(TArticle[تاریخ],TDays[[#This Row],[تاریخ]],TArticle[تراکنش برنامه ریزی شده])</f>
        <v>0</v>
      </c>
    </row>
    <row r="53" spans="1:17" x14ac:dyDescent="0.25">
      <c r="A53" s="3" t="s">
        <v>254</v>
      </c>
      <c r="B53" t="str">
        <f>RIGHT(TDays[[#This Row],[تاریخ]],2)</f>
        <v>21</v>
      </c>
      <c r="C53" t="str">
        <f>RIGHT(LEFT(TDays[[#This Row],[تاریخ]],7),2)</f>
        <v>02</v>
      </c>
      <c r="D53" t="str">
        <f>LEFT(TDays[[#This Row],[تاریخ]],4)</f>
        <v>1401</v>
      </c>
      <c r="E53" t="str">
        <f>LEFT(TDays[[#This Row],[تاریخ]],7)</f>
        <v>1401-02</v>
      </c>
      <c r="F53">
        <v>4</v>
      </c>
      <c r="G53" s="15" t="str">
        <f>VLOOKUP(TDays[[#This Row],[کد روز هفته]],TDaysOfTheWeek[],2,FALSE)</f>
        <v>چهارشنبه</v>
      </c>
      <c r="H53" s="15">
        <f>IFERROR(IF(E52&lt;&gt;E53,1,INT(H52)+IF(TDays[[#This Row],[کد روز هفته]]=0,1,0)),1)</f>
        <v>4</v>
      </c>
      <c r="I53">
        <f>-SUMIF(TArticle[تاریخ],TDays[[#This Row],[تاریخ]],TArticle[هزینه])</f>
        <v>0</v>
      </c>
      <c r="J53">
        <f>SUMIF(TArticle[تاریخ],TDays[[#This Row],[تاریخ]],TArticle[درآمد تتا])</f>
        <v>0</v>
      </c>
      <c r="K53">
        <f>SUMIF(TArticle[تاریخ],TDays[[#This Row],[تاریخ]],TArticle[اسنپ])</f>
        <v>0</v>
      </c>
      <c r="L53">
        <f>-SUMIF(TArticle[تاریخ],TDays[[#This Row],[تاریخ]],TArticle[پرداخت بدهی])</f>
        <v>0</v>
      </c>
      <c r="M53">
        <f>SUMIF(TArticle[تاریخ],TDays[[#This Row],[تاریخ]],TArticle[افزایش بدهی])</f>
        <v>0</v>
      </c>
      <c r="N53">
        <f>-SUMIF(TArticle[تاریخ],TDays[[#This Row],[تاریخ]],TArticle[افزایش سرمایه])</f>
        <v>0</v>
      </c>
      <c r="O53">
        <f>SUMIF(TArticle[تاریخ],TDays[[#This Row],[تاریخ]],TArticle[تعداد تراکنش انجام شده])</f>
        <v>0</v>
      </c>
      <c r="P53">
        <f>INT(((TDays[[#This Row],[ماه]]-1)*31+TDays[[#This Row],[روز]]+1)/7)+1</f>
        <v>8</v>
      </c>
      <c r="Q53">
        <f>SUMIF(TArticle[تاریخ],TDays[[#This Row],[تاریخ]],TArticle[تراکنش برنامه ریزی شده])</f>
        <v>0</v>
      </c>
    </row>
    <row r="54" spans="1:17" x14ac:dyDescent="0.25">
      <c r="A54" s="3" t="s">
        <v>255</v>
      </c>
      <c r="B54" t="str">
        <f>RIGHT(TDays[[#This Row],[تاریخ]],2)</f>
        <v>22</v>
      </c>
      <c r="C54" t="str">
        <f>RIGHT(LEFT(TDays[[#This Row],[تاریخ]],7),2)</f>
        <v>02</v>
      </c>
      <c r="D54" t="str">
        <f>LEFT(TDays[[#This Row],[تاریخ]],4)</f>
        <v>1401</v>
      </c>
      <c r="E54" t="str">
        <f>LEFT(TDays[[#This Row],[تاریخ]],7)</f>
        <v>1401-02</v>
      </c>
      <c r="F54">
        <v>5</v>
      </c>
      <c r="G54" s="15" t="str">
        <f>VLOOKUP(TDays[[#This Row],[کد روز هفته]],TDaysOfTheWeek[],2,FALSE)</f>
        <v>پنجشنبه</v>
      </c>
      <c r="H54" s="15">
        <f>IFERROR(IF(E53&lt;&gt;E54,1,INT(H53)+IF(TDays[[#This Row],[کد روز هفته]]=0,1,0)),1)</f>
        <v>4</v>
      </c>
      <c r="I54">
        <f>-SUMIF(TArticle[تاریخ],TDays[[#This Row],[تاریخ]],TArticle[هزینه])</f>
        <v>0</v>
      </c>
      <c r="J54">
        <f>SUMIF(TArticle[تاریخ],TDays[[#This Row],[تاریخ]],TArticle[درآمد تتا])</f>
        <v>0</v>
      </c>
      <c r="K54">
        <f>SUMIF(TArticle[تاریخ],TDays[[#This Row],[تاریخ]],TArticle[اسنپ])</f>
        <v>0</v>
      </c>
      <c r="L54">
        <f>-SUMIF(TArticle[تاریخ],TDays[[#This Row],[تاریخ]],TArticle[پرداخت بدهی])</f>
        <v>0</v>
      </c>
      <c r="M54">
        <f>SUMIF(TArticle[تاریخ],TDays[[#This Row],[تاریخ]],TArticle[افزایش بدهی])</f>
        <v>0</v>
      </c>
      <c r="N54">
        <f>-SUMIF(TArticle[تاریخ],TDays[[#This Row],[تاریخ]],TArticle[افزایش سرمایه])</f>
        <v>0</v>
      </c>
      <c r="O54">
        <f>SUMIF(TArticle[تاریخ],TDays[[#This Row],[تاریخ]],TArticle[تعداد تراکنش انجام شده])</f>
        <v>0</v>
      </c>
      <c r="P54">
        <f>INT(((TDays[[#This Row],[ماه]]-1)*31+TDays[[#This Row],[روز]]+1)/7)+1</f>
        <v>8</v>
      </c>
      <c r="Q54">
        <f>SUMIF(TArticle[تاریخ],TDays[[#This Row],[تاریخ]],TArticle[تراکنش برنامه ریزی شده])</f>
        <v>0</v>
      </c>
    </row>
    <row r="55" spans="1:17" x14ac:dyDescent="0.25">
      <c r="A55" s="3" t="s">
        <v>256</v>
      </c>
      <c r="B55" t="str">
        <f>RIGHT(TDays[[#This Row],[تاریخ]],2)</f>
        <v>23</v>
      </c>
      <c r="C55" t="str">
        <f>RIGHT(LEFT(TDays[[#This Row],[تاریخ]],7),2)</f>
        <v>02</v>
      </c>
      <c r="D55" t="str">
        <f>LEFT(TDays[[#This Row],[تاریخ]],4)</f>
        <v>1401</v>
      </c>
      <c r="E55" t="str">
        <f>LEFT(TDays[[#This Row],[تاریخ]],7)</f>
        <v>1401-02</v>
      </c>
      <c r="F55">
        <v>6</v>
      </c>
      <c r="G55" s="15" t="str">
        <f>VLOOKUP(TDays[[#This Row],[کد روز هفته]],TDaysOfTheWeek[],2,FALSE)</f>
        <v>جمعه</v>
      </c>
      <c r="H55" s="15">
        <f>IFERROR(IF(E54&lt;&gt;E55,1,INT(H54)+IF(TDays[[#This Row],[کد روز هفته]]=0,1,0)),1)</f>
        <v>4</v>
      </c>
      <c r="I55">
        <f>-SUMIF(TArticle[تاریخ],TDays[[#This Row],[تاریخ]],TArticle[هزینه])</f>
        <v>0</v>
      </c>
      <c r="J55">
        <f>SUMIF(TArticle[تاریخ],TDays[[#This Row],[تاریخ]],TArticle[درآمد تتا])</f>
        <v>0</v>
      </c>
      <c r="K55">
        <f>SUMIF(TArticle[تاریخ],TDays[[#This Row],[تاریخ]],TArticle[اسنپ])</f>
        <v>0</v>
      </c>
      <c r="L55">
        <f>-SUMIF(TArticle[تاریخ],TDays[[#This Row],[تاریخ]],TArticle[پرداخت بدهی])</f>
        <v>0</v>
      </c>
      <c r="M55">
        <f>SUMIF(TArticle[تاریخ],TDays[[#This Row],[تاریخ]],TArticle[افزایش بدهی])</f>
        <v>0</v>
      </c>
      <c r="N55">
        <f>-SUMIF(TArticle[تاریخ],TDays[[#This Row],[تاریخ]],TArticle[افزایش سرمایه])</f>
        <v>0</v>
      </c>
      <c r="O55">
        <f>SUMIF(TArticle[تاریخ],TDays[[#This Row],[تاریخ]],TArticle[تعداد تراکنش انجام شده])</f>
        <v>0</v>
      </c>
      <c r="P55">
        <f>INT(((TDays[[#This Row],[ماه]]-1)*31+TDays[[#This Row],[روز]]+1)/7)+1</f>
        <v>8</v>
      </c>
      <c r="Q55">
        <f>SUMIF(TArticle[تاریخ],TDays[[#This Row],[تاریخ]],TArticle[تراکنش برنامه ریزی شده])</f>
        <v>0</v>
      </c>
    </row>
    <row r="56" spans="1:17" x14ac:dyDescent="0.25">
      <c r="A56" s="3" t="s">
        <v>257</v>
      </c>
      <c r="B56" t="str">
        <f>RIGHT(TDays[[#This Row],[تاریخ]],2)</f>
        <v>24</v>
      </c>
      <c r="C56" t="str">
        <f>RIGHT(LEFT(TDays[[#This Row],[تاریخ]],7),2)</f>
        <v>02</v>
      </c>
      <c r="D56" t="str">
        <f>LEFT(TDays[[#This Row],[تاریخ]],4)</f>
        <v>1401</v>
      </c>
      <c r="E56" t="str">
        <f>LEFT(TDays[[#This Row],[تاریخ]],7)</f>
        <v>1401-02</v>
      </c>
      <c r="F56">
        <v>0</v>
      </c>
      <c r="G56" s="15" t="str">
        <f>VLOOKUP(TDays[[#This Row],[کد روز هفته]],TDaysOfTheWeek[],2,FALSE)</f>
        <v>شنبه</v>
      </c>
      <c r="H56" s="15">
        <f>IFERROR(IF(E55&lt;&gt;E56,1,INT(H55)+IF(TDays[[#This Row],[کد روز هفته]]=0,1,0)),1)</f>
        <v>5</v>
      </c>
      <c r="I56">
        <f>-SUMIF(TArticle[تاریخ],TDays[[#This Row],[تاریخ]],TArticle[هزینه])</f>
        <v>0</v>
      </c>
      <c r="J56">
        <f>SUMIF(TArticle[تاریخ],TDays[[#This Row],[تاریخ]],TArticle[درآمد تتا])</f>
        <v>0</v>
      </c>
      <c r="K56">
        <f>SUMIF(TArticle[تاریخ],TDays[[#This Row],[تاریخ]],TArticle[اسنپ])</f>
        <v>0</v>
      </c>
      <c r="L56">
        <f>-SUMIF(TArticle[تاریخ],TDays[[#This Row],[تاریخ]],TArticle[پرداخت بدهی])</f>
        <v>0</v>
      </c>
      <c r="M56">
        <f>SUMIF(TArticle[تاریخ],TDays[[#This Row],[تاریخ]],TArticle[افزایش بدهی])</f>
        <v>0</v>
      </c>
      <c r="N56">
        <f>-SUMIF(TArticle[تاریخ],TDays[[#This Row],[تاریخ]],TArticle[افزایش سرمایه])</f>
        <v>0</v>
      </c>
      <c r="O56">
        <f>SUMIF(TArticle[تاریخ],TDays[[#This Row],[تاریخ]],TArticle[تعداد تراکنش انجام شده])</f>
        <v>0</v>
      </c>
      <c r="P56">
        <f>INT(((TDays[[#This Row],[ماه]]-1)*31+TDays[[#This Row],[روز]]+1)/7)+1</f>
        <v>9</v>
      </c>
      <c r="Q56">
        <f>SUMIF(TArticle[تاریخ],TDays[[#This Row],[تاریخ]],TArticle[تراکنش برنامه ریزی شده])</f>
        <v>0</v>
      </c>
    </row>
    <row r="57" spans="1:17" x14ac:dyDescent="0.25">
      <c r="A57" s="3" t="s">
        <v>258</v>
      </c>
      <c r="B57" t="str">
        <f>RIGHT(TDays[[#This Row],[تاریخ]],2)</f>
        <v>25</v>
      </c>
      <c r="C57" t="str">
        <f>RIGHT(LEFT(TDays[[#This Row],[تاریخ]],7),2)</f>
        <v>02</v>
      </c>
      <c r="D57" t="str">
        <f>LEFT(TDays[[#This Row],[تاریخ]],4)</f>
        <v>1401</v>
      </c>
      <c r="E57" t="str">
        <f>LEFT(TDays[[#This Row],[تاریخ]],7)</f>
        <v>1401-02</v>
      </c>
      <c r="F57">
        <v>1</v>
      </c>
      <c r="G57" s="15" t="str">
        <f>VLOOKUP(TDays[[#This Row],[کد روز هفته]],TDaysOfTheWeek[],2,FALSE)</f>
        <v>یکشنبه</v>
      </c>
      <c r="H57" s="15">
        <f>IFERROR(IF(E56&lt;&gt;E57,1,INT(H56)+IF(TDays[[#This Row],[کد روز هفته]]=0,1,0)),1)</f>
        <v>5</v>
      </c>
      <c r="I57">
        <f>-SUMIF(TArticle[تاریخ],TDays[[#This Row],[تاریخ]],TArticle[هزینه])</f>
        <v>0</v>
      </c>
      <c r="J57">
        <f>SUMIF(TArticle[تاریخ],TDays[[#This Row],[تاریخ]],TArticle[درآمد تتا])</f>
        <v>0</v>
      </c>
      <c r="K57">
        <f>SUMIF(TArticle[تاریخ],TDays[[#This Row],[تاریخ]],TArticle[اسنپ])</f>
        <v>0</v>
      </c>
      <c r="L57">
        <f>-SUMIF(TArticle[تاریخ],TDays[[#This Row],[تاریخ]],TArticle[پرداخت بدهی])</f>
        <v>0</v>
      </c>
      <c r="M57">
        <f>SUMIF(TArticle[تاریخ],TDays[[#This Row],[تاریخ]],TArticle[افزایش بدهی])</f>
        <v>0</v>
      </c>
      <c r="N57">
        <f>-SUMIF(TArticle[تاریخ],TDays[[#This Row],[تاریخ]],TArticle[افزایش سرمایه])</f>
        <v>0</v>
      </c>
      <c r="O57">
        <f>SUMIF(TArticle[تاریخ],TDays[[#This Row],[تاریخ]],TArticle[تعداد تراکنش انجام شده])</f>
        <v>0</v>
      </c>
      <c r="P57">
        <f>INT(((TDays[[#This Row],[ماه]]-1)*31+TDays[[#This Row],[روز]]+1)/7)+1</f>
        <v>9</v>
      </c>
      <c r="Q57">
        <f>SUMIF(TArticle[تاریخ],TDays[[#This Row],[تاریخ]],TArticle[تراکنش برنامه ریزی شده])</f>
        <v>0</v>
      </c>
    </row>
    <row r="58" spans="1:17" x14ac:dyDescent="0.25">
      <c r="A58" s="3" t="s">
        <v>259</v>
      </c>
      <c r="B58" t="str">
        <f>RIGHT(TDays[[#This Row],[تاریخ]],2)</f>
        <v>26</v>
      </c>
      <c r="C58" t="str">
        <f>RIGHT(LEFT(TDays[[#This Row],[تاریخ]],7),2)</f>
        <v>02</v>
      </c>
      <c r="D58" t="str">
        <f>LEFT(TDays[[#This Row],[تاریخ]],4)</f>
        <v>1401</v>
      </c>
      <c r="E58" t="str">
        <f>LEFT(TDays[[#This Row],[تاریخ]],7)</f>
        <v>1401-02</v>
      </c>
      <c r="F58">
        <v>2</v>
      </c>
      <c r="G58" s="15" t="str">
        <f>VLOOKUP(TDays[[#This Row],[کد روز هفته]],TDaysOfTheWeek[],2,FALSE)</f>
        <v>دوشنبه</v>
      </c>
      <c r="H58" s="15">
        <f>IFERROR(IF(E57&lt;&gt;E58,1,INT(H57)+IF(TDays[[#This Row],[کد روز هفته]]=0,1,0)),1)</f>
        <v>5</v>
      </c>
      <c r="I58">
        <f>-SUMIF(TArticle[تاریخ],TDays[[#This Row],[تاریخ]],TArticle[هزینه])</f>
        <v>0</v>
      </c>
      <c r="J58">
        <f>SUMIF(TArticle[تاریخ],TDays[[#This Row],[تاریخ]],TArticle[درآمد تتا])</f>
        <v>0</v>
      </c>
      <c r="K58">
        <f>SUMIF(TArticle[تاریخ],TDays[[#This Row],[تاریخ]],TArticle[اسنپ])</f>
        <v>0</v>
      </c>
      <c r="L58">
        <f>-SUMIF(TArticle[تاریخ],TDays[[#This Row],[تاریخ]],TArticle[پرداخت بدهی])</f>
        <v>0</v>
      </c>
      <c r="M58">
        <f>SUMIF(TArticle[تاریخ],TDays[[#This Row],[تاریخ]],TArticle[افزایش بدهی])</f>
        <v>0</v>
      </c>
      <c r="N58">
        <f>-SUMIF(TArticle[تاریخ],TDays[[#This Row],[تاریخ]],TArticle[افزایش سرمایه])</f>
        <v>0</v>
      </c>
      <c r="O58">
        <f>SUMIF(TArticle[تاریخ],TDays[[#This Row],[تاریخ]],TArticle[تعداد تراکنش انجام شده])</f>
        <v>0</v>
      </c>
      <c r="P58">
        <f>INT(((TDays[[#This Row],[ماه]]-1)*31+TDays[[#This Row],[روز]]+1)/7)+1</f>
        <v>9</v>
      </c>
      <c r="Q58">
        <f>SUMIF(TArticle[تاریخ],TDays[[#This Row],[تاریخ]],TArticle[تراکنش برنامه ریزی شده])</f>
        <v>0</v>
      </c>
    </row>
    <row r="59" spans="1:17" x14ac:dyDescent="0.25">
      <c r="A59" s="3" t="s">
        <v>260</v>
      </c>
      <c r="B59" t="str">
        <f>RIGHT(TDays[[#This Row],[تاریخ]],2)</f>
        <v>27</v>
      </c>
      <c r="C59" t="str">
        <f>RIGHT(LEFT(TDays[[#This Row],[تاریخ]],7),2)</f>
        <v>02</v>
      </c>
      <c r="D59" t="str">
        <f>LEFT(TDays[[#This Row],[تاریخ]],4)</f>
        <v>1401</v>
      </c>
      <c r="E59" t="str">
        <f>LEFT(TDays[[#This Row],[تاریخ]],7)</f>
        <v>1401-02</v>
      </c>
      <c r="F59">
        <v>3</v>
      </c>
      <c r="G59" s="15" t="str">
        <f>VLOOKUP(TDays[[#This Row],[کد روز هفته]],TDaysOfTheWeek[],2,FALSE)</f>
        <v>سه شنبه</v>
      </c>
      <c r="H59" s="15">
        <f>IFERROR(IF(E58&lt;&gt;E59,1,INT(H58)+IF(TDays[[#This Row],[کد روز هفته]]=0,1,0)),1)</f>
        <v>5</v>
      </c>
      <c r="I59">
        <f>-SUMIF(TArticle[تاریخ],TDays[[#This Row],[تاریخ]],TArticle[هزینه])</f>
        <v>0</v>
      </c>
      <c r="J59">
        <f>SUMIF(TArticle[تاریخ],TDays[[#This Row],[تاریخ]],TArticle[درآمد تتا])</f>
        <v>0</v>
      </c>
      <c r="K59">
        <f>SUMIF(TArticle[تاریخ],TDays[[#This Row],[تاریخ]],TArticle[اسنپ])</f>
        <v>0</v>
      </c>
      <c r="L59">
        <f>-SUMIF(TArticle[تاریخ],TDays[[#This Row],[تاریخ]],TArticle[پرداخت بدهی])</f>
        <v>0</v>
      </c>
      <c r="M59">
        <f>SUMIF(TArticle[تاریخ],TDays[[#This Row],[تاریخ]],TArticle[افزایش بدهی])</f>
        <v>0</v>
      </c>
      <c r="N59">
        <f>-SUMIF(TArticle[تاریخ],TDays[[#This Row],[تاریخ]],TArticle[افزایش سرمایه])</f>
        <v>0</v>
      </c>
      <c r="O59">
        <f>SUMIF(TArticle[تاریخ],TDays[[#This Row],[تاریخ]],TArticle[تعداد تراکنش انجام شده])</f>
        <v>0</v>
      </c>
      <c r="P59">
        <f>INT(((TDays[[#This Row],[ماه]]-1)*31+TDays[[#This Row],[روز]]+1)/7)+1</f>
        <v>9</v>
      </c>
      <c r="Q59">
        <f>SUMIF(TArticle[تاریخ],TDays[[#This Row],[تاریخ]],TArticle[تراکنش برنامه ریزی شده])</f>
        <v>0</v>
      </c>
    </row>
    <row r="60" spans="1:17" x14ac:dyDescent="0.25">
      <c r="A60" s="3" t="s">
        <v>261</v>
      </c>
      <c r="B60" t="str">
        <f>RIGHT(TDays[[#This Row],[تاریخ]],2)</f>
        <v>28</v>
      </c>
      <c r="C60" t="str">
        <f>RIGHT(LEFT(TDays[[#This Row],[تاریخ]],7),2)</f>
        <v>02</v>
      </c>
      <c r="D60" t="str">
        <f>LEFT(TDays[[#This Row],[تاریخ]],4)</f>
        <v>1401</v>
      </c>
      <c r="E60" t="str">
        <f>LEFT(TDays[[#This Row],[تاریخ]],7)</f>
        <v>1401-02</v>
      </c>
      <c r="F60">
        <v>4</v>
      </c>
      <c r="G60" s="15" t="str">
        <f>VLOOKUP(TDays[[#This Row],[کد روز هفته]],TDaysOfTheWeek[],2,FALSE)</f>
        <v>چهارشنبه</v>
      </c>
      <c r="H60" s="15">
        <f>IFERROR(IF(E59&lt;&gt;E60,1,INT(H59)+IF(TDays[[#This Row],[کد روز هفته]]=0,1,0)),1)</f>
        <v>5</v>
      </c>
      <c r="I60">
        <f>-SUMIF(TArticle[تاریخ],TDays[[#This Row],[تاریخ]],TArticle[هزینه])</f>
        <v>0</v>
      </c>
      <c r="J60">
        <f>SUMIF(TArticle[تاریخ],TDays[[#This Row],[تاریخ]],TArticle[درآمد تتا])</f>
        <v>0</v>
      </c>
      <c r="K60">
        <f>SUMIF(TArticle[تاریخ],TDays[[#This Row],[تاریخ]],TArticle[اسنپ])</f>
        <v>0</v>
      </c>
      <c r="L60">
        <f>-SUMIF(TArticle[تاریخ],TDays[[#This Row],[تاریخ]],TArticle[پرداخت بدهی])</f>
        <v>0</v>
      </c>
      <c r="M60">
        <f>SUMIF(TArticle[تاریخ],TDays[[#This Row],[تاریخ]],TArticle[افزایش بدهی])</f>
        <v>0</v>
      </c>
      <c r="N60">
        <f>-SUMIF(TArticle[تاریخ],TDays[[#This Row],[تاریخ]],TArticle[افزایش سرمایه])</f>
        <v>0</v>
      </c>
      <c r="O60">
        <f>SUMIF(TArticle[تاریخ],TDays[[#This Row],[تاریخ]],TArticle[تعداد تراکنش انجام شده])</f>
        <v>0</v>
      </c>
      <c r="P60">
        <f>INT(((TDays[[#This Row],[ماه]]-1)*31+TDays[[#This Row],[روز]]+1)/7)+1</f>
        <v>9</v>
      </c>
      <c r="Q60">
        <f>SUMIF(TArticle[تاریخ],TDays[[#This Row],[تاریخ]],TArticle[تراکنش برنامه ریزی شده])</f>
        <v>0</v>
      </c>
    </row>
    <row r="61" spans="1:17" x14ac:dyDescent="0.25">
      <c r="A61" s="3" t="s">
        <v>262</v>
      </c>
      <c r="B61" t="str">
        <f>RIGHT(TDays[[#This Row],[تاریخ]],2)</f>
        <v>29</v>
      </c>
      <c r="C61" t="str">
        <f>RIGHT(LEFT(TDays[[#This Row],[تاریخ]],7),2)</f>
        <v>02</v>
      </c>
      <c r="D61" t="str">
        <f>LEFT(TDays[[#This Row],[تاریخ]],4)</f>
        <v>1401</v>
      </c>
      <c r="E61" t="str">
        <f>LEFT(TDays[[#This Row],[تاریخ]],7)</f>
        <v>1401-02</v>
      </c>
      <c r="F61">
        <v>5</v>
      </c>
      <c r="G61" s="15" t="str">
        <f>VLOOKUP(TDays[[#This Row],[کد روز هفته]],TDaysOfTheWeek[],2,FALSE)</f>
        <v>پنجشنبه</v>
      </c>
      <c r="H61" s="15">
        <f>IFERROR(IF(E60&lt;&gt;E61,1,INT(H60)+IF(TDays[[#This Row],[کد روز هفته]]=0,1,0)),1)</f>
        <v>5</v>
      </c>
      <c r="I61">
        <f>-SUMIF(TArticle[تاریخ],TDays[[#This Row],[تاریخ]],TArticle[هزینه])</f>
        <v>0</v>
      </c>
      <c r="J61">
        <f>SUMIF(TArticle[تاریخ],TDays[[#This Row],[تاریخ]],TArticle[درآمد تتا])</f>
        <v>42096</v>
      </c>
      <c r="K61">
        <f>SUMIF(TArticle[تاریخ],TDays[[#This Row],[تاریخ]],TArticle[اسنپ])</f>
        <v>0</v>
      </c>
      <c r="L61">
        <f>-SUMIF(TArticle[تاریخ],TDays[[#This Row],[تاریخ]],TArticle[پرداخت بدهی])</f>
        <v>0</v>
      </c>
      <c r="M61">
        <f>SUMIF(TArticle[تاریخ],TDays[[#This Row],[تاریخ]],TArticle[افزایش بدهی])</f>
        <v>0</v>
      </c>
      <c r="N61">
        <f>-SUMIF(TArticle[تاریخ],TDays[[#This Row],[تاریخ]],TArticle[افزایش سرمایه])</f>
        <v>0</v>
      </c>
      <c r="O61">
        <f>SUMIF(TArticle[تاریخ],TDays[[#This Row],[تاریخ]],TArticle[تعداد تراکنش انجام شده])</f>
        <v>1</v>
      </c>
      <c r="P61">
        <f>INT(((TDays[[#This Row],[ماه]]-1)*31+TDays[[#This Row],[روز]]+1)/7)+1</f>
        <v>9</v>
      </c>
      <c r="Q61">
        <f>SUMIF(TArticle[تاریخ],TDays[[#This Row],[تاریخ]],TArticle[تراکنش برنامه ریزی شده])</f>
        <v>0</v>
      </c>
    </row>
    <row r="62" spans="1:17" x14ac:dyDescent="0.25">
      <c r="A62" s="3" t="s">
        <v>263</v>
      </c>
      <c r="B62" t="str">
        <f>RIGHT(TDays[[#This Row],[تاریخ]],2)</f>
        <v>30</v>
      </c>
      <c r="C62" t="str">
        <f>RIGHT(LEFT(TDays[[#This Row],[تاریخ]],7),2)</f>
        <v>02</v>
      </c>
      <c r="D62" t="str">
        <f>LEFT(TDays[[#This Row],[تاریخ]],4)</f>
        <v>1401</v>
      </c>
      <c r="E62" t="str">
        <f>LEFT(TDays[[#This Row],[تاریخ]],7)</f>
        <v>1401-02</v>
      </c>
      <c r="F62">
        <v>6</v>
      </c>
      <c r="G62" s="15" t="str">
        <f>VLOOKUP(TDays[[#This Row],[کد روز هفته]],TDaysOfTheWeek[],2,FALSE)</f>
        <v>جمعه</v>
      </c>
      <c r="H62" s="15">
        <f>IFERROR(IF(E61&lt;&gt;E62,1,INT(H61)+IF(TDays[[#This Row],[کد روز هفته]]=0,1,0)),1)</f>
        <v>5</v>
      </c>
      <c r="I62">
        <f>-SUMIF(TArticle[تاریخ],TDays[[#This Row],[تاریخ]],TArticle[هزینه])</f>
        <v>0</v>
      </c>
      <c r="J62">
        <f>SUMIF(TArticle[تاریخ],TDays[[#This Row],[تاریخ]],TArticle[درآمد تتا])</f>
        <v>0</v>
      </c>
      <c r="K62">
        <f>SUMIF(TArticle[تاریخ],TDays[[#This Row],[تاریخ]],TArticle[اسنپ])</f>
        <v>0</v>
      </c>
      <c r="L62">
        <f>-SUMIF(TArticle[تاریخ],TDays[[#This Row],[تاریخ]],TArticle[پرداخت بدهی])</f>
        <v>0</v>
      </c>
      <c r="M62">
        <f>SUMIF(TArticle[تاریخ],TDays[[#This Row],[تاریخ]],TArticle[افزایش بدهی])</f>
        <v>0</v>
      </c>
      <c r="N62">
        <f>-SUMIF(TArticle[تاریخ],TDays[[#This Row],[تاریخ]],TArticle[افزایش سرمایه])</f>
        <v>0</v>
      </c>
      <c r="O62">
        <f>SUMIF(TArticle[تاریخ],TDays[[#This Row],[تاریخ]],TArticle[تعداد تراکنش انجام شده])</f>
        <v>2</v>
      </c>
      <c r="P62">
        <f>INT(((TDays[[#This Row],[ماه]]-1)*31+TDays[[#This Row],[روز]]+1)/7)+1</f>
        <v>9</v>
      </c>
      <c r="Q62">
        <f>SUMIF(TArticle[تاریخ],TDays[[#This Row],[تاریخ]],TArticle[تراکنش برنامه ریزی شده])</f>
        <v>0</v>
      </c>
    </row>
    <row r="63" spans="1:17" x14ac:dyDescent="0.25">
      <c r="A63" s="3" t="s">
        <v>264</v>
      </c>
      <c r="B63" t="str">
        <f>RIGHT(TDays[[#This Row],[تاریخ]],2)</f>
        <v>31</v>
      </c>
      <c r="C63" t="str">
        <f>RIGHT(LEFT(TDays[[#This Row],[تاریخ]],7),2)</f>
        <v>02</v>
      </c>
      <c r="D63" t="str">
        <f>LEFT(TDays[[#This Row],[تاریخ]],4)</f>
        <v>1401</v>
      </c>
      <c r="E63" t="str">
        <f>LEFT(TDays[[#This Row],[تاریخ]],7)</f>
        <v>1401-02</v>
      </c>
      <c r="F63">
        <v>0</v>
      </c>
      <c r="G63" s="15" t="str">
        <f>VLOOKUP(TDays[[#This Row],[کد روز هفته]],TDaysOfTheWeek[],2,FALSE)</f>
        <v>شنبه</v>
      </c>
      <c r="H63" s="15">
        <f>IFERROR(IF(E62&lt;&gt;E63,1,INT(H62)+IF(TDays[[#This Row],[کد روز هفته]]=0,1,0)),1)</f>
        <v>6</v>
      </c>
      <c r="I63">
        <f>-SUMIF(TArticle[تاریخ],TDays[[#This Row],[تاریخ]],TArticle[هزینه])</f>
        <v>0</v>
      </c>
      <c r="J63">
        <f>SUMIF(TArticle[تاریخ],TDays[[#This Row],[تاریخ]],TArticle[درآمد تتا])</f>
        <v>0</v>
      </c>
      <c r="K63">
        <f>SUMIF(TArticle[تاریخ],TDays[[#This Row],[تاریخ]],TArticle[اسنپ])</f>
        <v>0</v>
      </c>
      <c r="L63">
        <f>-SUMIF(TArticle[تاریخ],TDays[[#This Row],[تاریخ]],TArticle[پرداخت بدهی])</f>
        <v>0</v>
      </c>
      <c r="M63">
        <f>SUMIF(TArticle[تاریخ],TDays[[#This Row],[تاریخ]],TArticle[افزایش بدهی])</f>
        <v>0</v>
      </c>
      <c r="N63">
        <f>-SUMIF(TArticle[تاریخ],TDays[[#This Row],[تاریخ]],TArticle[افزایش سرمایه])</f>
        <v>0</v>
      </c>
      <c r="O63">
        <f>SUMIF(TArticle[تاریخ],TDays[[#This Row],[تاریخ]],TArticle[تعداد تراکنش انجام شده])</f>
        <v>0</v>
      </c>
      <c r="P63">
        <f>INT(((TDays[[#This Row],[ماه]]-1)*31+TDays[[#This Row],[روز]]+1)/7)+1</f>
        <v>10</v>
      </c>
      <c r="Q63">
        <f>SUMIF(TArticle[تاریخ],TDays[[#This Row],[تاریخ]],TArticle[تراکنش برنامه ریزی شده])</f>
        <v>0</v>
      </c>
    </row>
    <row r="64" spans="1:17" x14ac:dyDescent="0.25">
      <c r="A64" s="3" t="s">
        <v>265</v>
      </c>
      <c r="B64" t="str">
        <f>RIGHT(TDays[[#This Row],[تاریخ]],2)</f>
        <v>01</v>
      </c>
      <c r="C64" t="str">
        <f>RIGHT(LEFT(TDays[[#This Row],[تاریخ]],7),2)</f>
        <v>03</v>
      </c>
      <c r="D64" t="str">
        <f>LEFT(TDays[[#This Row],[تاریخ]],4)</f>
        <v>1401</v>
      </c>
      <c r="E64" t="str">
        <f>LEFT(TDays[[#This Row],[تاریخ]],7)</f>
        <v>1401-03</v>
      </c>
      <c r="F64">
        <v>1</v>
      </c>
      <c r="G64" s="15" t="str">
        <f>VLOOKUP(TDays[[#This Row],[کد روز هفته]],TDaysOfTheWeek[],2,FALSE)</f>
        <v>یکشنبه</v>
      </c>
      <c r="H64" s="15">
        <f>IFERROR(IF(E63&lt;&gt;E64,1,INT(H63)+IF(TDays[[#This Row],[کد روز هفته]]=0,1,0)),1)</f>
        <v>1</v>
      </c>
      <c r="I64">
        <f>-SUMIF(TArticle[تاریخ],TDays[[#This Row],[تاریخ]],TArticle[هزینه])</f>
        <v>0</v>
      </c>
      <c r="J64">
        <f>SUMIF(TArticle[تاریخ],TDays[[#This Row],[تاریخ]],TArticle[درآمد تتا])</f>
        <v>0</v>
      </c>
      <c r="K64">
        <f>SUMIF(TArticle[تاریخ],TDays[[#This Row],[تاریخ]],TArticle[اسنپ])</f>
        <v>0</v>
      </c>
      <c r="L64">
        <f>-SUMIF(TArticle[تاریخ],TDays[[#This Row],[تاریخ]],TArticle[پرداخت بدهی])</f>
        <v>0</v>
      </c>
      <c r="M64">
        <f>SUMIF(TArticle[تاریخ],TDays[[#This Row],[تاریخ]],TArticle[افزایش بدهی])</f>
        <v>0</v>
      </c>
      <c r="N64">
        <f>-SUMIF(TArticle[تاریخ],TDays[[#This Row],[تاریخ]],TArticle[افزایش سرمایه])</f>
        <v>0</v>
      </c>
      <c r="O64">
        <f>SUMIF(TArticle[تاریخ],TDays[[#This Row],[تاریخ]],TArticle[تعداد تراکنش انجام شده])</f>
        <v>1</v>
      </c>
      <c r="P64">
        <f>INT(((TDays[[#This Row],[ماه]]-1)*31+TDays[[#This Row],[روز]]+1)/7)+1</f>
        <v>10</v>
      </c>
      <c r="Q64">
        <f>SUMIF(TArticle[تاریخ],TDays[[#This Row],[تاریخ]],TArticle[تراکنش برنامه ریزی شده])</f>
        <v>0</v>
      </c>
    </row>
    <row r="65" spans="1:17" x14ac:dyDescent="0.25">
      <c r="A65" s="3" t="s">
        <v>266</v>
      </c>
      <c r="B65" t="str">
        <f>RIGHT(TDays[[#This Row],[تاریخ]],2)</f>
        <v>02</v>
      </c>
      <c r="C65" t="str">
        <f>RIGHT(LEFT(TDays[[#This Row],[تاریخ]],7),2)</f>
        <v>03</v>
      </c>
      <c r="D65" t="str">
        <f>LEFT(TDays[[#This Row],[تاریخ]],4)</f>
        <v>1401</v>
      </c>
      <c r="E65" t="str">
        <f>LEFT(TDays[[#This Row],[تاریخ]],7)</f>
        <v>1401-03</v>
      </c>
      <c r="F65">
        <v>2</v>
      </c>
      <c r="G65" s="15" t="str">
        <f>VLOOKUP(TDays[[#This Row],[کد روز هفته]],TDaysOfTheWeek[],2,FALSE)</f>
        <v>دوشنبه</v>
      </c>
      <c r="H65" s="15">
        <f>IFERROR(IF(E64&lt;&gt;E65,1,INT(H64)+IF(TDays[[#This Row],[کد روز هفته]]=0,1,0)),1)</f>
        <v>1</v>
      </c>
      <c r="I65">
        <f>-SUMIF(TArticle[تاریخ],TDays[[#This Row],[تاریخ]],TArticle[هزینه])</f>
        <v>0</v>
      </c>
      <c r="J65">
        <f>SUMIF(TArticle[تاریخ],TDays[[#This Row],[تاریخ]],TArticle[درآمد تتا])</f>
        <v>0</v>
      </c>
      <c r="K65">
        <f>SUMIF(TArticle[تاریخ],TDays[[#This Row],[تاریخ]],TArticle[اسنپ])</f>
        <v>0</v>
      </c>
      <c r="L65">
        <f>-SUMIF(TArticle[تاریخ],TDays[[#This Row],[تاریخ]],TArticle[پرداخت بدهی])</f>
        <v>0</v>
      </c>
      <c r="M65">
        <f>SUMIF(TArticle[تاریخ],TDays[[#This Row],[تاریخ]],TArticle[افزایش بدهی])</f>
        <v>0</v>
      </c>
      <c r="N65">
        <f>-SUMIF(TArticle[تاریخ],TDays[[#This Row],[تاریخ]],TArticle[افزایش سرمایه])</f>
        <v>0</v>
      </c>
      <c r="O65">
        <f>SUMIF(TArticle[تاریخ],TDays[[#This Row],[تاریخ]],TArticle[تعداد تراکنش انجام شده])</f>
        <v>0</v>
      </c>
      <c r="P65">
        <f>INT(((TDays[[#This Row],[ماه]]-1)*31+TDays[[#This Row],[روز]]+1)/7)+1</f>
        <v>10</v>
      </c>
      <c r="Q65">
        <f>SUMIF(TArticle[تاریخ],TDays[[#This Row],[تاریخ]],TArticle[تراکنش برنامه ریزی شده])</f>
        <v>0</v>
      </c>
    </row>
    <row r="66" spans="1:17" x14ac:dyDescent="0.25">
      <c r="A66" s="3" t="s">
        <v>267</v>
      </c>
      <c r="B66" t="str">
        <f>RIGHT(TDays[[#This Row],[تاریخ]],2)</f>
        <v>03</v>
      </c>
      <c r="C66" t="str">
        <f>RIGHT(LEFT(TDays[[#This Row],[تاریخ]],7),2)</f>
        <v>03</v>
      </c>
      <c r="D66" t="str">
        <f>LEFT(TDays[[#This Row],[تاریخ]],4)</f>
        <v>1401</v>
      </c>
      <c r="E66" t="str">
        <f>LEFT(TDays[[#This Row],[تاریخ]],7)</f>
        <v>1401-03</v>
      </c>
      <c r="F66">
        <v>3</v>
      </c>
      <c r="G66" s="15" t="str">
        <f>VLOOKUP(TDays[[#This Row],[کد روز هفته]],TDaysOfTheWeek[],2,FALSE)</f>
        <v>سه شنبه</v>
      </c>
      <c r="H66" s="15">
        <f>IFERROR(IF(E65&lt;&gt;E66,1,INT(H65)+IF(TDays[[#This Row],[کد روز هفته]]=0,1,0)),1)</f>
        <v>1</v>
      </c>
      <c r="I66">
        <f>-SUMIF(TArticle[تاریخ],TDays[[#This Row],[تاریخ]],TArticle[هزینه])</f>
        <v>0</v>
      </c>
      <c r="J66">
        <f>SUMIF(TArticle[تاریخ],TDays[[#This Row],[تاریخ]],TArticle[درآمد تتا])</f>
        <v>0</v>
      </c>
      <c r="K66">
        <f>SUMIF(TArticle[تاریخ],TDays[[#This Row],[تاریخ]],TArticle[اسنپ])</f>
        <v>0</v>
      </c>
      <c r="L66">
        <f>-SUMIF(TArticle[تاریخ],TDays[[#This Row],[تاریخ]],TArticle[پرداخت بدهی])</f>
        <v>0</v>
      </c>
      <c r="M66">
        <f>SUMIF(TArticle[تاریخ],TDays[[#This Row],[تاریخ]],TArticle[افزایش بدهی])</f>
        <v>0</v>
      </c>
      <c r="N66">
        <f>-SUMIF(TArticle[تاریخ],TDays[[#This Row],[تاریخ]],TArticle[افزایش سرمایه])</f>
        <v>0</v>
      </c>
      <c r="O66">
        <f>SUMIF(TArticle[تاریخ],TDays[[#This Row],[تاریخ]],TArticle[تعداد تراکنش انجام شده])</f>
        <v>0</v>
      </c>
      <c r="P66">
        <f>INT(((TDays[[#This Row],[ماه]]-1)*31+TDays[[#This Row],[روز]]+1)/7)+1</f>
        <v>10</v>
      </c>
      <c r="Q66">
        <f>SUMIF(TArticle[تاریخ],TDays[[#This Row],[تاریخ]],TArticle[تراکنش برنامه ریزی شده])</f>
        <v>0</v>
      </c>
    </row>
    <row r="67" spans="1:17" x14ac:dyDescent="0.25">
      <c r="A67" s="3" t="s">
        <v>268</v>
      </c>
      <c r="B67" t="str">
        <f>RIGHT(TDays[[#This Row],[تاریخ]],2)</f>
        <v>04</v>
      </c>
      <c r="C67" t="str">
        <f>RIGHT(LEFT(TDays[[#This Row],[تاریخ]],7),2)</f>
        <v>03</v>
      </c>
      <c r="D67" t="str">
        <f>LEFT(TDays[[#This Row],[تاریخ]],4)</f>
        <v>1401</v>
      </c>
      <c r="E67" t="str">
        <f>LEFT(TDays[[#This Row],[تاریخ]],7)</f>
        <v>1401-03</v>
      </c>
      <c r="F67">
        <v>4</v>
      </c>
      <c r="G67" s="15" t="str">
        <f>VLOOKUP(TDays[[#This Row],[کد روز هفته]],TDaysOfTheWeek[],2,FALSE)</f>
        <v>چهارشنبه</v>
      </c>
      <c r="H67" s="15">
        <f>IFERROR(IF(E66&lt;&gt;E67,1,INT(H66)+IF(TDays[[#This Row],[کد روز هفته]]=0,1,0)),1)</f>
        <v>1</v>
      </c>
      <c r="I67">
        <f>-SUMIF(TArticle[تاریخ],TDays[[#This Row],[تاریخ]],TArticle[هزینه])</f>
        <v>1450</v>
      </c>
      <c r="J67">
        <f>SUMIF(TArticle[تاریخ],TDays[[#This Row],[تاریخ]],TArticle[درآمد تتا])</f>
        <v>0</v>
      </c>
      <c r="K67">
        <f>SUMIF(TArticle[تاریخ],TDays[[#This Row],[تاریخ]],TArticle[اسنپ])</f>
        <v>0</v>
      </c>
      <c r="L67">
        <f>-SUMIF(TArticle[تاریخ],TDays[[#This Row],[تاریخ]],TArticle[پرداخت بدهی])</f>
        <v>0</v>
      </c>
      <c r="M67">
        <f>SUMIF(TArticle[تاریخ],TDays[[#This Row],[تاریخ]],TArticle[افزایش بدهی])</f>
        <v>0</v>
      </c>
      <c r="N67">
        <f>-SUMIF(TArticle[تاریخ],TDays[[#This Row],[تاریخ]],TArticle[افزایش سرمایه])</f>
        <v>0</v>
      </c>
      <c r="O67">
        <f>SUMIF(TArticle[تاریخ],TDays[[#This Row],[تاریخ]],TArticle[تعداد تراکنش انجام شده])</f>
        <v>1</v>
      </c>
      <c r="P67">
        <f>INT(((TDays[[#This Row],[ماه]]-1)*31+TDays[[#This Row],[روز]]+1)/7)+1</f>
        <v>10</v>
      </c>
      <c r="Q67">
        <f>SUMIF(TArticle[تاریخ],TDays[[#This Row],[تاریخ]],TArticle[تراکنش برنامه ریزی شده])</f>
        <v>0</v>
      </c>
    </row>
    <row r="68" spans="1:17" x14ac:dyDescent="0.25">
      <c r="A68" s="3" t="s">
        <v>269</v>
      </c>
      <c r="B68" t="str">
        <f>RIGHT(TDays[[#This Row],[تاریخ]],2)</f>
        <v>05</v>
      </c>
      <c r="C68" t="str">
        <f>RIGHT(LEFT(TDays[[#This Row],[تاریخ]],7),2)</f>
        <v>03</v>
      </c>
      <c r="D68" t="str">
        <f>LEFT(TDays[[#This Row],[تاریخ]],4)</f>
        <v>1401</v>
      </c>
      <c r="E68" t="str">
        <f>LEFT(TDays[[#This Row],[تاریخ]],7)</f>
        <v>1401-03</v>
      </c>
      <c r="F68">
        <v>5</v>
      </c>
      <c r="G68" s="15" t="str">
        <f>VLOOKUP(TDays[[#This Row],[کد روز هفته]],TDaysOfTheWeek[],2,FALSE)</f>
        <v>پنجشنبه</v>
      </c>
      <c r="H68" s="15">
        <f>IFERROR(IF(E67&lt;&gt;E68,1,INT(H67)+IF(TDays[[#This Row],[کد روز هفته]]=0,1,0)),1)</f>
        <v>1</v>
      </c>
      <c r="I68">
        <f>-SUMIF(TArticle[تاریخ],TDays[[#This Row],[تاریخ]],TArticle[هزینه])</f>
        <v>20700</v>
      </c>
      <c r="J68">
        <f>SUMIF(TArticle[تاریخ],TDays[[#This Row],[تاریخ]],TArticle[درآمد تتا])</f>
        <v>0</v>
      </c>
      <c r="K68">
        <f>SUMIF(TArticle[تاریخ],TDays[[#This Row],[تاریخ]],TArticle[اسنپ])</f>
        <v>0</v>
      </c>
      <c r="L68">
        <f>-SUMIF(TArticle[تاریخ],TDays[[#This Row],[تاریخ]],TArticle[پرداخت بدهی])</f>
        <v>0</v>
      </c>
      <c r="M68">
        <f>SUMIF(TArticle[تاریخ],TDays[[#This Row],[تاریخ]],TArticle[افزایش بدهی])</f>
        <v>0</v>
      </c>
      <c r="N68">
        <f>-SUMIF(TArticle[تاریخ],TDays[[#This Row],[تاریخ]],TArticle[افزایش سرمایه])</f>
        <v>0</v>
      </c>
      <c r="O68">
        <f>SUMIF(TArticle[تاریخ],TDays[[#This Row],[تاریخ]],TArticle[تعداد تراکنش انجام شده])</f>
        <v>2</v>
      </c>
      <c r="P68">
        <f>INT(((TDays[[#This Row],[ماه]]-1)*31+TDays[[#This Row],[روز]]+1)/7)+1</f>
        <v>10</v>
      </c>
      <c r="Q68">
        <f>SUMIF(TArticle[تاریخ],TDays[[#This Row],[تاریخ]],TArticle[تراکنش برنامه ریزی شده])</f>
        <v>0</v>
      </c>
    </row>
    <row r="69" spans="1:17" x14ac:dyDescent="0.25">
      <c r="A69" s="3" t="s">
        <v>270</v>
      </c>
      <c r="B69" t="str">
        <f>RIGHT(TDays[[#This Row],[تاریخ]],2)</f>
        <v>06</v>
      </c>
      <c r="C69" t="str">
        <f>RIGHT(LEFT(TDays[[#This Row],[تاریخ]],7),2)</f>
        <v>03</v>
      </c>
      <c r="D69" t="str">
        <f>LEFT(TDays[[#This Row],[تاریخ]],4)</f>
        <v>1401</v>
      </c>
      <c r="E69" t="str">
        <f>LEFT(TDays[[#This Row],[تاریخ]],7)</f>
        <v>1401-03</v>
      </c>
      <c r="F69">
        <v>6</v>
      </c>
      <c r="G69" s="15" t="str">
        <f>VLOOKUP(TDays[[#This Row],[کد روز هفته]],TDaysOfTheWeek[],2,FALSE)</f>
        <v>جمعه</v>
      </c>
      <c r="H69" s="15">
        <f>IFERROR(IF(E68&lt;&gt;E69,1,INT(H68)+IF(TDays[[#This Row],[کد روز هفته]]=0,1,0)),1)</f>
        <v>1</v>
      </c>
      <c r="I69">
        <f>-SUMIF(TArticle[تاریخ],TDays[[#This Row],[تاریخ]],TArticle[هزینه])</f>
        <v>1616</v>
      </c>
      <c r="J69">
        <f>SUMIF(TArticle[تاریخ],TDays[[#This Row],[تاریخ]],TArticle[درآمد تتا])</f>
        <v>0</v>
      </c>
      <c r="K69">
        <f>SUMIF(TArticle[تاریخ],TDays[[#This Row],[تاریخ]],TArticle[اسنپ])</f>
        <v>0</v>
      </c>
      <c r="L69">
        <f>-SUMIF(TArticle[تاریخ],TDays[[#This Row],[تاریخ]],TArticle[پرداخت بدهی])</f>
        <v>2190</v>
      </c>
      <c r="M69">
        <f>SUMIF(TArticle[تاریخ],TDays[[#This Row],[تاریخ]],TArticle[افزایش بدهی])</f>
        <v>0</v>
      </c>
      <c r="N69">
        <f>-SUMIF(TArticle[تاریخ],TDays[[#This Row],[تاریخ]],TArticle[افزایش سرمایه])</f>
        <v>0</v>
      </c>
      <c r="O69">
        <f>SUMIF(TArticle[تاریخ],TDays[[#This Row],[تاریخ]],TArticle[تعداد تراکنش انجام شده])</f>
        <v>9</v>
      </c>
      <c r="P69">
        <f>INT(((TDays[[#This Row],[ماه]]-1)*31+TDays[[#This Row],[روز]]+1)/7)+1</f>
        <v>10</v>
      </c>
      <c r="Q69">
        <f>SUMIF(TArticle[تاریخ],TDays[[#This Row],[تاریخ]],TArticle[تراکنش برنامه ریزی شده])</f>
        <v>0</v>
      </c>
    </row>
    <row r="70" spans="1:17" x14ac:dyDescent="0.25">
      <c r="A70" s="3" t="s">
        <v>271</v>
      </c>
      <c r="B70" t="str">
        <f>RIGHT(TDays[[#This Row],[تاریخ]],2)</f>
        <v>07</v>
      </c>
      <c r="C70" t="str">
        <f>RIGHT(LEFT(TDays[[#This Row],[تاریخ]],7),2)</f>
        <v>03</v>
      </c>
      <c r="D70" t="str">
        <f>LEFT(TDays[[#This Row],[تاریخ]],4)</f>
        <v>1401</v>
      </c>
      <c r="E70" t="str">
        <f>LEFT(TDays[[#This Row],[تاریخ]],7)</f>
        <v>1401-03</v>
      </c>
      <c r="F70">
        <v>0</v>
      </c>
      <c r="G70" s="15" t="str">
        <f>VLOOKUP(TDays[[#This Row],[کد روز هفته]],TDaysOfTheWeek[],2,FALSE)</f>
        <v>شنبه</v>
      </c>
      <c r="H70" s="15">
        <f>IFERROR(IF(E69&lt;&gt;E70,1,INT(H69)+IF(TDays[[#This Row],[کد روز هفته]]=0,1,0)),1)</f>
        <v>2</v>
      </c>
      <c r="I70">
        <f>-SUMIF(TArticle[تاریخ],TDays[[#This Row],[تاریخ]],TArticle[هزینه])</f>
        <v>0</v>
      </c>
      <c r="J70">
        <f>SUMIF(TArticle[تاریخ],TDays[[#This Row],[تاریخ]],TArticle[درآمد تتا])</f>
        <v>0</v>
      </c>
      <c r="K70">
        <f>SUMIF(TArticle[تاریخ],TDays[[#This Row],[تاریخ]],TArticle[اسنپ])</f>
        <v>0</v>
      </c>
      <c r="L70">
        <f>-SUMIF(TArticle[تاریخ],TDays[[#This Row],[تاریخ]],TArticle[پرداخت بدهی])</f>
        <v>4000</v>
      </c>
      <c r="M70">
        <f>SUMIF(TArticle[تاریخ],TDays[[#This Row],[تاریخ]],TArticle[افزایش بدهی])</f>
        <v>0</v>
      </c>
      <c r="N70">
        <f>-SUMIF(TArticle[تاریخ],TDays[[#This Row],[تاریخ]],TArticle[افزایش سرمایه])</f>
        <v>0</v>
      </c>
      <c r="O70">
        <f>SUMIF(TArticle[تاریخ],TDays[[#This Row],[تاریخ]],TArticle[تعداد تراکنش انجام شده])</f>
        <v>2</v>
      </c>
      <c r="P70">
        <f>INT(((TDays[[#This Row],[ماه]]-1)*31+TDays[[#This Row],[روز]]+1)/7)+1</f>
        <v>11</v>
      </c>
      <c r="Q70">
        <f>SUMIF(TArticle[تاریخ],TDays[[#This Row],[تاریخ]],TArticle[تراکنش برنامه ریزی شده])</f>
        <v>0</v>
      </c>
    </row>
    <row r="71" spans="1:17" x14ac:dyDescent="0.25">
      <c r="A71" s="3" t="s">
        <v>272</v>
      </c>
      <c r="B71" t="str">
        <f>RIGHT(TDays[[#This Row],[تاریخ]],2)</f>
        <v>08</v>
      </c>
      <c r="C71" t="str">
        <f>RIGHT(LEFT(TDays[[#This Row],[تاریخ]],7),2)</f>
        <v>03</v>
      </c>
      <c r="D71" t="str">
        <f>LEFT(TDays[[#This Row],[تاریخ]],4)</f>
        <v>1401</v>
      </c>
      <c r="E71" t="str">
        <f>LEFT(TDays[[#This Row],[تاریخ]],7)</f>
        <v>1401-03</v>
      </c>
      <c r="F71">
        <v>1</v>
      </c>
      <c r="G71" s="15" t="str">
        <f>VLOOKUP(TDays[[#This Row],[کد روز هفته]],TDaysOfTheWeek[],2,FALSE)</f>
        <v>یکشنبه</v>
      </c>
      <c r="H71" s="15">
        <f>IFERROR(IF(E70&lt;&gt;E71,1,INT(H70)+IF(TDays[[#This Row],[کد روز هفته]]=0,1,0)),1)</f>
        <v>2</v>
      </c>
      <c r="I71">
        <f>-SUMIF(TArticle[تاریخ],TDays[[#This Row],[تاریخ]],TArticle[هزینه])</f>
        <v>0</v>
      </c>
      <c r="J71">
        <f>SUMIF(TArticle[تاریخ],TDays[[#This Row],[تاریخ]],TArticle[درآمد تتا])</f>
        <v>0</v>
      </c>
      <c r="K71">
        <f>SUMIF(TArticle[تاریخ],TDays[[#This Row],[تاریخ]],TArticle[اسنپ])</f>
        <v>0</v>
      </c>
      <c r="L71">
        <f>-SUMIF(TArticle[تاریخ],TDays[[#This Row],[تاریخ]],TArticle[پرداخت بدهی])</f>
        <v>2777</v>
      </c>
      <c r="M71">
        <f>SUMIF(TArticle[تاریخ],TDays[[#This Row],[تاریخ]],TArticle[افزایش بدهی])</f>
        <v>0</v>
      </c>
      <c r="N71">
        <f>-SUMIF(TArticle[تاریخ],TDays[[#This Row],[تاریخ]],TArticle[افزایش سرمایه])</f>
        <v>0</v>
      </c>
      <c r="O71">
        <f>SUMIF(TArticle[تاریخ],TDays[[#This Row],[تاریخ]],TArticle[تعداد تراکنش انجام شده])</f>
        <v>3</v>
      </c>
      <c r="P71">
        <f>INT(((TDays[[#This Row],[ماه]]-1)*31+TDays[[#This Row],[روز]]+1)/7)+1</f>
        <v>11</v>
      </c>
      <c r="Q71">
        <f>SUMIF(TArticle[تاریخ],TDays[[#This Row],[تاریخ]],TArticle[تراکنش برنامه ریزی شده])</f>
        <v>0</v>
      </c>
    </row>
    <row r="72" spans="1:17" x14ac:dyDescent="0.25">
      <c r="A72" s="3" t="s">
        <v>273</v>
      </c>
      <c r="B72" t="str">
        <f>RIGHT(TDays[[#This Row],[تاریخ]],2)</f>
        <v>09</v>
      </c>
      <c r="C72" t="str">
        <f>RIGHT(LEFT(TDays[[#This Row],[تاریخ]],7),2)</f>
        <v>03</v>
      </c>
      <c r="D72" t="str">
        <f>LEFT(TDays[[#This Row],[تاریخ]],4)</f>
        <v>1401</v>
      </c>
      <c r="E72" t="str">
        <f>LEFT(TDays[[#This Row],[تاریخ]],7)</f>
        <v>1401-03</v>
      </c>
      <c r="F72">
        <v>2</v>
      </c>
      <c r="G72" s="15" t="str">
        <f>VLOOKUP(TDays[[#This Row],[کد روز هفته]],TDaysOfTheWeek[],2,FALSE)</f>
        <v>دوشنبه</v>
      </c>
      <c r="H72" s="15">
        <f>IFERROR(IF(E71&lt;&gt;E72,1,INT(H71)+IF(TDays[[#This Row],[کد روز هفته]]=0,1,0)),1)</f>
        <v>2</v>
      </c>
      <c r="I72">
        <f>-SUMIF(TArticle[تاریخ],TDays[[#This Row],[تاریخ]],TArticle[هزینه])</f>
        <v>0</v>
      </c>
      <c r="J72">
        <f>SUMIF(TArticle[تاریخ],TDays[[#This Row],[تاریخ]],TArticle[درآمد تتا])</f>
        <v>0</v>
      </c>
      <c r="K72">
        <f>SUMIF(TArticle[تاریخ],TDays[[#This Row],[تاریخ]],TArticle[اسنپ])</f>
        <v>0</v>
      </c>
      <c r="L72">
        <f>-SUMIF(TArticle[تاریخ],TDays[[#This Row],[تاریخ]],TArticle[پرداخت بدهی])</f>
        <v>0</v>
      </c>
      <c r="M72">
        <f>SUMIF(TArticle[تاریخ],TDays[[#This Row],[تاریخ]],TArticle[افزایش بدهی])</f>
        <v>0</v>
      </c>
      <c r="N72">
        <f>-SUMIF(TArticle[تاریخ],TDays[[#This Row],[تاریخ]],TArticle[افزایش سرمایه])</f>
        <v>0</v>
      </c>
      <c r="O72">
        <f>SUMIF(TArticle[تاریخ],TDays[[#This Row],[تاریخ]],TArticle[تعداد تراکنش انجام شده])</f>
        <v>1</v>
      </c>
      <c r="P72">
        <f>INT(((TDays[[#This Row],[ماه]]-1)*31+TDays[[#This Row],[روز]]+1)/7)+1</f>
        <v>11</v>
      </c>
      <c r="Q72">
        <f>SUMIF(TArticle[تاریخ],TDays[[#This Row],[تاریخ]],TArticle[تراکنش برنامه ریزی شده])</f>
        <v>0</v>
      </c>
    </row>
    <row r="73" spans="1:17" x14ac:dyDescent="0.25">
      <c r="A73" s="3" t="s">
        <v>274</v>
      </c>
      <c r="B73" t="str">
        <f>RIGHT(TDays[[#This Row],[تاریخ]],2)</f>
        <v>10</v>
      </c>
      <c r="C73" t="str">
        <f>RIGHT(LEFT(TDays[[#This Row],[تاریخ]],7),2)</f>
        <v>03</v>
      </c>
      <c r="D73" t="str">
        <f>LEFT(TDays[[#This Row],[تاریخ]],4)</f>
        <v>1401</v>
      </c>
      <c r="E73" t="str">
        <f>LEFT(TDays[[#This Row],[تاریخ]],7)</f>
        <v>1401-03</v>
      </c>
      <c r="F73">
        <v>3</v>
      </c>
      <c r="G73" s="15" t="str">
        <f>VLOOKUP(TDays[[#This Row],[کد روز هفته]],TDaysOfTheWeek[],2,FALSE)</f>
        <v>سه شنبه</v>
      </c>
      <c r="H73" s="15">
        <f>IFERROR(IF(E72&lt;&gt;E73,1,INT(H72)+IF(TDays[[#This Row],[کد روز هفته]]=0,1,0)),1)</f>
        <v>2</v>
      </c>
      <c r="I73">
        <f>-SUMIF(TArticle[تاریخ],TDays[[#This Row],[تاریخ]],TArticle[هزینه])</f>
        <v>0</v>
      </c>
      <c r="J73">
        <f>SUMIF(TArticle[تاریخ],TDays[[#This Row],[تاریخ]],TArticle[درآمد تتا])</f>
        <v>0</v>
      </c>
      <c r="K73">
        <f>SUMIF(TArticle[تاریخ],TDays[[#This Row],[تاریخ]],TArticle[اسنپ])</f>
        <v>0</v>
      </c>
      <c r="L73">
        <f>-SUMIF(TArticle[تاریخ],TDays[[#This Row],[تاریخ]],TArticle[پرداخت بدهی])</f>
        <v>0</v>
      </c>
      <c r="M73">
        <f>SUMIF(TArticle[تاریخ],TDays[[#This Row],[تاریخ]],TArticle[افزایش بدهی])</f>
        <v>0</v>
      </c>
      <c r="N73">
        <f>-SUMIF(TArticle[تاریخ],TDays[[#This Row],[تاریخ]],TArticle[افزایش سرمایه])</f>
        <v>0</v>
      </c>
      <c r="O73">
        <f>SUMIF(TArticle[تاریخ],TDays[[#This Row],[تاریخ]],TArticle[تعداد تراکنش انجام شده])</f>
        <v>2</v>
      </c>
      <c r="P73">
        <f>INT(((TDays[[#This Row],[ماه]]-1)*31+TDays[[#This Row],[روز]]+1)/7)+1</f>
        <v>11</v>
      </c>
      <c r="Q73">
        <f>SUMIF(TArticle[تاریخ],TDays[[#This Row],[تاریخ]],TArticle[تراکنش برنامه ریزی شده])</f>
        <v>0</v>
      </c>
    </row>
    <row r="74" spans="1:17" x14ac:dyDescent="0.25">
      <c r="A74" s="3" t="s">
        <v>275</v>
      </c>
      <c r="B74" t="str">
        <f>RIGHT(TDays[[#This Row],[تاریخ]],2)</f>
        <v>11</v>
      </c>
      <c r="C74" t="str">
        <f>RIGHT(LEFT(TDays[[#This Row],[تاریخ]],7),2)</f>
        <v>03</v>
      </c>
      <c r="D74" t="str">
        <f>LEFT(TDays[[#This Row],[تاریخ]],4)</f>
        <v>1401</v>
      </c>
      <c r="E74" t="str">
        <f>LEFT(TDays[[#This Row],[تاریخ]],7)</f>
        <v>1401-03</v>
      </c>
      <c r="F74">
        <v>4</v>
      </c>
      <c r="G74" s="15" t="str">
        <f>VLOOKUP(TDays[[#This Row],[کد روز هفته]],TDaysOfTheWeek[],2,FALSE)</f>
        <v>چهارشنبه</v>
      </c>
      <c r="H74" s="15">
        <f>IFERROR(IF(E73&lt;&gt;E74,1,INT(H73)+IF(TDays[[#This Row],[کد روز هفته]]=0,1,0)),1)</f>
        <v>2</v>
      </c>
      <c r="I74">
        <f>-SUMIF(TArticle[تاریخ],TDays[[#This Row],[تاریخ]],TArticle[هزینه])</f>
        <v>2353</v>
      </c>
      <c r="J74">
        <f>SUMIF(TArticle[تاریخ],TDays[[#This Row],[تاریخ]],TArticle[درآمد تتا])</f>
        <v>0</v>
      </c>
      <c r="K74">
        <f>SUMIF(TArticle[تاریخ],TDays[[#This Row],[تاریخ]],TArticle[اسنپ])</f>
        <v>0</v>
      </c>
      <c r="L74">
        <f>-SUMIF(TArticle[تاریخ],TDays[[#This Row],[تاریخ]],TArticle[پرداخت بدهی])</f>
        <v>5328</v>
      </c>
      <c r="M74">
        <f>SUMIF(TArticle[تاریخ],TDays[[#This Row],[تاریخ]],TArticle[افزایش بدهی])</f>
        <v>0</v>
      </c>
      <c r="N74">
        <f>-SUMIF(TArticle[تاریخ],TDays[[#This Row],[تاریخ]],TArticle[افزایش سرمایه])</f>
        <v>350</v>
      </c>
      <c r="O74">
        <f>SUMIF(TArticle[تاریخ],TDays[[#This Row],[تاریخ]],TArticle[تعداد تراکنش انجام شده])</f>
        <v>6</v>
      </c>
      <c r="P74">
        <f>INT(((TDays[[#This Row],[ماه]]-1)*31+TDays[[#This Row],[روز]]+1)/7)+1</f>
        <v>11</v>
      </c>
      <c r="Q74">
        <f>SUMIF(TArticle[تاریخ],TDays[[#This Row],[تاریخ]],TArticle[تراکنش برنامه ریزی شده])</f>
        <v>0</v>
      </c>
    </row>
    <row r="75" spans="1:17" x14ac:dyDescent="0.25">
      <c r="A75" s="3" t="s">
        <v>276</v>
      </c>
      <c r="B75" t="str">
        <f>RIGHT(TDays[[#This Row],[تاریخ]],2)</f>
        <v>12</v>
      </c>
      <c r="C75" t="str">
        <f>RIGHT(LEFT(TDays[[#This Row],[تاریخ]],7),2)</f>
        <v>03</v>
      </c>
      <c r="D75" t="str">
        <f>LEFT(TDays[[#This Row],[تاریخ]],4)</f>
        <v>1401</v>
      </c>
      <c r="E75" t="str">
        <f>LEFT(TDays[[#This Row],[تاریخ]],7)</f>
        <v>1401-03</v>
      </c>
      <c r="F75">
        <v>5</v>
      </c>
      <c r="G75" s="15" t="str">
        <f>VLOOKUP(TDays[[#This Row],[کد روز هفته]],TDaysOfTheWeek[],2,FALSE)</f>
        <v>پنجشنبه</v>
      </c>
      <c r="H75" s="15">
        <f>IFERROR(IF(E74&lt;&gt;E75,1,INT(H74)+IF(TDays[[#This Row],[کد روز هفته]]=0,1,0)),1)</f>
        <v>2</v>
      </c>
      <c r="I75">
        <f>-SUMIF(TArticle[تاریخ],TDays[[#This Row],[تاریخ]],TArticle[هزینه])</f>
        <v>9000</v>
      </c>
      <c r="J75">
        <f>SUMIF(TArticle[تاریخ],TDays[[#This Row],[تاریخ]],TArticle[درآمد تتا])</f>
        <v>0</v>
      </c>
      <c r="K75">
        <f>SUMIF(TArticle[تاریخ],TDays[[#This Row],[تاریخ]],TArticle[اسنپ])</f>
        <v>0</v>
      </c>
      <c r="L75">
        <f>-SUMIF(TArticle[تاریخ],TDays[[#This Row],[تاریخ]],TArticle[پرداخت بدهی])</f>
        <v>0</v>
      </c>
      <c r="M75">
        <f>SUMIF(TArticle[تاریخ],TDays[[#This Row],[تاریخ]],TArticle[افزایش بدهی])</f>
        <v>0</v>
      </c>
      <c r="N75">
        <f>-SUMIF(TArticle[تاریخ],TDays[[#This Row],[تاریخ]],TArticle[افزایش سرمایه])</f>
        <v>0</v>
      </c>
      <c r="O75">
        <f>SUMIF(TArticle[تاریخ],TDays[[#This Row],[تاریخ]],TArticle[تعداد تراکنش انجام شده])</f>
        <v>1</v>
      </c>
      <c r="P75">
        <f>INT(((TDays[[#This Row],[ماه]]-1)*31+TDays[[#This Row],[روز]]+1)/7)+1</f>
        <v>11</v>
      </c>
      <c r="Q75">
        <f>SUMIF(TArticle[تاریخ],TDays[[#This Row],[تاریخ]],TArticle[تراکنش برنامه ریزی شده])</f>
        <v>0</v>
      </c>
    </row>
    <row r="76" spans="1:17" x14ac:dyDescent="0.25">
      <c r="A76" s="3" t="s">
        <v>277</v>
      </c>
      <c r="B76" t="str">
        <f>RIGHT(TDays[[#This Row],[تاریخ]],2)</f>
        <v>13</v>
      </c>
      <c r="C76" t="str">
        <f>RIGHT(LEFT(TDays[[#This Row],[تاریخ]],7),2)</f>
        <v>03</v>
      </c>
      <c r="D76" t="str">
        <f>LEFT(TDays[[#This Row],[تاریخ]],4)</f>
        <v>1401</v>
      </c>
      <c r="E76" t="str">
        <f>LEFT(TDays[[#This Row],[تاریخ]],7)</f>
        <v>1401-03</v>
      </c>
      <c r="F76">
        <v>6</v>
      </c>
      <c r="G76" s="15" t="str">
        <f>VLOOKUP(TDays[[#This Row],[کد روز هفته]],TDaysOfTheWeek[],2,FALSE)</f>
        <v>جمعه</v>
      </c>
      <c r="H76" s="15">
        <f>IFERROR(IF(E75&lt;&gt;E76,1,INT(H75)+IF(TDays[[#This Row],[کد روز هفته]]=0,1,0)),1)</f>
        <v>2</v>
      </c>
      <c r="I76">
        <f>-SUMIF(TArticle[تاریخ],TDays[[#This Row],[تاریخ]],TArticle[هزینه])</f>
        <v>0</v>
      </c>
      <c r="J76">
        <f>SUMIF(TArticle[تاریخ],TDays[[#This Row],[تاریخ]],TArticle[درآمد تتا])</f>
        <v>0</v>
      </c>
      <c r="K76">
        <f>SUMIF(TArticle[تاریخ],TDays[[#This Row],[تاریخ]],TArticle[اسنپ])</f>
        <v>0</v>
      </c>
      <c r="L76">
        <f>-SUMIF(TArticle[تاریخ],TDays[[#This Row],[تاریخ]],TArticle[پرداخت بدهی])</f>
        <v>0</v>
      </c>
      <c r="M76">
        <f>SUMIF(TArticle[تاریخ],TDays[[#This Row],[تاریخ]],TArticle[افزایش بدهی])</f>
        <v>0</v>
      </c>
      <c r="N76">
        <f>-SUMIF(TArticle[تاریخ],TDays[[#This Row],[تاریخ]],TArticle[افزایش سرمایه])</f>
        <v>0</v>
      </c>
      <c r="O76">
        <f>SUMIF(TArticle[تاریخ],TDays[[#This Row],[تاریخ]],TArticle[تعداد تراکنش انجام شده])</f>
        <v>0</v>
      </c>
      <c r="P76">
        <f>INT(((TDays[[#This Row],[ماه]]-1)*31+TDays[[#This Row],[روز]]+1)/7)+1</f>
        <v>11</v>
      </c>
      <c r="Q76">
        <f>SUMIF(TArticle[تاریخ],TDays[[#This Row],[تاریخ]],TArticle[تراکنش برنامه ریزی شده])</f>
        <v>0</v>
      </c>
    </row>
    <row r="77" spans="1:17" x14ac:dyDescent="0.25">
      <c r="A77" s="3" t="s">
        <v>60</v>
      </c>
      <c r="B77" t="str">
        <f>RIGHT(TDays[[#This Row],[تاریخ]],2)</f>
        <v>14</v>
      </c>
      <c r="C77" t="str">
        <f>RIGHT(LEFT(TDays[[#This Row],[تاریخ]],7),2)</f>
        <v>03</v>
      </c>
      <c r="D77" t="str">
        <f>LEFT(TDays[[#This Row],[تاریخ]],4)</f>
        <v>1401</v>
      </c>
      <c r="E77" t="str">
        <f>LEFT(TDays[[#This Row],[تاریخ]],7)</f>
        <v>1401-03</v>
      </c>
      <c r="F77">
        <v>0</v>
      </c>
      <c r="G77" s="15" t="str">
        <f>VLOOKUP(TDays[[#This Row],[کد روز هفته]],TDaysOfTheWeek[],2,FALSE)</f>
        <v>شنبه</v>
      </c>
      <c r="H77" s="15">
        <f>IFERROR(IF(E76&lt;&gt;E77,1,INT(H76)+IF(TDays[[#This Row],[کد روز هفته]]=0,1,0)),1)</f>
        <v>3</v>
      </c>
      <c r="I77">
        <f>-SUMIF(TArticle[تاریخ],TDays[[#This Row],[تاریخ]],TArticle[هزینه])</f>
        <v>0</v>
      </c>
      <c r="J77">
        <f>SUMIF(TArticle[تاریخ],TDays[[#This Row],[تاریخ]],TArticle[درآمد تتا])</f>
        <v>0</v>
      </c>
      <c r="K77">
        <f>SUMIF(TArticle[تاریخ],TDays[[#This Row],[تاریخ]],TArticle[اسنپ])</f>
        <v>0</v>
      </c>
      <c r="L77">
        <f>-SUMIF(TArticle[تاریخ],TDays[[#This Row],[تاریخ]],TArticle[پرداخت بدهی])</f>
        <v>0</v>
      </c>
      <c r="M77">
        <f>SUMIF(TArticle[تاریخ],TDays[[#This Row],[تاریخ]],TArticle[افزایش بدهی])</f>
        <v>0</v>
      </c>
      <c r="N77">
        <f>-SUMIF(TArticle[تاریخ],TDays[[#This Row],[تاریخ]],TArticle[افزایش سرمایه])</f>
        <v>0</v>
      </c>
      <c r="O77">
        <f>SUMIF(TArticle[تاریخ],TDays[[#This Row],[تاریخ]],TArticle[تعداد تراکنش انجام شده])</f>
        <v>0</v>
      </c>
      <c r="P77">
        <f>INT(((TDays[[#This Row],[ماه]]-1)*31+TDays[[#This Row],[روز]]+1)/7)+1</f>
        <v>12</v>
      </c>
      <c r="Q77">
        <f>SUMIF(TArticle[تاریخ],TDays[[#This Row],[تاریخ]],TArticle[تراکنش برنامه ریزی شده])</f>
        <v>0</v>
      </c>
    </row>
    <row r="78" spans="1:17" x14ac:dyDescent="0.25">
      <c r="A78" s="3" t="s">
        <v>278</v>
      </c>
      <c r="B78" t="str">
        <f>RIGHT(TDays[[#This Row],[تاریخ]],2)</f>
        <v>15</v>
      </c>
      <c r="C78" t="str">
        <f>RIGHT(LEFT(TDays[[#This Row],[تاریخ]],7),2)</f>
        <v>03</v>
      </c>
      <c r="D78" t="str">
        <f>LEFT(TDays[[#This Row],[تاریخ]],4)</f>
        <v>1401</v>
      </c>
      <c r="E78" t="str">
        <f>LEFT(TDays[[#This Row],[تاریخ]],7)</f>
        <v>1401-03</v>
      </c>
      <c r="F78">
        <v>1</v>
      </c>
      <c r="G78" s="15" t="str">
        <f>VLOOKUP(TDays[[#This Row],[کد روز هفته]],TDaysOfTheWeek[],2,FALSE)</f>
        <v>یکشنبه</v>
      </c>
      <c r="H78" s="15">
        <f>IFERROR(IF(E77&lt;&gt;E78,1,INT(H77)+IF(TDays[[#This Row],[کد روز هفته]]=0,1,0)),1)</f>
        <v>3</v>
      </c>
      <c r="I78">
        <f>-SUMIF(TArticle[تاریخ],TDays[[#This Row],[تاریخ]],TArticle[هزینه])</f>
        <v>0</v>
      </c>
      <c r="J78">
        <f>SUMIF(TArticle[تاریخ],TDays[[#This Row],[تاریخ]],TArticle[درآمد تتا])</f>
        <v>0</v>
      </c>
      <c r="K78">
        <f>SUMIF(TArticle[تاریخ],TDays[[#This Row],[تاریخ]],TArticle[اسنپ])</f>
        <v>0</v>
      </c>
      <c r="L78">
        <f>-SUMIF(TArticle[تاریخ],TDays[[#This Row],[تاریخ]],TArticle[پرداخت بدهی])</f>
        <v>0</v>
      </c>
      <c r="M78">
        <f>SUMIF(TArticle[تاریخ],TDays[[#This Row],[تاریخ]],TArticle[افزایش بدهی])</f>
        <v>0</v>
      </c>
      <c r="N78">
        <f>-SUMIF(TArticle[تاریخ],TDays[[#This Row],[تاریخ]],TArticle[افزایش سرمایه])</f>
        <v>0</v>
      </c>
      <c r="O78">
        <f>SUMIF(TArticle[تاریخ],TDays[[#This Row],[تاریخ]],TArticle[تعداد تراکنش انجام شده])</f>
        <v>0</v>
      </c>
      <c r="P78">
        <f>INT(((TDays[[#This Row],[ماه]]-1)*31+TDays[[#This Row],[روز]]+1)/7)+1</f>
        <v>12</v>
      </c>
      <c r="Q78">
        <f>SUMIF(TArticle[تاریخ],TDays[[#This Row],[تاریخ]],TArticle[تراکنش برنامه ریزی شده])</f>
        <v>0</v>
      </c>
    </row>
    <row r="79" spans="1:17" x14ac:dyDescent="0.25">
      <c r="A79" s="3" t="s">
        <v>279</v>
      </c>
      <c r="B79" t="str">
        <f>RIGHT(TDays[[#This Row],[تاریخ]],2)</f>
        <v>16</v>
      </c>
      <c r="C79" t="str">
        <f>RIGHT(LEFT(TDays[[#This Row],[تاریخ]],7),2)</f>
        <v>03</v>
      </c>
      <c r="D79" t="str">
        <f>LEFT(TDays[[#This Row],[تاریخ]],4)</f>
        <v>1401</v>
      </c>
      <c r="E79" t="str">
        <f>LEFT(TDays[[#This Row],[تاریخ]],7)</f>
        <v>1401-03</v>
      </c>
      <c r="F79">
        <v>2</v>
      </c>
      <c r="G79" s="15" t="str">
        <f>VLOOKUP(TDays[[#This Row],[کد روز هفته]],TDaysOfTheWeek[],2,FALSE)</f>
        <v>دوشنبه</v>
      </c>
      <c r="H79" s="15">
        <f>IFERROR(IF(E78&lt;&gt;E79,1,INT(H78)+IF(TDays[[#This Row],[کد روز هفته]]=0,1,0)),1)</f>
        <v>3</v>
      </c>
      <c r="I79">
        <f>-SUMIF(TArticle[تاریخ],TDays[[#This Row],[تاریخ]],TArticle[هزینه])</f>
        <v>0</v>
      </c>
      <c r="J79">
        <f>SUMIF(TArticle[تاریخ],TDays[[#This Row],[تاریخ]],TArticle[درآمد تتا])</f>
        <v>0</v>
      </c>
      <c r="K79">
        <f>SUMIF(TArticle[تاریخ],TDays[[#This Row],[تاریخ]],TArticle[اسنپ])</f>
        <v>0</v>
      </c>
      <c r="L79">
        <f>-SUMIF(TArticle[تاریخ],TDays[[#This Row],[تاریخ]],TArticle[پرداخت بدهی])</f>
        <v>0</v>
      </c>
      <c r="M79">
        <f>SUMIF(TArticle[تاریخ],TDays[[#This Row],[تاریخ]],TArticle[افزایش بدهی])</f>
        <v>0</v>
      </c>
      <c r="N79">
        <f>-SUMIF(TArticle[تاریخ],TDays[[#This Row],[تاریخ]],TArticle[افزایش سرمایه])</f>
        <v>0</v>
      </c>
      <c r="O79">
        <f>SUMIF(TArticle[تاریخ],TDays[[#This Row],[تاریخ]],TArticle[تعداد تراکنش انجام شده])</f>
        <v>1</v>
      </c>
      <c r="P79">
        <f>INT(((TDays[[#This Row],[ماه]]-1)*31+TDays[[#This Row],[روز]]+1)/7)+1</f>
        <v>12</v>
      </c>
      <c r="Q79">
        <f>SUMIF(TArticle[تاریخ],TDays[[#This Row],[تاریخ]],TArticle[تراکنش برنامه ریزی شده])</f>
        <v>0</v>
      </c>
    </row>
    <row r="80" spans="1:17" x14ac:dyDescent="0.25">
      <c r="A80" s="3" t="s">
        <v>280</v>
      </c>
      <c r="B80" t="str">
        <f>RIGHT(TDays[[#This Row],[تاریخ]],2)</f>
        <v>17</v>
      </c>
      <c r="C80" t="str">
        <f>RIGHT(LEFT(TDays[[#This Row],[تاریخ]],7),2)</f>
        <v>03</v>
      </c>
      <c r="D80" t="str">
        <f>LEFT(TDays[[#This Row],[تاریخ]],4)</f>
        <v>1401</v>
      </c>
      <c r="E80" t="str">
        <f>LEFT(TDays[[#This Row],[تاریخ]],7)</f>
        <v>1401-03</v>
      </c>
      <c r="F80">
        <v>3</v>
      </c>
      <c r="G80" s="15" t="str">
        <f>VLOOKUP(TDays[[#This Row],[کد روز هفته]],TDaysOfTheWeek[],2,FALSE)</f>
        <v>سه شنبه</v>
      </c>
      <c r="H80" s="15">
        <f>IFERROR(IF(E79&lt;&gt;E80,1,INT(H79)+IF(TDays[[#This Row],[کد روز هفته]]=0,1,0)),1)</f>
        <v>3</v>
      </c>
      <c r="I80">
        <f>-SUMIF(TArticle[تاریخ],TDays[[#This Row],[تاریخ]],TArticle[هزینه])</f>
        <v>0</v>
      </c>
      <c r="J80">
        <f>SUMIF(TArticle[تاریخ],TDays[[#This Row],[تاریخ]],TArticle[درآمد تتا])</f>
        <v>0</v>
      </c>
      <c r="K80">
        <f>SUMIF(TArticle[تاریخ],TDays[[#This Row],[تاریخ]],TArticle[اسنپ])</f>
        <v>0</v>
      </c>
      <c r="L80">
        <f>-SUMIF(TArticle[تاریخ],TDays[[#This Row],[تاریخ]],TArticle[پرداخت بدهی])</f>
        <v>104</v>
      </c>
      <c r="M80">
        <f>SUMIF(TArticle[تاریخ],TDays[[#This Row],[تاریخ]],TArticle[افزایش بدهی])</f>
        <v>0</v>
      </c>
      <c r="N80">
        <f>-SUMIF(TArticle[تاریخ],TDays[[#This Row],[تاریخ]],TArticle[افزایش سرمایه])</f>
        <v>0</v>
      </c>
      <c r="O80">
        <f>SUMIF(TArticle[تاریخ],TDays[[#This Row],[تاریخ]],TArticle[تعداد تراکنش انجام شده])</f>
        <v>1</v>
      </c>
      <c r="P80">
        <f>INT(((TDays[[#This Row],[ماه]]-1)*31+TDays[[#This Row],[روز]]+1)/7)+1</f>
        <v>12</v>
      </c>
      <c r="Q80">
        <f>SUMIF(TArticle[تاریخ],TDays[[#This Row],[تاریخ]],TArticle[تراکنش برنامه ریزی شده])</f>
        <v>0</v>
      </c>
    </row>
    <row r="81" spans="1:17" x14ac:dyDescent="0.25">
      <c r="A81" s="3" t="s">
        <v>281</v>
      </c>
      <c r="B81" t="str">
        <f>RIGHT(TDays[[#This Row],[تاریخ]],2)</f>
        <v>18</v>
      </c>
      <c r="C81" t="str">
        <f>RIGHT(LEFT(TDays[[#This Row],[تاریخ]],7),2)</f>
        <v>03</v>
      </c>
      <c r="D81" t="str">
        <f>LEFT(TDays[[#This Row],[تاریخ]],4)</f>
        <v>1401</v>
      </c>
      <c r="E81" t="str">
        <f>LEFT(TDays[[#This Row],[تاریخ]],7)</f>
        <v>1401-03</v>
      </c>
      <c r="F81">
        <v>4</v>
      </c>
      <c r="G81" s="15" t="str">
        <f>VLOOKUP(TDays[[#This Row],[کد روز هفته]],TDaysOfTheWeek[],2,FALSE)</f>
        <v>چهارشنبه</v>
      </c>
      <c r="H81" s="15">
        <f>IFERROR(IF(E80&lt;&gt;E81,1,INT(H80)+IF(TDays[[#This Row],[کد روز هفته]]=0,1,0)),1)</f>
        <v>3</v>
      </c>
      <c r="I81">
        <f>-SUMIF(TArticle[تاریخ],TDays[[#This Row],[تاریخ]],TArticle[هزینه])</f>
        <v>0</v>
      </c>
      <c r="J81">
        <f>SUMIF(TArticle[تاریخ],TDays[[#This Row],[تاریخ]],TArticle[درآمد تتا])</f>
        <v>0</v>
      </c>
      <c r="K81">
        <f>SUMIF(TArticle[تاریخ],TDays[[#This Row],[تاریخ]],TArticle[اسنپ])</f>
        <v>0</v>
      </c>
      <c r="L81">
        <f>-SUMIF(TArticle[تاریخ],TDays[[#This Row],[تاریخ]],TArticle[پرداخت بدهی])</f>
        <v>1000</v>
      </c>
      <c r="M81">
        <f>SUMIF(TArticle[تاریخ],TDays[[#This Row],[تاریخ]],TArticle[افزایش بدهی])</f>
        <v>0</v>
      </c>
      <c r="N81">
        <f>-SUMIF(TArticle[تاریخ],TDays[[#This Row],[تاریخ]],TArticle[افزایش سرمایه])</f>
        <v>0</v>
      </c>
      <c r="O81">
        <f>SUMIF(TArticle[تاریخ],TDays[[#This Row],[تاریخ]],TArticle[تعداد تراکنش انجام شده])</f>
        <v>3</v>
      </c>
      <c r="P81">
        <f>INT(((TDays[[#This Row],[ماه]]-1)*31+TDays[[#This Row],[روز]]+1)/7)+1</f>
        <v>12</v>
      </c>
      <c r="Q81">
        <f>SUMIF(TArticle[تاریخ],TDays[[#This Row],[تاریخ]],TArticle[تراکنش برنامه ریزی شده])</f>
        <v>0</v>
      </c>
    </row>
    <row r="82" spans="1:17" x14ac:dyDescent="0.25">
      <c r="A82" s="3" t="s">
        <v>282</v>
      </c>
      <c r="B82" t="str">
        <f>RIGHT(TDays[[#This Row],[تاریخ]],2)</f>
        <v>19</v>
      </c>
      <c r="C82" t="str">
        <f>RIGHT(LEFT(TDays[[#This Row],[تاریخ]],7),2)</f>
        <v>03</v>
      </c>
      <c r="D82" t="str">
        <f>LEFT(TDays[[#This Row],[تاریخ]],4)</f>
        <v>1401</v>
      </c>
      <c r="E82" t="str">
        <f>LEFT(TDays[[#This Row],[تاریخ]],7)</f>
        <v>1401-03</v>
      </c>
      <c r="F82">
        <v>5</v>
      </c>
      <c r="G82" s="15" t="str">
        <f>VLOOKUP(TDays[[#This Row],[کد روز هفته]],TDaysOfTheWeek[],2,FALSE)</f>
        <v>پنجشنبه</v>
      </c>
      <c r="H82" s="15">
        <f>IFERROR(IF(E81&lt;&gt;E82,1,INT(H81)+IF(TDays[[#This Row],[کد روز هفته]]=0,1,0)),1)</f>
        <v>3</v>
      </c>
      <c r="I82">
        <f>-SUMIF(TArticle[تاریخ],TDays[[#This Row],[تاریخ]],TArticle[هزینه])</f>
        <v>0</v>
      </c>
      <c r="J82">
        <f>SUMIF(TArticle[تاریخ],TDays[[#This Row],[تاریخ]],TArticle[درآمد تتا])</f>
        <v>0</v>
      </c>
      <c r="K82">
        <f>SUMIF(TArticle[تاریخ],TDays[[#This Row],[تاریخ]],TArticle[اسنپ])</f>
        <v>0</v>
      </c>
      <c r="L82">
        <f>-SUMIF(TArticle[تاریخ],TDays[[#This Row],[تاریخ]],TArticle[پرداخت بدهی])</f>
        <v>0</v>
      </c>
      <c r="M82">
        <f>SUMIF(TArticle[تاریخ],TDays[[#This Row],[تاریخ]],TArticle[افزایش بدهی])</f>
        <v>0</v>
      </c>
      <c r="N82">
        <f>-SUMIF(TArticle[تاریخ],TDays[[#This Row],[تاریخ]],TArticle[افزایش سرمایه])</f>
        <v>0</v>
      </c>
      <c r="O82">
        <f>SUMIF(TArticle[تاریخ],TDays[[#This Row],[تاریخ]],TArticle[تعداد تراکنش انجام شده])</f>
        <v>0</v>
      </c>
      <c r="P82">
        <f>INT(((TDays[[#This Row],[ماه]]-1)*31+TDays[[#This Row],[روز]]+1)/7)+1</f>
        <v>12</v>
      </c>
      <c r="Q82">
        <f>SUMIF(TArticle[تاریخ],TDays[[#This Row],[تاریخ]],TArticle[تراکنش برنامه ریزی شده])</f>
        <v>0</v>
      </c>
    </row>
    <row r="83" spans="1:17" x14ac:dyDescent="0.25">
      <c r="A83" s="3" t="s">
        <v>283</v>
      </c>
      <c r="B83" t="str">
        <f>RIGHT(TDays[[#This Row],[تاریخ]],2)</f>
        <v>20</v>
      </c>
      <c r="C83" t="str">
        <f>RIGHT(LEFT(TDays[[#This Row],[تاریخ]],7),2)</f>
        <v>03</v>
      </c>
      <c r="D83" t="str">
        <f>LEFT(TDays[[#This Row],[تاریخ]],4)</f>
        <v>1401</v>
      </c>
      <c r="E83" t="str">
        <f>LEFT(TDays[[#This Row],[تاریخ]],7)</f>
        <v>1401-03</v>
      </c>
      <c r="F83">
        <v>6</v>
      </c>
      <c r="G83" s="15" t="str">
        <f>VLOOKUP(TDays[[#This Row],[کد روز هفته]],TDaysOfTheWeek[],2,FALSE)</f>
        <v>جمعه</v>
      </c>
      <c r="H83" s="15">
        <f>IFERROR(IF(E82&lt;&gt;E83,1,INT(H82)+IF(TDays[[#This Row],[کد روز هفته]]=0,1,0)),1)</f>
        <v>3</v>
      </c>
      <c r="I83">
        <f>-SUMIF(TArticle[تاریخ],TDays[[#This Row],[تاریخ]],TArticle[هزینه])</f>
        <v>0</v>
      </c>
      <c r="J83">
        <f>SUMIF(TArticle[تاریخ],TDays[[#This Row],[تاریخ]],TArticle[درآمد تتا])</f>
        <v>0</v>
      </c>
      <c r="K83">
        <f>SUMIF(TArticle[تاریخ],TDays[[#This Row],[تاریخ]],TArticle[اسنپ])</f>
        <v>0</v>
      </c>
      <c r="L83">
        <f>-SUMIF(TArticle[تاریخ],TDays[[#This Row],[تاریخ]],TArticle[پرداخت بدهی])</f>
        <v>0</v>
      </c>
      <c r="M83">
        <f>SUMIF(TArticle[تاریخ],TDays[[#This Row],[تاریخ]],TArticle[افزایش بدهی])</f>
        <v>0</v>
      </c>
      <c r="N83">
        <f>-SUMIF(TArticle[تاریخ],TDays[[#This Row],[تاریخ]],TArticle[افزایش سرمایه])</f>
        <v>0</v>
      </c>
      <c r="O83">
        <f>SUMIF(TArticle[تاریخ],TDays[[#This Row],[تاریخ]],TArticle[تعداد تراکنش انجام شده])</f>
        <v>2</v>
      </c>
      <c r="P83">
        <f>INT(((TDays[[#This Row],[ماه]]-1)*31+TDays[[#This Row],[روز]]+1)/7)+1</f>
        <v>12</v>
      </c>
      <c r="Q83">
        <f>SUMIF(TArticle[تاریخ],TDays[[#This Row],[تاریخ]],TArticle[تراکنش برنامه ریزی شده])</f>
        <v>0</v>
      </c>
    </row>
    <row r="84" spans="1:17" x14ac:dyDescent="0.25">
      <c r="A84" s="3" t="s">
        <v>284</v>
      </c>
      <c r="B84" t="str">
        <f>RIGHT(TDays[[#This Row],[تاریخ]],2)</f>
        <v>21</v>
      </c>
      <c r="C84" t="str">
        <f>RIGHT(LEFT(TDays[[#This Row],[تاریخ]],7),2)</f>
        <v>03</v>
      </c>
      <c r="D84" t="str">
        <f>LEFT(TDays[[#This Row],[تاریخ]],4)</f>
        <v>1401</v>
      </c>
      <c r="E84" t="str">
        <f>LEFT(TDays[[#This Row],[تاریخ]],7)</f>
        <v>1401-03</v>
      </c>
      <c r="F84">
        <v>0</v>
      </c>
      <c r="G84" s="15" t="str">
        <f>VLOOKUP(TDays[[#This Row],[کد روز هفته]],TDaysOfTheWeek[],2,FALSE)</f>
        <v>شنبه</v>
      </c>
      <c r="H84" s="15">
        <f>IFERROR(IF(E83&lt;&gt;E84,1,INT(H83)+IF(TDays[[#This Row],[کد روز هفته]]=0,1,0)),1)</f>
        <v>4</v>
      </c>
      <c r="I84">
        <f>-SUMIF(TArticle[تاریخ],TDays[[#This Row],[تاریخ]],TArticle[هزینه])</f>
        <v>0</v>
      </c>
      <c r="J84">
        <f>SUMIF(TArticle[تاریخ],TDays[[#This Row],[تاریخ]],TArticle[درآمد تتا])</f>
        <v>0</v>
      </c>
      <c r="K84">
        <f>SUMIF(TArticle[تاریخ],TDays[[#This Row],[تاریخ]],TArticle[اسنپ])</f>
        <v>0</v>
      </c>
      <c r="L84">
        <f>-SUMIF(TArticle[تاریخ],TDays[[#This Row],[تاریخ]],TArticle[پرداخت بدهی])</f>
        <v>0</v>
      </c>
      <c r="M84">
        <f>SUMIF(TArticle[تاریخ],TDays[[#This Row],[تاریخ]],TArticle[افزایش بدهی])</f>
        <v>0</v>
      </c>
      <c r="N84">
        <f>-SUMIF(TArticle[تاریخ],TDays[[#This Row],[تاریخ]],TArticle[افزایش سرمایه])</f>
        <v>0</v>
      </c>
      <c r="O84">
        <f>SUMIF(TArticle[تاریخ],TDays[[#This Row],[تاریخ]],TArticle[تعداد تراکنش انجام شده])</f>
        <v>0</v>
      </c>
      <c r="P84">
        <f>INT(((TDays[[#This Row],[ماه]]-1)*31+TDays[[#This Row],[روز]]+1)/7)+1</f>
        <v>13</v>
      </c>
      <c r="Q84">
        <f>SUMIF(TArticle[تاریخ],TDays[[#This Row],[تاریخ]],TArticle[تراکنش برنامه ریزی شده])</f>
        <v>0</v>
      </c>
    </row>
    <row r="85" spans="1:17" x14ac:dyDescent="0.25">
      <c r="A85" s="3" t="s">
        <v>285</v>
      </c>
      <c r="B85" t="str">
        <f>RIGHT(TDays[[#This Row],[تاریخ]],2)</f>
        <v>22</v>
      </c>
      <c r="C85" t="str">
        <f>RIGHT(LEFT(TDays[[#This Row],[تاریخ]],7),2)</f>
        <v>03</v>
      </c>
      <c r="D85" t="str">
        <f>LEFT(TDays[[#This Row],[تاریخ]],4)</f>
        <v>1401</v>
      </c>
      <c r="E85" t="str">
        <f>LEFT(TDays[[#This Row],[تاریخ]],7)</f>
        <v>1401-03</v>
      </c>
      <c r="F85">
        <v>1</v>
      </c>
      <c r="G85" s="15" t="str">
        <f>VLOOKUP(TDays[[#This Row],[کد روز هفته]],TDaysOfTheWeek[],2,FALSE)</f>
        <v>یکشنبه</v>
      </c>
      <c r="H85" s="15">
        <f>IFERROR(IF(E84&lt;&gt;E85,1,INT(H84)+IF(TDays[[#This Row],[کد روز هفته]]=0,1,0)),1)</f>
        <v>4</v>
      </c>
      <c r="I85">
        <f>-SUMIF(TArticle[تاریخ],TDays[[#This Row],[تاریخ]],TArticle[هزینه])</f>
        <v>3768</v>
      </c>
      <c r="J85">
        <f>SUMIF(TArticle[تاریخ],TDays[[#This Row],[تاریخ]],TArticle[درآمد تتا])</f>
        <v>0</v>
      </c>
      <c r="K85">
        <f>SUMIF(TArticle[تاریخ],TDays[[#This Row],[تاریخ]],TArticle[اسنپ])</f>
        <v>0</v>
      </c>
      <c r="L85">
        <f>-SUMIF(TArticle[تاریخ],TDays[[#This Row],[تاریخ]],TArticle[پرداخت بدهی])</f>
        <v>0</v>
      </c>
      <c r="M85">
        <f>SUMIF(TArticle[تاریخ],TDays[[#This Row],[تاریخ]],TArticle[افزایش بدهی])</f>
        <v>0</v>
      </c>
      <c r="N85">
        <f>-SUMIF(TArticle[تاریخ],TDays[[#This Row],[تاریخ]],TArticle[افزایش سرمایه])</f>
        <v>0</v>
      </c>
      <c r="O85">
        <f>SUMIF(TArticle[تاریخ],TDays[[#This Row],[تاریخ]],TArticle[تعداد تراکنش انجام شده])</f>
        <v>1</v>
      </c>
      <c r="P85">
        <f>INT(((TDays[[#This Row],[ماه]]-1)*31+TDays[[#This Row],[روز]]+1)/7)+1</f>
        <v>13</v>
      </c>
      <c r="Q85">
        <f>SUMIF(TArticle[تاریخ],TDays[[#This Row],[تاریخ]],TArticle[تراکنش برنامه ریزی شده])</f>
        <v>0</v>
      </c>
    </row>
    <row r="86" spans="1:17" x14ac:dyDescent="0.25">
      <c r="A86" s="3" t="s">
        <v>286</v>
      </c>
      <c r="B86" t="str">
        <f>RIGHT(TDays[[#This Row],[تاریخ]],2)</f>
        <v>23</v>
      </c>
      <c r="C86" t="str">
        <f>RIGHT(LEFT(TDays[[#This Row],[تاریخ]],7),2)</f>
        <v>03</v>
      </c>
      <c r="D86" t="str">
        <f>LEFT(TDays[[#This Row],[تاریخ]],4)</f>
        <v>1401</v>
      </c>
      <c r="E86" t="str">
        <f>LEFT(TDays[[#This Row],[تاریخ]],7)</f>
        <v>1401-03</v>
      </c>
      <c r="F86">
        <v>2</v>
      </c>
      <c r="G86" s="15" t="str">
        <f>VLOOKUP(TDays[[#This Row],[کد روز هفته]],TDaysOfTheWeek[],2,FALSE)</f>
        <v>دوشنبه</v>
      </c>
      <c r="H86" s="15">
        <f>IFERROR(IF(E85&lt;&gt;E86,1,INT(H85)+IF(TDays[[#This Row],[کد روز هفته]]=0,1,0)),1)</f>
        <v>4</v>
      </c>
      <c r="I86">
        <f>-SUMIF(TArticle[تاریخ],TDays[[#This Row],[تاریخ]],TArticle[هزینه])</f>
        <v>0</v>
      </c>
      <c r="J86">
        <f>SUMIF(TArticle[تاریخ],TDays[[#This Row],[تاریخ]],TArticle[درآمد تتا])</f>
        <v>0</v>
      </c>
      <c r="K86">
        <f>SUMIF(TArticle[تاریخ],TDays[[#This Row],[تاریخ]],TArticle[اسنپ])</f>
        <v>0</v>
      </c>
      <c r="L86">
        <f>-SUMIF(TArticle[تاریخ],TDays[[#This Row],[تاریخ]],TArticle[پرداخت بدهی])</f>
        <v>0</v>
      </c>
      <c r="M86">
        <f>SUMIF(TArticle[تاریخ],TDays[[#This Row],[تاریخ]],TArticle[افزایش بدهی])</f>
        <v>0</v>
      </c>
      <c r="N86">
        <f>-SUMIF(TArticle[تاریخ],TDays[[#This Row],[تاریخ]],TArticle[افزایش سرمایه])</f>
        <v>0</v>
      </c>
      <c r="O86">
        <f>SUMIF(TArticle[تاریخ],TDays[[#This Row],[تاریخ]],TArticle[تعداد تراکنش انجام شده])</f>
        <v>0</v>
      </c>
      <c r="P86">
        <f>INT(((TDays[[#This Row],[ماه]]-1)*31+TDays[[#This Row],[روز]]+1)/7)+1</f>
        <v>13</v>
      </c>
      <c r="Q86">
        <f>SUMIF(TArticle[تاریخ],TDays[[#This Row],[تاریخ]],TArticle[تراکنش برنامه ریزی شده])</f>
        <v>0</v>
      </c>
    </row>
    <row r="87" spans="1:17" x14ac:dyDescent="0.25">
      <c r="A87" s="3" t="s">
        <v>287</v>
      </c>
      <c r="B87" t="str">
        <f>RIGHT(TDays[[#This Row],[تاریخ]],2)</f>
        <v>24</v>
      </c>
      <c r="C87" t="str">
        <f>RIGHT(LEFT(TDays[[#This Row],[تاریخ]],7),2)</f>
        <v>03</v>
      </c>
      <c r="D87" t="str">
        <f>LEFT(TDays[[#This Row],[تاریخ]],4)</f>
        <v>1401</v>
      </c>
      <c r="E87" t="str">
        <f>LEFT(TDays[[#This Row],[تاریخ]],7)</f>
        <v>1401-03</v>
      </c>
      <c r="F87">
        <v>3</v>
      </c>
      <c r="G87" s="15" t="str">
        <f>VLOOKUP(TDays[[#This Row],[کد روز هفته]],TDaysOfTheWeek[],2,FALSE)</f>
        <v>سه شنبه</v>
      </c>
      <c r="H87" s="15">
        <f>IFERROR(IF(E86&lt;&gt;E87,1,INT(H86)+IF(TDays[[#This Row],[کد روز هفته]]=0,1,0)),1)</f>
        <v>4</v>
      </c>
      <c r="I87">
        <f>-SUMIF(TArticle[تاریخ],TDays[[#This Row],[تاریخ]],TArticle[هزینه])</f>
        <v>0</v>
      </c>
      <c r="J87">
        <f>SUMIF(TArticle[تاریخ],TDays[[#This Row],[تاریخ]],TArticle[درآمد تتا])</f>
        <v>0</v>
      </c>
      <c r="K87">
        <f>SUMIF(TArticle[تاریخ],TDays[[#This Row],[تاریخ]],TArticle[اسنپ])</f>
        <v>0</v>
      </c>
      <c r="L87">
        <f>-SUMIF(TArticle[تاریخ],TDays[[#This Row],[تاریخ]],TArticle[پرداخت بدهی])</f>
        <v>0</v>
      </c>
      <c r="M87">
        <f>SUMIF(TArticle[تاریخ],TDays[[#This Row],[تاریخ]],TArticle[افزایش بدهی])</f>
        <v>0</v>
      </c>
      <c r="N87">
        <f>-SUMIF(TArticle[تاریخ],TDays[[#This Row],[تاریخ]],TArticle[افزایش سرمایه])</f>
        <v>0</v>
      </c>
      <c r="O87">
        <f>SUMIF(TArticle[تاریخ],TDays[[#This Row],[تاریخ]],TArticle[تعداد تراکنش انجام شده])</f>
        <v>0</v>
      </c>
      <c r="P87">
        <f>INT(((TDays[[#This Row],[ماه]]-1)*31+TDays[[#This Row],[روز]]+1)/7)+1</f>
        <v>13</v>
      </c>
      <c r="Q87">
        <f>SUMIF(TArticle[تاریخ],TDays[[#This Row],[تاریخ]],TArticle[تراکنش برنامه ریزی شده])</f>
        <v>0</v>
      </c>
    </row>
    <row r="88" spans="1:17" x14ac:dyDescent="0.25">
      <c r="A88" s="3" t="s">
        <v>288</v>
      </c>
      <c r="B88" t="str">
        <f>RIGHT(TDays[[#This Row],[تاریخ]],2)</f>
        <v>25</v>
      </c>
      <c r="C88" t="str">
        <f>RIGHT(LEFT(TDays[[#This Row],[تاریخ]],7),2)</f>
        <v>03</v>
      </c>
      <c r="D88" t="str">
        <f>LEFT(TDays[[#This Row],[تاریخ]],4)</f>
        <v>1401</v>
      </c>
      <c r="E88" t="str">
        <f>LEFT(TDays[[#This Row],[تاریخ]],7)</f>
        <v>1401-03</v>
      </c>
      <c r="F88">
        <v>4</v>
      </c>
      <c r="G88" s="15" t="str">
        <f>VLOOKUP(TDays[[#This Row],[کد روز هفته]],TDaysOfTheWeek[],2,FALSE)</f>
        <v>چهارشنبه</v>
      </c>
      <c r="H88" s="15">
        <f>IFERROR(IF(E87&lt;&gt;E88,1,INT(H87)+IF(TDays[[#This Row],[کد روز هفته]]=0,1,0)),1)</f>
        <v>4</v>
      </c>
      <c r="I88">
        <f>-SUMIF(TArticle[تاریخ],TDays[[#This Row],[تاریخ]],TArticle[هزینه])</f>
        <v>0</v>
      </c>
      <c r="J88">
        <f>SUMIF(TArticle[تاریخ],TDays[[#This Row],[تاریخ]],TArticle[درآمد تتا])</f>
        <v>0</v>
      </c>
      <c r="K88">
        <f>SUMIF(TArticle[تاریخ],TDays[[#This Row],[تاریخ]],TArticle[اسنپ])</f>
        <v>0</v>
      </c>
      <c r="L88">
        <f>-SUMIF(TArticle[تاریخ],TDays[[#This Row],[تاریخ]],TArticle[پرداخت بدهی])</f>
        <v>0</v>
      </c>
      <c r="M88">
        <f>SUMIF(TArticle[تاریخ],TDays[[#This Row],[تاریخ]],TArticle[افزایش بدهی])</f>
        <v>0</v>
      </c>
      <c r="N88">
        <f>-SUMIF(TArticle[تاریخ],TDays[[#This Row],[تاریخ]],TArticle[افزایش سرمایه])</f>
        <v>0</v>
      </c>
      <c r="O88">
        <f>SUMIF(TArticle[تاریخ],TDays[[#This Row],[تاریخ]],TArticle[تعداد تراکنش انجام شده])</f>
        <v>0</v>
      </c>
      <c r="P88">
        <f>INT(((TDays[[#This Row],[ماه]]-1)*31+TDays[[#This Row],[روز]]+1)/7)+1</f>
        <v>13</v>
      </c>
      <c r="Q88">
        <f>SUMIF(TArticle[تاریخ],TDays[[#This Row],[تاریخ]],TArticle[تراکنش برنامه ریزی شده])</f>
        <v>0</v>
      </c>
    </row>
    <row r="89" spans="1:17" x14ac:dyDescent="0.25">
      <c r="A89" s="3" t="s">
        <v>289</v>
      </c>
      <c r="B89" t="str">
        <f>RIGHT(TDays[[#This Row],[تاریخ]],2)</f>
        <v>26</v>
      </c>
      <c r="C89" t="str">
        <f>RIGHT(LEFT(TDays[[#This Row],[تاریخ]],7),2)</f>
        <v>03</v>
      </c>
      <c r="D89" t="str">
        <f>LEFT(TDays[[#This Row],[تاریخ]],4)</f>
        <v>1401</v>
      </c>
      <c r="E89" t="str">
        <f>LEFT(TDays[[#This Row],[تاریخ]],7)</f>
        <v>1401-03</v>
      </c>
      <c r="F89">
        <v>5</v>
      </c>
      <c r="G89" s="15" t="str">
        <f>VLOOKUP(TDays[[#This Row],[کد روز هفته]],TDaysOfTheWeek[],2,FALSE)</f>
        <v>پنجشنبه</v>
      </c>
      <c r="H89" s="15">
        <f>IFERROR(IF(E88&lt;&gt;E89,1,INT(H88)+IF(TDays[[#This Row],[کد روز هفته]]=0,1,0)),1)</f>
        <v>4</v>
      </c>
      <c r="I89">
        <f>-SUMIF(TArticle[تاریخ],TDays[[#This Row],[تاریخ]],TArticle[هزینه])</f>
        <v>0</v>
      </c>
      <c r="J89">
        <f>SUMIF(TArticle[تاریخ],TDays[[#This Row],[تاریخ]],TArticle[درآمد تتا])</f>
        <v>0</v>
      </c>
      <c r="K89">
        <f>SUMIF(TArticle[تاریخ],TDays[[#This Row],[تاریخ]],TArticle[اسنپ])</f>
        <v>0</v>
      </c>
      <c r="L89">
        <f>-SUMIF(TArticle[تاریخ],TDays[[#This Row],[تاریخ]],TArticle[پرداخت بدهی])</f>
        <v>0</v>
      </c>
      <c r="M89">
        <f>SUMIF(TArticle[تاریخ],TDays[[#This Row],[تاریخ]],TArticle[افزایش بدهی])</f>
        <v>0</v>
      </c>
      <c r="N89">
        <f>-SUMIF(TArticle[تاریخ],TDays[[#This Row],[تاریخ]],TArticle[افزایش سرمایه])</f>
        <v>0</v>
      </c>
      <c r="O89">
        <f>SUMIF(TArticle[تاریخ],TDays[[#This Row],[تاریخ]],TArticle[تعداد تراکنش انجام شده])</f>
        <v>0</v>
      </c>
      <c r="P89">
        <f>INT(((TDays[[#This Row],[ماه]]-1)*31+TDays[[#This Row],[روز]]+1)/7)+1</f>
        <v>13</v>
      </c>
      <c r="Q89">
        <f>SUMIF(TArticle[تاریخ],TDays[[#This Row],[تاریخ]],TArticle[تراکنش برنامه ریزی شده])</f>
        <v>0</v>
      </c>
    </row>
    <row r="90" spans="1:17" x14ac:dyDescent="0.25">
      <c r="A90" s="3" t="s">
        <v>290</v>
      </c>
      <c r="B90" t="str">
        <f>RIGHT(TDays[[#This Row],[تاریخ]],2)</f>
        <v>27</v>
      </c>
      <c r="C90" t="str">
        <f>RIGHT(LEFT(TDays[[#This Row],[تاریخ]],7),2)</f>
        <v>03</v>
      </c>
      <c r="D90" t="str">
        <f>LEFT(TDays[[#This Row],[تاریخ]],4)</f>
        <v>1401</v>
      </c>
      <c r="E90" t="str">
        <f>LEFT(TDays[[#This Row],[تاریخ]],7)</f>
        <v>1401-03</v>
      </c>
      <c r="F90">
        <v>6</v>
      </c>
      <c r="G90" s="15" t="str">
        <f>VLOOKUP(TDays[[#This Row],[کد روز هفته]],TDaysOfTheWeek[],2,FALSE)</f>
        <v>جمعه</v>
      </c>
      <c r="H90" s="15">
        <f>IFERROR(IF(E89&lt;&gt;E90,1,INT(H89)+IF(TDays[[#This Row],[کد روز هفته]]=0,1,0)),1)</f>
        <v>4</v>
      </c>
      <c r="I90">
        <f>-SUMIF(TArticle[تاریخ],TDays[[#This Row],[تاریخ]],TArticle[هزینه])</f>
        <v>9072</v>
      </c>
      <c r="J90">
        <f>SUMIF(TArticle[تاریخ],TDays[[#This Row],[تاریخ]],TArticle[درآمد تتا])</f>
        <v>0</v>
      </c>
      <c r="K90">
        <f>SUMIF(TArticle[تاریخ],TDays[[#This Row],[تاریخ]],TArticle[اسنپ])</f>
        <v>0</v>
      </c>
      <c r="L90">
        <f>-SUMIF(TArticle[تاریخ],TDays[[#This Row],[تاریخ]],TArticle[پرداخت بدهی])</f>
        <v>1015</v>
      </c>
      <c r="M90">
        <f>SUMIF(TArticle[تاریخ],TDays[[#This Row],[تاریخ]],TArticle[افزایش بدهی])</f>
        <v>0</v>
      </c>
      <c r="N90">
        <f>-SUMIF(TArticle[تاریخ],TDays[[#This Row],[تاریخ]],TArticle[افزایش سرمایه])</f>
        <v>0</v>
      </c>
      <c r="O90">
        <f>SUMIF(TArticle[تاریخ],TDays[[#This Row],[تاریخ]],TArticle[تعداد تراکنش انجام شده])</f>
        <v>5</v>
      </c>
      <c r="P90">
        <f>INT(((TDays[[#This Row],[ماه]]-1)*31+TDays[[#This Row],[روز]]+1)/7)+1</f>
        <v>13</v>
      </c>
      <c r="Q90">
        <f>SUMIF(TArticle[تاریخ],TDays[[#This Row],[تاریخ]],TArticle[تراکنش برنامه ریزی شده])</f>
        <v>0</v>
      </c>
    </row>
    <row r="91" spans="1:17" x14ac:dyDescent="0.25">
      <c r="A91" s="3" t="s">
        <v>291</v>
      </c>
      <c r="B91" t="str">
        <f>RIGHT(TDays[[#This Row],[تاریخ]],2)</f>
        <v>28</v>
      </c>
      <c r="C91" t="str">
        <f>RIGHT(LEFT(TDays[[#This Row],[تاریخ]],7),2)</f>
        <v>03</v>
      </c>
      <c r="D91" t="str">
        <f>LEFT(TDays[[#This Row],[تاریخ]],4)</f>
        <v>1401</v>
      </c>
      <c r="E91" t="str">
        <f>LEFT(TDays[[#This Row],[تاریخ]],7)</f>
        <v>1401-03</v>
      </c>
      <c r="F91">
        <v>0</v>
      </c>
      <c r="G91" s="15" t="str">
        <f>VLOOKUP(TDays[[#This Row],[کد روز هفته]],TDaysOfTheWeek[],2,FALSE)</f>
        <v>شنبه</v>
      </c>
      <c r="H91" s="15">
        <f>IFERROR(IF(E90&lt;&gt;E91,1,INT(H90)+IF(TDays[[#This Row],[کد روز هفته]]=0,1,0)),1)</f>
        <v>5</v>
      </c>
      <c r="I91">
        <f>-SUMIF(TArticle[تاریخ],TDays[[#This Row],[تاریخ]],TArticle[هزینه])</f>
        <v>32000</v>
      </c>
      <c r="J91">
        <f>SUMIF(TArticle[تاریخ],TDays[[#This Row],[تاریخ]],TArticle[درآمد تتا])</f>
        <v>0</v>
      </c>
      <c r="K91">
        <f>SUMIF(TArticle[تاریخ],TDays[[#This Row],[تاریخ]],TArticle[اسنپ])</f>
        <v>0</v>
      </c>
      <c r="L91">
        <f>-SUMIF(TArticle[تاریخ],TDays[[#This Row],[تاریخ]],TArticle[پرداخت بدهی])</f>
        <v>0</v>
      </c>
      <c r="M91">
        <f>SUMIF(TArticle[تاریخ],TDays[[#This Row],[تاریخ]],TArticle[افزایش بدهی])</f>
        <v>32000</v>
      </c>
      <c r="N91">
        <f>-SUMIF(TArticle[تاریخ],TDays[[#This Row],[تاریخ]],TArticle[افزایش سرمایه])</f>
        <v>0</v>
      </c>
      <c r="O91">
        <f>SUMIF(TArticle[تاریخ],TDays[[#This Row],[تاریخ]],TArticle[تعداد تراکنش انجام شده])</f>
        <v>2</v>
      </c>
      <c r="P91">
        <f>INT(((TDays[[#This Row],[ماه]]-1)*31+TDays[[#This Row],[روز]]+1)/7)+1</f>
        <v>14</v>
      </c>
      <c r="Q91">
        <f>SUMIF(TArticle[تاریخ],TDays[[#This Row],[تاریخ]],TArticle[تراکنش برنامه ریزی شده])</f>
        <v>0</v>
      </c>
    </row>
    <row r="92" spans="1:17" x14ac:dyDescent="0.25">
      <c r="A92" s="3" t="s">
        <v>292</v>
      </c>
      <c r="B92" t="str">
        <f>RIGHT(TDays[[#This Row],[تاریخ]],2)</f>
        <v>29</v>
      </c>
      <c r="C92" t="str">
        <f>RIGHT(LEFT(TDays[[#This Row],[تاریخ]],7),2)</f>
        <v>03</v>
      </c>
      <c r="D92" t="str">
        <f>LEFT(TDays[[#This Row],[تاریخ]],4)</f>
        <v>1401</v>
      </c>
      <c r="E92" t="str">
        <f>LEFT(TDays[[#This Row],[تاریخ]],7)</f>
        <v>1401-03</v>
      </c>
      <c r="F92">
        <v>1</v>
      </c>
      <c r="G92" s="15" t="str">
        <f>VLOOKUP(TDays[[#This Row],[کد روز هفته]],TDaysOfTheWeek[],2,FALSE)</f>
        <v>یکشنبه</v>
      </c>
      <c r="H92" s="15">
        <f>IFERROR(IF(E91&lt;&gt;E92,1,INT(H91)+IF(TDays[[#This Row],[کد روز هفته]]=0,1,0)),1)</f>
        <v>5</v>
      </c>
      <c r="I92">
        <f>-SUMIF(TArticle[تاریخ],TDays[[#This Row],[تاریخ]],TArticle[هزینه])</f>
        <v>0</v>
      </c>
      <c r="J92">
        <f>SUMIF(TArticle[تاریخ],TDays[[#This Row],[تاریخ]],TArticle[درآمد تتا])</f>
        <v>0</v>
      </c>
      <c r="K92">
        <f>SUMIF(TArticle[تاریخ],TDays[[#This Row],[تاریخ]],TArticle[اسنپ])</f>
        <v>0</v>
      </c>
      <c r="L92">
        <f>-SUMIF(TArticle[تاریخ],TDays[[#This Row],[تاریخ]],TArticle[پرداخت بدهی])</f>
        <v>0</v>
      </c>
      <c r="M92">
        <f>SUMIF(TArticle[تاریخ],TDays[[#This Row],[تاریخ]],TArticle[افزایش بدهی])</f>
        <v>0</v>
      </c>
      <c r="N92">
        <f>-SUMIF(TArticle[تاریخ],TDays[[#This Row],[تاریخ]],TArticle[افزایش سرمایه])</f>
        <v>0</v>
      </c>
      <c r="O92">
        <f>SUMIF(TArticle[تاریخ],TDays[[#This Row],[تاریخ]],TArticle[تعداد تراکنش انجام شده])</f>
        <v>0</v>
      </c>
      <c r="P92">
        <f>INT(((TDays[[#This Row],[ماه]]-1)*31+TDays[[#This Row],[روز]]+1)/7)+1</f>
        <v>14</v>
      </c>
      <c r="Q92">
        <f>SUMIF(TArticle[تاریخ],TDays[[#This Row],[تاریخ]],TArticle[تراکنش برنامه ریزی شده])</f>
        <v>0</v>
      </c>
    </row>
    <row r="93" spans="1:17" x14ac:dyDescent="0.25">
      <c r="A93" s="3" t="s">
        <v>293</v>
      </c>
      <c r="B93" t="str">
        <f>RIGHT(TDays[[#This Row],[تاریخ]],2)</f>
        <v>30</v>
      </c>
      <c r="C93" t="str">
        <f>RIGHT(LEFT(TDays[[#This Row],[تاریخ]],7),2)</f>
        <v>03</v>
      </c>
      <c r="D93" t="str">
        <f>LEFT(TDays[[#This Row],[تاریخ]],4)</f>
        <v>1401</v>
      </c>
      <c r="E93" t="str">
        <f>LEFT(TDays[[#This Row],[تاریخ]],7)</f>
        <v>1401-03</v>
      </c>
      <c r="F93">
        <v>2</v>
      </c>
      <c r="G93" s="15" t="str">
        <f>VLOOKUP(TDays[[#This Row],[کد روز هفته]],TDaysOfTheWeek[],2,FALSE)</f>
        <v>دوشنبه</v>
      </c>
      <c r="H93" s="15">
        <f>IFERROR(IF(E92&lt;&gt;E93,1,INT(H92)+IF(TDays[[#This Row],[کد روز هفته]]=0,1,0)),1)</f>
        <v>5</v>
      </c>
      <c r="I93">
        <f>-SUMIF(TArticle[تاریخ],TDays[[#This Row],[تاریخ]],TArticle[هزینه])</f>
        <v>0</v>
      </c>
      <c r="J93">
        <f>SUMIF(TArticle[تاریخ],TDays[[#This Row],[تاریخ]],TArticle[درآمد تتا])</f>
        <v>0</v>
      </c>
      <c r="K93">
        <f>SUMIF(TArticle[تاریخ],TDays[[#This Row],[تاریخ]],TArticle[اسنپ])</f>
        <v>0</v>
      </c>
      <c r="L93">
        <f>-SUMIF(TArticle[تاریخ],TDays[[#This Row],[تاریخ]],TArticle[پرداخت بدهی])</f>
        <v>0</v>
      </c>
      <c r="M93">
        <f>SUMIF(TArticle[تاریخ],TDays[[#This Row],[تاریخ]],TArticle[افزایش بدهی])</f>
        <v>0</v>
      </c>
      <c r="N93">
        <f>-SUMIF(TArticle[تاریخ],TDays[[#This Row],[تاریخ]],TArticle[افزایش سرمایه])</f>
        <v>0</v>
      </c>
      <c r="O93">
        <f>SUMIF(TArticle[تاریخ],TDays[[#This Row],[تاریخ]],TArticle[تعداد تراکنش انجام شده])</f>
        <v>0</v>
      </c>
      <c r="P93">
        <f>INT(((TDays[[#This Row],[ماه]]-1)*31+TDays[[#This Row],[روز]]+1)/7)+1</f>
        <v>14</v>
      </c>
      <c r="Q93">
        <f>SUMIF(TArticle[تاریخ],TDays[[#This Row],[تاریخ]],TArticle[تراکنش برنامه ریزی شده])</f>
        <v>0</v>
      </c>
    </row>
    <row r="94" spans="1:17" x14ac:dyDescent="0.25">
      <c r="A94" s="3" t="s">
        <v>294</v>
      </c>
      <c r="B94" t="str">
        <f>RIGHT(TDays[[#This Row],[تاریخ]],2)</f>
        <v>31</v>
      </c>
      <c r="C94" t="str">
        <f>RIGHT(LEFT(TDays[[#This Row],[تاریخ]],7),2)</f>
        <v>03</v>
      </c>
      <c r="D94" t="str">
        <f>LEFT(TDays[[#This Row],[تاریخ]],4)</f>
        <v>1401</v>
      </c>
      <c r="E94" t="str">
        <f>LEFT(TDays[[#This Row],[تاریخ]],7)</f>
        <v>1401-03</v>
      </c>
      <c r="F94">
        <v>3</v>
      </c>
      <c r="G94" s="15" t="str">
        <f>VLOOKUP(TDays[[#This Row],[کد روز هفته]],TDaysOfTheWeek[],2,FALSE)</f>
        <v>سه شنبه</v>
      </c>
      <c r="H94" s="15">
        <f>IFERROR(IF(E93&lt;&gt;E94,1,INT(H93)+IF(TDays[[#This Row],[کد روز هفته]]=0,1,0)),1)</f>
        <v>5</v>
      </c>
      <c r="I94">
        <f>-SUMIF(TArticle[تاریخ],TDays[[#This Row],[تاریخ]],TArticle[هزینه])</f>
        <v>0</v>
      </c>
      <c r="J94">
        <f>SUMIF(TArticle[تاریخ],TDays[[#This Row],[تاریخ]],TArticle[درآمد تتا])</f>
        <v>0</v>
      </c>
      <c r="K94">
        <f>SUMIF(TArticle[تاریخ],TDays[[#This Row],[تاریخ]],TArticle[اسنپ])</f>
        <v>0</v>
      </c>
      <c r="L94">
        <f>-SUMIF(TArticle[تاریخ],TDays[[#This Row],[تاریخ]],TArticle[پرداخت بدهی])</f>
        <v>0</v>
      </c>
      <c r="M94">
        <f>SUMIF(TArticle[تاریخ],TDays[[#This Row],[تاریخ]],TArticle[افزایش بدهی])</f>
        <v>0</v>
      </c>
      <c r="N94">
        <f>-SUMIF(TArticle[تاریخ],TDays[[#This Row],[تاریخ]],TArticle[افزایش سرمایه])</f>
        <v>0</v>
      </c>
      <c r="O94">
        <f>SUMIF(TArticle[تاریخ],TDays[[#This Row],[تاریخ]],TArticle[تعداد تراکنش انجام شده])</f>
        <v>0</v>
      </c>
      <c r="P94">
        <f>INT(((TDays[[#This Row],[ماه]]-1)*31+TDays[[#This Row],[روز]]+1)/7)+1</f>
        <v>14</v>
      </c>
      <c r="Q94">
        <f>SUMIF(TArticle[تاریخ],TDays[[#This Row],[تاریخ]],TArticle[تراکنش برنامه ریزی شده])</f>
        <v>0</v>
      </c>
    </row>
    <row r="95" spans="1:17" x14ac:dyDescent="0.25">
      <c r="A95" s="3" t="s">
        <v>295</v>
      </c>
      <c r="B95" t="str">
        <f>RIGHT(TDays[[#This Row],[تاریخ]],2)</f>
        <v>01</v>
      </c>
      <c r="C95" t="str">
        <f>RIGHT(LEFT(TDays[[#This Row],[تاریخ]],7),2)</f>
        <v>04</v>
      </c>
      <c r="D95" t="str">
        <f>LEFT(TDays[[#This Row],[تاریخ]],4)</f>
        <v>1401</v>
      </c>
      <c r="E95" t="str">
        <f>LEFT(TDays[[#This Row],[تاریخ]],7)</f>
        <v>1401-04</v>
      </c>
      <c r="F95">
        <v>4</v>
      </c>
      <c r="G95" s="15" t="str">
        <f>VLOOKUP(TDays[[#This Row],[کد روز هفته]],TDaysOfTheWeek[],2,FALSE)</f>
        <v>چهارشنبه</v>
      </c>
      <c r="H95" s="15">
        <f>IFERROR(IF(E94&lt;&gt;E95,1,INT(H94)+IF(TDays[[#This Row],[کد روز هفته]]=0,1,0)),1)</f>
        <v>1</v>
      </c>
      <c r="I95">
        <f>-SUMIF(TArticle[تاریخ],TDays[[#This Row],[تاریخ]],TArticle[هزینه])</f>
        <v>84</v>
      </c>
      <c r="J95">
        <f>SUMIF(TArticle[تاریخ],TDays[[#This Row],[تاریخ]],TArticle[درآمد تتا])</f>
        <v>37913</v>
      </c>
      <c r="K95">
        <f>SUMIF(TArticle[تاریخ],TDays[[#This Row],[تاریخ]],TArticle[اسنپ])</f>
        <v>0</v>
      </c>
      <c r="L95">
        <f>-SUMIF(TArticle[تاریخ],TDays[[#This Row],[تاریخ]],TArticle[پرداخت بدهی])</f>
        <v>11375</v>
      </c>
      <c r="M95">
        <f>SUMIF(TArticle[تاریخ],TDays[[#This Row],[تاریخ]],TArticle[افزایش بدهی])</f>
        <v>0</v>
      </c>
      <c r="N95">
        <f>-SUMIF(TArticle[تاریخ],TDays[[#This Row],[تاریخ]],TArticle[افزایش سرمایه])</f>
        <v>0</v>
      </c>
      <c r="O95">
        <f>SUMIF(TArticle[تاریخ],TDays[[#This Row],[تاریخ]],TArticle[تعداد تراکنش انجام شده])</f>
        <v>12</v>
      </c>
      <c r="P95">
        <f>INT(((TDays[[#This Row],[ماه]]-1)*31+TDays[[#This Row],[روز]]+1)/7)+1</f>
        <v>14</v>
      </c>
      <c r="Q95">
        <f>SUMIF(TArticle[تاریخ],TDays[[#This Row],[تاریخ]],TArticle[تراکنش برنامه ریزی شده])</f>
        <v>0</v>
      </c>
    </row>
    <row r="96" spans="1:17" x14ac:dyDescent="0.25">
      <c r="A96" s="3" t="s">
        <v>296</v>
      </c>
      <c r="B96" t="str">
        <f>RIGHT(TDays[[#This Row],[تاریخ]],2)</f>
        <v>02</v>
      </c>
      <c r="C96" t="str">
        <f>RIGHT(LEFT(TDays[[#This Row],[تاریخ]],7),2)</f>
        <v>04</v>
      </c>
      <c r="D96" t="str">
        <f>LEFT(TDays[[#This Row],[تاریخ]],4)</f>
        <v>1401</v>
      </c>
      <c r="E96" t="str">
        <f>LEFT(TDays[[#This Row],[تاریخ]],7)</f>
        <v>1401-04</v>
      </c>
      <c r="F96">
        <v>5</v>
      </c>
      <c r="G96" s="15" t="str">
        <f>VLOOKUP(TDays[[#This Row],[کد روز هفته]],TDaysOfTheWeek[],2,FALSE)</f>
        <v>پنجشنبه</v>
      </c>
      <c r="H96" s="15">
        <f>IFERROR(IF(E95&lt;&gt;E96,1,INT(H95)+IF(TDays[[#This Row],[کد روز هفته]]=0,1,0)),1)</f>
        <v>1</v>
      </c>
      <c r="I96">
        <f>-SUMIF(TArticle[تاریخ],TDays[[#This Row],[تاریخ]],TArticle[هزینه])</f>
        <v>0</v>
      </c>
      <c r="J96">
        <f>SUMIF(TArticle[تاریخ],TDays[[#This Row],[تاریخ]],TArticle[درآمد تتا])</f>
        <v>0</v>
      </c>
      <c r="K96">
        <f>SUMIF(TArticle[تاریخ],TDays[[#This Row],[تاریخ]],TArticle[اسنپ])</f>
        <v>0</v>
      </c>
      <c r="L96">
        <f>-SUMIF(TArticle[تاریخ],TDays[[#This Row],[تاریخ]],TArticle[پرداخت بدهی])</f>
        <v>0</v>
      </c>
      <c r="M96">
        <f>SUMIF(TArticle[تاریخ],TDays[[#This Row],[تاریخ]],TArticle[افزایش بدهی])</f>
        <v>0</v>
      </c>
      <c r="N96">
        <f>-SUMIF(TArticle[تاریخ],TDays[[#This Row],[تاریخ]],TArticle[افزایش سرمایه])</f>
        <v>0</v>
      </c>
      <c r="O96">
        <f>SUMIF(TArticle[تاریخ],TDays[[#This Row],[تاریخ]],TArticle[تعداد تراکنش انجام شده])</f>
        <v>0</v>
      </c>
      <c r="P96">
        <f>INT(((TDays[[#This Row],[ماه]]-1)*31+TDays[[#This Row],[روز]]+1)/7)+1</f>
        <v>14</v>
      </c>
      <c r="Q96">
        <f>SUMIF(TArticle[تاریخ],TDays[[#This Row],[تاریخ]],TArticle[تراکنش برنامه ریزی شده])</f>
        <v>0</v>
      </c>
    </row>
    <row r="97" spans="1:17" x14ac:dyDescent="0.25">
      <c r="A97" s="3" t="s">
        <v>297</v>
      </c>
      <c r="B97" t="str">
        <f>RIGHT(TDays[[#This Row],[تاریخ]],2)</f>
        <v>03</v>
      </c>
      <c r="C97" t="str">
        <f>RIGHT(LEFT(TDays[[#This Row],[تاریخ]],7),2)</f>
        <v>04</v>
      </c>
      <c r="D97" t="str">
        <f>LEFT(TDays[[#This Row],[تاریخ]],4)</f>
        <v>1401</v>
      </c>
      <c r="E97" t="str">
        <f>LEFT(TDays[[#This Row],[تاریخ]],7)</f>
        <v>1401-04</v>
      </c>
      <c r="F97">
        <v>6</v>
      </c>
      <c r="G97" s="15" t="str">
        <f>VLOOKUP(TDays[[#This Row],[کد روز هفته]],TDaysOfTheWeek[],2,FALSE)</f>
        <v>جمعه</v>
      </c>
      <c r="H97" s="15">
        <f>IFERROR(IF(E96&lt;&gt;E97,1,INT(H96)+IF(TDays[[#This Row],[کد روز هفته]]=0,1,0)),1)</f>
        <v>1</v>
      </c>
      <c r="I97">
        <f>-SUMIF(TArticle[تاریخ],TDays[[#This Row],[تاریخ]],TArticle[هزینه])</f>
        <v>0</v>
      </c>
      <c r="J97">
        <f>SUMIF(TArticle[تاریخ],TDays[[#This Row],[تاریخ]],TArticle[درآمد تتا])</f>
        <v>0</v>
      </c>
      <c r="K97">
        <f>SUMIF(TArticle[تاریخ],TDays[[#This Row],[تاریخ]],TArticle[اسنپ])</f>
        <v>0</v>
      </c>
      <c r="L97">
        <f>-SUMIF(TArticle[تاریخ],TDays[[#This Row],[تاریخ]],TArticle[پرداخت بدهی])</f>
        <v>0</v>
      </c>
      <c r="M97">
        <f>SUMIF(TArticle[تاریخ],TDays[[#This Row],[تاریخ]],TArticle[افزایش بدهی])</f>
        <v>0</v>
      </c>
      <c r="N97">
        <f>-SUMIF(TArticle[تاریخ],TDays[[#This Row],[تاریخ]],TArticle[افزایش سرمایه])</f>
        <v>0</v>
      </c>
      <c r="O97">
        <f>SUMIF(TArticle[تاریخ],TDays[[#This Row],[تاریخ]],TArticle[تعداد تراکنش انجام شده])</f>
        <v>0</v>
      </c>
      <c r="P97">
        <f>INT(((TDays[[#This Row],[ماه]]-1)*31+TDays[[#This Row],[روز]]+1)/7)+1</f>
        <v>14</v>
      </c>
      <c r="Q97">
        <f>SUMIF(TArticle[تاریخ],TDays[[#This Row],[تاریخ]],TArticle[تراکنش برنامه ریزی شده])</f>
        <v>0</v>
      </c>
    </row>
    <row r="98" spans="1:17" x14ac:dyDescent="0.25">
      <c r="A98" s="3" t="s">
        <v>298</v>
      </c>
      <c r="B98" t="str">
        <f>RIGHT(TDays[[#This Row],[تاریخ]],2)</f>
        <v>04</v>
      </c>
      <c r="C98" t="str">
        <f>RIGHT(LEFT(TDays[[#This Row],[تاریخ]],7),2)</f>
        <v>04</v>
      </c>
      <c r="D98" t="str">
        <f>LEFT(TDays[[#This Row],[تاریخ]],4)</f>
        <v>1401</v>
      </c>
      <c r="E98" t="str">
        <f>LEFT(TDays[[#This Row],[تاریخ]],7)</f>
        <v>1401-04</v>
      </c>
      <c r="F98">
        <v>0</v>
      </c>
      <c r="G98" s="15" t="str">
        <f>VLOOKUP(TDays[[#This Row],[کد روز هفته]],TDaysOfTheWeek[],2,FALSE)</f>
        <v>شنبه</v>
      </c>
      <c r="H98" s="15">
        <f>IFERROR(IF(E97&lt;&gt;E98,1,INT(H97)+IF(TDays[[#This Row],[کد روز هفته]]=0,1,0)),1)</f>
        <v>2</v>
      </c>
      <c r="I98">
        <f>-SUMIF(TArticle[تاریخ],TDays[[#This Row],[تاریخ]],TArticle[هزینه])</f>
        <v>0</v>
      </c>
      <c r="J98">
        <f>SUMIF(TArticle[تاریخ],TDays[[#This Row],[تاریخ]],TArticle[درآمد تتا])</f>
        <v>0</v>
      </c>
      <c r="K98">
        <f>SUMIF(TArticle[تاریخ],TDays[[#This Row],[تاریخ]],TArticle[اسنپ])</f>
        <v>0</v>
      </c>
      <c r="L98">
        <f>-SUMIF(TArticle[تاریخ],TDays[[#This Row],[تاریخ]],TArticle[پرداخت بدهی])</f>
        <v>0</v>
      </c>
      <c r="M98">
        <f>SUMIF(TArticle[تاریخ],TDays[[#This Row],[تاریخ]],TArticle[افزایش بدهی])</f>
        <v>0</v>
      </c>
      <c r="N98">
        <f>-SUMIF(TArticle[تاریخ],TDays[[#This Row],[تاریخ]],TArticle[افزایش سرمایه])</f>
        <v>0</v>
      </c>
      <c r="O98">
        <f>SUMIF(TArticle[تاریخ],TDays[[#This Row],[تاریخ]],TArticle[تعداد تراکنش انجام شده])</f>
        <v>0</v>
      </c>
      <c r="P98">
        <f>INT(((TDays[[#This Row],[ماه]]-1)*31+TDays[[#This Row],[روز]]+1)/7)+1</f>
        <v>15</v>
      </c>
      <c r="Q98">
        <f>SUMIF(TArticle[تاریخ],TDays[[#This Row],[تاریخ]],TArticle[تراکنش برنامه ریزی شده])</f>
        <v>0</v>
      </c>
    </row>
    <row r="99" spans="1:17" x14ac:dyDescent="0.25">
      <c r="A99" s="3" t="s">
        <v>299</v>
      </c>
      <c r="B99" t="str">
        <f>RIGHT(TDays[[#This Row],[تاریخ]],2)</f>
        <v>05</v>
      </c>
      <c r="C99" t="str">
        <f>RIGHT(LEFT(TDays[[#This Row],[تاریخ]],7),2)</f>
        <v>04</v>
      </c>
      <c r="D99" t="str">
        <f>LEFT(TDays[[#This Row],[تاریخ]],4)</f>
        <v>1401</v>
      </c>
      <c r="E99" t="str">
        <f>LEFT(TDays[[#This Row],[تاریخ]],7)</f>
        <v>1401-04</v>
      </c>
      <c r="F99">
        <v>1</v>
      </c>
      <c r="G99" s="15" t="str">
        <f>VLOOKUP(TDays[[#This Row],[کد روز هفته]],TDaysOfTheWeek[],2,FALSE)</f>
        <v>یکشنبه</v>
      </c>
      <c r="H99" s="15">
        <f>IFERROR(IF(E98&lt;&gt;E99,1,INT(H98)+IF(TDays[[#This Row],[کد روز هفته]]=0,1,0)),1)</f>
        <v>2</v>
      </c>
      <c r="I99">
        <f>-SUMIF(TArticle[تاریخ],TDays[[#This Row],[تاریخ]],TArticle[هزینه])</f>
        <v>9000</v>
      </c>
      <c r="J99">
        <f>SUMIF(TArticle[تاریخ],TDays[[#This Row],[تاریخ]],TArticle[درآمد تتا])</f>
        <v>0</v>
      </c>
      <c r="K99">
        <f>SUMIF(TArticle[تاریخ],TDays[[#This Row],[تاریخ]],TArticle[اسنپ])</f>
        <v>0</v>
      </c>
      <c r="L99">
        <f>-SUMIF(TArticle[تاریخ],TDays[[#This Row],[تاریخ]],TArticle[پرداخت بدهی])</f>
        <v>5000</v>
      </c>
      <c r="M99">
        <f>SUMIF(TArticle[تاریخ],TDays[[#This Row],[تاریخ]],TArticle[افزایش بدهی])</f>
        <v>0</v>
      </c>
      <c r="N99">
        <f>-SUMIF(TArticle[تاریخ],TDays[[#This Row],[تاریخ]],TArticle[افزایش سرمایه])</f>
        <v>0</v>
      </c>
      <c r="O99">
        <f>SUMIF(TArticle[تاریخ],TDays[[#This Row],[تاریخ]],TArticle[تعداد تراکنش انجام شده])</f>
        <v>2</v>
      </c>
      <c r="P99">
        <f>INT(((TDays[[#This Row],[ماه]]-1)*31+TDays[[#This Row],[روز]]+1)/7)+1</f>
        <v>15</v>
      </c>
      <c r="Q99">
        <f>SUMIF(TArticle[تاریخ],TDays[[#This Row],[تاریخ]],TArticle[تراکنش برنامه ریزی شده])</f>
        <v>0</v>
      </c>
    </row>
    <row r="100" spans="1:17" x14ac:dyDescent="0.25">
      <c r="A100" s="3" t="s">
        <v>300</v>
      </c>
      <c r="B100" t="str">
        <f>RIGHT(TDays[[#This Row],[تاریخ]],2)</f>
        <v>06</v>
      </c>
      <c r="C100" t="str">
        <f>RIGHT(LEFT(TDays[[#This Row],[تاریخ]],7),2)</f>
        <v>04</v>
      </c>
      <c r="D100" t="str">
        <f>LEFT(TDays[[#This Row],[تاریخ]],4)</f>
        <v>1401</v>
      </c>
      <c r="E100" t="str">
        <f>LEFT(TDays[[#This Row],[تاریخ]],7)</f>
        <v>1401-04</v>
      </c>
      <c r="F100">
        <v>2</v>
      </c>
      <c r="G100" s="15" t="str">
        <f>VLOOKUP(TDays[[#This Row],[کد روز هفته]],TDaysOfTheWeek[],2,FALSE)</f>
        <v>دوشنبه</v>
      </c>
      <c r="H100" s="15">
        <f>IFERROR(IF(E99&lt;&gt;E100,1,INT(H99)+IF(TDays[[#This Row],[کد روز هفته]]=0,1,0)),1)</f>
        <v>2</v>
      </c>
      <c r="I100">
        <f>-SUMIF(TArticle[تاریخ],TDays[[#This Row],[تاریخ]],TArticle[هزینه])</f>
        <v>0</v>
      </c>
      <c r="J100">
        <f>SUMIF(TArticle[تاریخ],TDays[[#This Row],[تاریخ]],TArticle[درآمد تتا])</f>
        <v>0</v>
      </c>
      <c r="K100">
        <f>SUMIF(TArticle[تاریخ],TDays[[#This Row],[تاریخ]],TArticle[اسنپ])</f>
        <v>0</v>
      </c>
      <c r="L100">
        <f>-SUMIF(TArticle[تاریخ],TDays[[#This Row],[تاریخ]],TArticle[پرداخت بدهی])</f>
        <v>0</v>
      </c>
      <c r="M100">
        <f>SUMIF(TArticle[تاریخ],TDays[[#This Row],[تاریخ]],TArticle[افزایش بدهی])</f>
        <v>0</v>
      </c>
      <c r="N100">
        <f>-SUMIF(TArticle[تاریخ],TDays[[#This Row],[تاریخ]],TArticle[افزایش سرمایه])</f>
        <v>0</v>
      </c>
      <c r="O100">
        <f>SUMIF(TArticle[تاریخ],TDays[[#This Row],[تاریخ]],TArticle[تعداد تراکنش انجام شده])</f>
        <v>0</v>
      </c>
      <c r="P100">
        <f>INT(((TDays[[#This Row],[ماه]]-1)*31+TDays[[#This Row],[روز]]+1)/7)+1</f>
        <v>15</v>
      </c>
      <c r="Q100">
        <f>SUMIF(TArticle[تاریخ],TDays[[#This Row],[تاریخ]],TArticle[تراکنش برنامه ریزی شده])</f>
        <v>0</v>
      </c>
    </row>
    <row r="101" spans="1:17" x14ac:dyDescent="0.25">
      <c r="A101" s="3" t="s">
        <v>301</v>
      </c>
      <c r="B101" t="str">
        <f>RIGHT(TDays[[#This Row],[تاریخ]],2)</f>
        <v>07</v>
      </c>
      <c r="C101" t="str">
        <f>RIGHT(LEFT(TDays[[#This Row],[تاریخ]],7),2)</f>
        <v>04</v>
      </c>
      <c r="D101" t="str">
        <f>LEFT(TDays[[#This Row],[تاریخ]],4)</f>
        <v>1401</v>
      </c>
      <c r="E101" t="str">
        <f>LEFT(TDays[[#This Row],[تاریخ]],7)</f>
        <v>1401-04</v>
      </c>
      <c r="F101">
        <v>3</v>
      </c>
      <c r="G101" s="15" t="str">
        <f>VLOOKUP(TDays[[#This Row],[کد روز هفته]],TDaysOfTheWeek[],2,FALSE)</f>
        <v>سه شنبه</v>
      </c>
      <c r="H101" s="15">
        <f>IFERROR(IF(E100&lt;&gt;E101,1,INT(H100)+IF(TDays[[#This Row],[کد روز هفته]]=0,1,0)),1)</f>
        <v>2</v>
      </c>
      <c r="I101">
        <f>-SUMIF(TArticle[تاریخ],TDays[[#This Row],[تاریخ]],TArticle[هزینه])</f>
        <v>0</v>
      </c>
      <c r="J101">
        <f>SUMIF(TArticle[تاریخ],TDays[[#This Row],[تاریخ]],TArticle[درآمد تتا])</f>
        <v>0</v>
      </c>
      <c r="K101">
        <f>SUMIF(TArticle[تاریخ],TDays[[#This Row],[تاریخ]],TArticle[اسنپ])</f>
        <v>0</v>
      </c>
      <c r="L101">
        <f>-SUMIF(TArticle[تاریخ],TDays[[#This Row],[تاریخ]],TArticle[پرداخت بدهی])</f>
        <v>0</v>
      </c>
      <c r="M101">
        <f>SUMIF(TArticle[تاریخ],TDays[[#This Row],[تاریخ]],TArticle[افزایش بدهی])</f>
        <v>0</v>
      </c>
      <c r="N101">
        <f>-SUMIF(TArticle[تاریخ],TDays[[#This Row],[تاریخ]],TArticle[افزایش سرمایه])</f>
        <v>0</v>
      </c>
      <c r="O101">
        <f>SUMIF(TArticle[تاریخ],TDays[[#This Row],[تاریخ]],TArticle[تعداد تراکنش انجام شده])</f>
        <v>0</v>
      </c>
      <c r="P101">
        <f>INT(((TDays[[#This Row],[ماه]]-1)*31+TDays[[#This Row],[روز]]+1)/7)+1</f>
        <v>15</v>
      </c>
      <c r="Q101">
        <f>SUMIF(TArticle[تاریخ],TDays[[#This Row],[تاریخ]],TArticle[تراکنش برنامه ریزی شده])</f>
        <v>0</v>
      </c>
    </row>
    <row r="102" spans="1:17" x14ac:dyDescent="0.25">
      <c r="A102" s="3" t="s">
        <v>302</v>
      </c>
      <c r="B102" t="str">
        <f>RIGHT(TDays[[#This Row],[تاریخ]],2)</f>
        <v>08</v>
      </c>
      <c r="C102" t="str">
        <f>RIGHT(LEFT(TDays[[#This Row],[تاریخ]],7),2)</f>
        <v>04</v>
      </c>
      <c r="D102" t="str">
        <f>LEFT(TDays[[#This Row],[تاریخ]],4)</f>
        <v>1401</v>
      </c>
      <c r="E102" t="str">
        <f>LEFT(TDays[[#This Row],[تاریخ]],7)</f>
        <v>1401-04</v>
      </c>
      <c r="F102">
        <v>4</v>
      </c>
      <c r="G102" s="15" t="str">
        <f>VLOOKUP(TDays[[#This Row],[کد روز هفته]],TDaysOfTheWeek[],2,FALSE)</f>
        <v>چهارشنبه</v>
      </c>
      <c r="H102" s="15">
        <f>IFERROR(IF(E101&lt;&gt;E102,1,INT(H101)+IF(TDays[[#This Row],[کد روز هفته]]=0,1,0)),1)</f>
        <v>2</v>
      </c>
      <c r="I102">
        <f>-SUMIF(TArticle[تاریخ],TDays[[#This Row],[تاریخ]],TArticle[هزینه])</f>
        <v>0</v>
      </c>
      <c r="J102">
        <f>SUMIF(TArticle[تاریخ],TDays[[#This Row],[تاریخ]],TArticle[درآمد تتا])</f>
        <v>0</v>
      </c>
      <c r="K102">
        <f>SUMIF(TArticle[تاریخ],TDays[[#This Row],[تاریخ]],TArticle[اسنپ])</f>
        <v>0</v>
      </c>
      <c r="L102">
        <f>-SUMIF(TArticle[تاریخ],TDays[[#This Row],[تاریخ]],TArticle[پرداخت بدهی])</f>
        <v>0</v>
      </c>
      <c r="M102">
        <f>SUMIF(TArticle[تاریخ],TDays[[#This Row],[تاریخ]],TArticle[افزایش بدهی])</f>
        <v>0</v>
      </c>
      <c r="N102">
        <f>-SUMIF(TArticle[تاریخ],TDays[[#This Row],[تاریخ]],TArticle[افزایش سرمایه])</f>
        <v>0</v>
      </c>
      <c r="O102">
        <f>SUMIF(TArticle[تاریخ],TDays[[#This Row],[تاریخ]],TArticle[تعداد تراکنش انجام شده])</f>
        <v>0</v>
      </c>
      <c r="P102">
        <f>INT(((TDays[[#This Row],[ماه]]-1)*31+TDays[[#This Row],[روز]]+1)/7)+1</f>
        <v>15</v>
      </c>
      <c r="Q102">
        <f>SUMIF(TArticle[تاریخ],TDays[[#This Row],[تاریخ]],TArticle[تراکنش برنامه ریزی شده])</f>
        <v>0</v>
      </c>
    </row>
    <row r="103" spans="1:17" x14ac:dyDescent="0.25">
      <c r="A103" s="3" t="s">
        <v>303</v>
      </c>
      <c r="B103" t="str">
        <f>RIGHT(TDays[[#This Row],[تاریخ]],2)</f>
        <v>09</v>
      </c>
      <c r="C103" t="str">
        <f>RIGHT(LEFT(TDays[[#This Row],[تاریخ]],7),2)</f>
        <v>04</v>
      </c>
      <c r="D103" t="str">
        <f>LEFT(TDays[[#This Row],[تاریخ]],4)</f>
        <v>1401</v>
      </c>
      <c r="E103" t="str">
        <f>LEFT(TDays[[#This Row],[تاریخ]],7)</f>
        <v>1401-04</v>
      </c>
      <c r="F103">
        <v>5</v>
      </c>
      <c r="G103" s="15" t="str">
        <f>VLOOKUP(TDays[[#This Row],[کد روز هفته]],TDaysOfTheWeek[],2,FALSE)</f>
        <v>پنجشنبه</v>
      </c>
      <c r="H103" s="15">
        <f>IFERROR(IF(E102&lt;&gt;E103,1,INT(H102)+IF(TDays[[#This Row],[کد روز هفته]]=0,1,0)),1)</f>
        <v>2</v>
      </c>
      <c r="I103">
        <f>-SUMIF(TArticle[تاریخ],TDays[[#This Row],[تاریخ]],TArticle[هزینه])</f>
        <v>0</v>
      </c>
      <c r="J103">
        <f>SUMIF(TArticle[تاریخ],TDays[[#This Row],[تاریخ]],TArticle[درآمد تتا])</f>
        <v>0</v>
      </c>
      <c r="K103">
        <f>SUMIF(TArticle[تاریخ],TDays[[#This Row],[تاریخ]],TArticle[اسنپ])</f>
        <v>0</v>
      </c>
      <c r="L103">
        <f>-SUMIF(TArticle[تاریخ],TDays[[#This Row],[تاریخ]],TArticle[پرداخت بدهی])</f>
        <v>0</v>
      </c>
      <c r="M103">
        <f>SUMIF(TArticle[تاریخ],TDays[[#This Row],[تاریخ]],TArticle[افزایش بدهی])</f>
        <v>0</v>
      </c>
      <c r="N103">
        <f>-SUMIF(TArticle[تاریخ],TDays[[#This Row],[تاریخ]],TArticle[افزایش سرمایه])</f>
        <v>0</v>
      </c>
      <c r="O103">
        <f>SUMIF(TArticle[تاریخ],TDays[[#This Row],[تاریخ]],TArticle[تعداد تراکنش انجام شده])</f>
        <v>0</v>
      </c>
      <c r="P103">
        <f>INT(((TDays[[#This Row],[ماه]]-1)*31+TDays[[#This Row],[روز]]+1)/7)+1</f>
        <v>15</v>
      </c>
      <c r="Q103">
        <f>SUMIF(TArticle[تاریخ],TDays[[#This Row],[تاریخ]],TArticle[تراکنش برنامه ریزی شده])</f>
        <v>0</v>
      </c>
    </row>
    <row r="104" spans="1:17" x14ac:dyDescent="0.25">
      <c r="A104" s="3" t="s">
        <v>304</v>
      </c>
      <c r="B104" t="str">
        <f>RIGHT(TDays[[#This Row],[تاریخ]],2)</f>
        <v>10</v>
      </c>
      <c r="C104" t="str">
        <f>RIGHT(LEFT(TDays[[#This Row],[تاریخ]],7),2)</f>
        <v>04</v>
      </c>
      <c r="D104" t="str">
        <f>LEFT(TDays[[#This Row],[تاریخ]],4)</f>
        <v>1401</v>
      </c>
      <c r="E104" t="str">
        <f>LEFT(TDays[[#This Row],[تاریخ]],7)</f>
        <v>1401-04</v>
      </c>
      <c r="F104">
        <v>6</v>
      </c>
      <c r="G104" s="15" t="str">
        <f>VLOOKUP(TDays[[#This Row],[کد روز هفته]],TDaysOfTheWeek[],2,FALSE)</f>
        <v>جمعه</v>
      </c>
      <c r="H104" s="15">
        <f>IFERROR(IF(E103&lt;&gt;E104,1,INT(H103)+IF(TDays[[#This Row],[کد روز هفته]]=0,1,0)),1)</f>
        <v>2</v>
      </c>
      <c r="I104">
        <f>-SUMIF(TArticle[تاریخ],TDays[[#This Row],[تاریخ]],TArticle[هزینه])</f>
        <v>0</v>
      </c>
      <c r="J104">
        <f>SUMIF(TArticle[تاریخ],TDays[[#This Row],[تاریخ]],TArticle[درآمد تتا])</f>
        <v>0</v>
      </c>
      <c r="K104">
        <f>SUMIF(TArticle[تاریخ],TDays[[#This Row],[تاریخ]],TArticle[اسنپ])</f>
        <v>0</v>
      </c>
      <c r="L104">
        <f>-SUMIF(TArticle[تاریخ],TDays[[#This Row],[تاریخ]],TArticle[پرداخت بدهی])</f>
        <v>0</v>
      </c>
      <c r="M104">
        <f>SUMIF(TArticle[تاریخ],TDays[[#This Row],[تاریخ]],TArticle[افزایش بدهی])</f>
        <v>0</v>
      </c>
      <c r="N104">
        <f>-SUMIF(TArticle[تاریخ],TDays[[#This Row],[تاریخ]],TArticle[افزایش سرمایه])</f>
        <v>0</v>
      </c>
      <c r="O104">
        <f>SUMIF(TArticle[تاریخ],TDays[[#This Row],[تاریخ]],TArticle[تعداد تراکنش انجام شده])</f>
        <v>0</v>
      </c>
      <c r="P104">
        <f>INT(((TDays[[#This Row],[ماه]]-1)*31+TDays[[#This Row],[روز]]+1)/7)+1</f>
        <v>15</v>
      </c>
      <c r="Q104">
        <f>SUMIF(TArticle[تاریخ],TDays[[#This Row],[تاریخ]],TArticle[تراکنش برنامه ریزی شده])</f>
        <v>0</v>
      </c>
    </row>
    <row r="105" spans="1:17" x14ac:dyDescent="0.25">
      <c r="A105" s="3" t="s">
        <v>305</v>
      </c>
      <c r="B105" t="str">
        <f>RIGHT(TDays[[#This Row],[تاریخ]],2)</f>
        <v>11</v>
      </c>
      <c r="C105" t="str">
        <f>RIGHT(LEFT(TDays[[#This Row],[تاریخ]],7),2)</f>
        <v>04</v>
      </c>
      <c r="D105" t="str">
        <f>LEFT(TDays[[#This Row],[تاریخ]],4)</f>
        <v>1401</v>
      </c>
      <c r="E105" t="str">
        <f>LEFT(TDays[[#This Row],[تاریخ]],7)</f>
        <v>1401-04</v>
      </c>
      <c r="F105">
        <v>0</v>
      </c>
      <c r="G105" s="15" t="str">
        <f>VLOOKUP(TDays[[#This Row],[کد روز هفته]],TDaysOfTheWeek[],2,FALSE)</f>
        <v>شنبه</v>
      </c>
      <c r="H105" s="15">
        <f>IFERROR(IF(E104&lt;&gt;E105,1,INT(H104)+IF(TDays[[#This Row],[کد روز هفته]]=0,1,0)),1)</f>
        <v>3</v>
      </c>
      <c r="I105">
        <f>-SUMIF(TArticle[تاریخ],TDays[[#This Row],[تاریخ]],TArticle[هزینه])</f>
        <v>0</v>
      </c>
      <c r="J105">
        <f>SUMIF(TArticle[تاریخ],TDays[[#This Row],[تاریخ]],TArticle[درآمد تتا])</f>
        <v>0</v>
      </c>
      <c r="K105">
        <f>SUMIF(TArticle[تاریخ],TDays[[#This Row],[تاریخ]],TArticle[اسنپ])</f>
        <v>0</v>
      </c>
      <c r="L105">
        <f>-SUMIF(TArticle[تاریخ],TDays[[#This Row],[تاریخ]],TArticle[پرداخت بدهی])</f>
        <v>0</v>
      </c>
      <c r="M105">
        <f>SUMIF(TArticle[تاریخ],TDays[[#This Row],[تاریخ]],TArticle[افزایش بدهی])</f>
        <v>0</v>
      </c>
      <c r="N105">
        <f>-SUMIF(TArticle[تاریخ],TDays[[#This Row],[تاریخ]],TArticle[افزایش سرمایه])</f>
        <v>0</v>
      </c>
      <c r="O105">
        <f>SUMIF(TArticle[تاریخ],TDays[[#This Row],[تاریخ]],TArticle[تعداد تراکنش انجام شده])</f>
        <v>0</v>
      </c>
      <c r="P105">
        <f>INT(((TDays[[#This Row],[ماه]]-1)*31+TDays[[#This Row],[روز]]+1)/7)+1</f>
        <v>16</v>
      </c>
      <c r="Q105">
        <f>SUMIF(TArticle[تاریخ],TDays[[#This Row],[تاریخ]],TArticle[تراکنش برنامه ریزی شده])</f>
        <v>0</v>
      </c>
    </row>
    <row r="106" spans="1:17" x14ac:dyDescent="0.25">
      <c r="A106" s="3" t="s">
        <v>306</v>
      </c>
      <c r="B106" t="str">
        <f>RIGHT(TDays[[#This Row],[تاریخ]],2)</f>
        <v>12</v>
      </c>
      <c r="C106" t="str">
        <f>RIGHT(LEFT(TDays[[#This Row],[تاریخ]],7),2)</f>
        <v>04</v>
      </c>
      <c r="D106" t="str">
        <f>LEFT(TDays[[#This Row],[تاریخ]],4)</f>
        <v>1401</v>
      </c>
      <c r="E106" t="str">
        <f>LEFT(TDays[[#This Row],[تاریخ]],7)</f>
        <v>1401-04</v>
      </c>
      <c r="F106">
        <v>1</v>
      </c>
      <c r="G106" s="15" t="str">
        <f>VLOOKUP(TDays[[#This Row],[کد روز هفته]],TDaysOfTheWeek[],2,FALSE)</f>
        <v>یکشنبه</v>
      </c>
      <c r="H106" s="15">
        <f>IFERROR(IF(E105&lt;&gt;E106,1,INT(H105)+IF(TDays[[#This Row],[کد روز هفته]]=0,1,0)),1)</f>
        <v>3</v>
      </c>
      <c r="I106">
        <f>-SUMIF(TArticle[تاریخ],TDays[[#This Row],[تاریخ]],TArticle[هزینه])</f>
        <v>0</v>
      </c>
      <c r="J106">
        <f>SUMIF(TArticle[تاریخ],TDays[[#This Row],[تاریخ]],TArticle[درآمد تتا])</f>
        <v>0</v>
      </c>
      <c r="K106">
        <f>SUMIF(TArticle[تاریخ],TDays[[#This Row],[تاریخ]],TArticle[اسنپ])</f>
        <v>0</v>
      </c>
      <c r="L106">
        <f>-SUMIF(TArticle[تاریخ],TDays[[#This Row],[تاریخ]],TArticle[پرداخت بدهی])</f>
        <v>0</v>
      </c>
      <c r="M106">
        <f>SUMIF(TArticle[تاریخ],TDays[[#This Row],[تاریخ]],TArticle[افزایش بدهی])</f>
        <v>0</v>
      </c>
      <c r="N106">
        <f>-SUMIF(TArticle[تاریخ],TDays[[#This Row],[تاریخ]],TArticle[افزایش سرمایه])</f>
        <v>0</v>
      </c>
      <c r="O106">
        <f>SUMIF(TArticle[تاریخ],TDays[[#This Row],[تاریخ]],TArticle[تعداد تراکنش انجام شده])</f>
        <v>0</v>
      </c>
      <c r="P106">
        <f>INT(((TDays[[#This Row],[ماه]]-1)*31+TDays[[#This Row],[روز]]+1)/7)+1</f>
        <v>16</v>
      </c>
      <c r="Q106">
        <f>SUMIF(TArticle[تاریخ],TDays[[#This Row],[تاریخ]],TArticle[تراکنش برنامه ریزی شده])</f>
        <v>0</v>
      </c>
    </row>
    <row r="107" spans="1:17" x14ac:dyDescent="0.25">
      <c r="A107" s="3" t="s">
        <v>307</v>
      </c>
      <c r="B107" t="str">
        <f>RIGHT(TDays[[#This Row],[تاریخ]],2)</f>
        <v>13</v>
      </c>
      <c r="C107" t="str">
        <f>RIGHT(LEFT(TDays[[#This Row],[تاریخ]],7),2)</f>
        <v>04</v>
      </c>
      <c r="D107" t="str">
        <f>LEFT(TDays[[#This Row],[تاریخ]],4)</f>
        <v>1401</v>
      </c>
      <c r="E107" t="str">
        <f>LEFT(TDays[[#This Row],[تاریخ]],7)</f>
        <v>1401-04</v>
      </c>
      <c r="F107">
        <v>2</v>
      </c>
      <c r="G107" s="15" t="str">
        <f>VLOOKUP(TDays[[#This Row],[کد روز هفته]],TDaysOfTheWeek[],2,FALSE)</f>
        <v>دوشنبه</v>
      </c>
      <c r="H107" s="15">
        <f>IFERROR(IF(E106&lt;&gt;E107,1,INT(H106)+IF(TDays[[#This Row],[کد روز هفته]]=0,1,0)),1)</f>
        <v>3</v>
      </c>
      <c r="I107">
        <f>-SUMIF(TArticle[تاریخ],TDays[[#This Row],[تاریخ]],TArticle[هزینه])</f>
        <v>0</v>
      </c>
      <c r="J107">
        <f>SUMIF(TArticle[تاریخ],TDays[[#This Row],[تاریخ]],TArticle[درآمد تتا])</f>
        <v>0</v>
      </c>
      <c r="K107">
        <f>SUMIF(TArticle[تاریخ],TDays[[#This Row],[تاریخ]],TArticle[اسنپ])</f>
        <v>0</v>
      </c>
      <c r="L107">
        <f>-SUMIF(TArticle[تاریخ],TDays[[#This Row],[تاریخ]],TArticle[پرداخت بدهی])</f>
        <v>0</v>
      </c>
      <c r="M107">
        <f>SUMIF(TArticle[تاریخ],TDays[[#This Row],[تاریخ]],TArticle[افزایش بدهی])</f>
        <v>0</v>
      </c>
      <c r="N107">
        <f>-SUMIF(TArticle[تاریخ],TDays[[#This Row],[تاریخ]],TArticle[افزایش سرمایه])</f>
        <v>0</v>
      </c>
      <c r="O107">
        <f>SUMIF(TArticle[تاریخ],TDays[[#This Row],[تاریخ]],TArticle[تعداد تراکنش انجام شده])</f>
        <v>0</v>
      </c>
      <c r="P107">
        <f>INT(((TDays[[#This Row],[ماه]]-1)*31+TDays[[#This Row],[روز]]+1)/7)+1</f>
        <v>16</v>
      </c>
      <c r="Q107">
        <f>SUMIF(TArticle[تاریخ],TDays[[#This Row],[تاریخ]],TArticle[تراکنش برنامه ریزی شده])</f>
        <v>0</v>
      </c>
    </row>
    <row r="108" spans="1:17" x14ac:dyDescent="0.25">
      <c r="A108" s="3" t="s">
        <v>61</v>
      </c>
      <c r="B108" t="str">
        <f>RIGHT(TDays[[#This Row],[تاریخ]],2)</f>
        <v>14</v>
      </c>
      <c r="C108" t="str">
        <f>RIGHT(LEFT(TDays[[#This Row],[تاریخ]],7),2)</f>
        <v>04</v>
      </c>
      <c r="D108" t="str">
        <f>LEFT(TDays[[#This Row],[تاریخ]],4)</f>
        <v>1401</v>
      </c>
      <c r="E108" t="str">
        <f>LEFT(TDays[[#This Row],[تاریخ]],7)</f>
        <v>1401-04</v>
      </c>
      <c r="F108">
        <v>3</v>
      </c>
      <c r="G108" s="15" t="str">
        <f>VLOOKUP(TDays[[#This Row],[کد روز هفته]],TDaysOfTheWeek[],2,FALSE)</f>
        <v>سه شنبه</v>
      </c>
      <c r="H108" s="15">
        <f>IFERROR(IF(E107&lt;&gt;E108,1,INT(H107)+IF(TDays[[#This Row],[کد روز هفته]]=0,1,0)),1)</f>
        <v>3</v>
      </c>
      <c r="I108">
        <f>-SUMIF(TArticle[تاریخ],TDays[[#This Row],[تاریخ]],TArticle[هزینه])</f>
        <v>0</v>
      </c>
      <c r="J108">
        <f>SUMIF(TArticle[تاریخ],TDays[[#This Row],[تاریخ]],TArticle[درآمد تتا])</f>
        <v>0</v>
      </c>
      <c r="K108">
        <f>SUMIF(TArticle[تاریخ],TDays[[#This Row],[تاریخ]],TArticle[اسنپ])</f>
        <v>0</v>
      </c>
      <c r="L108">
        <f>-SUMIF(TArticle[تاریخ],TDays[[#This Row],[تاریخ]],TArticle[پرداخت بدهی])</f>
        <v>0</v>
      </c>
      <c r="M108">
        <f>SUMIF(TArticle[تاریخ],TDays[[#This Row],[تاریخ]],TArticle[افزایش بدهی])</f>
        <v>0</v>
      </c>
      <c r="N108">
        <f>-SUMIF(TArticle[تاریخ],TDays[[#This Row],[تاریخ]],TArticle[افزایش سرمایه])</f>
        <v>350</v>
      </c>
      <c r="O108">
        <f>SUMIF(TArticle[تاریخ],TDays[[#This Row],[تاریخ]],TArticle[تعداد تراکنش انجام شده])</f>
        <v>1</v>
      </c>
      <c r="P108">
        <f>INT(((TDays[[#This Row],[ماه]]-1)*31+TDays[[#This Row],[روز]]+1)/7)+1</f>
        <v>16</v>
      </c>
      <c r="Q108">
        <f>SUMIF(TArticle[تاریخ],TDays[[#This Row],[تاریخ]],TArticle[تراکنش برنامه ریزی شده])</f>
        <v>0</v>
      </c>
    </row>
    <row r="109" spans="1:17" x14ac:dyDescent="0.25">
      <c r="A109" s="3" t="s">
        <v>308</v>
      </c>
      <c r="B109" t="str">
        <f>RIGHT(TDays[[#This Row],[تاریخ]],2)</f>
        <v>15</v>
      </c>
      <c r="C109" t="str">
        <f>RIGHT(LEFT(TDays[[#This Row],[تاریخ]],7),2)</f>
        <v>04</v>
      </c>
      <c r="D109" t="str">
        <f>LEFT(TDays[[#This Row],[تاریخ]],4)</f>
        <v>1401</v>
      </c>
      <c r="E109" t="str">
        <f>LEFT(TDays[[#This Row],[تاریخ]],7)</f>
        <v>1401-04</v>
      </c>
      <c r="F109">
        <v>4</v>
      </c>
      <c r="G109" s="15" t="str">
        <f>VLOOKUP(TDays[[#This Row],[کد روز هفته]],TDaysOfTheWeek[],2,FALSE)</f>
        <v>چهارشنبه</v>
      </c>
      <c r="H109" s="15">
        <f>IFERROR(IF(E108&lt;&gt;E109,1,INT(H108)+IF(TDays[[#This Row],[کد روز هفته]]=0,1,0)),1)</f>
        <v>3</v>
      </c>
      <c r="I109">
        <f>-SUMIF(TArticle[تاریخ],TDays[[#This Row],[تاریخ]],TArticle[هزینه])</f>
        <v>0</v>
      </c>
      <c r="J109">
        <f>SUMIF(TArticle[تاریخ],TDays[[#This Row],[تاریخ]],TArticle[درآمد تتا])</f>
        <v>0</v>
      </c>
      <c r="K109">
        <f>SUMIF(TArticle[تاریخ],TDays[[#This Row],[تاریخ]],TArticle[اسنپ])</f>
        <v>0</v>
      </c>
      <c r="L109">
        <f>-SUMIF(TArticle[تاریخ],TDays[[#This Row],[تاریخ]],TArticle[پرداخت بدهی])</f>
        <v>0</v>
      </c>
      <c r="M109">
        <f>SUMIF(TArticle[تاریخ],TDays[[#This Row],[تاریخ]],TArticle[افزایش بدهی])</f>
        <v>0</v>
      </c>
      <c r="N109">
        <f>-SUMIF(TArticle[تاریخ],TDays[[#This Row],[تاریخ]],TArticle[افزایش سرمایه])</f>
        <v>0</v>
      </c>
      <c r="O109">
        <f>SUMIF(TArticle[تاریخ],TDays[[#This Row],[تاریخ]],TArticle[تعداد تراکنش انجام شده])</f>
        <v>0</v>
      </c>
      <c r="P109">
        <f>INT(((TDays[[#This Row],[ماه]]-1)*31+TDays[[#This Row],[روز]]+1)/7)+1</f>
        <v>16</v>
      </c>
      <c r="Q109">
        <f>SUMIF(TArticle[تاریخ],TDays[[#This Row],[تاریخ]],TArticle[تراکنش برنامه ریزی شده])</f>
        <v>0</v>
      </c>
    </row>
    <row r="110" spans="1:17" x14ac:dyDescent="0.25">
      <c r="A110" s="3" t="s">
        <v>309</v>
      </c>
      <c r="B110" t="str">
        <f>RIGHT(TDays[[#This Row],[تاریخ]],2)</f>
        <v>16</v>
      </c>
      <c r="C110" t="str">
        <f>RIGHT(LEFT(TDays[[#This Row],[تاریخ]],7),2)</f>
        <v>04</v>
      </c>
      <c r="D110" t="str">
        <f>LEFT(TDays[[#This Row],[تاریخ]],4)</f>
        <v>1401</v>
      </c>
      <c r="E110" t="str">
        <f>LEFT(TDays[[#This Row],[تاریخ]],7)</f>
        <v>1401-04</v>
      </c>
      <c r="F110">
        <v>5</v>
      </c>
      <c r="G110" s="15" t="str">
        <f>VLOOKUP(TDays[[#This Row],[کد روز هفته]],TDaysOfTheWeek[],2,FALSE)</f>
        <v>پنجشنبه</v>
      </c>
      <c r="H110" s="15">
        <f>IFERROR(IF(E109&lt;&gt;E110,1,INT(H109)+IF(TDays[[#This Row],[کد روز هفته]]=0,1,0)),1)</f>
        <v>3</v>
      </c>
      <c r="I110">
        <f>-SUMIF(TArticle[تاریخ],TDays[[#This Row],[تاریخ]],TArticle[هزینه])</f>
        <v>0</v>
      </c>
      <c r="J110">
        <f>SUMIF(TArticle[تاریخ],TDays[[#This Row],[تاریخ]],TArticle[درآمد تتا])</f>
        <v>0</v>
      </c>
      <c r="K110">
        <f>SUMIF(TArticle[تاریخ],TDays[[#This Row],[تاریخ]],TArticle[اسنپ])</f>
        <v>0</v>
      </c>
      <c r="L110">
        <f>-SUMIF(TArticle[تاریخ],TDays[[#This Row],[تاریخ]],TArticle[پرداخت بدهی])</f>
        <v>0</v>
      </c>
      <c r="M110">
        <f>SUMIF(TArticle[تاریخ],TDays[[#This Row],[تاریخ]],TArticle[افزایش بدهی])</f>
        <v>0</v>
      </c>
      <c r="N110">
        <f>-SUMIF(TArticle[تاریخ],TDays[[#This Row],[تاریخ]],TArticle[افزایش سرمایه])</f>
        <v>0</v>
      </c>
      <c r="O110">
        <f>SUMIF(TArticle[تاریخ],TDays[[#This Row],[تاریخ]],TArticle[تعداد تراکنش انجام شده])</f>
        <v>0</v>
      </c>
      <c r="P110">
        <f>INT(((TDays[[#This Row],[ماه]]-1)*31+TDays[[#This Row],[روز]]+1)/7)+1</f>
        <v>16</v>
      </c>
      <c r="Q110">
        <f>SUMIF(TArticle[تاریخ],TDays[[#This Row],[تاریخ]],TArticle[تراکنش برنامه ریزی شده])</f>
        <v>0</v>
      </c>
    </row>
    <row r="111" spans="1:17" x14ac:dyDescent="0.25">
      <c r="A111" s="3" t="s">
        <v>310</v>
      </c>
      <c r="B111" t="str">
        <f>RIGHT(TDays[[#This Row],[تاریخ]],2)</f>
        <v>17</v>
      </c>
      <c r="C111" t="str">
        <f>RIGHT(LEFT(TDays[[#This Row],[تاریخ]],7),2)</f>
        <v>04</v>
      </c>
      <c r="D111" t="str">
        <f>LEFT(TDays[[#This Row],[تاریخ]],4)</f>
        <v>1401</v>
      </c>
      <c r="E111" t="str">
        <f>LEFT(TDays[[#This Row],[تاریخ]],7)</f>
        <v>1401-04</v>
      </c>
      <c r="F111">
        <v>6</v>
      </c>
      <c r="G111" s="15" t="str">
        <f>VLOOKUP(TDays[[#This Row],[کد روز هفته]],TDaysOfTheWeek[],2,FALSE)</f>
        <v>جمعه</v>
      </c>
      <c r="H111" s="15">
        <f>IFERROR(IF(E110&lt;&gt;E111,1,INT(H110)+IF(TDays[[#This Row],[کد روز هفته]]=0,1,0)),1)</f>
        <v>3</v>
      </c>
      <c r="I111">
        <f>-SUMIF(TArticle[تاریخ],TDays[[#This Row],[تاریخ]],TArticle[هزینه])</f>
        <v>0</v>
      </c>
      <c r="J111">
        <f>SUMIF(TArticle[تاریخ],TDays[[#This Row],[تاریخ]],TArticle[درآمد تتا])</f>
        <v>0</v>
      </c>
      <c r="K111">
        <f>SUMIF(TArticle[تاریخ],TDays[[#This Row],[تاریخ]],TArticle[اسنپ])</f>
        <v>0</v>
      </c>
      <c r="L111">
        <f>-SUMIF(TArticle[تاریخ],TDays[[#This Row],[تاریخ]],TArticle[پرداخت بدهی])</f>
        <v>0</v>
      </c>
      <c r="M111">
        <f>SUMIF(TArticle[تاریخ],TDays[[#This Row],[تاریخ]],TArticle[افزایش بدهی])</f>
        <v>0</v>
      </c>
      <c r="N111">
        <f>-SUMIF(TArticle[تاریخ],TDays[[#This Row],[تاریخ]],TArticle[افزایش سرمایه])</f>
        <v>0</v>
      </c>
      <c r="O111">
        <f>SUMIF(TArticle[تاریخ],TDays[[#This Row],[تاریخ]],TArticle[تعداد تراکنش انجام شده])</f>
        <v>0</v>
      </c>
      <c r="P111">
        <f>INT(((TDays[[#This Row],[ماه]]-1)*31+TDays[[#This Row],[روز]]+1)/7)+1</f>
        <v>16</v>
      </c>
      <c r="Q111">
        <f>SUMIF(TArticle[تاریخ],TDays[[#This Row],[تاریخ]],TArticle[تراکنش برنامه ریزی شده])</f>
        <v>0</v>
      </c>
    </row>
    <row r="112" spans="1:17" x14ac:dyDescent="0.25">
      <c r="A112" s="3" t="s">
        <v>311</v>
      </c>
      <c r="B112" t="str">
        <f>RIGHT(TDays[[#This Row],[تاریخ]],2)</f>
        <v>18</v>
      </c>
      <c r="C112" t="str">
        <f>RIGHT(LEFT(TDays[[#This Row],[تاریخ]],7),2)</f>
        <v>04</v>
      </c>
      <c r="D112" t="str">
        <f>LEFT(TDays[[#This Row],[تاریخ]],4)</f>
        <v>1401</v>
      </c>
      <c r="E112" t="str">
        <f>LEFT(TDays[[#This Row],[تاریخ]],7)</f>
        <v>1401-04</v>
      </c>
      <c r="F112">
        <v>0</v>
      </c>
      <c r="G112" s="15" t="str">
        <f>VLOOKUP(TDays[[#This Row],[کد روز هفته]],TDaysOfTheWeek[],2,FALSE)</f>
        <v>شنبه</v>
      </c>
      <c r="H112" s="15">
        <f>IFERROR(IF(E111&lt;&gt;E112,1,INT(H111)+IF(TDays[[#This Row],[کد روز هفته]]=0,1,0)),1)</f>
        <v>4</v>
      </c>
      <c r="I112">
        <f>-SUMIF(TArticle[تاریخ],TDays[[#This Row],[تاریخ]],TArticle[هزینه])</f>
        <v>0</v>
      </c>
      <c r="J112">
        <f>SUMIF(TArticle[تاریخ],TDays[[#This Row],[تاریخ]],TArticle[درآمد تتا])</f>
        <v>0</v>
      </c>
      <c r="K112">
        <f>SUMIF(TArticle[تاریخ],TDays[[#This Row],[تاریخ]],TArticle[اسنپ])</f>
        <v>0</v>
      </c>
      <c r="L112">
        <f>-SUMIF(TArticle[تاریخ],TDays[[#This Row],[تاریخ]],TArticle[پرداخت بدهی])</f>
        <v>0</v>
      </c>
      <c r="M112">
        <f>SUMIF(TArticle[تاریخ],TDays[[#This Row],[تاریخ]],TArticle[افزایش بدهی])</f>
        <v>0</v>
      </c>
      <c r="N112">
        <f>-SUMIF(TArticle[تاریخ],TDays[[#This Row],[تاریخ]],TArticle[افزایش سرمایه])</f>
        <v>0</v>
      </c>
      <c r="O112">
        <f>SUMIF(TArticle[تاریخ],TDays[[#This Row],[تاریخ]],TArticle[تعداد تراکنش انجام شده])</f>
        <v>0</v>
      </c>
      <c r="P112">
        <f>INT(((TDays[[#This Row],[ماه]]-1)*31+TDays[[#This Row],[روز]]+1)/7)+1</f>
        <v>17</v>
      </c>
      <c r="Q112">
        <f>SUMIF(TArticle[تاریخ],TDays[[#This Row],[تاریخ]],TArticle[تراکنش برنامه ریزی شده])</f>
        <v>0</v>
      </c>
    </row>
    <row r="113" spans="1:17" x14ac:dyDescent="0.25">
      <c r="A113" s="3" t="s">
        <v>312</v>
      </c>
      <c r="B113" t="str">
        <f>RIGHT(TDays[[#This Row],[تاریخ]],2)</f>
        <v>19</v>
      </c>
      <c r="C113" t="str">
        <f>RIGHT(LEFT(TDays[[#This Row],[تاریخ]],7),2)</f>
        <v>04</v>
      </c>
      <c r="D113" t="str">
        <f>LEFT(TDays[[#This Row],[تاریخ]],4)</f>
        <v>1401</v>
      </c>
      <c r="E113" t="str">
        <f>LEFT(TDays[[#This Row],[تاریخ]],7)</f>
        <v>1401-04</v>
      </c>
      <c r="F113">
        <v>1</v>
      </c>
      <c r="G113" s="15" t="str">
        <f>VLOOKUP(TDays[[#This Row],[کد روز هفته]],TDaysOfTheWeek[],2,FALSE)</f>
        <v>یکشنبه</v>
      </c>
      <c r="H113" s="15">
        <f>IFERROR(IF(E112&lt;&gt;E113,1,INT(H112)+IF(TDays[[#This Row],[کد روز هفته]]=0,1,0)),1)</f>
        <v>4</v>
      </c>
      <c r="I113">
        <f>-SUMIF(TArticle[تاریخ],TDays[[#This Row],[تاریخ]],TArticle[هزینه])</f>
        <v>0</v>
      </c>
      <c r="J113">
        <f>SUMIF(TArticle[تاریخ],TDays[[#This Row],[تاریخ]],TArticle[درآمد تتا])</f>
        <v>0</v>
      </c>
      <c r="K113">
        <f>SUMIF(TArticle[تاریخ],TDays[[#This Row],[تاریخ]],TArticle[اسنپ])</f>
        <v>0</v>
      </c>
      <c r="L113">
        <f>-SUMIF(TArticle[تاریخ],TDays[[#This Row],[تاریخ]],TArticle[پرداخت بدهی])</f>
        <v>0</v>
      </c>
      <c r="M113">
        <f>SUMIF(TArticle[تاریخ],TDays[[#This Row],[تاریخ]],TArticle[افزایش بدهی])</f>
        <v>0</v>
      </c>
      <c r="N113">
        <f>-SUMIF(TArticle[تاریخ],TDays[[#This Row],[تاریخ]],TArticle[افزایش سرمایه])</f>
        <v>0</v>
      </c>
      <c r="O113">
        <f>SUMIF(TArticle[تاریخ],TDays[[#This Row],[تاریخ]],TArticle[تعداد تراکنش انجام شده])</f>
        <v>0</v>
      </c>
      <c r="P113">
        <f>INT(((TDays[[#This Row],[ماه]]-1)*31+TDays[[#This Row],[روز]]+1)/7)+1</f>
        <v>17</v>
      </c>
      <c r="Q113">
        <f>SUMIF(TArticle[تاریخ],TDays[[#This Row],[تاریخ]],TArticle[تراکنش برنامه ریزی شده])</f>
        <v>0</v>
      </c>
    </row>
    <row r="114" spans="1:17" x14ac:dyDescent="0.25">
      <c r="A114" s="3" t="s">
        <v>313</v>
      </c>
      <c r="B114" t="str">
        <f>RIGHT(TDays[[#This Row],[تاریخ]],2)</f>
        <v>20</v>
      </c>
      <c r="C114" t="str">
        <f>RIGHT(LEFT(TDays[[#This Row],[تاریخ]],7),2)</f>
        <v>04</v>
      </c>
      <c r="D114" t="str">
        <f>LEFT(TDays[[#This Row],[تاریخ]],4)</f>
        <v>1401</v>
      </c>
      <c r="E114" t="str">
        <f>LEFT(TDays[[#This Row],[تاریخ]],7)</f>
        <v>1401-04</v>
      </c>
      <c r="F114">
        <v>2</v>
      </c>
      <c r="G114" s="15" t="str">
        <f>VLOOKUP(TDays[[#This Row],[کد روز هفته]],TDaysOfTheWeek[],2,FALSE)</f>
        <v>دوشنبه</v>
      </c>
      <c r="H114" s="15">
        <f>IFERROR(IF(E113&lt;&gt;E114,1,INT(H113)+IF(TDays[[#This Row],[کد روز هفته]]=0,1,0)),1)</f>
        <v>4</v>
      </c>
      <c r="I114">
        <f>-SUMIF(TArticle[تاریخ],TDays[[#This Row],[تاریخ]],TArticle[هزینه])</f>
        <v>0</v>
      </c>
      <c r="J114">
        <f>SUMIF(TArticle[تاریخ],TDays[[#This Row],[تاریخ]],TArticle[درآمد تتا])</f>
        <v>0</v>
      </c>
      <c r="K114">
        <f>SUMIF(TArticle[تاریخ],TDays[[#This Row],[تاریخ]],TArticle[اسنپ])</f>
        <v>0</v>
      </c>
      <c r="L114">
        <f>-SUMIF(TArticle[تاریخ],TDays[[#This Row],[تاریخ]],TArticle[پرداخت بدهی])</f>
        <v>0</v>
      </c>
      <c r="M114">
        <f>SUMIF(TArticle[تاریخ],TDays[[#This Row],[تاریخ]],TArticle[افزایش بدهی])</f>
        <v>0</v>
      </c>
      <c r="N114">
        <f>-SUMIF(TArticle[تاریخ],TDays[[#This Row],[تاریخ]],TArticle[افزایش سرمایه])</f>
        <v>0</v>
      </c>
      <c r="O114">
        <f>SUMIF(TArticle[تاریخ],TDays[[#This Row],[تاریخ]],TArticle[تعداد تراکنش انجام شده])</f>
        <v>1</v>
      </c>
      <c r="P114">
        <f>INT(((TDays[[#This Row],[ماه]]-1)*31+TDays[[#This Row],[روز]]+1)/7)+1</f>
        <v>17</v>
      </c>
      <c r="Q114">
        <f>SUMIF(TArticle[تاریخ],TDays[[#This Row],[تاریخ]],TArticle[تراکنش برنامه ریزی شده])</f>
        <v>0</v>
      </c>
    </row>
    <row r="115" spans="1:17" x14ac:dyDescent="0.25">
      <c r="A115" s="3" t="s">
        <v>314</v>
      </c>
      <c r="B115" t="str">
        <f>RIGHT(TDays[[#This Row],[تاریخ]],2)</f>
        <v>21</v>
      </c>
      <c r="C115" t="str">
        <f>RIGHT(LEFT(TDays[[#This Row],[تاریخ]],7),2)</f>
        <v>04</v>
      </c>
      <c r="D115" t="str">
        <f>LEFT(TDays[[#This Row],[تاریخ]],4)</f>
        <v>1401</v>
      </c>
      <c r="E115" t="str">
        <f>LEFT(TDays[[#This Row],[تاریخ]],7)</f>
        <v>1401-04</v>
      </c>
      <c r="F115">
        <v>3</v>
      </c>
      <c r="G115" s="15" t="str">
        <f>VLOOKUP(TDays[[#This Row],[کد روز هفته]],TDaysOfTheWeek[],2,FALSE)</f>
        <v>سه شنبه</v>
      </c>
      <c r="H115" s="15">
        <f>IFERROR(IF(E114&lt;&gt;E115,1,INT(H114)+IF(TDays[[#This Row],[کد روز هفته]]=0,1,0)),1)</f>
        <v>4</v>
      </c>
      <c r="I115">
        <f>-SUMIF(TArticle[تاریخ],TDays[[#This Row],[تاریخ]],TArticle[هزینه])</f>
        <v>0</v>
      </c>
      <c r="J115">
        <f>SUMIF(TArticle[تاریخ],TDays[[#This Row],[تاریخ]],TArticle[درآمد تتا])</f>
        <v>0</v>
      </c>
      <c r="K115">
        <f>SUMIF(TArticle[تاریخ],TDays[[#This Row],[تاریخ]],TArticle[اسنپ])</f>
        <v>0</v>
      </c>
      <c r="L115">
        <f>-SUMIF(TArticle[تاریخ],TDays[[#This Row],[تاریخ]],TArticle[پرداخت بدهی])</f>
        <v>0</v>
      </c>
      <c r="M115">
        <f>SUMIF(TArticle[تاریخ],TDays[[#This Row],[تاریخ]],TArticle[افزایش بدهی])</f>
        <v>0</v>
      </c>
      <c r="N115">
        <f>-SUMIF(TArticle[تاریخ],TDays[[#This Row],[تاریخ]],TArticle[افزایش سرمایه])</f>
        <v>0</v>
      </c>
      <c r="O115">
        <f>SUMIF(TArticle[تاریخ],TDays[[#This Row],[تاریخ]],TArticle[تعداد تراکنش انجام شده])</f>
        <v>0</v>
      </c>
      <c r="P115">
        <f>INT(((TDays[[#This Row],[ماه]]-1)*31+TDays[[#This Row],[روز]]+1)/7)+1</f>
        <v>17</v>
      </c>
      <c r="Q115">
        <f>SUMIF(TArticle[تاریخ],TDays[[#This Row],[تاریخ]],TArticle[تراکنش برنامه ریزی شده])</f>
        <v>0</v>
      </c>
    </row>
    <row r="116" spans="1:17" x14ac:dyDescent="0.25">
      <c r="A116" s="3" t="s">
        <v>315</v>
      </c>
      <c r="B116" t="str">
        <f>RIGHT(TDays[[#This Row],[تاریخ]],2)</f>
        <v>22</v>
      </c>
      <c r="C116" t="str">
        <f>RIGHT(LEFT(TDays[[#This Row],[تاریخ]],7),2)</f>
        <v>04</v>
      </c>
      <c r="D116" t="str">
        <f>LEFT(TDays[[#This Row],[تاریخ]],4)</f>
        <v>1401</v>
      </c>
      <c r="E116" t="str">
        <f>LEFT(TDays[[#This Row],[تاریخ]],7)</f>
        <v>1401-04</v>
      </c>
      <c r="F116">
        <v>4</v>
      </c>
      <c r="G116" s="15" t="str">
        <f>VLOOKUP(TDays[[#This Row],[کد روز هفته]],TDaysOfTheWeek[],2,FALSE)</f>
        <v>چهارشنبه</v>
      </c>
      <c r="H116" s="15">
        <f>IFERROR(IF(E115&lt;&gt;E116,1,INT(H115)+IF(TDays[[#This Row],[کد روز هفته]]=0,1,0)),1)</f>
        <v>4</v>
      </c>
      <c r="I116">
        <f>-SUMIF(TArticle[تاریخ],TDays[[#This Row],[تاریخ]],TArticle[هزینه])</f>
        <v>0</v>
      </c>
      <c r="J116">
        <f>SUMIF(TArticle[تاریخ],TDays[[#This Row],[تاریخ]],TArticle[درآمد تتا])</f>
        <v>0</v>
      </c>
      <c r="K116">
        <f>SUMIF(TArticle[تاریخ],TDays[[#This Row],[تاریخ]],TArticle[اسنپ])</f>
        <v>0</v>
      </c>
      <c r="L116">
        <f>-SUMIF(TArticle[تاریخ],TDays[[#This Row],[تاریخ]],TArticle[پرداخت بدهی])</f>
        <v>0</v>
      </c>
      <c r="M116">
        <f>SUMIF(TArticle[تاریخ],TDays[[#This Row],[تاریخ]],TArticle[افزایش بدهی])</f>
        <v>0</v>
      </c>
      <c r="N116">
        <f>-SUMIF(TArticle[تاریخ],TDays[[#This Row],[تاریخ]],TArticle[افزایش سرمایه])</f>
        <v>0</v>
      </c>
      <c r="O116">
        <f>SUMIF(TArticle[تاریخ],TDays[[#This Row],[تاریخ]],TArticle[تعداد تراکنش انجام شده])</f>
        <v>0</v>
      </c>
      <c r="P116">
        <f>INT(((TDays[[#This Row],[ماه]]-1)*31+TDays[[#This Row],[روز]]+1)/7)+1</f>
        <v>17</v>
      </c>
      <c r="Q116">
        <f>SUMIF(TArticle[تاریخ],TDays[[#This Row],[تاریخ]],TArticle[تراکنش برنامه ریزی شده])</f>
        <v>0</v>
      </c>
    </row>
    <row r="117" spans="1:17" x14ac:dyDescent="0.25">
      <c r="A117" s="3" t="s">
        <v>316</v>
      </c>
      <c r="B117" t="str">
        <f>RIGHT(TDays[[#This Row],[تاریخ]],2)</f>
        <v>23</v>
      </c>
      <c r="C117" t="str">
        <f>RIGHT(LEFT(TDays[[#This Row],[تاریخ]],7),2)</f>
        <v>04</v>
      </c>
      <c r="D117" t="str">
        <f>LEFT(TDays[[#This Row],[تاریخ]],4)</f>
        <v>1401</v>
      </c>
      <c r="E117" t="str">
        <f>LEFT(TDays[[#This Row],[تاریخ]],7)</f>
        <v>1401-04</v>
      </c>
      <c r="F117">
        <v>5</v>
      </c>
      <c r="G117" s="15" t="str">
        <f>VLOOKUP(TDays[[#This Row],[کد روز هفته]],TDaysOfTheWeek[],2,FALSE)</f>
        <v>پنجشنبه</v>
      </c>
      <c r="H117" s="15">
        <f>IFERROR(IF(E116&lt;&gt;E117,1,INT(H116)+IF(TDays[[#This Row],[کد روز هفته]]=0,1,0)),1)</f>
        <v>4</v>
      </c>
      <c r="I117">
        <f>-SUMIF(TArticle[تاریخ],TDays[[#This Row],[تاریخ]],TArticle[هزینه])</f>
        <v>0</v>
      </c>
      <c r="J117">
        <f>SUMIF(TArticle[تاریخ],TDays[[#This Row],[تاریخ]],TArticle[درآمد تتا])</f>
        <v>0</v>
      </c>
      <c r="K117">
        <f>SUMIF(TArticle[تاریخ],TDays[[#This Row],[تاریخ]],TArticle[اسنپ])</f>
        <v>0</v>
      </c>
      <c r="L117">
        <f>-SUMIF(TArticle[تاریخ],TDays[[#This Row],[تاریخ]],TArticle[پرداخت بدهی])</f>
        <v>0</v>
      </c>
      <c r="M117">
        <f>SUMIF(TArticle[تاریخ],TDays[[#This Row],[تاریخ]],TArticle[افزایش بدهی])</f>
        <v>0</v>
      </c>
      <c r="N117">
        <f>-SUMIF(TArticle[تاریخ],TDays[[#This Row],[تاریخ]],TArticle[افزایش سرمایه])</f>
        <v>0</v>
      </c>
      <c r="O117">
        <f>SUMIF(TArticle[تاریخ],TDays[[#This Row],[تاریخ]],TArticle[تعداد تراکنش انجام شده])</f>
        <v>0</v>
      </c>
      <c r="P117">
        <f>INT(((TDays[[#This Row],[ماه]]-1)*31+TDays[[#This Row],[روز]]+1)/7)+1</f>
        <v>17</v>
      </c>
      <c r="Q117">
        <f>SUMIF(TArticle[تاریخ],TDays[[#This Row],[تاریخ]],TArticle[تراکنش برنامه ریزی شده])</f>
        <v>0</v>
      </c>
    </row>
    <row r="118" spans="1:17" x14ac:dyDescent="0.25">
      <c r="A118" s="3" t="s">
        <v>317</v>
      </c>
      <c r="B118" t="str">
        <f>RIGHT(TDays[[#This Row],[تاریخ]],2)</f>
        <v>24</v>
      </c>
      <c r="C118" t="str">
        <f>RIGHT(LEFT(TDays[[#This Row],[تاریخ]],7),2)</f>
        <v>04</v>
      </c>
      <c r="D118" t="str">
        <f>LEFT(TDays[[#This Row],[تاریخ]],4)</f>
        <v>1401</v>
      </c>
      <c r="E118" t="str">
        <f>LEFT(TDays[[#This Row],[تاریخ]],7)</f>
        <v>1401-04</v>
      </c>
      <c r="F118">
        <v>6</v>
      </c>
      <c r="G118" s="15" t="str">
        <f>VLOOKUP(TDays[[#This Row],[کد روز هفته]],TDaysOfTheWeek[],2,FALSE)</f>
        <v>جمعه</v>
      </c>
      <c r="H118" s="15">
        <f>IFERROR(IF(E117&lt;&gt;E118,1,INT(H117)+IF(TDays[[#This Row],[کد روز هفته]]=0,1,0)),1)</f>
        <v>4</v>
      </c>
      <c r="I118">
        <f>-SUMIF(TArticle[تاریخ],TDays[[#This Row],[تاریخ]],TArticle[هزینه])</f>
        <v>0</v>
      </c>
      <c r="J118">
        <f>SUMIF(TArticle[تاریخ],TDays[[#This Row],[تاریخ]],TArticle[درآمد تتا])</f>
        <v>0</v>
      </c>
      <c r="K118">
        <f>SUMIF(TArticle[تاریخ],TDays[[#This Row],[تاریخ]],TArticle[اسنپ])</f>
        <v>0</v>
      </c>
      <c r="L118">
        <f>-SUMIF(TArticle[تاریخ],TDays[[#This Row],[تاریخ]],TArticle[پرداخت بدهی])</f>
        <v>0</v>
      </c>
      <c r="M118">
        <f>SUMIF(TArticle[تاریخ],TDays[[#This Row],[تاریخ]],TArticle[افزایش بدهی])</f>
        <v>0</v>
      </c>
      <c r="N118">
        <f>-SUMIF(TArticle[تاریخ],TDays[[#This Row],[تاریخ]],TArticle[افزایش سرمایه])</f>
        <v>0</v>
      </c>
      <c r="O118">
        <f>SUMIF(TArticle[تاریخ],TDays[[#This Row],[تاریخ]],TArticle[تعداد تراکنش انجام شده])</f>
        <v>0</v>
      </c>
      <c r="P118">
        <f>INT(((TDays[[#This Row],[ماه]]-1)*31+TDays[[#This Row],[روز]]+1)/7)+1</f>
        <v>17</v>
      </c>
      <c r="Q118">
        <f>SUMIF(TArticle[تاریخ],TDays[[#This Row],[تاریخ]],TArticle[تراکنش برنامه ریزی شده])</f>
        <v>0</v>
      </c>
    </row>
    <row r="119" spans="1:17" x14ac:dyDescent="0.25">
      <c r="A119" s="3" t="s">
        <v>318</v>
      </c>
      <c r="B119" t="str">
        <f>RIGHT(TDays[[#This Row],[تاریخ]],2)</f>
        <v>25</v>
      </c>
      <c r="C119" t="str">
        <f>RIGHT(LEFT(TDays[[#This Row],[تاریخ]],7),2)</f>
        <v>04</v>
      </c>
      <c r="D119" t="str">
        <f>LEFT(TDays[[#This Row],[تاریخ]],4)</f>
        <v>1401</v>
      </c>
      <c r="E119" t="str">
        <f>LEFT(TDays[[#This Row],[تاریخ]],7)</f>
        <v>1401-04</v>
      </c>
      <c r="F119">
        <v>0</v>
      </c>
      <c r="G119" s="15" t="str">
        <f>VLOOKUP(TDays[[#This Row],[کد روز هفته]],TDaysOfTheWeek[],2,FALSE)</f>
        <v>شنبه</v>
      </c>
      <c r="H119" s="15">
        <f>IFERROR(IF(E118&lt;&gt;E119,1,INT(H118)+IF(TDays[[#This Row],[کد روز هفته]]=0,1,0)),1)</f>
        <v>5</v>
      </c>
      <c r="I119">
        <f>-SUMIF(TArticle[تاریخ],TDays[[#This Row],[تاریخ]],TArticle[هزینه])</f>
        <v>0</v>
      </c>
      <c r="J119">
        <f>SUMIF(TArticle[تاریخ],TDays[[#This Row],[تاریخ]],TArticle[درآمد تتا])</f>
        <v>0</v>
      </c>
      <c r="K119">
        <f>SUMIF(TArticle[تاریخ],TDays[[#This Row],[تاریخ]],TArticle[اسنپ])</f>
        <v>0</v>
      </c>
      <c r="L119">
        <f>-SUMIF(TArticle[تاریخ],TDays[[#This Row],[تاریخ]],TArticle[پرداخت بدهی])</f>
        <v>0</v>
      </c>
      <c r="M119">
        <f>SUMIF(TArticle[تاریخ],TDays[[#This Row],[تاریخ]],TArticle[افزایش بدهی])</f>
        <v>0</v>
      </c>
      <c r="N119">
        <f>-SUMIF(TArticle[تاریخ],TDays[[#This Row],[تاریخ]],TArticle[افزایش سرمایه])</f>
        <v>0</v>
      </c>
      <c r="O119">
        <f>SUMIF(TArticle[تاریخ],TDays[[#This Row],[تاریخ]],TArticle[تعداد تراکنش انجام شده])</f>
        <v>0</v>
      </c>
      <c r="P119">
        <f>INT(((TDays[[#This Row],[ماه]]-1)*31+TDays[[#This Row],[روز]]+1)/7)+1</f>
        <v>18</v>
      </c>
      <c r="Q119">
        <f>SUMIF(TArticle[تاریخ],TDays[[#This Row],[تاریخ]],TArticle[تراکنش برنامه ریزی شده])</f>
        <v>0</v>
      </c>
    </row>
    <row r="120" spans="1:17" x14ac:dyDescent="0.25">
      <c r="A120" s="3" t="s">
        <v>319</v>
      </c>
      <c r="B120" t="str">
        <f>RIGHT(TDays[[#This Row],[تاریخ]],2)</f>
        <v>26</v>
      </c>
      <c r="C120" t="str">
        <f>RIGHT(LEFT(TDays[[#This Row],[تاریخ]],7),2)</f>
        <v>04</v>
      </c>
      <c r="D120" t="str">
        <f>LEFT(TDays[[#This Row],[تاریخ]],4)</f>
        <v>1401</v>
      </c>
      <c r="E120" t="str">
        <f>LEFT(TDays[[#This Row],[تاریخ]],7)</f>
        <v>1401-04</v>
      </c>
      <c r="F120">
        <v>1</v>
      </c>
      <c r="G120" s="15" t="str">
        <f>VLOOKUP(TDays[[#This Row],[کد روز هفته]],TDaysOfTheWeek[],2,FALSE)</f>
        <v>یکشنبه</v>
      </c>
      <c r="H120" s="15">
        <f>IFERROR(IF(E119&lt;&gt;E120,1,INT(H119)+IF(TDays[[#This Row],[کد روز هفته]]=0,1,0)),1)</f>
        <v>5</v>
      </c>
      <c r="I120">
        <f>-SUMIF(TArticle[تاریخ],TDays[[#This Row],[تاریخ]],TArticle[هزینه])</f>
        <v>0</v>
      </c>
      <c r="J120">
        <f>SUMIF(TArticle[تاریخ],TDays[[#This Row],[تاریخ]],TArticle[درآمد تتا])</f>
        <v>0</v>
      </c>
      <c r="K120">
        <f>SUMIF(TArticle[تاریخ],TDays[[#This Row],[تاریخ]],TArticle[اسنپ])</f>
        <v>0</v>
      </c>
      <c r="L120">
        <f>-SUMIF(TArticle[تاریخ],TDays[[#This Row],[تاریخ]],TArticle[پرداخت بدهی])</f>
        <v>0</v>
      </c>
      <c r="M120">
        <f>SUMIF(TArticle[تاریخ],TDays[[#This Row],[تاریخ]],TArticle[افزایش بدهی])</f>
        <v>0</v>
      </c>
      <c r="N120">
        <f>-SUMIF(TArticle[تاریخ],TDays[[#This Row],[تاریخ]],TArticle[افزایش سرمایه])</f>
        <v>0</v>
      </c>
      <c r="O120">
        <f>SUMIF(TArticle[تاریخ],TDays[[#This Row],[تاریخ]],TArticle[تعداد تراکنش انجام شده])</f>
        <v>0</v>
      </c>
      <c r="P120">
        <f>INT(((TDays[[#This Row],[ماه]]-1)*31+TDays[[#This Row],[روز]]+1)/7)+1</f>
        <v>18</v>
      </c>
      <c r="Q120">
        <f>SUMIF(TArticle[تاریخ],TDays[[#This Row],[تاریخ]],TArticle[تراکنش برنامه ریزی شده])</f>
        <v>0</v>
      </c>
    </row>
    <row r="121" spans="1:17" x14ac:dyDescent="0.25">
      <c r="A121" s="3" t="s">
        <v>320</v>
      </c>
      <c r="B121" t="str">
        <f>RIGHT(TDays[[#This Row],[تاریخ]],2)</f>
        <v>27</v>
      </c>
      <c r="C121" t="str">
        <f>RIGHT(LEFT(TDays[[#This Row],[تاریخ]],7),2)</f>
        <v>04</v>
      </c>
      <c r="D121" t="str">
        <f>LEFT(TDays[[#This Row],[تاریخ]],4)</f>
        <v>1401</v>
      </c>
      <c r="E121" t="str">
        <f>LEFT(TDays[[#This Row],[تاریخ]],7)</f>
        <v>1401-04</v>
      </c>
      <c r="F121">
        <v>2</v>
      </c>
      <c r="G121" s="15" t="str">
        <f>VLOOKUP(TDays[[#This Row],[کد روز هفته]],TDaysOfTheWeek[],2,FALSE)</f>
        <v>دوشنبه</v>
      </c>
      <c r="H121" s="15">
        <f>IFERROR(IF(E120&lt;&gt;E121,1,INT(H120)+IF(TDays[[#This Row],[کد روز هفته]]=0,1,0)),1)</f>
        <v>5</v>
      </c>
      <c r="I121">
        <f>-SUMIF(TArticle[تاریخ],TDays[[#This Row],[تاریخ]],TArticle[هزینه])</f>
        <v>0</v>
      </c>
      <c r="J121">
        <f>SUMIF(TArticle[تاریخ],TDays[[#This Row],[تاریخ]],TArticle[درآمد تتا])</f>
        <v>0</v>
      </c>
      <c r="K121">
        <f>SUMIF(TArticle[تاریخ],TDays[[#This Row],[تاریخ]],TArticle[اسنپ])</f>
        <v>0</v>
      </c>
      <c r="L121">
        <f>-SUMIF(TArticle[تاریخ],TDays[[#This Row],[تاریخ]],TArticle[پرداخت بدهی])</f>
        <v>0</v>
      </c>
      <c r="M121">
        <f>SUMIF(TArticle[تاریخ],TDays[[#This Row],[تاریخ]],TArticle[افزایش بدهی])</f>
        <v>0</v>
      </c>
      <c r="N121">
        <f>-SUMIF(TArticle[تاریخ],TDays[[#This Row],[تاریخ]],TArticle[افزایش سرمایه])</f>
        <v>0</v>
      </c>
      <c r="O121">
        <f>SUMIF(TArticle[تاریخ],TDays[[#This Row],[تاریخ]],TArticle[تعداد تراکنش انجام شده])</f>
        <v>0</v>
      </c>
      <c r="P121">
        <f>INT(((TDays[[#This Row],[ماه]]-1)*31+TDays[[#This Row],[روز]]+1)/7)+1</f>
        <v>18</v>
      </c>
      <c r="Q121">
        <f>SUMIF(TArticle[تاریخ],TDays[[#This Row],[تاریخ]],TArticle[تراکنش برنامه ریزی شده])</f>
        <v>0</v>
      </c>
    </row>
    <row r="122" spans="1:17" x14ac:dyDescent="0.25">
      <c r="A122" s="3" t="s">
        <v>321</v>
      </c>
      <c r="B122" t="str">
        <f>RIGHT(TDays[[#This Row],[تاریخ]],2)</f>
        <v>28</v>
      </c>
      <c r="C122" t="str">
        <f>RIGHT(LEFT(TDays[[#This Row],[تاریخ]],7),2)</f>
        <v>04</v>
      </c>
      <c r="D122" t="str">
        <f>LEFT(TDays[[#This Row],[تاریخ]],4)</f>
        <v>1401</v>
      </c>
      <c r="E122" t="str">
        <f>LEFT(TDays[[#This Row],[تاریخ]],7)</f>
        <v>1401-04</v>
      </c>
      <c r="F122">
        <v>3</v>
      </c>
      <c r="G122" s="15" t="str">
        <f>VLOOKUP(TDays[[#This Row],[کد روز هفته]],TDaysOfTheWeek[],2,FALSE)</f>
        <v>سه شنبه</v>
      </c>
      <c r="H122" s="15">
        <f>IFERROR(IF(E121&lt;&gt;E122,1,INT(H121)+IF(TDays[[#This Row],[کد روز هفته]]=0,1,0)),1)</f>
        <v>5</v>
      </c>
      <c r="I122">
        <f>-SUMIF(TArticle[تاریخ],TDays[[#This Row],[تاریخ]],TArticle[هزینه])</f>
        <v>0</v>
      </c>
      <c r="J122">
        <f>SUMIF(TArticle[تاریخ],TDays[[#This Row],[تاریخ]],TArticle[درآمد تتا])</f>
        <v>0</v>
      </c>
      <c r="K122">
        <f>SUMIF(TArticle[تاریخ],TDays[[#This Row],[تاریخ]],TArticle[اسنپ])</f>
        <v>0</v>
      </c>
      <c r="L122">
        <f>-SUMIF(TArticle[تاریخ],TDays[[#This Row],[تاریخ]],TArticle[پرداخت بدهی])</f>
        <v>0</v>
      </c>
      <c r="M122">
        <f>SUMIF(TArticle[تاریخ],TDays[[#This Row],[تاریخ]],TArticle[افزایش بدهی])</f>
        <v>0</v>
      </c>
      <c r="N122">
        <f>-SUMIF(TArticle[تاریخ],TDays[[#This Row],[تاریخ]],TArticle[افزایش سرمایه])</f>
        <v>0</v>
      </c>
      <c r="O122">
        <f>SUMIF(TArticle[تاریخ],TDays[[#This Row],[تاریخ]],TArticle[تعداد تراکنش انجام شده])</f>
        <v>0</v>
      </c>
      <c r="P122">
        <f>INT(((TDays[[#This Row],[ماه]]-1)*31+TDays[[#This Row],[روز]]+1)/7)+1</f>
        <v>18</v>
      </c>
      <c r="Q122">
        <f>SUMIF(TArticle[تاریخ],TDays[[#This Row],[تاریخ]],TArticle[تراکنش برنامه ریزی شده])</f>
        <v>0</v>
      </c>
    </row>
    <row r="123" spans="1:17" x14ac:dyDescent="0.25">
      <c r="A123" s="3" t="s">
        <v>322</v>
      </c>
      <c r="B123" t="str">
        <f>RIGHT(TDays[[#This Row],[تاریخ]],2)</f>
        <v>29</v>
      </c>
      <c r="C123" t="str">
        <f>RIGHT(LEFT(TDays[[#This Row],[تاریخ]],7),2)</f>
        <v>04</v>
      </c>
      <c r="D123" t="str">
        <f>LEFT(TDays[[#This Row],[تاریخ]],4)</f>
        <v>1401</v>
      </c>
      <c r="E123" t="str">
        <f>LEFT(TDays[[#This Row],[تاریخ]],7)</f>
        <v>1401-04</v>
      </c>
      <c r="F123">
        <v>4</v>
      </c>
      <c r="G123" s="15" t="str">
        <f>VLOOKUP(TDays[[#This Row],[کد روز هفته]],TDaysOfTheWeek[],2,FALSE)</f>
        <v>چهارشنبه</v>
      </c>
      <c r="H123" s="15">
        <f>IFERROR(IF(E122&lt;&gt;E123,1,INT(H122)+IF(TDays[[#This Row],[کد روز هفته]]=0,1,0)),1)</f>
        <v>5</v>
      </c>
      <c r="I123">
        <f>-SUMIF(TArticle[تاریخ],TDays[[#This Row],[تاریخ]],TArticle[هزینه])</f>
        <v>0</v>
      </c>
      <c r="J123">
        <f>SUMIF(TArticle[تاریخ],TDays[[#This Row],[تاریخ]],TArticle[درآمد تتا])</f>
        <v>0</v>
      </c>
      <c r="K123">
        <f>SUMIF(TArticle[تاریخ],TDays[[#This Row],[تاریخ]],TArticle[اسنپ])</f>
        <v>0</v>
      </c>
      <c r="L123">
        <f>-SUMIF(TArticle[تاریخ],TDays[[#This Row],[تاریخ]],TArticle[پرداخت بدهی])</f>
        <v>0</v>
      </c>
      <c r="M123">
        <f>SUMIF(TArticle[تاریخ],TDays[[#This Row],[تاریخ]],TArticle[افزایش بدهی])</f>
        <v>0</v>
      </c>
      <c r="N123">
        <f>-SUMIF(TArticle[تاریخ],TDays[[#This Row],[تاریخ]],TArticle[افزایش سرمایه])</f>
        <v>0</v>
      </c>
      <c r="O123">
        <f>SUMIF(TArticle[تاریخ],TDays[[#This Row],[تاریخ]],TArticle[تعداد تراکنش انجام شده])</f>
        <v>0</v>
      </c>
      <c r="P123">
        <f>INT(((TDays[[#This Row],[ماه]]-1)*31+TDays[[#This Row],[روز]]+1)/7)+1</f>
        <v>18</v>
      </c>
      <c r="Q123">
        <f>SUMIF(TArticle[تاریخ],TDays[[#This Row],[تاریخ]],TArticle[تراکنش برنامه ریزی شده])</f>
        <v>0</v>
      </c>
    </row>
    <row r="124" spans="1:17" x14ac:dyDescent="0.25">
      <c r="A124" s="3" t="s">
        <v>323</v>
      </c>
      <c r="B124" t="str">
        <f>RIGHT(TDays[[#This Row],[تاریخ]],2)</f>
        <v>30</v>
      </c>
      <c r="C124" t="str">
        <f>RIGHT(LEFT(TDays[[#This Row],[تاریخ]],7),2)</f>
        <v>04</v>
      </c>
      <c r="D124" t="str">
        <f>LEFT(TDays[[#This Row],[تاریخ]],4)</f>
        <v>1401</v>
      </c>
      <c r="E124" t="str">
        <f>LEFT(TDays[[#This Row],[تاریخ]],7)</f>
        <v>1401-04</v>
      </c>
      <c r="F124">
        <v>5</v>
      </c>
      <c r="G124" s="15" t="str">
        <f>VLOOKUP(TDays[[#This Row],[کد روز هفته]],TDaysOfTheWeek[],2,FALSE)</f>
        <v>پنجشنبه</v>
      </c>
      <c r="H124" s="15">
        <f>IFERROR(IF(E123&lt;&gt;E124,1,INT(H123)+IF(TDays[[#This Row],[کد روز هفته]]=0,1,0)),1)</f>
        <v>5</v>
      </c>
      <c r="I124">
        <f>-SUMIF(TArticle[تاریخ],TDays[[#This Row],[تاریخ]],TArticle[هزینه])</f>
        <v>21479</v>
      </c>
      <c r="J124">
        <f>SUMIF(TArticle[تاریخ],TDays[[#This Row],[تاریخ]],TArticle[درآمد تتا])</f>
        <v>37881</v>
      </c>
      <c r="K124">
        <f>SUMIF(TArticle[تاریخ],TDays[[#This Row],[تاریخ]],TArticle[اسنپ])</f>
        <v>0</v>
      </c>
      <c r="L124">
        <f>-SUMIF(TArticle[تاریخ],TDays[[#This Row],[تاریخ]],TArticle[پرداخت بدهی])</f>
        <v>11435</v>
      </c>
      <c r="M124">
        <f>SUMIF(TArticle[تاریخ],TDays[[#This Row],[تاریخ]],TArticle[افزایش بدهی])</f>
        <v>0</v>
      </c>
      <c r="N124">
        <f>-SUMIF(TArticle[تاریخ],TDays[[#This Row],[تاریخ]],TArticle[افزایش سرمایه])</f>
        <v>0</v>
      </c>
      <c r="O124">
        <f>SUMIF(TArticle[تاریخ],TDays[[#This Row],[تاریخ]],TArticle[تعداد تراکنش انجام شده])</f>
        <v>17</v>
      </c>
      <c r="P124">
        <f>INT(((TDays[[#This Row],[ماه]]-1)*31+TDays[[#This Row],[روز]]+1)/7)+1</f>
        <v>18</v>
      </c>
      <c r="Q124">
        <f>SUMIF(TArticle[تاریخ],TDays[[#This Row],[تاریخ]],TArticle[تراکنش برنامه ریزی شده])</f>
        <v>0</v>
      </c>
    </row>
    <row r="125" spans="1:17" x14ac:dyDescent="0.25">
      <c r="A125" s="3" t="s">
        <v>324</v>
      </c>
      <c r="B125" t="str">
        <f>RIGHT(TDays[[#This Row],[تاریخ]],2)</f>
        <v>31</v>
      </c>
      <c r="C125" t="str">
        <f>RIGHT(LEFT(TDays[[#This Row],[تاریخ]],7),2)</f>
        <v>04</v>
      </c>
      <c r="D125" t="str">
        <f>LEFT(TDays[[#This Row],[تاریخ]],4)</f>
        <v>1401</v>
      </c>
      <c r="E125" t="str">
        <f>LEFT(TDays[[#This Row],[تاریخ]],7)</f>
        <v>1401-04</v>
      </c>
      <c r="F125">
        <v>6</v>
      </c>
      <c r="G125" s="15" t="str">
        <f>VLOOKUP(TDays[[#This Row],[کد روز هفته]],TDaysOfTheWeek[],2,FALSE)</f>
        <v>جمعه</v>
      </c>
      <c r="H125" s="15">
        <f>IFERROR(IF(E124&lt;&gt;E125,1,INT(H124)+IF(TDays[[#This Row],[کد روز هفته]]=0,1,0)),1)</f>
        <v>5</v>
      </c>
      <c r="I125">
        <f>-SUMIF(TArticle[تاریخ],TDays[[#This Row],[تاریخ]],TArticle[هزینه])</f>
        <v>0</v>
      </c>
      <c r="J125">
        <f>SUMIF(TArticle[تاریخ],TDays[[#This Row],[تاریخ]],TArticle[درآمد تتا])</f>
        <v>0</v>
      </c>
      <c r="K125">
        <f>SUMIF(TArticle[تاریخ],TDays[[#This Row],[تاریخ]],TArticle[اسنپ])</f>
        <v>0</v>
      </c>
      <c r="L125">
        <f>-SUMIF(TArticle[تاریخ],TDays[[#This Row],[تاریخ]],TArticle[پرداخت بدهی])</f>
        <v>0</v>
      </c>
      <c r="M125">
        <f>SUMIF(TArticle[تاریخ],TDays[[#This Row],[تاریخ]],TArticle[افزایش بدهی])</f>
        <v>0</v>
      </c>
      <c r="N125">
        <f>-SUMIF(TArticle[تاریخ],TDays[[#This Row],[تاریخ]],TArticle[افزایش سرمایه])</f>
        <v>0</v>
      </c>
      <c r="O125">
        <f>SUMIF(TArticle[تاریخ],TDays[[#This Row],[تاریخ]],TArticle[تعداد تراکنش انجام شده])</f>
        <v>0</v>
      </c>
      <c r="P125">
        <f>INT(((TDays[[#This Row],[ماه]]-1)*31+TDays[[#This Row],[روز]]+1)/7)+1</f>
        <v>18</v>
      </c>
      <c r="Q125">
        <f>SUMIF(TArticle[تاریخ],TDays[[#This Row],[تاریخ]],TArticle[تراکنش برنامه ریزی شده])</f>
        <v>0</v>
      </c>
    </row>
    <row r="126" spans="1:17" x14ac:dyDescent="0.25">
      <c r="A126" s="3" t="s">
        <v>325</v>
      </c>
      <c r="B126" t="str">
        <f>RIGHT(TDays[[#This Row],[تاریخ]],2)</f>
        <v>01</v>
      </c>
      <c r="C126" t="str">
        <f>RIGHT(LEFT(TDays[[#This Row],[تاریخ]],7),2)</f>
        <v>05</v>
      </c>
      <c r="D126" t="str">
        <f>LEFT(TDays[[#This Row],[تاریخ]],4)</f>
        <v>1401</v>
      </c>
      <c r="E126" t="str">
        <f>LEFT(TDays[[#This Row],[تاریخ]],7)</f>
        <v>1401-05</v>
      </c>
      <c r="F126">
        <v>0</v>
      </c>
      <c r="G126" s="15" t="str">
        <f>VLOOKUP(TDays[[#This Row],[کد روز هفته]],TDaysOfTheWeek[],2,FALSE)</f>
        <v>شنبه</v>
      </c>
      <c r="H126" s="15">
        <f>IFERROR(IF(E125&lt;&gt;E126,1,INT(H125)+IF(TDays[[#This Row],[کد روز هفته]]=0,1,0)),1)</f>
        <v>1</v>
      </c>
      <c r="I126">
        <f>-SUMIF(TArticle[تاریخ],TDays[[#This Row],[تاریخ]],TArticle[هزینه])</f>
        <v>0</v>
      </c>
      <c r="J126">
        <f>SUMIF(TArticle[تاریخ],TDays[[#This Row],[تاریخ]],TArticle[درآمد تتا])</f>
        <v>0</v>
      </c>
      <c r="K126">
        <f>SUMIF(TArticle[تاریخ],TDays[[#This Row],[تاریخ]],TArticle[اسنپ])</f>
        <v>0</v>
      </c>
      <c r="L126">
        <f>-SUMIF(TArticle[تاریخ],TDays[[#This Row],[تاریخ]],TArticle[پرداخت بدهی])</f>
        <v>0</v>
      </c>
      <c r="M126">
        <f>SUMIF(TArticle[تاریخ],TDays[[#This Row],[تاریخ]],TArticle[افزایش بدهی])</f>
        <v>0</v>
      </c>
      <c r="N126">
        <f>-SUMIF(TArticle[تاریخ],TDays[[#This Row],[تاریخ]],TArticle[افزایش سرمایه])</f>
        <v>0</v>
      </c>
      <c r="O126">
        <f>SUMIF(TArticle[تاریخ],TDays[[#This Row],[تاریخ]],TArticle[تعداد تراکنش انجام شده])</f>
        <v>3</v>
      </c>
      <c r="P126">
        <f>INT(((TDays[[#This Row],[ماه]]-1)*31+TDays[[#This Row],[روز]]+1)/7)+1</f>
        <v>19</v>
      </c>
      <c r="Q126">
        <f>SUMIF(TArticle[تاریخ],TDays[[#This Row],[تاریخ]],TArticle[تراکنش برنامه ریزی شده])</f>
        <v>0</v>
      </c>
    </row>
    <row r="127" spans="1:17" x14ac:dyDescent="0.25">
      <c r="A127" s="3" t="s">
        <v>326</v>
      </c>
      <c r="B127" t="str">
        <f>RIGHT(TDays[[#This Row],[تاریخ]],2)</f>
        <v>02</v>
      </c>
      <c r="C127" t="str">
        <f>RIGHT(LEFT(TDays[[#This Row],[تاریخ]],7),2)</f>
        <v>05</v>
      </c>
      <c r="D127" t="str">
        <f>LEFT(TDays[[#This Row],[تاریخ]],4)</f>
        <v>1401</v>
      </c>
      <c r="E127" t="str">
        <f>LEFT(TDays[[#This Row],[تاریخ]],7)</f>
        <v>1401-05</v>
      </c>
      <c r="F127">
        <v>1</v>
      </c>
      <c r="G127" s="15" t="str">
        <f>VLOOKUP(TDays[[#This Row],[کد روز هفته]],TDaysOfTheWeek[],2,FALSE)</f>
        <v>یکشنبه</v>
      </c>
      <c r="H127" s="15">
        <f>IFERROR(IF(E126&lt;&gt;E127,1,INT(H126)+IF(TDays[[#This Row],[کد روز هفته]]=0,1,0)),1)</f>
        <v>1</v>
      </c>
      <c r="I127">
        <f>-SUMIF(TArticle[تاریخ],TDays[[#This Row],[تاریخ]],TArticle[هزینه])</f>
        <v>0</v>
      </c>
      <c r="J127">
        <f>SUMIF(TArticle[تاریخ],TDays[[#This Row],[تاریخ]],TArticle[درآمد تتا])</f>
        <v>0</v>
      </c>
      <c r="K127">
        <f>SUMIF(TArticle[تاریخ],TDays[[#This Row],[تاریخ]],TArticle[اسنپ])</f>
        <v>0</v>
      </c>
      <c r="L127">
        <f>-SUMIF(TArticle[تاریخ],TDays[[#This Row],[تاریخ]],TArticle[پرداخت بدهی])</f>
        <v>0</v>
      </c>
      <c r="M127">
        <f>SUMIF(TArticle[تاریخ],TDays[[#This Row],[تاریخ]],TArticle[افزایش بدهی])</f>
        <v>0</v>
      </c>
      <c r="N127">
        <f>-SUMIF(TArticle[تاریخ],TDays[[#This Row],[تاریخ]],TArticle[افزایش سرمایه])</f>
        <v>0</v>
      </c>
      <c r="O127">
        <f>SUMIF(TArticle[تاریخ],TDays[[#This Row],[تاریخ]],TArticle[تعداد تراکنش انجام شده])</f>
        <v>0</v>
      </c>
      <c r="P127">
        <f>INT(((TDays[[#This Row],[ماه]]-1)*31+TDays[[#This Row],[روز]]+1)/7)+1</f>
        <v>19</v>
      </c>
      <c r="Q127">
        <f>SUMIF(TArticle[تاریخ],TDays[[#This Row],[تاریخ]],TArticle[تراکنش برنامه ریزی شده])</f>
        <v>0</v>
      </c>
    </row>
    <row r="128" spans="1:17" x14ac:dyDescent="0.25">
      <c r="A128" s="3" t="s">
        <v>327</v>
      </c>
      <c r="B128" t="str">
        <f>RIGHT(TDays[[#This Row],[تاریخ]],2)</f>
        <v>03</v>
      </c>
      <c r="C128" t="str">
        <f>RIGHT(LEFT(TDays[[#This Row],[تاریخ]],7),2)</f>
        <v>05</v>
      </c>
      <c r="D128" t="str">
        <f>LEFT(TDays[[#This Row],[تاریخ]],4)</f>
        <v>1401</v>
      </c>
      <c r="E128" t="str">
        <f>LEFT(TDays[[#This Row],[تاریخ]],7)</f>
        <v>1401-05</v>
      </c>
      <c r="F128">
        <v>2</v>
      </c>
      <c r="G128" s="15" t="str">
        <f>VLOOKUP(TDays[[#This Row],[کد روز هفته]],TDaysOfTheWeek[],2,FALSE)</f>
        <v>دوشنبه</v>
      </c>
      <c r="H128" s="15">
        <f>IFERROR(IF(E127&lt;&gt;E128,1,INT(H127)+IF(TDays[[#This Row],[کد روز هفته]]=0,1,0)),1)</f>
        <v>1</v>
      </c>
      <c r="I128">
        <f>-SUMIF(TArticle[تاریخ],TDays[[#This Row],[تاریخ]],TArticle[هزینه])</f>
        <v>0</v>
      </c>
      <c r="J128">
        <f>SUMIF(TArticle[تاریخ],TDays[[#This Row],[تاریخ]],TArticle[درآمد تتا])</f>
        <v>0</v>
      </c>
      <c r="K128">
        <f>SUMIF(TArticle[تاریخ],TDays[[#This Row],[تاریخ]],TArticle[اسنپ])</f>
        <v>0</v>
      </c>
      <c r="L128">
        <f>-SUMIF(TArticle[تاریخ],TDays[[#This Row],[تاریخ]],TArticle[پرداخت بدهی])</f>
        <v>0</v>
      </c>
      <c r="M128">
        <f>SUMIF(TArticle[تاریخ],TDays[[#This Row],[تاریخ]],TArticle[افزایش بدهی])</f>
        <v>0</v>
      </c>
      <c r="N128">
        <f>-SUMIF(TArticle[تاریخ],TDays[[#This Row],[تاریخ]],TArticle[افزایش سرمایه])</f>
        <v>0</v>
      </c>
      <c r="O128">
        <f>SUMIF(TArticle[تاریخ],TDays[[#This Row],[تاریخ]],TArticle[تعداد تراکنش انجام شده])</f>
        <v>0</v>
      </c>
      <c r="P128">
        <f>INT(((TDays[[#This Row],[ماه]]-1)*31+TDays[[#This Row],[روز]]+1)/7)+1</f>
        <v>19</v>
      </c>
      <c r="Q128">
        <f>SUMIF(TArticle[تاریخ],TDays[[#This Row],[تاریخ]],TArticle[تراکنش برنامه ریزی شده])</f>
        <v>0</v>
      </c>
    </row>
    <row r="129" spans="1:17" x14ac:dyDescent="0.25">
      <c r="A129" s="3" t="s">
        <v>328</v>
      </c>
      <c r="B129" t="str">
        <f>RIGHT(TDays[[#This Row],[تاریخ]],2)</f>
        <v>04</v>
      </c>
      <c r="C129" t="str">
        <f>RIGHT(LEFT(TDays[[#This Row],[تاریخ]],7),2)</f>
        <v>05</v>
      </c>
      <c r="D129" t="str">
        <f>LEFT(TDays[[#This Row],[تاریخ]],4)</f>
        <v>1401</v>
      </c>
      <c r="E129" t="str">
        <f>LEFT(TDays[[#This Row],[تاریخ]],7)</f>
        <v>1401-05</v>
      </c>
      <c r="F129">
        <v>3</v>
      </c>
      <c r="G129" s="15" t="str">
        <f>VLOOKUP(TDays[[#This Row],[کد روز هفته]],TDaysOfTheWeek[],2,FALSE)</f>
        <v>سه شنبه</v>
      </c>
      <c r="H129" s="15">
        <f>IFERROR(IF(E128&lt;&gt;E129,1,INT(H128)+IF(TDays[[#This Row],[کد روز هفته]]=0,1,0)),1)</f>
        <v>1</v>
      </c>
      <c r="I129">
        <f>-SUMIF(TArticle[تاریخ],TDays[[#This Row],[تاریخ]],TArticle[هزینه])</f>
        <v>0</v>
      </c>
      <c r="J129">
        <f>SUMIF(TArticle[تاریخ],TDays[[#This Row],[تاریخ]],TArticle[درآمد تتا])</f>
        <v>0</v>
      </c>
      <c r="K129">
        <f>SUMIF(TArticle[تاریخ],TDays[[#This Row],[تاریخ]],TArticle[اسنپ])</f>
        <v>0</v>
      </c>
      <c r="L129">
        <f>-SUMIF(TArticle[تاریخ],TDays[[#This Row],[تاریخ]],TArticle[پرداخت بدهی])</f>
        <v>0</v>
      </c>
      <c r="M129">
        <f>SUMIF(TArticle[تاریخ],TDays[[#This Row],[تاریخ]],TArticle[افزایش بدهی])</f>
        <v>0</v>
      </c>
      <c r="N129">
        <f>-SUMIF(TArticle[تاریخ],TDays[[#This Row],[تاریخ]],TArticle[افزایش سرمایه])</f>
        <v>0</v>
      </c>
      <c r="O129">
        <f>SUMIF(TArticle[تاریخ],TDays[[#This Row],[تاریخ]],TArticle[تعداد تراکنش انجام شده])</f>
        <v>0</v>
      </c>
      <c r="P129">
        <f>INT(((TDays[[#This Row],[ماه]]-1)*31+TDays[[#This Row],[روز]]+1)/7)+1</f>
        <v>19</v>
      </c>
      <c r="Q129">
        <f>SUMIF(TArticle[تاریخ],TDays[[#This Row],[تاریخ]],TArticle[تراکنش برنامه ریزی شده])</f>
        <v>0</v>
      </c>
    </row>
    <row r="130" spans="1:17" x14ac:dyDescent="0.25">
      <c r="A130" s="3" t="s">
        <v>329</v>
      </c>
      <c r="B130" t="str">
        <f>RIGHT(TDays[[#This Row],[تاریخ]],2)</f>
        <v>05</v>
      </c>
      <c r="C130" t="str">
        <f>RIGHT(LEFT(TDays[[#This Row],[تاریخ]],7),2)</f>
        <v>05</v>
      </c>
      <c r="D130" t="str">
        <f>LEFT(TDays[[#This Row],[تاریخ]],4)</f>
        <v>1401</v>
      </c>
      <c r="E130" t="str">
        <f>LEFT(TDays[[#This Row],[تاریخ]],7)</f>
        <v>1401-05</v>
      </c>
      <c r="F130">
        <v>4</v>
      </c>
      <c r="G130" s="15" t="str">
        <f>VLOOKUP(TDays[[#This Row],[کد روز هفته]],TDaysOfTheWeek[],2,FALSE)</f>
        <v>چهارشنبه</v>
      </c>
      <c r="H130" s="15">
        <f>IFERROR(IF(E129&lt;&gt;E130,1,INT(H129)+IF(TDays[[#This Row],[کد روز هفته]]=0,1,0)),1)</f>
        <v>1</v>
      </c>
      <c r="I130">
        <f>-SUMIF(TArticle[تاریخ],TDays[[#This Row],[تاریخ]],TArticle[هزینه])</f>
        <v>0</v>
      </c>
      <c r="J130">
        <f>SUMIF(TArticle[تاریخ],TDays[[#This Row],[تاریخ]],TArticle[درآمد تتا])</f>
        <v>0</v>
      </c>
      <c r="K130">
        <f>SUMIF(TArticle[تاریخ],TDays[[#This Row],[تاریخ]],TArticle[اسنپ])</f>
        <v>0</v>
      </c>
      <c r="L130">
        <f>-SUMIF(TArticle[تاریخ],TDays[[#This Row],[تاریخ]],TArticle[پرداخت بدهی])</f>
        <v>5000</v>
      </c>
      <c r="M130">
        <f>SUMIF(TArticle[تاریخ],TDays[[#This Row],[تاریخ]],TArticle[افزایش بدهی])</f>
        <v>0</v>
      </c>
      <c r="N130">
        <f>-SUMIF(TArticle[تاریخ],TDays[[#This Row],[تاریخ]],TArticle[افزایش سرمایه])</f>
        <v>0</v>
      </c>
      <c r="O130">
        <f>SUMIF(TArticle[تاریخ],TDays[[#This Row],[تاریخ]],TArticle[تعداد تراکنش انجام شده])</f>
        <v>1</v>
      </c>
      <c r="P130">
        <f>INT(((TDays[[#This Row],[ماه]]-1)*31+TDays[[#This Row],[روز]]+1)/7)+1</f>
        <v>19</v>
      </c>
      <c r="Q130">
        <f>SUMIF(TArticle[تاریخ],TDays[[#This Row],[تاریخ]],TArticle[تراکنش برنامه ریزی شده])</f>
        <v>0</v>
      </c>
    </row>
    <row r="131" spans="1:17" x14ac:dyDescent="0.25">
      <c r="A131" s="3" t="s">
        <v>330</v>
      </c>
      <c r="B131" t="str">
        <f>RIGHT(TDays[[#This Row],[تاریخ]],2)</f>
        <v>06</v>
      </c>
      <c r="C131" t="str">
        <f>RIGHT(LEFT(TDays[[#This Row],[تاریخ]],7),2)</f>
        <v>05</v>
      </c>
      <c r="D131" t="str">
        <f>LEFT(TDays[[#This Row],[تاریخ]],4)</f>
        <v>1401</v>
      </c>
      <c r="E131" t="str">
        <f>LEFT(TDays[[#This Row],[تاریخ]],7)</f>
        <v>1401-05</v>
      </c>
      <c r="F131">
        <v>5</v>
      </c>
      <c r="G131" s="15" t="str">
        <f>VLOOKUP(TDays[[#This Row],[کد روز هفته]],TDaysOfTheWeek[],2,FALSE)</f>
        <v>پنجشنبه</v>
      </c>
      <c r="H131" s="15">
        <f>IFERROR(IF(E130&lt;&gt;E131,1,INT(H130)+IF(TDays[[#This Row],[کد روز هفته]]=0,1,0)),1)</f>
        <v>1</v>
      </c>
      <c r="I131">
        <f>-SUMIF(TArticle[تاریخ],TDays[[#This Row],[تاریخ]],TArticle[هزینه])</f>
        <v>0</v>
      </c>
      <c r="J131">
        <f>SUMIF(TArticle[تاریخ],TDays[[#This Row],[تاریخ]],TArticle[درآمد تتا])</f>
        <v>0</v>
      </c>
      <c r="K131">
        <f>SUMIF(TArticle[تاریخ],TDays[[#This Row],[تاریخ]],TArticle[اسنپ])</f>
        <v>0</v>
      </c>
      <c r="L131">
        <f>-SUMIF(TArticle[تاریخ],TDays[[#This Row],[تاریخ]],TArticle[پرداخت بدهی])</f>
        <v>0</v>
      </c>
      <c r="M131">
        <f>SUMIF(TArticle[تاریخ],TDays[[#This Row],[تاریخ]],TArticle[افزایش بدهی])</f>
        <v>0</v>
      </c>
      <c r="N131">
        <f>-SUMIF(TArticle[تاریخ],TDays[[#This Row],[تاریخ]],TArticle[افزایش سرمایه])</f>
        <v>0</v>
      </c>
      <c r="O131">
        <f>SUMIF(TArticle[تاریخ],TDays[[#This Row],[تاریخ]],TArticle[تعداد تراکنش انجام شده])</f>
        <v>0</v>
      </c>
      <c r="P131">
        <f>INT(((TDays[[#This Row],[ماه]]-1)*31+TDays[[#This Row],[روز]]+1)/7)+1</f>
        <v>19</v>
      </c>
      <c r="Q131">
        <f>SUMIF(TArticle[تاریخ],TDays[[#This Row],[تاریخ]],TArticle[تراکنش برنامه ریزی شده])</f>
        <v>0</v>
      </c>
    </row>
    <row r="132" spans="1:17" x14ac:dyDescent="0.25">
      <c r="A132" s="3" t="s">
        <v>331</v>
      </c>
      <c r="B132" t="str">
        <f>RIGHT(TDays[[#This Row],[تاریخ]],2)</f>
        <v>07</v>
      </c>
      <c r="C132" t="str">
        <f>RIGHT(LEFT(TDays[[#This Row],[تاریخ]],7),2)</f>
        <v>05</v>
      </c>
      <c r="D132" t="str">
        <f>LEFT(TDays[[#This Row],[تاریخ]],4)</f>
        <v>1401</v>
      </c>
      <c r="E132" t="str">
        <f>LEFT(TDays[[#This Row],[تاریخ]],7)</f>
        <v>1401-05</v>
      </c>
      <c r="F132">
        <v>6</v>
      </c>
      <c r="G132" s="15" t="str">
        <f>VLOOKUP(TDays[[#This Row],[کد روز هفته]],TDaysOfTheWeek[],2,FALSE)</f>
        <v>جمعه</v>
      </c>
      <c r="H132" s="15">
        <f>IFERROR(IF(E131&lt;&gt;E132,1,INT(H131)+IF(TDays[[#This Row],[کد روز هفته]]=0,1,0)),1)</f>
        <v>1</v>
      </c>
      <c r="I132">
        <f>-SUMIF(TArticle[تاریخ],TDays[[#This Row],[تاریخ]],TArticle[هزینه])</f>
        <v>0</v>
      </c>
      <c r="J132">
        <f>SUMIF(TArticle[تاریخ],TDays[[#This Row],[تاریخ]],TArticle[درآمد تتا])</f>
        <v>0</v>
      </c>
      <c r="K132">
        <f>SUMIF(TArticle[تاریخ],TDays[[#This Row],[تاریخ]],TArticle[اسنپ])</f>
        <v>0</v>
      </c>
      <c r="L132">
        <f>-SUMIF(TArticle[تاریخ],TDays[[#This Row],[تاریخ]],TArticle[پرداخت بدهی])</f>
        <v>0</v>
      </c>
      <c r="M132">
        <f>SUMIF(TArticle[تاریخ],TDays[[#This Row],[تاریخ]],TArticle[افزایش بدهی])</f>
        <v>0</v>
      </c>
      <c r="N132">
        <f>-SUMIF(TArticle[تاریخ],TDays[[#This Row],[تاریخ]],TArticle[افزایش سرمایه])</f>
        <v>0</v>
      </c>
      <c r="O132">
        <f>SUMIF(TArticle[تاریخ],TDays[[#This Row],[تاریخ]],TArticle[تعداد تراکنش انجام شده])</f>
        <v>1</v>
      </c>
      <c r="P132">
        <f>INT(((TDays[[#This Row],[ماه]]-1)*31+TDays[[#This Row],[روز]]+1)/7)+1</f>
        <v>19</v>
      </c>
      <c r="Q132">
        <f>SUMIF(TArticle[تاریخ],TDays[[#This Row],[تاریخ]],TArticle[تراکنش برنامه ریزی شده])</f>
        <v>0</v>
      </c>
    </row>
    <row r="133" spans="1:17" x14ac:dyDescent="0.25">
      <c r="A133" s="3" t="s">
        <v>332</v>
      </c>
      <c r="B133" t="str">
        <f>RIGHT(TDays[[#This Row],[تاریخ]],2)</f>
        <v>08</v>
      </c>
      <c r="C133" t="str">
        <f>RIGHT(LEFT(TDays[[#This Row],[تاریخ]],7),2)</f>
        <v>05</v>
      </c>
      <c r="D133" t="str">
        <f>LEFT(TDays[[#This Row],[تاریخ]],4)</f>
        <v>1401</v>
      </c>
      <c r="E133" t="str">
        <f>LEFT(TDays[[#This Row],[تاریخ]],7)</f>
        <v>1401-05</v>
      </c>
      <c r="F133">
        <v>0</v>
      </c>
      <c r="G133" s="15" t="str">
        <f>VLOOKUP(TDays[[#This Row],[کد روز هفته]],TDaysOfTheWeek[],2,FALSE)</f>
        <v>شنبه</v>
      </c>
      <c r="H133" s="15">
        <f>IFERROR(IF(E132&lt;&gt;E133,1,INT(H132)+IF(TDays[[#This Row],[کد روز هفته]]=0,1,0)),1)</f>
        <v>2</v>
      </c>
      <c r="I133">
        <f>-SUMIF(TArticle[تاریخ],TDays[[#This Row],[تاریخ]],TArticle[هزینه])</f>
        <v>0</v>
      </c>
      <c r="J133">
        <f>SUMIF(TArticle[تاریخ],TDays[[#This Row],[تاریخ]],TArticle[درآمد تتا])</f>
        <v>0</v>
      </c>
      <c r="K133">
        <f>SUMIF(TArticle[تاریخ],TDays[[#This Row],[تاریخ]],TArticle[اسنپ])</f>
        <v>0</v>
      </c>
      <c r="L133">
        <f>-SUMIF(TArticle[تاریخ],TDays[[#This Row],[تاریخ]],TArticle[پرداخت بدهی])</f>
        <v>0</v>
      </c>
      <c r="M133">
        <f>SUMIF(TArticle[تاریخ],TDays[[#This Row],[تاریخ]],TArticle[افزایش بدهی])</f>
        <v>0</v>
      </c>
      <c r="N133">
        <f>-SUMIF(TArticle[تاریخ],TDays[[#This Row],[تاریخ]],TArticle[افزایش سرمایه])</f>
        <v>0</v>
      </c>
      <c r="O133">
        <f>SUMIF(TArticle[تاریخ],TDays[[#This Row],[تاریخ]],TArticle[تعداد تراکنش انجام شده])</f>
        <v>0</v>
      </c>
      <c r="P133">
        <f>INT(((TDays[[#This Row],[ماه]]-1)*31+TDays[[#This Row],[روز]]+1)/7)+1</f>
        <v>20</v>
      </c>
      <c r="Q133">
        <f>SUMIF(TArticle[تاریخ],TDays[[#This Row],[تاریخ]],TArticle[تراکنش برنامه ریزی شده])</f>
        <v>0</v>
      </c>
    </row>
    <row r="134" spans="1:17" x14ac:dyDescent="0.25">
      <c r="A134" s="3" t="s">
        <v>333</v>
      </c>
      <c r="B134" t="str">
        <f>RIGHT(TDays[[#This Row],[تاریخ]],2)</f>
        <v>09</v>
      </c>
      <c r="C134" t="str">
        <f>RIGHT(LEFT(TDays[[#This Row],[تاریخ]],7),2)</f>
        <v>05</v>
      </c>
      <c r="D134" t="str">
        <f>LEFT(TDays[[#This Row],[تاریخ]],4)</f>
        <v>1401</v>
      </c>
      <c r="E134" t="str">
        <f>LEFT(TDays[[#This Row],[تاریخ]],7)</f>
        <v>1401-05</v>
      </c>
      <c r="F134">
        <v>1</v>
      </c>
      <c r="G134" s="15" t="str">
        <f>VLOOKUP(TDays[[#This Row],[کد روز هفته]],TDaysOfTheWeek[],2,FALSE)</f>
        <v>یکشنبه</v>
      </c>
      <c r="H134" s="15">
        <f>IFERROR(IF(E133&lt;&gt;E134,1,INT(H133)+IF(TDays[[#This Row],[کد روز هفته]]=0,1,0)),1)</f>
        <v>2</v>
      </c>
      <c r="I134">
        <f>-SUMIF(TArticle[تاریخ],TDays[[#This Row],[تاریخ]],TArticle[هزینه])</f>
        <v>0</v>
      </c>
      <c r="J134">
        <f>SUMIF(TArticle[تاریخ],TDays[[#This Row],[تاریخ]],TArticle[درآمد تتا])</f>
        <v>0</v>
      </c>
      <c r="K134">
        <f>SUMIF(TArticle[تاریخ],TDays[[#This Row],[تاریخ]],TArticle[اسنپ])</f>
        <v>0</v>
      </c>
      <c r="L134">
        <f>-SUMIF(TArticle[تاریخ],TDays[[#This Row],[تاریخ]],TArticle[پرداخت بدهی])</f>
        <v>0</v>
      </c>
      <c r="M134">
        <f>SUMIF(TArticle[تاریخ],TDays[[#This Row],[تاریخ]],TArticle[افزایش بدهی])</f>
        <v>0</v>
      </c>
      <c r="N134">
        <f>-SUMIF(TArticle[تاریخ],TDays[[#This Row],[تاریخ]],TArticle[افزایش سرمایه])</f>
        <v>0</v>
      </c>
      <c r="O134">
        <f>SUMIF(TArticle[تاریخ],TDays[[#This Row],[تاریخ]],TArticle[تعداد تراکنش انجام شده])</f>
        <v>0</v>
      </c>
      <c r="P134">
        <f>INT(((TDays[[#This Row],[ماه]]-1)*31+TDays[[#This Row],[روز]]+1)/7)+1</f>
        <v>20</v>
      </c>
      <c r="Q134">
        <f>SUMIF(TArticle[تاریخ],TDays[[#This Row],[تاریخ]],TArticle[تراکنش برنامه ریزی شده])</f>
        <v>0</v>
      </c>
    </row>
    <row r="135" spans="1:17" x14ac:dyDescent="0.25">
      <c r="A135" s="3" t="s">
        <v>334</v>
      </c>
      <c r="B135" t="str">
        <f>RIGHT(TDays[[#This Row],[تاریخ]],2)</f>
        <v>10</v>
      </c>
      <c r="C135" t="str">
        <f>RIGHT(LEFT(TDays[[#This Row],[تاریخ]],7),2)</f>
        <v>05</v>
      </c>
      <c r="D135" t="str">
        <f>LEFT(TDays[[#This Row],[تاریخ]],4)</f>
        <v>1401</v>
      </c>
      <c r="E135" t="str">
        <f>LEFT(TDays[[#This Row],[تاریخ]],7)</f>
        <v>1401-05</v>
      </c>
      <c r="F135">
        <v>2</v>
      </c>
      <c r="G135" s="15" t="str">
        <f>VLOOKUP(TDays[[#This Row],[کد روز هفته]],TDaysOfTheWeek[],2,FALSE)</f>
        <v>دوشنبه</v>
      </c>
      <c r="H135" s="15">
        <f>IFERROR(IF(E134&lt;&gt;E135,1,INT(H134)+IF(TDays[[#This Row],[کد روز هفته]]=0,1,0)),1)</f>
        <v>2</v>
      </c>
      <c r="I135">
        <f>-SUMIF(TArticle[تاریخ],TDays[[#This Row],[تاریخ]],TArticle[هزینه])</f>
        <v>0</v>
      </c>
      <c r="J135">
        <f>SUMIF(TArticle[تاریخ],TDays[[#This Row],[تاریخ]],TArticle[درآمد تتا])</f>
        <v>0</v>
      </c>
      <c r="K135">
        <f>SUMIF(TArticle[تاریخ],TDays[[#This Row],[تاریخ]],TArticle[اسنپ])</f>
        <v>0</v>
      </c>
      <c r="L135">
        <f>-SUMIF(TArticle[تاریخ],TDays[[#This Row],[تاریخ]],TArticle[پرداخت بدهی])</f>
        <v>0</v>
      </c>
      <c r="M135">
        <f>SUMIF(TArticle[تاریخ],TDays[[#This Row],[تاریخ]],TArticle[افزایش بدهی])</f>
        <v>0</v>
      </c>
      <c r="N135">
        <f>-SUMIF(TArticle[تاریخ],TDays[[#This Row],[تاریخ]],TArticle[افزایش سرمایه])</f>
        <v>0</v>
      </c>
      <c r="O135">
        <f>SUMIF(TArticle[تاریخ],TDays[[#This Row],[تاریخ]],TArticle[تعداد تراکنش انجام شده])</f>
        <v>0</v>
      </c>
      <c r="P135">
        <f>INT(((TDays[[#This Row],[ماه]]-1)*31+TDays[[#This Row],[روز]]+1)/7)+1</f>
        <v>20</v>
      </c>
      <c r="Q135">
        <f>SUMIF(TArticle[تاریخ],TDays[[#This Row],[تاریخ]],TArticle[تراکنش برنامه ریزی شده])</f>
        <v>0</v>
      </c>
    </row>
    <row r="136" spans="1:17" x14ac:dyDescent="0.25">
      <c r="A136" s="3" t="s">
        <v>335</v>
      </c>
      <c r="B136" t="str">
        <f>RIGHT(TDays[[#This Row],[تاریخ]],2)</f>
        <v>11</v>
      </c>
      <c r="C136" t="str">
        <f>RIGHT(LEFT(TDays[[#This Row],[تاریخ]],7),2)</f>
        <v>05</v>
      </c>
      <c r="D136" t="str">
        <f>LEFT(TDays[[#This Row],[تاریخ]],4)</f>
        <v>1401</v>
      </c>
      <c r="E136" t="str">
        <f>LEFT(TDays[[#This Row],[تاریخ]],7)</f>
        <v>1401-05</v>
      </c>
      <c r="F136">
        <v>3</v>
      </c>
      <c r="G136" s="15" t="str">
        <f>VLOOKUP(TDays[[#This Row],[کد روز هفته]],TDaysOfTheWeek[],2,FALSE)</f>
        <v>سه شنبه</v>
      </c>
      <c r="H136" s="15">
        <f>IFERROR(IF(E135&lt;&gt;E136,1,INT(H135)+IF(TDays[[#This Row],[کد روز هفته]]=0,1,0)),1)</f>
        <v>2</v>
      </c>
      <c r="I136">
        <f>-SUMIF(TArticle[تاریخ],TDays[[#This Row],[تاریخ]],TArticle[هزینه])</f>
        <v>0</v>
      </c>
      <c r="J136">
        <f>SUMIF(TArticle[تاریخ],TDays[[#This Row],[تاریخ]],TArticle[درآمد تتا])</f>
        <v>0</v>
      </c>
      <c r="K136">
        <f>SUMIF(TArticle[تاریخ],TDays[[#This Row],[تاریخ]],TArticle[اسنپ])</f>
        <v>0</v>
      </c>
      <c r="L136">
        <f>-SUMIF(TArticle[تاریخ],TDays[[#This Row],[تاریخ]],TArticle[پرداخت بدهی])</f>
        <v>0</v>
      </c>
      <c r="M136">
        <f>SUMIF(TArticle[تاریخ],TDays[[#This Row],[تاریخ]],TArticle[افزایش بدهی])</f>
        <v>0</v>
      </c>
      <c r="N136">
        <f>-SUMIF(TArticle[تاریخ],TDays[[#This Row],[تاریخ]],TArticle[افزایش سرمایه])</f>
        <v>0</v>
      </c>
      <c r="O136">
        <f>SUMIF(TArticle[تاریخ],TDays[[#This Row],[تاریخ]],TArticle[تعداد تراکنش انجام شده])</f>
        <v>0</v>
      </c>
      <c r="P136">
        <f>INT(((TDays[[#This Row],[ماه]]-1)*31+TDays[[#This Row],[روز]]+1)/7)+1</f>
        <v>20</v>
      </c>
      <c r="Q136">
        <f>SUMIF(TArticle[تاریخ],TDays[[#This Row],[تاریخ]],TArticle[تراکنش برنامه ریزی شده])</f>
        <v>0</v>
      </c>
    </row>
    <row r="137" spans="1:17" x14ac:dyDescent="0.25">
      <c r="A137" s="3" t="s">
        <v>336</v>
      </c>
      <c r="B137" t="str">
        <f>RIGHT(TDays[[#This Row],[تاریخ]],2)</f>
        <v>12</v>
      </c>
      <c r="C137" t="str">
        <f>RIGHT(LEFT(TDays[[#This Row],[تاریخ]],7),2)</f>
        <v>05</v>
      </c>
      <c r="D137" t="str">
        <f>LEFT(TDays[[#This Row],[تاریخ]],4)</f>
        <v>1401</v>
      </c>
      <c r="E137" t="str">
        <f>LEFT(TDays[[#This Row],[تاریخ]],7)</f>
        <v>1401-05</v>
      </c>
      <c r="F137">
        <v>4</v>
      </c>
      <c r="G137" s="15" t="str">
        <f>VLOOKUP(TDays[[#This Row],[کد روز هفته]],TDaysOfTheWeek[],2,FALSE)</f>
        <v>چهارشنبه</v>
      </c>
      <c r="H137" s="15">
        <f>IFERROR(IF(E136&lt;&gt;E137,1,INT(H136)+IF(TDays[[#This Row],[کد روز هفته]]=0,1,0)),1)</f>
        <v>2</v>
      </c>
      <c r="I137">
        <f>-SUMIF(TArticle[تاریخ],TDays[[#This Row],[تاریخ]],TArticle[هزینه])</f>
        <v>0</v>
      </c>
      <c r="J137">
        <f>SUMIF(TArticle[تاریخ],TDays[[#This Row],[تاریخ]],TArticle[درآمد تتا])</f>
        <v>0</v>
      </c>
      <c r="K137">
        <f>SUMIF(TArticle[تاریخ],TDays[[#This Row],[تاریخ]],TArticle[اسنپ])</f>
        <v>0</v>
      </c>
      <c r="L137">
        <f>-SUMIF(TArticle[تاریخ],TDays[[#This Row],[تاریخ]],TArticle[پرداخت بدهی])</f>
        <v>0</v>
      </c>
      <c r="M137">
        <f>SUMIF(TArticle[تاریخ],TDays[[#This Row],[تاریخ]],TArticle[افزایش بدهی])</f>
        <v>0</v>
      </c>
      <c r="N137">
        <f>-SUMIF(TArticle[تاریخ],TDays[[#This Row],[تاریخ]],TArticle[افزایش سرمایه])</f>
        <v>0</v>
      </c>
      <c r="O137">
        <f>SUMIF(TArticle[تاریخ],TDays[[#This Row],[تاریخ]],TArticle[تعداد تراکنش انجام شده])</f>
        <v>0</v>
      </c>
      <c r="P137">
        <f>INT(((TDays[[#This Row],[ماه]]-1)*31+TDays[[#This Row],[روز]]+1)/7)+1</f>
        <v>20</v>
      </c>
      <c r="Q137">
        <f>SUMIF(TArticle[تاریخ],TDays[[#This Row],[تاریخ]],TArticle[تراکنش برنامه ریزی شده])</f>
        <v>0</v>
      </c>
    </row>
    <row r="138" spans="1:17" x14ac:dyDescent="0.25">
      <c r="A138" s="3" t="s">
        <v>337</v>
      </c>
      <c r="B138" t="str">
        <f>RIGHT(TDays[[#This Row],[تاریخ]],2)</f>
        <v>13</v>
      </c>
      <c r="C138" t="str">
        <f>RIGHT(LEFT(TDays[[#This Row],[تاریخ]],7),2)</f>
        <v>05</v>
      </c>
      <c r="D138" t="str">
        <f>LEFT(TDays[[#This Row],[تاریخ]],4)</f>
        <v>1401</v>
      </c>
      <c r="E138" t="str">
        <f>LEFT(TDays[[#This Row],[تاریخ]],7)</f>
        <v>1401-05</v>
      </c>
      <c r="F138">
        <v>5</v>
      </c>
      <c r="G138" s="15" t="str">
        <f>VLOOKUP(TDays[[#This Row],[کد روز هفته]],TDaysOfTheWeek[],2,FALSE)</f>
        <v>پنجشنبه</v>
      </c>
      <c r="H138" s="15">
        <f>IFERROR(IF(E137&lt;&gt;E138,1,INT(H137)+IF(TDays[[#This Row],[کد روز هفته]]=0,1,0)),1)</f>
        <v>2</v>
      </c>
      <c r="I138">
        <f>-SUMIF(TArticle[تاریخ],TDays[[#This Row],[تاریخ]],TArticle[هزینه])</f>
        <v>0</v>
      </c>
      <c r="J138">
        <f>SUMIF(TArticle[تاریخ],TDays[[#This Row],[تاریخ]],TArticle[درآمد تتا])</f>
        <v>0</v>
      </c>
      <c r="K138">
        <f>SUMIF(TArticle[تاریخ],TDays[[#This Row],[تاریخ]],TArticle[اسنپ])</f>
        <v>0</v>
      </c>
      <c r="L138">
        <f>-SUMIF(TArticle[تاریخ],TDays[[#This Row],[تاریخ]],TArticle[پرداخت بدهی])</f>
        <v>0</v>
      </c>
      <c r="M138">
        <f>SUMIF(TArticle[تاریخ],TDays[[#This Row],[تاریخ]],TArticle[افزایش بدهی])</f>
        <v>0</v>
      </c>
      <c r="N138">
        <f>-SUMIF(TArticle[تاریخ],TDays[[#This Row],[تاریخ]],TArticle[افزایش سرمایه])</f>
        <v>0</v>
      </c>
      <c r="O138">
        <f>SUMIF(TArticle[تاریخ],TDays[[#This Row],[تاریخ]],TArticle[تعداد تراکنش انجام شده])</f>
        <v>0</v>
      </c>
      <c r="P138">
        <f>INT(((TDays[[#This Row],[ماه]]-1)*31+TDays[[#This Row],[روز]]+1)/7)+1</f>
        <v>20</v>
      </c>
      <c r="Q138">
        <f>SUMIF(TArticle[تاریخ],TDays[[#This Row],[تاریخ]],TArticle[تراکنش برنامه ریزی شده])</f>
        <v>0</v>
      </c>
    </row>
    <row r="139" spans="1:17" x14ac:dyDescent="0.25">
      <c r="A139" s="3" t="s">
        <v>62</v>
      </c>
      <c r="B139" t="str">
        <f>RIGHT(TDays[[#This Row],[تاریخ]],2)</f>
        <v>14</v>
      </c>
      <c r="C139" t="str">
        <f>RIGHT(LEFT(TDays[[#This Row],[تاریخ]],7),2)</f>
        <v>05</v>
      </c>
      <c r="D139" t="str">
        <f>LEFT(TDays[[#This Row],[تاریخ]],4)</f>
        <v>1401</v>
      </c>
      <c r="E139" t="str">
        <f>LEFT(TDays[[#This Row],[تاریخ]],7)</f>
        <v>1401-05</v>
      </c>
      <c r="F139">
        <v>6</v>
      </c>
      <c r="G139" s="15" t="str">
        <f>VLOOKUP(TDays[[#This Row],[کد روز هفته]],TDaysOfTheWeek[],2,FALSE)</f>
        <v>جمعه</v>
      </c>
      <c r="H139" s="15">
        <f>IFERROR(IF(E138&lt;&gt;E139,1,INT(H138)+IF(TDays[[#This Row],[کد روز هفته]]=0,1,0)),1)</f>
        <v>2</v>
      </c>
      <c r="I139">
        <f>-SUMIF(TArticle[تاریخ],TDays[[#This Row],[تاریخ]],TArticle[هزینه])</f>
        <v>0</v>
      </c>
      <c r="J139">
        <f>SUMIF(TArticle[تاریخ],TDays[[#This Row],[تاریخ]],TArticle[درآمد تتا])</f>
        <v>0</v>
      </c>
      <c r="K139">
        <f>SUMIF(TArticle[تاریخ],TDays[[#This Row],[تاریخ]],TArticle[اسنپ])</f>
        <v>0</v>
      </c>
      <c r="L139">
        <f>-SUMIF(TArticle[تاریخ],TDays[[#This Row],[تاریخ]],TArticle[پرداخت بدهی])</f>
        <v>0</v>
      </c>
      <c r="M139">
        <f>SUMIF(TArticle[تاریخ],TDays[[#This Row],[تاریخ]],TArticle[افزایش بدهی])</f>
        <v>0</v>
      </c>
      <c r="N139">
        <f>-SUMIF(TArticle[تاریخ],TDays[[#This Row],[تاریخ]],TArticle[افزایش سرمایه])</f>
        <v>350</v>
      </c>
      <c r="O139">
        <f>SUMIF(TArticle[تاریخ],TDays[[#This Row],[تاریخ]],TArticle[تعداد تراکنش انجام شده])</f>
        <v>1</v>
      </c>
      <c r="P139">
        <f>INT(((TDays[[#This Row],[ماه]]-1)*31+TDays[[#This Row],[روز]]+1)/7)+1</f>
        <v>20</v>
      </c>
      <c r="Q139">
        <f>SUMIF(TArticle[تاریخ],TDays[[#This Row],[تاریخ]],TArticle[تراکنش برنامه ریزی شده])</f>
        <v>0</v>
      </c>
    </row>
    <row r="140" spans="1:17" x14ac:dyDescent="0.25">
      <c r="A140" s="3" t="s">
        <v>338</v>
      </c>
      <c r="B140" t="str">
        <f>RIGHT(TDays[[#This Row],[تاریخ]],2)</f>
        <v>15</v>
      </c>
      <c r="C140" t="str">
        <f>RIGHT(LEFT(TDays[[#This Row],[تاریخ]],7),2)</f>
        <v>05</v>
      </c>
      <c r="D140" t="str">
        <f>LEFT(TDays[[#This Row],[تاریخ]],4)</f>
        <v>1401</v>
      </c>
      <c r="E140" t="str">
        <f>LEFT(TDays[[#This Row],[تاریخ]],7)</f>
        <v>1401-05</v>
      </c>
      <c r="F140">
        <v>0</v>
      </c>
      <c r="G140" s="15" t="str">
        <f>VLOOKUP(TDays[[#This Row],[کد روز هفته]],TDaysOfTheWeek[],2,FALSE)</f>
        <v>شنبه</v>
      </c>
      <c r="H140" s="15">
        <f>IFERROR(IF(E139&lt;&gt;E140,1,INT(H139)+IF(TDays[[#This Row],[کد روز هفته]]=0,1,0)),1)</f>
        <v>3</v>
      </c>
      <c r="I140">
        <f>-SUMIF(TArticle[تاریخ],TDays[[#This Row],[تاریخ]],TArticle[هزینه])</f>
        <v>0</v>
      </c>
      <c r="J140">
        <f>SUMIF(TArticle[تاریخ],TDays[[#This Row],[تاریخ]],TArticle[درآمد تتا])</f>
        <v>0</v>
      </c>
      <c r="K140">
        <f>SUMIF(TArticle[تاریخ],TDays[[#This Row],[تاریخ]],TArticle[اسنپ])</f>
        <v>0</v>
      </c>
      <c r="L140">
        <f>-SUMIF(TArticle[تاریخ],TDays[[#This Row],[تاریخ]],TArticle[پرداخت بدهی])</f>
        <v>0</v>
      </c>
      <c r="M140">
        <f>SUMIF(TArticle[تاریخ],TDays[[#This Row],[تاریخ]],TArticle[افزایش بدهی])</f>
        <v>0</v>
      </c>
      <c r="N140">
        <f>-SUMIF(TArticle[تاریخ],TDays[[#This Row],[تاریخ]],TArticle[افزایش سرمایه])</f>
        <v>0</v>
      </c>
      <c r="O140">
        <f>SUMIF(TArticle[تاریخ],TDays[[#This Row],[تاریخ]],TArticle[تعداد تراکنش انجام شده])</f>
        <v>0</v>
      </c>
      <c r="P140">
        <f>INT(((TDays[[#This Row],[ماه]]-1)*31+TDays[[#This Row],[روز]]+1)/7)+1</f>
        <v>21</v>
      </c>
      <c r="Q140">
        <f>SUMIF(TArticle[تاریخ],TDays[[#This Row],[تاریخ]],TArticle[تراکنش برنامه ریزی شده])</f>
        <v>0</v>
      </c>
    </row>
    <row r="141" spans="1:17" x14ac:dyDescent="0.25">
      <c r="A141" s="3" t="s">
        <v>339</v>
      </c>
      <c r="B141" t="str">
        <f>RIGHT(TDays[[#This Row],[تاریخ]],2)</f>
        <v>16</v>
      </c>
      <c r="C141" t="str">
        <f>RIGHT(LEFT(TDays[[#This Row],[تاریخ]],7),2)</f>
        <v>05</v>
      </c>
      <c r="D141" t="str">
        <f>LEFT(TDays[[#This Row],[تاریخ]],4)</f>
        <v>1401</v>
      </c>
      <c r="E141" t="str">
        <f>LEFT(TDays[[#This Row],[تاریخ]],7)</f>
        <v>1401-05</v>
      </c>
      <c r="F141">
        <v>1</v>
      </c>
      <c r="G141" s="15" t="str">
        <f>VLOOKUP(TDays[[#This Row],[کد روز هفته]],TDaysOfTheWeek[],2,FALSE)</f>
        <v>یکشنبه</v>
      </c>
      <c r="H141" s="15">
        <f>IFERROR(IF(E140&lt;&gt;E141,1,INT(H140)+IF(TDays[[#This Row],[کد روز هفته]]=0,1,0)),1)</f>
        <v>3</v>
      </c>
      <c r="I141">
        <f>-SUMIF(TArticle[تاریخ],TDays[[#This Row],[تاریخ]],TArticle[هزینه])</f>
        <v>0</v>
      </c>
      <c r="J141">
        <f>SUMIF(TArticle[تاریخ],TDays[[#This Row],[تاریخ]],TArticle[درآمد تتا])</f>
        <v>0</v>
      </c>
      <c r="K141">
        <f>SUMIF(TArticle[تاریخ],TDays[[#This Row],[تاریخ]],TArticle[اسنپ])</f>
        <v>0</v>
      </c>
      <c r="L141">
        <f>-SUMIF(TArticle[تاریخ],TDays[[#This Row],[تاریخ]],TArticle[پرداخت بدهی])</f>
        <v>0</v>
      </c>
      <c r="M141">
        <f>SUMIF(TArticle[تاریخ],TDays[[#This Row],[تاریخ]],TArticle[افزایش بدهی])</f>
        <v>0</v>
      </c>
      <c r="N141">
        <f>-SUMIF(TArticle[تاریخ],TDays[[#This Row],[تاریخ]],TArticle[افزایش سرمایه])</f>
        <v>0</v>
      </c>
      <c r="O141">
        <f>SUMIF(TArticle[تاریخ],TDays[[#This Row],[تاریخ]],TArticle[تعداد تراکنش انجام شده])</f>
        <v>0</v>
      </c>
      <c r="P141">
        <f>INT(((TDays[[#This Row],[ماه]]-1)*31+TDays[[#This Row],[روز]]+1)/7)+1</f>
        <v>21</v>
      </c>
      <c r="Q141">
        <f>SUMIF(TArticle[تاریخ],TDays[[#This Row],[تاریخ]],TArticle[تراکنش برنامه ریزی شده])</f>
        <v>0</v>
      </c>
    </row>
    <row r="142" spans="1:17" x14ac:dyDescent="0.25">
      <c r="A142" s="3" t="s">
        <v>340</v>
      </c>
      <c r="B142" t="str">
        <f>RIGHT(TDays[[#This Row],[تاریخ]],2)</f>
        <v>17</v>
      </c>
      <c r="C142" t="str">
        <f>RIGHT(LEFT(TDays[[#This Row],[تاریخ]],7),2)</f>
        <v>05</v>
      </c>
      <c r="D142" t="str">
        <f>LEFT(TDays[[#This Row],[تاریخ]],4)</f>
        <v>1401</v>
      </c>
      <c r="E142" t="str">
        <f>LEFT(TDays[[#This Row],[تاریخ]],7)</f>
        <v>1401-05</v>
      </c>
      <c r="F142">
        <v>2</v>
      </c>
      <c r="G142" s="15" t="str">
        <f>VLOOKUP(TDays[[#This Row],[کد روز هفته]],TDaysOfTheWeek[],2,FALSE)</f>
        <v>دوشنبه</v>
      </c>
      <c r="H142" s="15">
        <f>IFERROR(IF(E141&lt;&gt;E142,1,INT(H141)+IF(TDays[[#This Row],[کد روز هفته]]=0,1,0)),1)</f>
        <v>3</v>
      </c>
      <c r="I142">
        <f>-SUMIF(TArticle[تاریخ],TDays[[#This Row],[تاریخ]],TArticle[هزینه])</f>
        <v>0</v>
      </c>
      <c r="J142">
        <f>SUMIF(TArticle[تاریخ],TDays[[#This Row],[تاریخ]],TArticle[درآمد تتا])</f>
        <v>0</v>
      </c>
      <c r="K142">
        <f>SUMIF(TArticle[تاریخ],TDays[[#This Row],[تاریخ]],TArticle[اسنپ])</f>
        <v>0</v>
      </c>
      <c r="L142">
        <f>-SUMIF(TArticle[تاریخ],TDays[[#This Row],[تاریخ]],TArticle[پرداخت بدهی])</f>
        <v>0</v>
      </c>
      <c r="M142">
        <f>SUMIF(TArticle[تاریخ],TDays[[#This Row],[تاریخ]],TArticle[افزایش بدهی])</f>
        <v>0</v>
      </c>
      <c r="N142">
        <f>-SUMIF(TArticle[تاریخ],TDays[[#This Row],[تاریخ]],TArticle[افزایش سرمایه])</f>
        <v>0</v>
      </c>
      <c r="O142">
        <f>SUMIF(TArticle[تاریخ],TDays[[#This Row],[تاریخ]],TArticle[تعداد تراکنش انجام شده])</f>
        <v>0</v>
      </c>
      <c r="P142">
        <f>INT(((TDays[[#This Row],[ماه]]-1)*31+TDays[[#This Row],[روز]]+1)/7)+1</f>
        <v>21</v>
      </c>
      <c r="Q142">
        <f>SUMIF(TArticle[تاریخ],TDays[[#This Row],[تاریخ]],TArticle[تراکنش برنامه ریزی شده])</f>
        <v>0</v>
      </c>
    </row>
    <row r="143" spans="1:17" x14ac:dyDescent="0.25">
      <c r="A143" s="3" t="s">
        <v>341</v>
      </c>
      <c r="B143" t="str">
        <f>RIGHT(TDays[[#This Row],[تاریخ]],2)</f>
        <v>18</v>
      </c>
      <c r="C143" t="str">
        <f>RIGHT(LEFT(TDays[[#This Row],[تاریخ]],7),2)</f>
        <v>05</v>
      </c>
      <c r="D143" t="str">
        <f>LEFT(TDays[[#This Row],[تاریخ]],4)</f>
        <v>1401</v>
      </c>
      <c r="E143" t="str">
        <f>LEFT(TDays[[#This Row],[تاریخ]],7)</f>
        <v>1401-05</v>
      </c>
      <c r="F143">
        <v>3</v>
      </c>
      <c r="G143" s="15" t="str">
        <f>VLOOKUP(TDays[[#This Row],[کد روز هفته]],TDaysOfTheWeek[],2,FALSE)</f>
        <v>سه شنبه</v>
      </c>
      <c r="H143" s="15">
        <f>IFERROR(IF(E142&lt;&gt;E143,1,INT(H142)+IF(TDays[[#This Row],[کد روز هفته]]=0,1,0)),1)</f>
        <v>3</v>
      </c>
      <c r="I143">
        <f>-SUMIF(TArticle[تاریخ],TDays[[#This Row],[تاریخ]],TArticle[هزینه])</f>
        <v>0</v>
      </c>
      <c r="J143">
        <f>SUMIF(TArticle[تاریخ],TDays[[#This Row],[تاریخ]],TArticle[درآمد تتا])</f>
        <v>0</v>
      </c>
      <c r="K143">
        <f>SUMIF(TArticle[تاریخ],TDays[[#This Row],[تاریخ]],TArticle[اسنپ])</f>
        <v>0</v>
      </c>
      <c r="L143">
        <f>-SUMIF(TArticle[تاریخ],TDays[[#This Row],[تاریخ]],TArticle[پرداخت بدهی])</f>
        <v>0</v>
      </c>
      <c r="M143">
        <f>SUMIF(TArticle[تاریخ],TDays[[#This Row],[تاریخ]],TArticle[افزایش بدهی])</f>
        <v>0</v>
      </c>
      <c r="N143">
        <f>-SUMIF(TArticle[تاریخ],TDays[[#This Row],[تاریخ]],TArticle[افزایش سرمایه])</f>
        <v>0</v>
      </c>
      <c r="O143">
        <f>SUMIF(TArticle[تاریخ],TDays[[#This Row],[تاریخ]],TArticle[تعداد تراکنش انجام شده])</f>
        <v>0</v>
      </c>
      <c r="P143">
        <f>INT(((TDays[[#This Row],[ماه]]-1)*31+TDays[[#This Row],[روز]]+1)/7)+1</f>
        <v>21</v>
      </c>
      <c r="Q143">
        <f>SUMIF(TArticle[تاریخ],TDays[[#This Row],[تاریخ]],TArticle[تراکنش برنامه ریزی شده])</f>
        <v>0</v>
      </c>
    </row>
    <row r="144" spans="1:17" x14ac:dyDescent="0.25">
      <c r="A144" s="3" t="s">
        <v>342</v>
      </c>
      <c r="B144" t="str">
        <f>RIGHT(TDays[[#This Row],[تاریخ]],2)</f>
        <v>19</v>
      </c>
      <c r="C144" t="str">
        <f>RIGHT(LEFT(TDays[[#This Row],[تاریخ]],7),2)</f>
        <v>05</v>
      </c>
      <c r="D144" t="str">
        <f>LEFT(TDays[[#This Row],[تاریخ]],4)</f>
        <v>1401</v>
      </c>
      <c r="E144" t="str">
        <f>LEFT(TDays[[#This Row],[تاریخ]],7)</f>
        <v>1401-05</v>
      </c>
      <c r="F144">
        <v>4</v>
      </c>
      <c r="G144" s="15" t="str">
        <f>VLOOKUP(TDays[[#This Row],[کد روز هفته]],TDaysOfTheWeek[],2,FALSE)</f>
        <v>چهارشنبه</v>
      </c>
      <c r="H144" s="15">
        <f>IFERROR(IF(E143&lt;&gt;E144,1,INT(H143)+IF(TDays[[#This Row],[کد روز هفته]]=0,1,0)),1)</f>
        <v>3</v>
      </c>
      <c r="I144">
        <f>-SUMIF(TArticle[تاریخ],TDays[[#This Row],[تاریخ]],TArticle[هزینه])</f>
        <v>0</v>
      </c>
      <c r="J144">
        <f>SUMIF(TArticle[تاریخ],TDays[[#This Row],[تاریخ]],TArticle[درآمد تتا])</f>
        <v>0</v>
      </c>
      <c r="K144">
        <f>SUMIF(TArticle[تاریخ],TDays[[#This Row],[تاریخ]],TArticle[اسنپ])</f>
        <v>0</v>
      </c>
      <c r="L144">
        <f>-SUMIF(TArticle[تاریخ],TDays[[#This Row],[تاریخ]],TArticle[پرداخت بدهی])</f>
        <v>0</v>
      </c>
      <c r="M144">
        <f>SUMIF(TArticle[تاریخ],TDays[[#This Row],[تاریخ]],TArticle[افزایش بدهی])</f>
        <v>0</v>
      </c>
      <c r="N144">
        <f>-SUMIF(TArticle[تاریخ],TDays[[#This Row],[تاریخ]],TArticle[افزایش سرمایه])</f>
        <v>0</v>
      </c>
      <c r="O144">
        <f>SUMIF(TArticle[تاریخ],TDays[[#This Row],[تاریخ]],TArticle[تعداد تراکنش انجام شده])</f>
        <v>0</v>
      </c>
      <c r="P144">
        <f>INT(((TDays[[#This Row],[ماه]]-1)*31+TDays[[#This Row],[روز]]+1)/7)+1</f>
        <v>21</v>
      </c>
      <c r="Q144">
        <f>SUMIF(TArticle[تاریخ],TDays[[#This Row],[تاریخ]],TArticle[تراکنش برنامه ریزی شده])</f>
        <v>0</v>
      </c>
    </row>
    <row r="145" spans="1:17" x14ac:dyDescent="0.25">
      <c r="A145" s="3" t="s">
        <v>343</v>
      </c>
      <c r="B145" t="str">
        <f>RIGHT(TDays[[#This Row],[تاریخ]],2)</f>
        <v>20</v>
      </c>
      <c r="C145" t="str">
        <f>RIGHT(LEFT(TDays[[#This Row],[تاریخ]],7),2)</f>
        <v>05</v>
      </c>
      <c r="D145" t="str">
        <f>LEFT(TDays[[#This Row],[تاریخ]],4)</f>
        <v>1401</v>
      </c>
      <c r="E145" t="str">
        <f>LEFT(TDays[[#This Row],[تاریخ]],7)</f>
        <v>1401-05</v>
      </c>
      <c r="F145">
        <v>5</v>
      </c>
      <c r="G145" s="15" t="str">
        <f>VLOOKUP(TDays[[#This Row],[کد روز هفته]],TDaysOfTheWeek[],2,FALSE)</f>
        <v>پنجشنبه</v>
      </c>
      <c r="H145" s="15">
        <f>IFERROR(IF(E144&lt;&gt;E145,1,INT(H144)+IF(TDays[[#This Row],[کد روز هفته]]=0,1,0)),1)</f>
        <v>3</v>
      </c>
      <c r="I145">
        <f>-SUMIF(TArticle[تاریخ],TDays[[#This Row],[تاریخ]],TArticle[هزینه])</f>
        <v>6313</v>
      </c>
      <c r="J145">
        <f>SUMIF(TArticle[تاریخ],TDays[[#This Row],[تاریخ]],TArticle[درآمد تتا])</f>
        <v>0</v>
      </c>
      <c r="K145">
        <f>SUMIF(TArticle[تاریخ],TDays[[#This Row],[تاریخ]],TArticle[اسنپ])</f>
        <v>0</v>
      </c>
      <c r="L145">
        <f>-SUMIF(TArticle[تاریخ],TDays[[#This Row],[تاریخ]],TArticle[پرداخت بدهی])</f>
        <v>0</v>
      </c>
      <c r="M145">
        <f>SUMIF(TArticle[تاریخ],TDays[[#This Row],[تاریخ]],TArticle[افزایش بدهی])</f>
        <v>0</v>
      </c>
      <c r="N145">
        <f>-SUMIF(TArticle[تاریخ],TDays[[#This Row],[تاریخ]],TArticle[افزایش سرمایه])</f>
        <v>0</v>
      </c>
      <c r="O145">
        <f>SUMIF(TArticle[تاریخ],TDays[[#This Row],[تاریخ]],TArticle[تعداد تراکنش انجام شده])</f>
        <v>4</v>
      </c>
      <c r="P145">
        <f>INT(((TDays[[#This Row],[ماه]]-1)*31+TDays[[#This Row],[روز]]+1)/7)+1</f>
        <v>21</v>
      </c>
      <c r="Q145">
        <f>SUMIF(TArticle[تاریخ],TDays[[#This Row],[تاریخ]],TArticle[تراکنش برنامه ریزی شده])</f>
        <v>0</v>
      </c>
    </row>
    <row r="146" spans="1:17" x14ac:dyDescent="0.25">
      <c r="A146" s="3" t="s">
        <v>344</v>
      </c>
      <c r="B146" t="str">
        <f>RIGHT(TDays[[#This Row],[تاریخ]],2)</f>
        <v>21</v>
      </c>
      <c r="C146" t="str">
        <f>RIGHT(LEFT(TDays[[#This Row],[تاریخ]],7),2)</f>
        <v>05</v>
      </c>
      <c r="D146" t="str">
        <f>LEFT(TDays[[#This Row],[تاریخ]],4)</f>
        <v>1401</v>
      </c>
      <c r="E146" t="str">
        <f>LEFT(TDays[[#This Row],[تاریخ]],7)</f>
        <v>1401-05</v>
      </c>
      <c r="F146">
        <v>6</v>
      </c>
      <c r="G146" s="15" t="str">
        <f>VLOOKUP(TDays[[#This Row],[کد روز هفته]],TDaysOfTheWeek[],2,FALSE)</f>
        <v>جمعه</v>
      </c>
      <c r="H146" s="15">
        <f>IFERROR(IF(E145&lt;&gt;E146,1,INT(H145)+IF(TDays[[#This Row],[کد روز هفته]]=0,1,0)),1)</f>
        <v>3</v>
      </c>
      <c r="I146">
        <f>-SUMIF(TArticle[تاریخ],TDays[[#This Row],[تاریخ]],TArticle[هزینه])</f>
        <v>0</v>
      </c>
      <c r="J146">
        <f>SUMIF(TArticle[تاریخ],TDays[[#This Row],[تاریخ]],TArticle[درآمد تتا])</f>
        <v>0</v>
      </c>
      <c r="K146">
        <f>SUMIF(TArticle[تاریخ],TDays[[#This Row],[تاریخ]],TArticle[اسنپ])</f>
        <v>0</v>
      </c>
      <c r="L146">
        <f>-SUMIF(TArticle[تاریخ],TDays[[#This Row],[تاریخ]],TArticle[پرداخت بدهی])</f>
        <v>0</v>
      </c>
      <c r="M146">
        <f>SUMIF(TArticle[تاریخ],TDays[[#This Row],[تاریخ]],TArticle[افزایش بدهی])</f>
        <v>0</v>
      </c>
      <c r="N146">
        <f>-SUMIF(TArticle[تاریخ],TDays[[#This Row],[تاریخ]],TArticle[افزایش سرمایه])</f>
        <v>0</v>
      </c>
      <c r="O146">
        <f>SUMIF(TArticle[تاریخ],TDays[[#This Row],[تاریخ]],TArticle[تعداد تراکنش انجام شده])</f>
        <v>0</v>
      </c>
      <c r="P146">
        <f>INT(((TDays[[#This Row],[ماه]]-1)*31+TDays[[#This Row],[روز]]+1)/7)+1</f>
        <v>21</v>
      </c>
      <c r="Q146">
        <f>SUMIF(TArticle[تاریخ],TDays[[#This Row],[تاریخ]],TArticle[تراکنش برنامه ریزی شده])</f>
        <v>0</v>
      </c>
    </row>
    <row r="147" spans="1:17" x14ac:dyDescent="0.25">
      <c r="A147" s="3" t="s">
        <v>345</v>
      </c>
      <c r="B147" t="str">
        <f>RIGHT(TDays[[#This Row],[تاریخ]],2)</f>
        <v>22</v>
      </c>
      <c r="C147" t="str">
        <f>RIGHT(LEFT(TDays[[#This Row],[تاریخ]],7),2)</f>
        <v>05</v>
      </c>
      <c r="D147" t="str">
        <f>LEFT(TDays[[#This Row],[تاریخ]],4)</f>
        <v>1401</v>
      </c>
      <c r="E147" t="str">
        <f>LEFT(TDays[[#This Row],[تاریخ]],7)</f>
        <v>1401-05</v>
      </c>
      <c r="F147">
        <v>0</v>
      </c>
      <c r="G147" s="15" t="str">
        <f>VLOOKUP(TDays[[#This Row],[کد روز هفته]],TDaysOfTheWeek[],2,FALSE)</f>
        <v>شنبه</v>
      </c>
      <c r="H147" s="15">
        <f>IFERROR(IF(E146&lt;&gt;E147,1,INT(H146)+IF(TDays[[#This Row],[کد روز هفته]]=0,1,0)),1)</f>
        <v>4</v>
      </c>
      <c r="I147">
        <f>-SUMIF(TArticle[تاریخ],TDays[[#This Row],[تاریخ]],TArticle[هزینه])</f>
        <v>0</v>
      </c>
      <c r="J147">
        <f>SUMIF(TArticle[تاریخ],TDays[[#This Row],[تاریخ]],TArticle[درآمد تتا])</f>
        <v>0</v>
      </c>
      <c r="K147">
        <f>SUMIF(TArticle[تاریخ],TDays[[#This Row],[تاریخ]],TArticle[اسنپ])</f>
        <v>0</v>
      </c>
      <c r="L147">
        <f>-SUMIF(TArticle[تاریخ],TDays[[#This Row],[تاریخ]],TArticle[پرداخت بدهی])</f>
        <v>0</v>
      </c>
      <c r="M147">
        <f>SUMIF(TArticle[تاریخ],TDays[[#This Row],[تاریخ]],TArticle[افزایش بدهی])</f>
        <v>0</v>
      </c>
      <c r="N147">
        <f>-SUMIF(TArticle[تاریخ],TDays[[#This Row],[تاریخ]],TArticle[افزایش سرمایه])</f>
        <v>0</v>
      </c>
      <c r="O147">
        <f>SUMIF(TArticle[تاریخ],TDays[[#This Row],[تاریخ]],TArticle[تعداد تراکنش انجام شده])</f>
        <v>0</v>
      </c>
      <c r="P147">
        <f>INT(((TDays[[#This Row],[ماه]]-1)*31+TDays[[#This Row],[روز]]+1)/7)+1</f>
        <v>22</v>
      </c>
      <c r="Q147">
        <f>SUMIF(TArticle[تاریخ],TDays[[#This Row],[تاریخ]],TArticle[تراکنش برنامه ریزی شده])</f>
        <v>0</v>
      </c>
    </row>
    <row r="148" spans="1:17" x14ac:dyDescent="0.25">
      <c r="A148" s="3" t="s">
        <v>346</v>
      </c>
      <c r="B148" t="str">
        <f>RIGHT(TDays[[#This Row],[تاریخ]],2)</f>
        <v>23</v>
      </c>
      <c r="C148" t="str">
        <f>RIGHT(LEFT(TDays[[#This Row],[تاریخ]],7),2)</f>
        <v>05</v>
      </c>
      <c r="D148" t="str">
        <f>LEFT(TDays[[#This Row],[تاریخ]],4)</f>
        <v>1401</v>
      </c>
      <c r="E148" t="str">
        <f>LEFT(TDays[[#This Row],[تاریخ]],7)</f>
        <v>1401-05</v>
      </c>
      <c r="F148">
        <v>1</v>
      </c>
      <c r="G148" s="15" t="str">
        <f>VLOOKUP(TDays[[#This Row],[کد روز هفته]],TDaysOfTheWeek[],2,FALSE)</f>
        <v>یکشنبه</v>
      </c>
      <c r="H148" s="15">
        <f>IFERROR(IF(E147&lt;&gt;E148,1,INT(H147)+IF(TDays[[#This Row],[کد روز هفته]]=0,1,0)),1)</f>
        <v>4</v>
      </c>
      <c r="I148">
        <f>-SUMIF(TArticle[تاریخ],TDays[[#This Row],[تاریخ]],TArticle[هزینه])</f>
        <v>0</v>
      </c>
      <c r="J148">
        <f>SUMIF(TArticle[تاریخ],TDays[[#This Row],[تاریخ]],TArticle[درآمد تتا])</f>
        <v>0</v>
      </c>
      <c r="K148">
        <f>SUMIF(TArticle[تاریخ],TDays[[#This Row],[تاریخ]],TArticle[اسنپ])</f>
        <v>0</v>
      </c>
      <c r="L148">
        <f>-SUMIF(TArticle[تاریخ],TDays[[#This Row],[تاریخ]],TArticle[پرداخت بدهی])</f>
        <v>0</v>
      </c>
      <c r="M148">
        <f>SUMIF(TArticle[تاریخ],TDays[[#This Row],[تاریخ]],TArticle[افزایش بدهی])</f>
        <v>0</v>
      </c>
      <c r="N148">
        <f>-SUMIF(TArticle[تاریخ],TDays[[#This Row],[تاریخ]],TArticle[افزایش سرمایه])</f>
        <v>0</v>
      </c>
      <c r="O148">
        <f>SUMIF(TArticle[تاریخ],TDays[[#This Row],[تاریخ]],TArticle[تعداد تراکنش انجام شده])</f>
        <v>0</v>
      </c>
      <c r="P148">
        <f>INT(((TDays[[#This Row],[ماه]]-1)*31+TDays[[#This Row],[روز]]+1)/7)+1</f>
        <v>22</v>
      </c>
      <c r="Q148">
        <f>SUMIF(TArticle[تاریخ],TDays[[#This Row],[تاریخ]],TArticle[تراکنش برنامه ریزی شده])</f>
        <v>0</v>
      </c>
    </row>
    <row r="149" spans="1:17" x14ac:dyDescent="0.25">
      <c r="A149" s="3" t="s">
        <v>347</v>
      </c>
      <c r="B149" t="str">
        <f>RIGHT(TDays[[#This Row],[تاریخ]],2)</f>
        <v>24</v>
      </c>
      <c r="C149" t="str">
        <f>RIGHT(LEFT(TDays[[#This Row],[تاریخ]],7),2)</f>
        <v>05</v>
      </c>
      <c r="D149" t="str">
        <f>LEFT(TDays[[#This Row],[تاریخ]],4)</f>
        <v>1401</v>
      </c>
      <c r="E149" t="str">
        <f>LEFT(TDays[[#This Row],[تاریخ]],7)</f>
        <v>1401-05</v>
      </c>
      <c r="F149">
        <v>2</v>
      </c>
      <c r="G149" s="15" t="str">
        <f>VLOOKUP(TDays[[#This Row],[کد روز هفته]],TDaysOfTheWeek[],2,FALSE)</f>
        <v>دوشنبه</v>
      </c>
      <c r="H149" s="15">
        <f>IFERROR(IF(E148&lt;&gt;E149,1,INT(H148)+IF(TDays[[#This Row],[کد روز هفته]]=0,1,0)),1)</f>
        <v>4</v>
      </c>
      <c r="I149">
        <f>-SUMIF(TArticle[تاریخ],TDays[[#This Row],[تاریخ]],TArticle[هزینه])</f>
        <v>0</v>
      </c>
      <c r="J149">
        <f>SUMIF(TArticle[تاریخ],TDays[[#This Row],[تاریخ]],TArticle[درآمد تتا])</f>
        <v>0</v>
      </c>
      <c r="K149">
        <f>SUMIF(TArticle[تاریخ],TDays[[#This Row],[تاریخ]],TArticle[اسنپ])</f>
        <v>0</v>
      </c>
      <c r="L149">
        <f>-SUMIF(TArticle[تاریخ],TDays[[#This Row],[تاریخ]],TArticle[پرداخت بدهی])</f>
        <v>0</v>
      </c>
      <c r="M149">
        <f>SUMIF(TArticle[تاریخ],TDays[[#This Row],[تاریخ]],TArticle[افزایش بدهی])</f>
        <v>0</v>
      </c>
      <c r="N149">
        <f>-SUMIF(TArticle[تاریخ],TDays[[#This Row],[تاریخ]],TArticle[افزایش سرمایه])</f>
        <v>0</v>
      </c>
      <c r="O149">
        <f>SUMIF(TArticle[تاریخ],TDays[[#This Row],[تاریخ]],TArticle[تعداد تراکنش انجام شده])</f>
        <v>0</v>
      </c>
      <c r="P149">
        <f>INT(((TDays[[#This Row],[ماه]]-1)*31+TDays[[#This Row],[روز]]+1)/7)+1</f>
        <v>22</v>
      </c>
      <c r="Q149">
        <f>SUMIF(TArticle[تاریخ],TDays[[#This Row],[تاریخ]],TArticle[تراکنش برنامه ریزی شده])</f>
        <v>0</v>
      </c>
    </row>
    <row r="150" spans="1:17" x14ac:dyDescent="0.25">
      <c r="A150" s="3" t="s">
        <v>348</v>
      </c>
      <c r="B150" t="str">
        <f>RIGHT(TDays[[#This Row],[تاریخ]],2)</f>
        <v>25</v>
      </c>
      <c r="C150" t="str">
        <f>RIGHT(LEFT(TDays[[#This Row],[تاریخ]],7),2)</f>
        <v>05</v>
      </c>
      <c r="D150" t="str">
        <f>LEFT(TDays[[#This Row],[تاریخ]],4)</f>
        <v>1401</v>
      </c>
      <c r="E150" t="str">
        <f>LEFT(TDays[[#This Row],[تاریخ]],7)</f>
        <v>1401-05</v>
      </c>
      <c r="F150">
        <v>3</v>
      </c>
      <c r="G150" s="15" t="str">
        <f>VLOOKUP(TDays[[#This Row],[کد روز هفته]],TDaysOfTheWeek[],2,FALSE)</f>
        <v>سه شنبه</v>
      </c>
      <c r="H150" s="15">
        <f>IFERROR(IF(E149&lt;&gt;E150,1,INT(H149)+IF(TDays[[#This Row],[کد روز هفته]]=0,1,0)),1)</f>
        <v>4</v>
      </c>
      <c r="I150">
        <f>-SUMIF(TArticle[تاریخ],TDays[[#This Row],[تاریخ]],TArticle[هزینه])</f>
        <v>0</v>
      </c>
      <c r="J150">
        <f>SUMIF(TArticle[تاریخ],TDays[[#This Row],[تاریخ]],TArticle[درآمد تتا])</f>
        <v>0</v>
      </c>
      <c r="K150">
        <f>SUMIF(TArticle[تاریخ],TDays[[#This Row],[تاریخ]],TArticle[اسنپ])</f>
        <v>0</v>
      </c>
      <c r="L150">
        <f>-SUMIF(TArticle[تاریخ],TDays[[#This Row],[تاریخ]],TArticle[پرداخت بدهی])</f>
        <v>0</v>
      </c>
      <c r="M150">
        <f>SUMIF(TArticle[تاریخ],TDays[[#This Row],[تاریخ]],TArticle[افزایش بدهی])</f>
        <v>0</v>
      </c>
      <c r="N150">
        <f>-SUMIF(TArticle[تاریخ],TDays[[#This Row],[تاریخ]],TArticle[افزایش سرمایه])</f>
        <v>0</v>
      </c>
      <c r="O150">
        <f>SUMIF(TArticle[تاریخ],TDays[[#This Row],[تاریخ]],TArticle[تعداد تراکنش انجام شده])</f>
        <v>0</v>
      </c>
      <c r="P150">
        <f>INT(((TDays[[#This Row],[ماه]]-1)*31+TDays[[#This Row],[روز]]+1)/7)+1</f>
        <v>22</v>
      </c>
      <c r="Q150">
        <f>SUMIF(TArticle[تاریخ],TDays[[#This Row],[تاریخ]],TArticle[تراکنش برنامه ریزی شده])</f>
        <v>0</v>
      </c>
    </row>
    <row r="151" spans="1:17" x14ac:dyDescent="0.25">
      <c r="A151" s="3" t="s">
        <v>349</v>
      </c>
      <c r="B151" t="str">
        <f>RIGHT(TDays[[#This Row],[تاریخ]],2)</f>
        <v>26</v>
      </c>
      <c r="C151" t="str">
        <f>RIGHT(LEFT(TDays[[#This Row],[تاریخ]],7),2)</f>
        <v>05</v>
      </c>
      <c r="D151" t="str">
        <f>LEFT(TDays[[#This Row],[تاریخ]],4)</f>
        <v>1401</v>
      </c>
      <c r="E151" t="str">
        <f>LEFT(TDays[[#This Row],[تاریخ]],7)</f>
        <v>1401-05</v>
      </c>
      <c r="F151">
        <v>4</v>
      </c>
      <c r="G151" s="15" t="str">
        <f>VLOOKUP(TDays[[#This Row],[کد روز هفته]],TDaysOfTheWeek[],2,FALSE)</f>
        <v>چهارشنبه</v>
      </c>
      <c r="H151" s="15">
        <f>IFERROR(IF(E150&lt;&gt;E151,1,INT(H150)+IF(TDays[[#This Row],[کد روز هفته]]=0,1,0)),1)</f>
        <v>4</v>
      </c>
      <c r="I151">
        <f>-SUMIF(TArticle[تاریخ],TDays[[#This Row],[تاریخ]],TArticle[هزینه])</f>
        <v>0</v>
      </c>
      <c r="J151">
        <f>SUMIF(TArticle[تاریخ],TDays[[#This Row],[تاریخ]],TArticle[درآمد تتا])</f>
        <v>0</v>
      </c>
      <c r="K151">
        <f>SUMIF(TArticle[تاریخ],TDays[[#This Row],[تاریخ]],TArticle[اسنپ])</f>
        <v>0</v>
      </c>
      <c r="L151">
        <f>-SUMIF(TArticle[تاریخ],TDays[[#This Row],[تاریخ]],TArticle[پرداخت بدهی])</f>
        <v>0</v>
      </c>
      <c r="M151">
        <f>SUMIF(TArticle[تاریخ],TDays[[#This Row],[تاریخ]],TArticle[افزایش بدهی])</f>
        <v>0</v>
      </c>
      <c r="N151">
        <f>-SUMIF(TArticle[تاریخ],TDays[[#This Row],[تاریخ]],TArticle[افزایش سرمایه])</f>
        <v>0</v>
      </c>
      <c r="O151">
        <f>SUMIF(TArticle[تاریخ],TDays[[#This Row],[تاریخ]],TArticle[تعداد تراکنش انجام شده])</f>
        <v>0</v>
      </c>
      <c r="P151">
        <f>INT(((TDays[[#This Row],[ماه]]-1)*31+TDays[[#This Row],[روز]]+1)/7)+1</f>
        <v>22</v>
      </c>
      <c r="Q151">
        <f>SUMIF(TArticle[تاریخ],TDays[[#This Row],[تاریخ]],TArticle[تراکنش برنامه ریزی شده])</f>
        <v>0</v>
      </c>
    </row>
    <row r="152" spans="1:17" x14ac:dyDescent="0.25">
      <c r="A152" s="3" t="s">
        <v>350</v>
      </c>
      <c r="B152" t="str">
        <f>RIGHT(TDays[[#This Row],[تاریخ]],2)</f>
        <v>27</v>
      </c>
      <c r="C152" t="str">
        <f>RIGHT(LEFT(TDays[[#This Row],[تاریخ]],7),2)</f>
        <v>05</v>
      </c>
      <c r="D152" t="str">
        <f>LEFT(TDays[[#This Row],[تاریخ]],4)</f>
        <v>1401</v>
      </c>
      <c r="E152" t="str">
        <f>LEFT(TDays[[#This Row],[تاریخ]],7)</f>
        <v>1401-05</v>
      </c>
      <c r="F152">
        <v>5</v>
      </c>
      <c r="G152" s="15" t="str">
        <f>VLOOKUP(TDays[[#This Row],[کد روز هفته]],TDaysOfTheWeek[],2,FALSE)</f>
        <v>پنجشنبه</v>
      </c>
      <c r="H152" s="15">
        <f>IFERROR(IF(E151&lt;&gt;E152,1,INT(H151)+IF(TDays[[#This Row],[کد روز هفته]]=0,1,0)),1)</f>
        <v>4</v>
      </c>
      <c r="I152">
        <f>-SUMIF(TArticle[تاریخ],TDays[[#This Row],[تاریخ]],TArticle[هزینه])</f>
        <v>0</v>
      </c>
      <c r="J152">
        <f>SUMIF(TArticle[تاریخ],TDays[[#This Row],[تاریخ]],TArticle[درآمد تتا])</f>
        <v>0</v>
      </c>
      <c r="K152">
        <f>SUMIF(TArticle[تاریخ],TDays[[#This Row],[تاریخ]],TArticle[اسنپ])</f>
        <v>0</v>
      </c>
      <c r="L152">
        <f>-SUMIF(TArticle[تاریخ],TDays[[#This Row],[تاریخ]],TArticle[پرداخت بدهی])</f>
        <v>0</v>
      </c>
      <c r="M152">
        <f>SUMIF(TArticle[تاریخ],TDays[[#This Row],[تاریخ]],TArticle[افزایش بدهی])</f>
        <v>0</v>
      </c>
      <c r="N152">
        <f>-SUMIF(TArticle[تاریخ],TDays[[#This Row],[تاریخ]],TArticle[افزایش سرمایه])</f>
        <v>0</v>
      </c>
      <c r="O152">
        <f>SUMIF(TArticle[تاریخ],TDays[[#This Row],[تاریخ]],TArticle[تعداد تراکنش انجام شده])</f>
        <v>0</v>
      </c>
      <c r="P152">
        <f>INT(((TDays[[#This Row],[ماه]]-1)*31+TDays[[#This Row],[روز]]+1)/7)+1</f>
        <v>22</v>
      </c>
      <c r="Q152">
        <f>SUMIF(TArticle[تاریخ],TDays[[#This Row],[تاریخ]],TArticle[تراکنش برنامه ریزی شده])</f>
        <v>0</v>
      </c>
    </row>
    <row r="153" spans="1:17" x14ac:dyDescent="0.25">
      <c r="A153" s="3" t="s">
        <v>351</v>
      </c>
      <c r="B153" t="str">
        <f>RIGHT(TDays[[#This Row],[تاریخ]],2)</f>
        <v>28</v>
      </c>
      <c r="C153" t="str">
        <f>RIGHT(LEFT(TDays[[#This Row],[تاریخ]],7),2)</f>
        <v>05</v>
      </c>
      <c r="D153" t="str">
        <f>LEFT(TDays[[#This Row],[تاریخ]],4)</f>
        <v>1401</v>
      </c>
      <c r="E153" t="str">
        <f>LEFT(TDays[[#This Row],[تاریخ]],7)</f>
        <v>1401-05</v>
      </c>
      <c r="F153">
        <v>6</v>
      </c>
      <c r="G153" s="15" t="str">
        <f>VLOOKUP(TDays[[#This Row],[کد روز هفته]],TDaysOfTheWeek[],2,FALSE)</f>
        <v>جمعه</v>
      </c>
      <c r="H153" s="15">
        <f>IFERROR(IF(E152&lt;&gt;E153,1,INT(H152)+IF(TDays[[#This Row],[کد روز هفته]]=0,1,0)),1)</f>
        <v>4</v>
      </c>
      <c r="I153">
        <f>-SUMIF(TArticle[تاریخ],TDays[[#This Row],[تاریخ]],TArticle[هزینه])</f>
        <v>3145</v>
      </c>
      <c r="J153">
        <f>SUMIF(TArticle[تاریخ],TDays[[#This Row],[تاریخ]],TArticle[درآمد تتا])</f>
        <v>0</v>
      </c>
      <c r="K153">
        <f>SUMIF(TArticle[تاریخ],TDays[[#This Row],[تاریخ]],TArticle[اسنپ])</f>
        <v>0</v>
      </c>
      <c r="L153">
        <f>-SUMIF(TArticle[تاریخ],TDays[[#This Row],[تاریخ]],TArticle[پرداخت بدهی])</f>
        <v>0</v>
      </c>
      <c r="M153">
        <f>SUMIF(TArticle[تاریخ],TDays[[#This Row],[تاریخ]],TArticle[افزایش بدهی])</f>
        <v>0</v>
      </c>
      <c r="N153">
        <f>-SUMIF(TArticle[تاریخ],TDays[[#This Row],[تاریخ]],TArticle[افزایش سرمایه])</f>
        <v>0</v>
      </c>
      <c r="O153">
        <f>SUMIF(TArticle[تاریخ],TDays[[#This Row],[تاریخ]],TArticle[تعداد تراکنش انجام شده])</f>
        <v>4</v>
      </c>
      <c r="P153">
        <f>INT(((TDays[[#This Row],[ماه]]-1)*31+TDays[[#This Row],[روز]]+1)/7)+1</f>
        <v>22</v>
      </c>
      <c r="Q153">
        <f>SUMIF(TArticle[تاریخ],TDays[[#This Row],[تاریخ]],TArticle[تراکنش برنامه ریزی شده])</f>
        <v>0</v>
      </c>
    </row>
    <row r="154" spans="1:17" x14ac:dyDescent="0.25">
      <c r="A154" s="3" t="s">
        <v>352</v>
      </c>
      <c r="B154" t="str">
        <f>RIGHT(TDays[[#This Row],[تاریخ]],2)</f>
        <v>29</v>
      </c>
      <c r="C154" t="str">
        <f>RIGHT(LEFT(TDays[[#This Row],[تاریخ]],7),2)</f>
        <v>05</v>
      </c>
      <c r="D154" t="str">
        <f>LEFT(TDays[[#This Row],[تاریخ]],4)</f>
        <v>1401</v>
      </c>
      <c r="E154" t="str">
        <f>LEFT(TDays[[#This Row],[تاریخ]],7)</f>
        <v>1401-05</v>
      </c>
      <c r="F154">
        <v>0</v>
      </c>
      <c r="G154" s="15" t="str">
        <f>VLOOKUP(TDays[[#This Row],[کد روز هفته]],TDaysOfTheWeek[],2,FALSE)</f>
        <v>شنبه</v>
      </c>
      <c r="H154" s="15">
        <f>IFERROR(IF(E153&lt;&gt;E154,1,INT(H153)+IF(TDays[[#This Row],[کد روز هفته]]=0,1,0)),1)</f>
        <v>5</v>
      </c>
      <c r="I154">
        <f>-SUMIF(TArticle[تاریخ],TDays[[#This Row],[تاریخ]],TArticle[هزینه])</f>
        <v>0</v>
      </c>
      <c r="J154">
        <f>SUMIF(TArticle[تاریخ],TDays[[#This Row],[تاریخ]],TArticle[درآمد تتا])</f>
        <v>0</v>
      </c>
      <c r="K154">
        <f>SUMIF(TArticle[تاریخ],TDays[[#This Row],[تاریخ]],TArticle[اسنپ])</f>
        <v>0</v>
      </c>
      <c r="L154">
        <f>-SUMIF(TArticle[تاریخ],TDays[[#This Row],[تاریخ]],TArticle[پرداخت بدهی])</f>
        <v>0</v>
      </c>
      <c r="M154">
        <f>SUMIF(TArticle[تاریخ],TDays[[#This Row],[تاریخ]],TArticle[افزایش بدهی])</f>
        <v>0</v>
      </c>
      <c r="N154">
        <f>-SUMIF(TArticle[تاریخ],TDays[[#This Row],[تاریخ]],TArticle[افزایش سرمایه])</f>
        <v>0</v>
      </c>
      <c r="O154">
        <f>SUMIF(TArticle[تاریخ],TDays[[#This Row],[تاریخ]],TArticle[تعداد تراکنش انجام شده])</f>
        <v>0</v>
      </c>
      <c r="P154">
        <f>INT(((TDays[[#This Row],[ماه]]-1)*31+TDays[[#This Row],[روز]]+1)/7)+1</f>
        <v>23</v>
      </c>
      <c r="Q154">
        <f>SUMIF(TArticle[تاریخ],TDays[[#This Row],[تاریخ]],TArticle[تراکنش برنامه ریزی شده])</f>
        <v>0</v>
      </c>
    </row>
    <row r="155" spans="1:17" x14ac:dyDescent="0.25">
      <c r="A155" s="3" t="s">
        <v>353</v>
      </c>
      <c r="B155" t="str">
        <f>RIGHT(TDays[[#This Row],[تاریخ]],2)</f>
        <v>30</v>
      </c>
      <c r="C155" t="str">
        <f>RIGHT(LEFT(TDays[[#This Row],[تاریخ]],7),2)</f>
        <v>05</v>
      </c>
      <c r="D155" t="str">
        <f>LEFT(TDays[[#This Row],[تاریخ]],4)</f>
        <v>1401</v>
      </c>
      <c r="E155" t="str">
        <f>LEFT(TDays[[#This Row],[تاریخ]],7)</f>
        <v>1401-05</v>
      </c>
      <c r="F155">
        <v>1</v>
      </c>
      <c r="G155" s="15" t="str">
        <f>VLOOKUP(TDays[[#This Row],[کد روز هفته]],TDaysOfTheWeek[],2,FALSE)</f>
        <v>یکشنبه</v>
      </c>
      <c r="H155" s="15">
        <f>IFERROR(IF(E154&lt;&gt;E155,1,INT(H154)+IF(TDays[[#This Row],[کد روز هفته]]=0,1,0)),1)</f>
        <v>5</v>
      </c>
      <c r="I155">
        <f>-SUMIF(TArticle[تاریخ],TDays[[#This Row],[تاریخ]],TArticle[هزینه])</f>
        <v>0</v>
      </c>
      <c r="J155">
        <f>SUMIF(TArticle[تاریخ],TDays[[#This Row],[تاریخ]],TArticle[درآمد تتا])</f>
        <v>0</v>
      </c>
      <c r="K155">
        <f>SUMIF(TArticle[تاریخ],TDays[[#This Row],[تاریخ]],TArticle[اسنپ])</f>
        <v>0</v>
      </c>
      <c r="L155">
        <f>-SUMIF(TArticle[تاریخ],TDays[[#This Row],[تاریخ]],TArticle[پرداخت بدهی])</f>
        <v>0</v>
      </c>
      <c r="M155">
        <f>SUMIF(TArticle[تاریخ],TDays[[#This Row],[تاریخ]],TArticle[افزایش بدهی])</f>
        <v>0</v>
      </c>
      <c r="N155">
        <f>-SUMIF(TArticle[تاریخ],TDays[[#This Row],[تاریخ]],TArticle[افزایش سرمایه])</f>
        <v>0</v>
      </c>
      <c r="O155">
        <f>SUMIF(TArticle[تاریخ],TDays[[#This Row],[تاریخ]],TArticle[تعداد تراکنش انجام شده])</f>
        <v>0</v>
      </c>
      <c r="P155">
        <f>INT(((TDays[[#This Row],[ماه]]-1)*31+TDays[[#This Row],[روز]]+1)/7)+1</f>
        <v>23</v>
      </c>
      <c r="Q155">
        <f>SUMIF(TArticle[تاریخ],TDays[[#This Row],[تاریخ]],TArticle[تراکنش برنامه ریزی شده])</f>
        <v>0</v>
      </c>
    </row>
    <row r="156" spans="1:17" x14ac:dyDescent="0.25">
      <c r="A156" s="3" t="s">
        <v>354</v>
      </c>
      <c r="B156" t="str">
        <f>RIGHT(TDays[[#This Row],[تاریخ]],2)</f>
        <v>31</v>
      </c>
      <c r="C156" t="str">
        <f>RIGHT(LEFT(TDays[[#This Row],[تاریخ]],7),2)</f>
        <v>05</v>
      </c>
      <c r="D156" t="str">
        <f>LEFT(TDays[[#This Row],[تاریخ]],4)</f>
        <v>1401</v>
      </c>
      <c r="E156" t="str">
        <f>LEFT(TDays[[#This Row],[تاریخ]],7)</f>
        <v>1401-05</v>
      </c>
      <c r="F156">
        <v>2</v>
      </c>
      <c r="G156" s="15" t="str">
        <f>VLOOKUP(TDays[[#This Row],[کد روز هفته]],TDaysOfTheWeek[],2,FALSE)</f>
        <v>دوشنبه</v>
      </c>
      <c r="H156" s="15">
        <f>IFERROR(IF(E155&lt;&gt;E156,1,INT(H155)+IF(TDays[[#This Row],[کد روز هفته]]=0,1,0)),1)</f>
        <v>5</v>
      </c>
      <c r="I156">
        <f>-SUMIF(TArticle[تاریخ],TDays[[#This Row],[تاریخ]],TArticle[هزینه])</f>
        <v>0</v>
      </c>
      <c r="J156">
        <f>SUMIF(TArticle[تاریخ],TDays[[#This Row],[تاریخ]],TArticle[درآمد تتا])</f>
        <v>0</v>
      </c>
      <c r="K156">
        <f>SUMIF(TArticle[تاریخ],TDays[[#This Row],[تاریخ]],TArticle[اسنپ])</f>
        <v>0</v>
      </c>
      <c r="L156">
        <f>-SUMIF(TArticle[تاریخ],TDays[[#This Row],[تاریخ]],TArticle[پرداخت بدهی])</f>
        <v>0</v>
      </c>
      <c r="M156">
        <f>SUMIF(TArticle[تاریخ],TDays[[#This Row],[تاریخ]],TArticle[افزایش بدهی])</f>
        <v>0</v>
      </c>
      <c r="N156">
        <f>-SUMIF(TArticle[تاریخ],TDays[[#This Row],[تاریخ]],TArticle[افزایش سرمایه])</f>
        <v>0</v>
      </c>
      <c r="O156">
        <f>SUMIF(TArticle[تاریخ],TDays[[#This Row],[تاریخ]],TArticle[تعداد تراکنش انجام شده])</f>
        <v>0</v>
      </c>
      <c r="P156">
        <f>INT(((TDays[[#This Row],[ماه]]-1)*31+TDays[[#This Row],[روز]]+1)/7)+1</f>
        <v>23</v>
      </c>
      <c r="Q156">
        <f>SUMIF(TArticle[تاریخ],TDays[[#This Row],[تاریخ]],TArticle[تراکنش برنامه ریزی شده])</f>
        <v>0</v>
      </c>
    </row>
    <row r="157" spans="1:17" x14ac:dyDescent="0.25">
      <c r="A157" s="3" t="s">
        <v>355</v>
      </c>
      <c r="B157" t="str">
        <f>RIGHT(TDays[[#This Row],[تاریخ]],2)</f>
        <v>01</v>
      </c>
      <c r="C157" t="str">
        <f>RIGHT(LEFT(TDays[[#This Row],[تاریخ]],7),2)</f>
        <v>06</v>
      </c>
      <c r="D157" t="str">
        <f>LEFT(TDays[[#This Row],[تاریخ]],4)</f>
        <v>1401</v>
      </c>
      <c r="E157" t="str">
        <f>LEFT(TDays[[#This Row],[تاریخ]],7)</f>
        <v>1401-06</v>
      </c>
      <c r="F157">
        <v>3</v>
      </c>
      <c r="G157" s="15" t="str">
        <f>VLOOKUP(TDays[[#This Row],[کد روز هفته]],TDaysOfTheWeek[],2,FALSE)</f>
        <v>سه شنبه</v>
      </c>
      <c r="H157" s="15">
        <f>IFERROR(IF(E156&lt;&gt;E157,1,INT(H156)+IF(TDays[[#This Row],[کد روز هفته]]=0,1,0)),1)</f>
        <v>1</v>
      </c>
      <c r="I157">
        <f>-SUMIF(TArticle[تاریخ],TDays[[#This Row],[تاریخ]],TArticle[هزینه])</f>
        <v>0</v>
      </c>
      <c r="J157">
        <f>SUMIF(TArticle[تاریخ],TDays[[#This Row],[تاریخ]],TArticle[درآمد تتا])</f>
        <v>42105</v>
      </c>
      <c r="K157">
        <f>SUMIF(TArticle[تاریخ],TDays[[#This Row],[تاریخ]],TArticle[اسنپ])</f>
        <v>0</v>
      </c>
      <c r="L157">
        <f>-SUMIF(TArticle[تاریخ],TDays[[#This Row],[تاریخ]],TArticle[پرداخت بدهی])</f>
        <v>1912</v>
      </c>
      <c r="M157">
        <f>SUMIF(TArticle[تاریخ],TDays[[#This Row],[تاریخ]],TArticle[افزایش بدهی])</f>
        <v>0</v>
      </c>
      <c r="N157">
        <f>-SUMIF(TArticle[تاریخ],TDays[[#This Row],[تاریخ]],TArticle[افزایش سرمایه])</f>
        <v>0</v>
      </c>
      <c r="O157">
        <f>SUMIF(TArticle[تاریخ],TDays[[#This Row],[تاریخ]],TArticle[تعداد تراکنش انجام شده])</f>
        <v>5</v>
      </c>
      <c r="P157">
        <f>INT(((TDays[[#This Row],[ماه]]-1)*31+TDays[[#This Row],[روز]]+1)/7)+1</f>
        <v>23</v>
      </c>
      <c r="Q157">
        <f>SUMIF(TArticle[تاریخ],TDays[[#This Row],[تاریخ]],TArticle[تراکنش برنامه ریزی شده])</f>
        <v>0</v>
      </c>
    </row>
    <row r="158" spans="1:17" x14ac:dyDescent="0.25">
      <c r="A158" s="3" t="s">
        <v>356</v>
      </c>
      <c r="B158" t="str">
        <f>RIGHT(TDays[[#This Row],[تاریخ]],2)</f>
        <v>02</v>
      </c>
      <c r="C158" t="str">
        <f>RIGHT(LEFT(TDays[[#This Row],[تاریخ]],7),2)</f>
        <v>06</v>
      </c>
      <c r="D158" t="str">
        <f>LEFT(TDays[[#This Row],[تاریخ]],4)</f>
        <v>1401</v>
      </c>
      <c r="E158" t="str">
        <f>LEFT(TDays[[#This Row],[تاریخ]],7)</f>
        <v>1401-06</v>
      </c>
      <c r="F158">
        <v>4</v>
      </c>
      <c r="G158" s="15" t="str">
        <f>VLOOKUP(TDays[[#This Row],[کد روز هفته]],TDaysOfTheWeek[],2,FALSE)</f>
        <v>چهارشنبه</v>
      </c>
      <c r="H158" s="15">
        <f>IFERROR(IF(E157&lt;&gt;E158,1,INT(H157)+IF(TDays[[#This Row],[کد روز هفته]]=0,1,0)),1)</f>
        <v>1</v>
      </c>
      <c r="I158">
        <f>-SUMIF(TArticle[تاریخ],TDays[[#This Row],[تاریخ]],TArticle[هزینه])</f>
        <v>777</v>
      </c>
      <c r="J158">
        <f>SUMIF(TArticle[تاریخ],TDays[[#This Row],[تاریخ]],TArticle[درآمد تتا])</f>
        <v>0</v>
      </c>
      <c r="K158">
        <f>SUMIF(TArticle[تاریخ],TDays[[#This Row],[تاریخ]],TArticle[اسنپ])</f>
        <v>0</v>
      </c>
      <c r="L158">
        <f>-SUMIF(TArticle[تاریخ],TDays[[#This Row],[تاریخ]],TArticle[پرداخت بدهی])</f>
        <v>9214</v>
      </c>
      <c r="M158">
        <f>SUMIF(TArticle[تاریخ],TDays[[#This Row],[تاریخ]],TArticle[افزایش بدهی])</f>
        <v>0</v>
      </c>
      <c r="N158">
        <f>-SUMIF(TArticle[تاریخ],TDays[[#This Row],[تاریخ]],TArticle[افزایش سرمایه])</f>
        <v>0</v>
      </c>
      <c r="O158">
        <f>SUMIF(TArticle[تاریخ],TDays[[#This Row],[تاریخ]],TArticle[تعداد تراکنش انجام شده])</f>
        <v>7</v>
      </c>
      <c r="P158">
        <f>INT(((TDays[[#This Row],[ماه]]-1)*31+TDays[[#This Row],[روز]]+1)/7)+1</f>
        <v>23</v>
      </c>
      <c r="Q158">
        <f>SUMIF(TArticle[تاریخ],TDays[[#This Row],[تاریخ]],TArticle[تراکنش برنامه ریزی شده])</f>
        <v>0</v>
      </c>
    </row>
    <row r="159" spans="1:17" x14ac:dyDescent="0.25">
      <c r="A159" s="3" t="s">
        <v>357</v>
      </c>
      <c r="B159" t="str">
        <f>RIGHT(TDays[[#This Row],[تاریخ]],2)</f>
        <v>03</v>
      </c>
      <c r="C159" t="str">
        <f>RIGHT(LEFT(TDays[[#This Row],[تاریخ]],7),2)</f>
        <v>06</v>
      </c>
      <c r="D159" t="str">
        <f>LEFT(TDays[[#This Row],[تاریخ]],4)</f>
        <v>1401</v>
      </c>
      <c r="E159" t="str">
        <f>LEFT(TDays[[#This Row],[تاریخ]],7)</f>
        <v>1401-06</v>
      </c>
      <c r="F159">
        <v>5</v>
      </c>
      <c r="G159" s="15" t="str">
        <f>VLOOKUP(TDays[[#This Row],[کد روز هفته]],TDaysOfTheWeek[],2,FALSE)</f>
        <v>پنجشنبه</v>
      </c>
      <c r="H159" s="15">
        <f>IFERROR(IF(E158&lt;&gt;E159,1,INT(H158)+IF(TDays[[#This Row],[کد روز هفته]]=0,1,0)),1)</f>
        <v>1</v>
      </c>
      <c r="I159">
        <f>-SUMIF(TArticle[تاریخ],TDays[[#This Row],[تاریخ]],TArticle[هزینه])</f>
        <v>0</v>
      </c>
      <c r="J159">
        <f>SUMIF(TArticle[تاریخ],TDays[[#This Row],[تاریخ]],TArticle[درآمد تتا])</f>
        <v>0</v>
      </c>
      <c r="K159">
        <f>SUMIF(TArticle[تاریخ],TDays[[#This Row],[تاریخ]],TArticle[اسنپ])</f>
        <v>0</v>
      </c>
      <c r="L159">
        <f>-SUMIF(TArticle[تاریخ],TDays[[#This Row],[تاریخ]],TArticle[پرداخت بدهی])</f>
        <v>0</v>
      </c>
      <c r="M159">
        <f>SUMIF(TArticle[تاریخ],TDays[[#This Row],[تاریخ]],TArticle[افزایش بدهی])</f>
        <v>0</v>
      </c>
      <c r="N159">
        <f>-SUMIF(TArticle[تاریخ],TDays[[#This Row],[تاریخ]],TArticle[افزایش سرمایه])</f>
        <v>0</v>
      </c>
      <c r="O159">
        <f>SUMIF(TArticle[تاریخ],TDays[[#This Row],[تاریخ]],TArticle[تعداد تراکنش انجام شده])</f>
        <v>0</v>
      </c>
      <c r="P159">
        <f>INT(((TDays[[#This Row],[ماه]]-1)*31+TDays[[#This Row],[روز]]+1)/7)+1</f>
        <v>23</v>
      </c>
      <c r="Q159">
        <f>SUMIF(TArticle[تاریخ],TDays[[#This Row],[تاریخ]],TArticle[تراکنش برنامه ریزی شده])</f>
        <v>0</v>
      </c>
    </row>
    <row r="160" spans="1:17" x14ac:dyDescent="0.25">
      <c r="A160" s="3" t="s">
        <v>358</v>
      </c>
      <c r="B160" t="str">
        <f>RIGHT(TDays[[#This Row],[تاریخ]],2)</f>
        <v>04</v>
      </c>
      <c r="C160" t="str">
        <f>RIGHT(LEFT(TDays[[#This Row],[تاریخ]],7),2)</f>
        <v>06</v>
      </c>
      <c r="D160" t="str">
        <f>LEFT(TDays[[#This Row],[تاریخ]],4)</f>
        <v>1401</v>
      </c>
      <c r="E160" t="str">
        <f>LEFT(TDays[[#This Row],[تاریخ]],7)</f>
        <v>1401-06</v>
      </c>
      <c r="F160">
        <v>6</v>
      </c>
      <c r="G160" s="15" t="str">
        <f>VLOOKUP(TDays[[#This Row],[کد روز هفته]],TDaysOfTheWeek[],2,FALSE)</f>
        <v>جمعه</v>
      </c>
      <c r="H160" s="15">
        <f>IFERROR(IF(E159&lt;&gt;E160,1,INT(H159)+IF(TDays[[#This Row],[کد روز هفته]]=0,1,0)),1)</f>
        <v>1</v>
      </c>
      <c r="I160">
        <f>-SUMIF(TArticle[تاریخ],TDays[[#This Row],[تاریخ]],TArticle[هزینه])</f>
        <v>0</v>
      </c>
      <c r="J160">
        <f>SUMIF(TArticle[تاریخ],TDays[[#This Row],[تاریخ]],TArticle[درآمد تتا])</f>
        <v>0</v>
      </c>
      <c r="K160">
        <f>SUMIF(TArticle[تاریخ],TDays[[#This Row],[تاریخ]],TArticle[اسنپ])</f>
        <v>0</v>
      </c>
      <c r="L160">
        <f>-SUMIF(TArticle[تاریخ],TDays[[#This Row],[تاریخ]],TArticle[پرداخت بدهی])</f>
        <v>0</v>
      </c>
      <c r="M160">
        <f>SUMIF(TArticle[تاریخ],TDays[[#This Row],[تاریخ]],TArticle[افزایش بدهی])</f>
        <v>0</v>
      </c>
      <c r="N160">
        <f>-SUMIF(TArticle[تاریخ],TDays[[#This Row],[تاریخ]],TArticle[افزایش سرمایه])</f>
        <v>0</v>
      </c>
      <c r="O160">
        <f>SUMIF(TArticle[تاریخ],TDays[[#This Row],[تاریخ]],TArticle[تعداد تراکنش انجام شده])</f>
        <v>0</v>
      </c>
      <c r="P160">
        <f>INT(((TDays[[#This Row],[ماه]]-1)*31+TDays[[#This Row],[روز]]+1)/7)+1</f>
        <v>23</v>
      </c>
      <c r="Q160">
        <f>SUMIF(TArticle[تاریخ],TDays[[#This Row],[تاریخ]],TArticle[تراکنش برنامه ریزی شده])</f>
        <v>0</v>
      </c>
    </row>
    <row r="161" spans="1:17" x14ac:dyDescent="0.25">
      <c r="A161" s="3" t="s">
        <v>359</v>
      </c>
      <c r="B161" t="str">
        <f>RIGHT(TDays[[#This Row],[تاریخ]],2)</f>
        <v>05</v>
      </c>
      <c r="C161" t="str">
        <f>RIGHT(LEFT(TDays[[#This Row],[تاریخ]],7),2)</f>
        <v>06</v>
      </c>
      <c r="D161" t="str">
        <f>LEFT(TDays[[#This Row],[تاریخ]],4)</f>
        <v>1401</v>
      </c>
      <c r="E161" t="str">
        <f>LEFT(TDays[[#This Row],[تاریخ]],7)</f>
        <v>1401-06</v>
      </c>
      <c r="F161">
        <v>0</v>
      </c>
      <c r="G161" s="15" t="str">
        <f>VLOOKUP(TDays[[#This Row],[کد روز هفته]],TDaysOfTheWeek[],2,FALSE)</f>
        <v>شنبه</v>
      </c>
      <c r="H161" s="15">
        <f>IFERROR(IF(E160&lt;&gt;E161,1,INT(H160)+IF(TDays[[#This Row],[کد روز هفته]]=0,1,0)),1)</f>
        <v>2</v>
      </c>
      <c r="I161">
        <f>-SUMIF(TArticle[تاریخ],TDays[[#This Row],[تاریخ]],TArticle[هزینه])</f>
        <v>9000</v>
      </c>
      <c r="J161">
        <f>SUMIF(TArticle[تاریخ],TDays[[#This Row],[تاریخ]],TArticle[درآمد تتا])</f>
        <v>0</v>
      </c>
      <c r="K161">
        <f>SUMIF(TArticle[تاریخ],TDays[[#This Row],[تاریخ]],TArticle[اسنپ])</f>
        <v>0</v>
      </c>
      <c r="L161">
        <f>-SUMIF(TArticle[تاریخ],TDays[[#This Row],[تاریخ]],TArticle[پرداخت بدهی])</f>
        <v>5000</v>
      </c>
      <c r="M161">
        <f>SUMIF(TArticle[تاریخ],TDays[[#This Row],[تاریخ]],TArticle[افزایش بدهی])</f>
        <v>0</v>
      </c>
      <c r="N161">
        <f>-SUMIF(TArticle[تاریخ],TDays[[#This Row],[تاریخ]],TArticle[افزایش سرمایه])</f>
        <v>0</v>
      </c>
      <c r="O161">
        <f>SUMIF(TArticle[تاریخ],TDays[[#This Row],[تاریخ]],TArticle[تعداد تراکنش انجام شده])</f>
        <v>2</v>
      </c>
      <c r="P161">
        <f>INT(((TDays[[#This Row],[ماه]]-1)*31+TDays[[#This Row],[روز]]+1)/7)+1</f>
        <v>24</v>
      </c>
      <c r="Q161">
        <f>SUMIF(TArticle[تاریخ],TDays[[#This Row],[تاریخ]],TArticle[تراکنش برنامه ریزی شده])</f>
        <v>0</v>
      </c>
    </row>
    <row r="162" spans="1:17" x14ac:dyDescent="0.25">
      <c r="A162" s="3" t="s">
        <v>360</v>
      </c>
      <c r="B162" t="str">
        <f>RIGHT(TDays[[#This Row],[تاریخ]],2)</f>
        <v>06</v>
      </c>
      <c r="C162" t="str">
        <f>RIGHT(LEFT(TDays[[#This Row],[تاریخ]],7),2)</f>
        <v>06</v>
      </c>
      <c r="D162" t="str">
        <f>LEFT(TDays[[#This Row],[تاریخ]],4)</f>
        <v>1401</v>
      </c>
      <c r="E162" t="str">
        <f>LEFT(TDays[[#This Row],[تاریخ]],7)</f>
        <v>1401-06</v>
      </c>
      <c r="F162">
        <v>1</v>
      </c>
      <c r="G162" s="15" t="str">
        <f>VLOOKUP(TDays[[#This Row],[کد روز هفته]],TDaysOfTheWeek[],2,FALSE)</f>
        <v>یکشنبه</v>
      </c>
      <c r="H162" s="15">
        <f>IFERROR(IF(E161&lt;&gt;E162,1,INT(H161)+IF(TDays[[#This Row],[کد روز هفته]]=0,1,0)),1)</f>
        <v>2</v>
      </c>
      <c r="I162">
        <f>-SUMIF(TArticle[تاریخ],TDays[[#This Row],[تاریخ]],TArticle[هزینه])</f>
        <v>0</v>
      </c>
      <c r="J162">
        <f>SUMIF(TArticle[تاریخ],TDays[[#This Row],[تاریخ]],TArticle[درآمد تتا])</f>
        <v>0</v>
      </c>
      <c r="K162">
        <f>SUMIF(TArticle[تاریخ],TDays[[#This Row],[تاریخ]],TArticle[اسنپ])</f>
        <v>0</v>
      </c>
      <c r="L162">
        <f>-SUMIF(TArticle[تاریخ],TDays[[#This Row],[تاریخ]],TArticle[پرداخت بدهی])</f>
        <v>0</v>
      </c>
      <c r="M162">
        <f>SUMIF(TArticle[تاریخ],TDays[[#This Row],[تاریخ]],TArticle[افزایش بدهی])</f>
        <v>0</v>
      </c>
      <c r="N162">
        <f>-SUMIF(TArticle[تاریخ],TDays[[#This Row],[تاریخ]],TArticle[افزایش سرمایه])</f>
        <v>0</v>
      </c>
      <c r="O162">
        <f>SUMIF(TArticle[تاریخ],TDays[[#This Row],[تاریخ]],TArticle[تعداد تراکنش انجام شده])</f>
        <v>0</v>
      </c>
      <c r="P162">
        <f>INT(((TDays[[#This Row],[ماه]]-1)*31+TDays[[#This Row],[روز]]+1)/7)+1</f>
        <v>24</v>
      </c>
      <c r="Q162">
        <f>SUMIF(TArticle[تاریخ],TDays[[#This Row],[تاریخ]],TArticle[تراکنش برنامه ریزی شده])</f>
        <v>0</v>
      </c>
    </row>
    <row r="163" spans="1:17" x14ac:dyDescent="0.25">
      <c r="A163" s="3" t="s">
        <v>361</v>
      </c>
      <c r="B163" t="str">
        <f>RIGHT(TDays[[#This Row],[تاریخ]],2)</f>
        <v>07</v>
      </c>
      <c r="C163" t="str">
        <f>RIGHT(LEFT(TDays[[#This Row],[تاریخ]],7),2)</f>
        <v>06</v>
      </c>
      <c r="D163" t="str">
        <f>LEFT(TDays[[#This Row],[تاریخ]],4)</f>
        <v>1401</v>
      </c>
      <c r="E163" t="str">
        <f>LEFT(TDays[[#This Row],[تاریخ]],7)</f>
        <v>1401-06</v>
      </c>
      <c r="F163">
        <v>2</v>
      </c>
      <c r="G163" s="15" t="str">
        <f>VLOOKUP(TDays[[#This Row],[کد روز هفته]],TDaysOfTheWeek[],2,FALSE)</f>
        <v>دوشنبه</v>
      </c>
      <c r="H163" s="15">
        <f>IFERROR(IF(E162&lt;&gt;E163,1,INT(H162)+IF(TDays[[#This Row],[کد روز هفته]]=0,1,0)),1)</f>
        <v>2</v>
      </c>
      <c r="I163">
        <f>-SUMIF(TArticle[تاریخ],TDays[[#This Row],[تاریخ]],TArticle[هزینه])</f>
        <v>0</v>
      </c>
      <c r="J163">
        <f>SUMIF(TArticle[تاریخ],TDays[[#This Row],[تاریخ]],TArticle[درآمد تتا])</f>
        <v>0</v>
      </c>
      <c r="K163">
        <f>SUMIF(TArticle[تاریخ],TDays[[#This Row],[تاریخ]],TArticle[اسنپ])</f>
        <v>0</v>
      </c>
      <c r="L163">
        <f>-SUMIF(TArticle[تاریخ],TDays[[#This Row],[تاریخ]],TArticle[پرداخت بدهی])</f>
        <v>0</v>
      </c>
      <c r="M163">
        <f>SUMIF(TArticle[تاریخ],TDays[[#This Row],[تاریخ]],TArticle[افزایش بدهی])</f>
        <v>0</v>
      </c>
      <c r="N163">
        <f>-SUMIF(TArticle[تاریخ],TDays[[#This Row],[تاریخ]],TArticle[افزایش سرمایه])</f>
        <v>0</v>
      </c>
      <c r="O163">
        <f>SUMIF(TArticle[تاریخ],TDays[[#This Row],[تاریخ]],TArticle[تعداد تراکنش انجام شده])</f>
        <v>0</v>
      </c>
      <c r="P163">
        <f>INT(((TDays[[#This Row],[ماه]]-1)*31+TDays[[#This Row],[روز]]+1)/7)+1</f>
        <v>24</v>
      </c>
      <c r="Q163">
        <f>SUMIF(TArticle[تاریخ],TDays[[#This Row],[تاریخ]],TArticle[تراکنش برنامه ریزی شده])</f>
        <v>0</v>
      </c>
    </row>
    <row r="164" spans="1:17" x14ac:dyDescent="0.25">
      <c r="A164" s="3" t="s">
        <v>362</v>
      </c>
      <c r="B164" t="str">
        <f>RIGHT(TDays[[#This Row],[تاریخ]],2)</f>
        <v>08</v>
      </c>
      <c r="C164" t="str">
        <f>RIGHT(LEFT(TDays[[#This Row],[تاریخ]],7),2)</f>
        <v>06</v>
      </c>
      <c r="D164" t="str">
        <f>LEFT(TDays[[#This Row],[تاریخ]],4)</f>
        <v>1401</v>
      </c>
      <c r="E164" t="str">
        <f>LEFT(TDays[[#This Row],[تاریخ]],7)</f>
        <v>1401-06</v>
      </c>
      <c r="F164">
        <v>3</v>
      </c>
      <c r="G164" s="15" t="str">
        <f>VLOOKUP(TDays[[#This Row],[کد روز هفته]],TDaysOfTheWeek[],2,FALSE)</f>
        <v>سه شنبه</v>
      </c>
      <c r="H164" s="15">
        <f>IFERROR(IF(E163&lt;&gt;E164,1,INT(H163)+IF(TDays[[#This Row],[کد روز هفته]]=0,1,0)),1)</f>
        <v>2</v>
      </c>
      <c r="I164">
        <f>-SUMIF(TArticle[تاریخ],TDays[[#This Row],[تاریخ]],TArticle[هزینه])</f>
        <v>0</v>
      </c>
      <c r="J164">
        <f>SUMIF(TArticle[تاریخ],TDays[[#This Row],[تاریخ]],TArticle[درآمد تتا])</f>
        <v>0</v>
      </c>
      <c r="K164">
        <f>SUMIF(TArticle[تاریخ],TDays[[#This Row],[تاریخ]],TArticle[اسنپ])</f>
        <v>0</v>
      </c>
      <c r="L164">
        <f>-SUMIF(TArticle[تاریخ],TDays[[#This Row],[تاریخ]],TArticle[پرداخت بدهی])</f>
        <v>0</v>
      </c>
      <c r="M164">
        <f>SUMIF(TArticle[تاریخ],TDays[[#This Row],[تاریخ]],TArticle[افزایش بدهی])</f>
        <v>0</v>
      </c>
      <c r="N164">
        <f>-SUMIF(TArticle[تاریخ],TDays[[#This Row],[تاریخ]],TArticle[افزایش سرمایه])</f>
        <v>0</v>
      </c>
      <c r="O164">
        <f>SUMIF(TArticle[تاریخ],TDays[[#This Row],[تاریخ]],TArticle[تعداد تراکنش انجام شده])</f>
        <v>0</v>
      </c>
      <c r="P164">
        <f>INT(((TDays[[#This Row],[ماه]]-1)*31+TDays[[#This Row],[روز]]+1)/7)+1</f>
        <v>24</v>
      </c>
      <c r="Q164">
        <f>SUMIF(TArticle[تاریخ],TDays[[#This Row],[تاریخ]],TArticle[تراکنش برنامه ریزی شده])</f>
        <v>0</v>
      </c>
    </row>
    <row r="165" spans="1:17" x14ac:dyDescent="0.25">
      <c r="A165" s="3" t="s">
        <v>363</v>
      </c>
      <c r="B165" t="str">
        <f>RIGHT(TDays[[#This Row],[تاریخ]],2)</f>
        <v>09</v>
      </c>
      <c r="C165" t="str">
        <f>RIGHT(LEFT(TDays[[#This Row],[تاریخ]],7),2)</f>
        <v>06</v>
      </c>
      <c r="D165" t="str">
        <f>LEFT(TDays[[#This Row],[تاریخ]],4)</f>
        <v>1401</v>
      </c>
      <c r="E165" t="str">
        <f>LEFT(TDays[[#This Row],[تاریخ]],7)</f>
        <v>1401-06</v>
      </c>
      <c r="F165">
        <v>4</v>
      </c>
      <c r="G165" s="15" t="str">
        <f>VLOOKUP(TDays[[#This Row],[کد روز هفته]],TDaysOfTheWeek[],2,FALSE)</f>
        <v>چهارشنبه</v>
      </c>
      <c r="H165" s="15">
        <f>IFERROR(IF(E164&lt;&gt;E165,1,INT(H164)+IF(TDays[[#This Row],[کد روز هفته]]=0,1,0)),1)</f>
        <v>2</v>
      </c>
      <c r="I165">
        <f>-SUMIF(TArticle[تاریخ],TDays[[#This Row],[تاریخ]],TArticle[هزینه])</f>
        <v>0</v>
      </c>
      <c r="J165">
        <f>SUMIF(TArticle[تاریخ],TDays[[#This Row],[تاریخ]],TArticle[درآمد تتا])</f>
        <v>0</v>
      </c>
      <c r="K165">
        <f>SUMIF(TArticle[تاریخ],TDays[[#This Row],[تاریخ]],TArticle[اسنپ])</f>
        <v>0</v>
      </c>
      <c r="L165">
        <f>-SUMIF(TArticle[تاریخ],TDays[[#This Row],[تاریخ]],TArticle[پرداخت بدهی])</f>
        <v>0</v>
      </c>
      <c r="M165">
        <f>SUMIF(TArticle[تاریخ],TDays[[#This Row],[تاریخ]],TArticle[افزایش بدهی])</f>
        <v>0</v>
      </c>
      <c r="N165">
        <f>-SUMIF(TArticle[تاریخ],TDays[[#This Row],[تاریخ]],TArticle[افزایش سرمایه])</f>
        <v>0</v>
      </c>
      <c r="O165">
        <f>SUMIF(TArticle[تاریخ],TDays[[#This Row],[تاریخ]],TArticle[تعداد تراکنش انجام شده])</f>
        <v>0</v>
      </c>
      <c r="P165">
        <f>INT(((TDays[[#This Row],[ماه]]-1)*31+TDays[[#This Row],[روز]]+1)/7)+1</f>
        <v>24</v>
      </c>
      <c r="Q165">
        <f>SUMIF(TArticle[تاریخ],TDays[[#This Row],[تاریخ]],TArticle[تراکنش برنامه ریزی شده])</f>
        <v>0</v>
      </c>
    </row>
    <row r="166" spans="1:17" x14ac:dyDescent="0.25">
      <c r="A166" s="3" t="s">
        <v>364</v>
      </c>
      <c r="B166" t="str">
        <f>RIGHT(TDays[[#This Row],[تاریخ]],2)</f>
        <v>10</v>
      </c>
      <c r="C166" t="str">
        <f>RIGHT(LEFT(TDays[[#This Row],[تاریخ]],7),2)</f>
        <v>06</v>
      </c>
      <c r="D166" t="str">
        <f>LEFT(TDays[[#This Row],[تاریخ]],4)</f>
        <v>1401</v>
      </c>
      <c r="E166" t="str">
        <f>LEFT(TDays[[#This Row],[تاریخ]],7)</f>
        <v>1401-06</v>
      </c>
      <c r="F166">
        <v>5</v>
      </c>
      <c r="G166" s="15" t="str">
        <f>VLOOKUP(TDays[[#This Row],[کد روز هفته]],TDaysOfTheWeek[],2,FALSE)</f>
        <v>پنجشنبه</v>
      </c>
      <c r="H166" s="15">
        <f>IFERROR(IF(E165&lt;&gt;E166,1,INT(H165)+IF(TDays[[#This Row],[کد روز هفته]]=0,1,0)),1)</f>
        <v>2</v>
      </c>
      <c r="I166">
        <f>-SUMIF(TArticle[تاریخ],TDays[[#This Row],[تاریخ]],TArticle[هزینه])</f>
        <v>5000</v>
      </c>
      <c r="J166">
        <f>SUMIF(TArticle[تاریخ],TDays[[#This Row],[تاریخ]],TArticle[درآمد تتا])</f>
        <v>0</v>
      </c>
      <c r="K166">
        <f>SUMIF(TArticle[تاریخ],TDays[[#This Row],[تاریخ]],TArticle[اسنپ])</f>
        <v>0</v>
      </c>
      <c r="L166">
        <f>-SUMIF(TArticle[تاریخ],TDays[[#This Row],[تاریخ]],TArticle[پرداخت بدهی])</f>
        <v>0</v>
      </c>
      <c r="M166">
        <f>SUMIF(TArticle[تاریخ],TDays[[#This Row],[تاریخ]],TArticle[افزایش بدهی])</f>
        <v>0</v>
      </c>
      <c r="N166">
        <f>-SUMIF(TArticle[تاریخ],TDays[[#This Row],[تاریخ]],TArticle[افزایش سرمایه])</f>
        <v>0</v>
      </c>
      <c r="O166">
        <f>SUMIF(TArticle[تاریخ],TDays[[#This Row],[تاریخ]],TArticle[تعداد تراکنش انجام شده])</f>
        <v>1</v>
      </c>
      <c r="P166">
        <f>INT(((TDays[[#This Row],[ماه]]-1)*31+TDays[[#This Row],[روز]]+1)/7)+1</f>
        <v>24</v>
      </c>
      <c r="Q166">
        <f>SUMIF(TArticle[تاریخ],TDays[[#This Row],[تاریخ]],TArticle[تراکنش برنامه ریزی شده])</f>
        <v>0</v>
      </c>
    </row>
    <row r="167" spans="1:17" x14ac:dyDescent="0.25">
      <c r="A167" s="3" t="s">
        <v>365</v>
      </c>
      <c r="B167" t="str">
        <f>RIGHT(TDays[[#This Row],[تاریخ]],2)</f>
        <v>11</v>
      </c>
      <c r="C167" t="str">
        <f>RIGHT(LEFT(TDays[[#This Row],[تاریخ]],7),2)</f>
        <v>06</v>
      </c>
      <c r="D167" t="str">
        <f>LEFT(TDays[[#This Row],[تاریخ]],4)</f>
        <v>1401</v>
      </c>
      <c r="E167" t="str">
        <f>LEFT(TDays[[#This Row],[تاریخ]],7)</f>
        <v>1401-06</v>
      </c>
      <c r="F167">
        <v>6</v>
      </c>
      <c r="G167" s="15" t="str">
        <f>VLOOKUP(TDays[[#This Row],[کد روز هفته]],TDaysOfTheWeek[],2,FALSE)</f>
        <v>جمعه</v>
      </c>
      <c r="H167" s="15">
        <f>IFERROR(IF(E166&lt;&gt;E167,1,INT(H166)+IF(TDays[[#This Row],[کد روز هفته]]=0,1,0)),1)</f>
        <v>2</v>
      </c>
      <c r="I167">
        <f>-SUMIF(TArticle[تاریخ],TDays[[#This Row],[تاریخ]],TArticle[هزینه])</f>
        <v>84</v>
      </c>
      <c r="J167">
        <f>SUMIF(TArticle[تاریخ],TDays[[#This Row],[تاریخ]],TArticle[درآمد تتا])</f>
        <v>0</v>
      </c>
      <c r="K167">
        <f>SUMIF(TArticle[تاریخ],TDays[[#This Row],[تاریخ]],TArticle[اسنپ])</f>
        <v>0</v>
      </c>
      <c r="L167">
        <f>-SUMIF(TArticle[تاریخ],TDays[[#This Row],[تاریخ]],TArticle[پرداخت بدهی])</f>
        <v>278</v>
      </c>
      <c r="M167">
        <f>SUMIF(TArticle[تاریخ],TDays[[#This Row],[تاریخ]],TArticle[افزایش بدهی])</f>
        <v>0</v>
      </c>
      <c r="N167">
        <f>-SUMIF(TArticle[تاریخ],TDays[[#This Row],[تاریخ]],TArticle[افزایش سرمایه])</f>
        <v>0</v>
      </c>
      <c r="O167">
        <f>SUMIF(TArticle[تاریخ],TDays[[#This Row],[تاریخ]],TArticle[تعداد تراکنش انجام شده])</f>
        <v>2</v>
      </c>
      <c r="P167">
        <f>INT(((TDays[[#This Row],[ماه]]-1)*31+TDays[[#This Row],[روز]]+1)/7)+1</f>
        <v>24</v>
      </c>
      <c r="Q167">
        <f>SUMIF(TArticle[تاریخ],TDays[[#This Row],[تاریخ]],TArticle[تراکنش برنامه ریزی شده])</f>
        <v>0</v>
      </c>
    </row>
    <row r="168" spans="1:17" x14ac:dyDescent="0.25">
      <c r="A168" s="3" t="s">
        <v>366</v>
      </c>
      <c r="B168" t="str">
        <f>RIGHT(TDays[[#This Row],[تاریخ]],2)</f>
        <v>12</v>
      </c>
      <c r="C168" t="str">
        <f>RIGHT(LEFT(TDays[[#This Row],[تاریخ]],7),2)</f>
        <v>06</v>
      </c>
      <c r="D168" t="str">
        <f>LEFT(TDays[[#This Row],[تاریخ]],4)</f>
        <v>1401</v>
      </c>
      <c r="E168" t="str">
        <f>LEFT(TDays[[#This Row],[تاریخ]],7)</f>
        <v>1401-06</v>
      </c>
      <c r="F168">
        <v>0</v>
      </c>
      <c r="G168" s="15" t="str">
        <f>VLOOKUP(TDays[[#This Row],[کد روز هفته]],TDaysOfTheWeek[],2,FALSE)</f>
        <v>شنبه</v>
      </c>
      <c r="H168" s="15">
        <f>IFERROR(IF(E167&lt;&gt;E168,1,INT(H167)+IF(TDays[[#This Row],[کد روز هفته]]=0,1,0)),1)</f>
        <v>3</v>
      </c>
      <c r="I168">
        <f>-SUMIF(TArticle[تاریخ],TDays[[#This Row],[تاریخ]],TArticle[هزینه])</f>
        <v>0</v>
      </c>
      <c r="J168">
        <f>SUMIF(TArticle[تاریخ],TDays[[#This Row],[تاریخ]],TArticle[درآمد تتا])</f>
        <v>0</v>
      </c>
      <c r="K168">
        <f>SUMIF(TArticle[تاریخ],TDays[[#This Row],[تاریخ]],TArticle[اسنپ])</f>
        <v>0</v>
      </c>
      <c r="L168">
        <f>-SUMIF(TArticle[تاریخ],TDays[[#This Row],[تاریخ]],TArticle[پرداخت بدهی])</f>
        <v>0</v>
      </c>
      <c r="M168">
        <f>SUMIF(TArticle[تاریخ],TDays[[#This Row],[تاریخ]],TArticle[افزایش بدهی])</f>
        <v>0</v>
      </c>
      <c r="N168">
        <f>-SUMIF(TArticle[تاریخ],TDays[[#This Row],[تاریخ]],TArticle[افزایش سرمایه])</f>
        <v>0</v>
      </c>
      <c r="O168">
        <f>SUMIF(TArticle[تاریخ],TDays[[#This Row],[تاریخ]],TArticle[تعداد تراکنش انجام شده])</f>
        <v>0</v>
      </c>
      <c r="P168">
        <f>INT(((TDays[[#This Row],[ماه]]-1)*31+TDays[[#This Row],[روز]]+1)/7)+1</f>
        <v>25</v>
      </c>
      <c r="Q168">
        <f>SUMIF(TArticle[تاریخ],TDays[[#This Row],[تاریخ]],TArticle[تراکنش برنامه ریزی شده])</f>
        <v>0</v>
      </c>
    </row>
    <row r="169" spans="1:17" x14ac:dyDescent="0.25">
      <c r="A169" s="3" t="s">
        <v>367</v>
      </c>
      <c r="B169" t="str">
        <f>RIGHT(TDays[[#This Row],[تاریخ]],2)</f>
        <v>13</v>
      </c>
      <c r="C169" t="str">
        <f>RIGHT(LEFT(TDays[[#This Row],[تاریخ]],7),2)</f>
        <v>06</v>
      </c>
      <c r="D169" t="str">
        <f>LEFT(TDays[[#This Row],[تاریخ]],4)</f>
        <v>1401</v>
      </c>
      <c r="E169" t="str">
        <f>LEFT(TDays[[#This Row],[تاریخ]],7)</f>
        <v>1401-06</v>
      </c>
      <c r="F169">
        <v>1</v>
      </c>
      <c r="G169" s="15" t="str">
        <f>VLOOKUP(TDays[[#This Row],[کد روز هفته]],TDaysOfTheWeek[],2,FALSE)</f>
        <v>یکشنبه</v>
      </c>
      <c r="H169" s="15">
        <f>IFERROR(IF(E168&lt;&gt;E169,1,INT(H168)+IF(TDays[[#This Row],[کد روز هفته]]=0,1,0)),1)</f>
        <v>3</v>
      </c>
      <c r="I169">
        <f>-SUMIF(TArticle[تاریخ],TDays[[#This Row],[تاریخ]],TArticle[هزینه])</f>
        <v>0</v>
      </c>
      <c r="J169">
        <f>SUMIF(TArticle[تاریخ],TDays[[#This Row],[تاریخ]],TArticle[درآمد تتا])</f>
        <v>0</v>
      </c>
      <c r="K169">
        <f>SUMIF(TArticle[تاریخ],TDays[[#This Row],[تاریخ]],TArticle[اسنپ])</f>
        <v>0</v>
      </c>
      <c r="L169">
        <f>-SUMIF(TArticle[تاریخ],TDays[[#This Row],[تاریخ]],TArticle[پرداخت بدهی])</f>
        <v>0</v>
      </c>
      <c r="M169">
        <f>SUMIF(TArticle[تاریخ],TDays[[#This Row],[تاریخ]],TArticle[افزایش بدهی])</f>
        <v>0</v>
      </c>
      <c r="N169">
        <f>-SUMIF(TArticle[تاریخ],TDays[[#This Row],[تاریخ]],TArticle[افزایش سرمایه])</f>
        <v>0</v>
      </c>
      <c r="O169">
        <f>SUMIF(TArticle[تاریخ],TDays[[#This Row],[تاریخ]],TArticle[تعداد تراکنش انجام شده])</f>
        <v>0</v>
      </c>
      <c r="P169">
        <f>INT(((TDays[[#This Row],[ماه]]-1)*31+TDays[[#This Row],[روز]]+1)/7)+1</f>
        <v>25</v>
      </c>
      <c r="Q169">
        <f>SUMIF(TArticle[تاریخ],TDays[[#This Row],[تاریخ]],TArticle[تراکنش برنامه ریزی شده])</f>
        <v>0</v>
      </c>
    </row>
    <row r="170" spans="1:17" x14ac:dyDescent="0.25">
      <c r="A170" s="3" t="s">
        <v>63</v>
      </c>
      <c r="B170" t="str">
        <f>RIGHT(TDays[[#This Row],[تاریخ]],2)</f>
        <v>14</v>
      </c>
      <c r="C170" t="str">
        <f>RIGHT(LEFT(TDays[[#This Row],[تاریخ]],7),2)</f>
        <v>06</v>
      </c>
      <c r="D170" t="str">
        <f>LEFT(TDays[[#This Row],[تاریخ]],4)</f>
        <v>1401</v>
      </c>
      <c r="E170" t="str">
        <f>LEFT(TDays[[#This Row],[تاریخ]],7)</f>
        <v>1401-06</v>
      </c>
      <c r="F170">
        <v>2</v>
      </c>
      <c r="G170" s="15" t="str">
        <f>VLOOKUP(TDays[[#This Row],[کد روز هفته]],TDaysOfTheWeek[],2,FALSE)</f>
        <v>دوشنبه</v>
      </c>
      <c r="H170" s="15">
        <f>IFERROR(IF(E169&lt;&gt;E170,1,INT(H169)+IF(TDays[[#This Row],[کد روز هفته]]=0,1,0)),1)</f>
        <v>3</v>
      </c>
      <c r="I170">
        <f>-SUMIF(TArticle[تاریخ],TDays[[#This Row],[تاریخ]],TArticle[هزینه])</f>
        <v>0</v>
      </c>
      <c r="J170">
        <f>SUMIF(TArticle[تاریخ],TDays[[#This Row],[تاریخ]],TArticle[درآمد تتا])</f>
        <v>0</v>
      </c>
      <c r="K170">
        <f>SUMIF(TArticle[تاریخ],TDays[[#This Row],[تاریخ]],TArticle[اسنپ])</f>
        <v>0</v>
      </c>
      <c r="L170">
        <f>-SUMIF(TArticle[تاریخ],TDays[[#This Row],[تاریخ]],TArticle[پرداخت بدهی])</f>
        <v>0</v>
      </c>
      <c r="M170">
        <f>SUMIF(TArticle[تاریخ],TDays[[#This Row],[تاریخ]],TArticle[افزایش بدهی])</f>
        <v>0</v>
      </c>
      <c r="N170">
        <f>-SUMIF(TArticle[تاریخ],TDays[[#This Row],[تاریخ]],TArticle[افزایش سرمایه])</f>
        <v>350</v>
      </c>
      <c r="O170">
        <f>SUMIF(TArticle[تاریخ],TDays[[#This Row],[تاریخ]],TArticle[تعداد تراکنش انجام شده])</f>
        <v>1</v>
      </c>
      <c r="P170">
        <f>INT(((TDays[[#This Row],[ماه]]-1)*31+TDays[[#This Row],[روز]]+1)/7)+1</f>
        <v>25</v>
      </c>
      <c r="Q170">
        <f>SUMIF(TArticle[تاریخ],TDays[[#This Row],[تاریخ]],TArticle[تراکنش برنامه ریزی شده])</f>
        <v>0</v>
      </c>
    </row>
    <row r="171" spans="1:17" x14ac:dyDescent="0.25">
      <c r="A171" s="3" t="s">
        <v>368</v>
      </c>
      <c r="B171" t="str">
        <f>RIGHT(TDays[[#This Row],[تاریخ]],2)</f>
        <v>15</v>
      </c>
      <c r="C171" t="str">
        <f>RIGHT(LEFT(TDays[[#This Row],[تاریخ]],7),2)</f>
        <v>06</v>
      </c>
      <c r="D171" t="str">
        <f>LEFT(TDays[[#This Row],[تاریخ]],4)</f>
        <v>1401</v>
      </c>
      <c r="E171" t="str">
        <f>LEFT(TDays[[#This Row],[تاریخ]],7)</f>
        <v>1401-06</v>
      </c>
      <c r="F171">
        <v>3</v>
      </c>
      <c r="G171" s="15" t="str">
        <f>VLOOKUP(TDays[[#This Row],[کد روز هفته]],TDaysOfTheWeek[],2,FALSE)</f>
        <v>سه شنبه</v>
      </c>
      <c r="H171" s="15">
        <f>IFERROR(IF(E170&lt;&gt;E171,1,INT(H170)+IF(TDays[[#This Row],[کد روز هفته]]=0,1,0)),1)</f>
        <v>3</v>
      </c>
      <c r="I171">
        <f>-SUMIF(TArticle[تاریخ],TDays[[#This Row],[تاریخ]],TArticle[هزینه])</f>
        <v>0</v>
      </c>
      <c r="J171">
        <f>SUMIF(TArticle[تاریخ],TDays[[#This Row],[تاریخ]],TArticle[درآمد تتا])</f>
        <v>0</v>
      </c>
      <c r="K171">
        <f>SUMIF(TArticle[تاریخ],TDays[[#This Row],[تاریخ]],TArticle[اسنپ])</f>
        <v>0</v>
      </c>
      <c r="L171">
        <f>-SUMIF(TArticle[تاریخ],TDays[[#This Row],[تاریخ]],TArticle[پرداخت بدهی])</f>
        <v>0</v>
      </c>
      <c r="M171">
        <f>SUMIF(TArticle[تاریخ],TDays[[#This Row],[تاریخ]],TArticle[افزایش بدهی])</f>
        <v>0</v>
      </c>
      <c r="N171">
        <f>-SUMIF(TArticle[تاریخ],TDays[[#This Row],[تاریخ]],TArticle[افزایش سرمایه])</f>
        <v>0</v>
      </c>
      <c r="O171">
        <f>SUMIF(TArticle[تاریخ],TDays[[#This Row],[تاریخ]],TArticle[تعداد تراکنش انجام شده])</f>
        <v>0</v>
      </c>
      <c r="P171">
        <f>INT(((TDays[[#This Row],[ماه]]-1)*31+TDays[[#This Row],[روز]]+1)/7)+1</f>
        <v>25</v>
      </c>
      <c r="Q171">
        <f>SUMIF(TArticle[تاریخ],TDays[[#This Row],[تاریخ]],TArticle[تراکنش برنامه ریزی شده])</f>
        <v>0</v>
      </c>
    </row>
    <row r="172" spans="1:17" x14ac:dyDescent="0.25">
      <c r="A172" s="3" t="s">
        <v>369</v>
      </c>
      <c r="B172" t="str">
        <f>RIGHT(TDays[[#This Row],[تاریخ]],2)</f>
        <v>16</v>
      </c>
      <c r="C172" t="str">
        <f>RIGHT(LEFT(TDays[[#This Row],[تاریخ]],7),2)</f>
        <v>06</v>
      </c>
      <c r="D172" t="str">
        <f>LEFT(TDays[[#This Row],[تاریخ]],4)</f>
        <v>1401</v>
      </c>
      <c r="E172" t="str">
        <f>LEFT(TDays[[#This Row],[تاریخ]],7)</f>
        <v>1401-06</v>
      </c>
      <c r="F172">
        <v>4</v>
      </c>
      <c r="G172" s="15" t="str">
        <f>VLOOKUP(TDays[[#This Row],[کد روز هفته]],TDaysOfTheWeek[],2,FALSE)</f>
        <v>چهارشنبه</v>
      </c>
      <c r="H172" s="15">
        <f>IFERROR(IF(E171&lt;&gt;E172,1,INT(H171)+IF(TDays[[#This Row],[کد روز هفته]]=0,1,0)),1)</f>
        <v>3</v>
      </c>
      <c r="I172">
        <f>-SUMIF(TArticle[تاریخ],TDays[[#This Row],[تاریخ]],TArticle[هزینه])</f>
        <v>0</v>
      </c>
      <c r="J172">
        <f>SUMIF(TArticle[تاریخ],TDays[[#This Row],[تاریخ]],TArticle[درآمد تتا])</f>
        <v>0</v>
      </c>
      <c r="K172">
        <f>SUMIF(TArticle[تاریخ],TDays[[#This Row],[تاریخ]],TArticle[اسنپ])</f>
        <v>0</v>
      </c>
      <c r="L172">
        <f>-SUMIF(TArticle[تاریخ],TDays[[#This Row],[تاریخ]],TArticle[پرداخت بدهی])</f>
        <v>0</v>
      </c>
      <c r="M172">
        <f>SUMIF(TArticle[تاریخ],TDays[[#This Row],[تاریخ]],TArticle[افزایش بدهی])</f>
        <v>0</v>
      </c>
      <c r="N172">
        <f>-SUMIF(TArticle[تاریخ],TDays[[#This Row],[تاریخ]],TArticle[افزایش سرمایه])</f>
        <v>0</v>
      </c>
      <c r="O172">
        <f>SUMIF(TArticle[تاریخ],TDays[[#This Row],[تاریخ]],TArticle[تعداد تراکنش انجام شده])</f>
        <v>0</v>
      </c>
      <c r="P172">
        <f>INT(((TDays[[#This Row],[ماه]]-1)*31+TDays[[#This Row],[روز]]+1)/7)+1</f>
        <v>25</v>
      </c>
      <c r="Q172">
        <f>SUMIF(TArticle[تاریخ],TDays[[#This Row],[تاریخ]],TArticle[تراکنش برنامه ریزی شده])</f>
        <v>0</v>
      </c>
    </row>
    <row r="173" spans="1:17" x14ac:dyDescent="0.25">
      <c r="A173" s="3" t="s">
        <v>370</v>
      </c>
      <c r="B173" t="str">
        <f>RIGHT(TDays[[#This Row],[تاریخ]],2)</f>
        <v>17</v>
      </c>
      <c r="C173" t="str">
        <f>RIGHT(LEFT(TDays[[#This Row],[تاریخ]],7),2)</f>
        <v>06</v>
      </c>
      <c r="D173" t="str">
        <f>LEFT(TDays[[#This Row],[تاریخ]],4)</f>
        <v>1401</v>
      </c>
      <c r="E173" t="str">
        <f>LEFT(TDays[[#This Row],[تاریخ]],7)</f>
        <v>1401-06</v>
      </c>
      <c r="F173">
        <v>5</v>
      </c>
      <c r="G173" s="15" t="str">
        <f>VLOOKUP(TDays[[#This Row],[کد روز هفته]],TDaysOfTheWeek[],2,FALSE)</f>
        <v>پنجشنبه</v>
      </c>
      <c r="H173" s="15">
        <f>IFERROR(IF(E172&lt;&gt;E173,1,INT(H172)+IF(TDays[[#This Row],[کد روز هفته]]=0,1,0)),1)</f>
        <v>3</v>
      </c>
      <c r="I173">
        <f>-SUMIF(TArticle[تاریخ],TDays[[#This Row],[تاریخ]],TArticle[هزینه])</f>
        <v>0</v>
      </c>
      <c r="J173">
        <f>SUMIF(TArticle[تاریخ],TDays[[#This Row],[تاریخ]],TArticle[درآمد تتا])</f>
        <v>0</v>
      </c>
      <c r="K173">
        <f>SUMIF(TArticle[تاریخ],TDays[[#This Row],[تاریخ]],TArticle[اسنپ])</f>
        <v>0</v>
      </c>
      <c r="L173">
        <f>-SUMIF(TArticle[تاریخ],TDays[[#This Row],[تاریخ]],TArticle[پرداخت بدهی])</f>
        <v>0</v>
      </c>
      <c r="M173">
        <f>SUMIF(TArticle[تاریخ],TDays[[#This Row],[تاریخ]],TArticle[افزایش بدهی])</f>
        <v>0</v>
      </c>
      <c r="N173">
        <f>-SUMIF(TArticle[تاریخ],TDays[[#This Row],[تاریخ]],TArticle[افزایش سرمایه])</f>
        <v>0</v>
      </c>
      <c r="O173">
        <f>SUMIF(TArticle[تاریخ],TDays[[#This Row],[تاریخ]],TArticle[تعداد تراکنش انجام شده])</f>
        <v>0</v>
      </c>
      <c r="P173">
        <f>INT(((TDays[[#This Row],[ماه]]-1)*31+TDays[[#This Row],[روز]]+1)/7)+1</f>
        <v>25</v>
      </c>
      <c r="Q173">
        <f>SUMIF(TArticle[تاریخ],TDays[[#This Row],[تاریخ]],TArticle[تراکنش برنامه ریزی شده])</f>
        <v>0</v>
      </c>
    </row>
    <row r="174" spans="1:17" x14ac:dyDescent="0.25">
      <c r="A174" s="3" t="s">
        <v>371</v>
      </c>
      <c r="B174" t="str">
        <f>RIGHT(TDays[[#This Row],[تاریخ]],2)</f>
        <v>18</v>
      </c>
      <c r="C174" t="str">
        <f>RIGHT(LEFT(TDays[[#This Row],[تاریخ]],7),2)</f>
        <v>06</v>
      </c>
      <c r="D174" t="str">
        <f>LEFT(TDays[[#This Row],[تاریخ]],4)</f>
        <v>1401</v>
      </c>
      <c r="E174" t="str">
        <f>LEFT(TDays[[#This Row],[تاریخ]],7)</f>
        <v>1401-06</v>
      </c>
      <c r="F174">
        <v>6</v>
      </c>
      <c r="G174" s="15" t="str">
        <f>VLOOKUP(TDays[[#This Row],[کد روز هفته]],TDaysOfTheWeek[],2,FALSE)</f>
        <v>جمعه</v>
      </c>
      <c r="H174" s="15">
        <f>IFERROR(IF(E173&lt;&gt;E174,1,INT(H173)+IF(TDays[[#This Row],[کد روز هفته]]=0,1,0)),1)</f>
        <v>3</v>
      </c>
      <c r="I174">
        <f>-SUMIF(TArticle[تاریخ],TDays[[#This Row],[تاریخ]],TArticle[هزینه])</f>
        <v>0</v>
      </c>
      <c r="J174">
        <f>SUMIF(TArticle[تاریخ],TDays[[#This Row],[تاریخ]],TArticle[درآمد تتا])</f>
        <v>0</v>
      </c>
      <c r="K174">
        <f>SUMIF(TArticle[تاریخ],TDays[[#This Row],[تاریخ]],TArticle[اسنپ])</f>
        <v>0</v>
      </c>
      <c r="L174">
        <f>-SUMIF(TArticle[تاریخ],TDays[[#This Row],[تاریخ]],TArticle[پرداخت بدهی])</f>
        <v>0</v>
      </c>
      <c r="M174">
        <f>SUMIF(TArticle[تاریخ],TDays[[#This Row],[تاریخ]],TArticle[افزایش بدهی])</f>
        <v>0</v>
      </c>
      <c r="N174">
        <f>-SUMIF(TArticle[تاریخ],TDays[[#This Row],[تاریخ]],TArticle[افزایش سرمایه])</f>
        <v>0</v>
      </c>
      <c r="O174">
        <f>SUMIF(TArticle[تاریخ],TDays[[#This Row],[تاریخ]],TArticle[تعداد تراکنش انجام شده])</f>
        <v>0</v>
      </c>
      <c r="P174">
        <f>INT(((TDays[[#This Row],[ماه]]-1)*31+TDays[[#This Row],[روز]]+1)/7)+1</f>
        <v>25</v>
      </c>
      <c r="Q174">
        <f>SUMIF(TArticle[تاریخ],TDays[[#This Row],[تاریخ]],TArticle[تراکنش برنامه ریزی شده])</f>
        <v>0</v>
      </c>
    </row>
    <row r="175" spans="1:17" x14ac:dyDescent="0.25">
      <c r="A175" s="3" t="s">
        <v>372</v>
      </c>
      <c r="B175" t="str">
        <f>RIGHT(TDays[[#This Row],[تاریخ]],2)</f>
        <v>19</v>
      </c>
      <c r="C175" t="str">
        <f>RIGHT(LEFT(TDays[[#This Row],[تاریخ]],7),2)</f>
        <v>06</v>
      </c>
      <c r="D175" t="str">
        <f>LEFT(TDays[[#This Row],[تاریخ]],4)</f>
        <v>1401</v>
      </c>
      <c r="E175" t="str">
        <f>LEFT(TDays[[#This Row],[تاریخ]],7)</f>
        <v>1401-06</v>
      </c>
      <c r="F175">
        <v>0</v>
      </c>
      <c r="G175" s="15" t="str">
        <f>VLOOKUP(TDays[[#This Row],[کد روز هفته]],TDaysOfTheWeek[],2,FALSE)</f>
        <v>شنبه</v>
      </c>
      <c r="H175" s="15">
        <f>IFERROR(IF(E174&lt;&gt;E175,1,INT(H174)+IF(TDays[[#This Row],[کد روز هفته]]=0,1,0)),1)</f>
        <v>4</v>
      </c>
      <c r="I175">
        <f>-SUMIF(TArticle[تاریخ],TDays[[#This Row],[تاریخ]],TArticle[هزینه])</f>
        <v>0</v>
      </c>
      <c r="J175">
        <f>SUMIF(TArticle[تاریخ],TDays[[#This Row],[تاریخ]],TArticle[درآمد تتا])</f>
        <v>0</v>
      </c>
      <c r="K175">
        <f>SUMIF(TArticle[تاریخ],TDays[[#This Row],[تاریخ]],TArticle[اسنپ])</f>
        <v>0</v>
      </c>
      <c r="L175">
        <f>-SUMIF(TArticle[تاریخ],TDays[[#This Row],[تاریخ]],TArticle[پرداخت بدهی])</f>
        <v>0</v>
      </c>
      <c r="M175">
        <f>SUMIF(TArticle[تاریخ],TDays[[#This Row],[تاریخ]],TArticle[افزایش بدهی])</f>
        <v>0</v>
      </c>
      <c r="N175">
        <f>-SUMIF(TArticle[تاریخ],TDays[[#This Row],[تاریخ]],TArticle[افزایش سرمایه])</f>
        <v>0</v>
      </c>
      <c r="O175">
        <f>SUMIF(TArticle[تاریخ],TDays[[#This Row],[تاریخ]],TArticle[تعداد تراکنش انجام شده])</f>
        <v>0</v>
      </c>
      <c r="P175">
        <f>INT(((TDays[[#This Row],[ماه]]-1)*31+TDays[[#This Row],[روز]]+1)/7)+1</f>
        <v>26</v>
      </c>
      <c r="Q175">
        <f>SUMIF(TArticle[تاریخ],TDays[[#This Row],[تاریخ]],TArticle[تراکنش برنامه ریزی شده])</f>
        <v>0</v>
      </c>
    </row>
    <row r="176" spans="1:17" x14ac:dyDescent="0.25">
      <c r="A176" s="3" t="s">
        <v>373</v>
      </c>
      <c r="B176" t="str">
        <f>RIGHT(TDays[[#This Row],[تاریخ]],2)</f>
        <v>20</v>
      </c>
      <c r="C176" t="str">
        <f>RIGHT(LEFT(TDays[[#This Row],[تاریخ]],7),2)</f>
        <v>06</v>
      </c>
      <c r="D176" t="str">
        <f>LEFT(TDays[[#This Row],[تاریخ]],4)</f>
        <v>1401</v>
      </c>
      <c r="E176" t="str">
        <f>LEFT(TDays[[#This Row],[تاریخ]],7)</f>
        <v>1401-06</v>
      </c>
      <c r="F176">
        <v>1</v>
      </c>
      <c r="G176" s="15" t="str">
        <f>VLOOKUP(TDays[[#This Row],[کد روز هفته]],TDaysOfTheWeek[],2,FALSE)</f>
        <v>یکشنبه</v>
      </c>
      <c r="H176" s="15">
        <f>IFERROR(IF(E175&lt;&gt;E176,1,INT(H175)+IF(TDays[[#This Row],[کد روز هفته]]=0,1,0)),1)</f>
        <v>4</v>
      </c>
      <c r="I176">
        <f>-SUMIF(TArticle[تاریخ],TDays[[#This Row],[تاریخ]],TArticle[هزینه])</f>
        <v>0</v>
      </c>
      <c r="J176">
        <f>SUMIF(TArticle[تاریخ],TDays[[#This Row],[تاریخ]],TArticle[درآمد تتا])</f>
        <v>0</v>
      </c>
      <c r="K176">
        <f>SUMIF(TArticle[تاریخ],TDays[[#This Row],[تاریخ]],TArticle[اسنپ])</f>
        <v>0</v>
      </c>
      <c r="L176">
        <f>-SUMIF(TArticle[تاریخ],TDays[[#This Row],[تاریخ]],TArticle[پرداخت بدهی])</f>
        <v>0</v>
      </c>
      <c r="M176">
        <f>SUMIF(TArticle[تاریخ],TDays[[#This Row],[تاریخ]],TArticle[افزایش بدهی])</f>
        <v>0</v>
      </c>
      <c r="N176">
        <f>-SUMIF(TArticle[تاریخ],TDays[[#This Row],[تاریخ]],TArticle[افزایش سرمایه])</f>
        <v>0</v>
      </c>
      <c r="O176">
        <f>SUMIF(TArticle[تاریخ],TDays[[#This Row],[تاریخ]],TArticle[تعداد تراکنش انجام شده])</f>
        <v>1</v>
      </c>
      <c r="P176">
        <f>INT(((TDays[[#This Row],[ماه]]-1)*31+TDays[[#This Row],[روز]]+1)/7)+1</f>
        <v>26</v>
      </c>
      <c r="Q176">
        <f>SUMIF(TArticle[تاریخ],TDays[[#This Row],[تاریخ]],TArticle[تراکنش برنامه ریزی شده])</f>
        <v>0</v>
      </c>
    </row>
    <row r="177" spans="1:17" x14ac:dyDescent="0.25">
      <c r="A177" s="3" t="s">
        <v>374</v>
      </c>
      <c r="B177" t="str">
        <f>RIGHT(TDays[[#This Row],[تاریخ]],2)</f>
        <v>21</v>
      </c>
      <c r="C177" t="str">
        <f>RIGHT(LEFT(TDays[[#This Row],[تاریخ]],7),2)</f>
        <v>06</v>
      </c>
      <c r="D177" t="str">
        <f>LEFT(TDays[[#This Row],[تاریخ]],4)</f>
        <v>1401</v>
      </c>
      <c r="E177" t="str">
        <f>LEFT(TDays[[#This Row],[تاریخ]],7)</f>
        <v>1401-06</v>
      </c>
      <c r="F177">
        <v>2</v>
      </c>
      <c r="G177" s="15" t="str">
        <f>VLOOKUP(TDays[[#This Row],[کد روز هفته]],TDaysOfTheWeek[],2,FALSE)</f>
        <v>دوشنبه</v>
      </c>
      <c r="H177" s="15">
        <f>IFERROR(IF(E176&lt;&gt;E177,1,INT(H176)+IF(TDays[[#This Row],[کد روز هفته]]=0,1,0)),1)</f>
        <v>4</v>
      </c>
      <c r="I177">
        <f>-SUMIF(TArticle[تاریخ],TDays[[#This Row],[تاریخ]],TArticle[هزینه])</f>
        <v>0</v>
      </c>
      <c r="J177">
        <f>SUMIF(TArticle[تاریخ],TDays[[#This Row],[تاریخ]],TArticle[درآمد تتا])</f>
        <v>0</v>
      </c>
      <c r="K177">
        <f>SUMIF(TArticle[تاریخ],TDays[[#This Row],[تاریخ]],TArticle[اسنپ])</f>
        <v>0</v>
      </c>
      <c r="L177">
        <f>-SUMIF(TArticle[تاریخ],TDays[[#This Row],[تاریخ]],TArticle[پرداخت بدهی])</f>
        <v>0</v>
      </c>
      <c r="M177">
        <f>SUMIF(TArticle[تاریخ],TDays[[#This Row],[تاریخ]],TArticle[افزایش بدهی])</f>
        <v>0</v>
      </c>
      <c r="N177">
        <f>-SUMIF(TArticle[تاریخ],TDays[[#This Row],[تاریخ]],TArticle[افزایش سرمایه])</f>
        <v>0</v>
      </c>
      <c r="O177">
        <f>SUMIF(TArticle[تاریخ],TDays[[#This Row],[تاریخ]],TArticle[تعداد تراکنش انجام شده])</f>
        <v>0</v>
      </c>
      <c r="P177">
        <f>INT(((TDays[[#This Row],[ماه]]-1)*31+TDays[[#This Row],[روز]]+1)/7)+1</f>
        <v>26</v>
      </c>
      <c r="Q177">
        <f>SUMIF(TArticle[تاریخ],TDays[[#This Row],[تاریخ]],TArticle[تراکنش برنامه ریزی شده])</f>
        <v>0</v>
      </c>
    </row>
    <row r="178" spans="1:17" x14ac:dyDescent="0.25">
      <c r="A178" s="3" t="s">
        <v>375</v>
      </c>
      <c r="B178" t="str">
        <f>RIGHT(TDays[[#This Row],[تاریخ]],2)</f>
        <v>22</v>
      </c>
      <c r="C178" t="str">
        <f>RIGHT(LEFT(TDays[[#This Row],[تاریخ]],7),2)</f>
        <v>06</v>
      </c>
      <c r="D178" t="str">
        <f>LEFT(TDays[[#This Row],[تاریخ]],4)</f>
        <v>1401</v>
      </c>
      <c r="E178" t="str">
        <f>LEFT(TDays[[#This Row],[تاریخ]],7)</f>
        <v>1401-06</v>
      </c>
      <c r="F178">
        <v>3</v>
      </c>
      <c r="G178" s="15" t="str">
        <f>VLOOKUP(TDays[[#This Row],[کد روز هفته]],TDaysOfTheWeek[],2,FALSE)</f>
        <v>سه شنبه</v>
      </c>
      <c r="H178" s="15">
        <f>IFERROR(IF(E177&lt;&gt;E178,1,INT(H177)+IF(TDays[[#This Row],[کد روز هفته]]=0,1,0)),1)</f>
        <v>4</v>
      </c>
      <c r="I178">
        <f>-SUMIF(TArticle[تاریخ],TDays[[#This Row],[تاریخ]],TArticle[هزینه])</f>
        <v>0</v>
      </c>
      <c r="J178">
        <f>SUMIF(TArticle[تاریخ],TDays[[#This Row],[تاریخ]],TArticle[درآمد تتا])</f>
        <v>0</v>
      </c>
      <c r="K178">
        <f>SUMIF(TArticle[تاریخ],TDays[[#This Row],[تاریخ]],TArticle[اسنپ])</f>
        <v>0</v>
      </c>
      <c r="L178">
        <f>-SUMIF(TArticle[تاریخ],TDays[[#This Row],[تاریخ]],TArticle[پرداخت بدهی])</f>
        <v>0</v>
      </c>
      <c r="M178">
        <f>SUMIF(TArticle[تاریخ],TDays[[#This Row],[تاریخ]],TArticle[افزایش بدهی])</f>
        <v>0</v>
      </c>
      <c r="N178">
        <f>-SUMIF(TArticle[تاریخ],TDays[[#This Row],[تاریخ]],TArticle[افزایش سرمایه])</f>
        <v>0</v>
      </c>
      <c r="O178">
        <f>SUMIF(TArticle[تاریخ],TDays[[#This Row],[تاریخ]],TArticle[تعداد تراکنش انجام شده])</f>
        <v>0</v>
      </c>
      <c r="P178">
        <f>INT(((TDays[[#This Row],[ماه]]-1)*31+TDays[[#This Row],[روز]]+1)/7)+1</f>
        <v>26</v>
      </c>
      <c r="Q178">
        <f>SUMIF(TArticle[تاریخ],TDays[[#This Row],[تاریخ]],TArticle[تراکنش برنامه ریزی شده])</f>
        <v>0</v>
      </c>
    </row>
    <row r="179" spans="1:17" x14ac:dyDescent="0.25">
      <c r="A179" s="3" t="s">
        <v>376</v>
      </c>
      <c r="B179" t="str">
        <f>RIGHT(TDays[[#This Row],[تاریخ]],2)</f>
        <v>23</v>
      </c>
      <c r="C179" t="str">
        <f>RIGHT(LEFT(TDays[[#This Row],[تاریخ]],7),2)</f>
        <v>06</v>
      </c>
      <c r="D179" t="str">
        <f>LEFT(TDays[[#This Row],[تاریخ]],4)</f>
        <v>1401</v>
      </c>
      <c r="E179" t="str">
        <f>LEFT(TDays[[#This Row],[تاریخ]],7)</f>
        <v>1401-06</v>
      </c>
      <c r="F179">
        <v>4</v>
      </c>
      <c r="G179" s="15" t="str">
        <f>VLOOKUP(TDays[[#This Row],[کد روز هفته]],TDaysOfTheWeek[],2,FALSE)</f>
        <v>چهارشنبه</v>
      </c>
      <c r="H179" s="15">
        <f>IFERROR(IF(E178&lt;&gt;E179,1,INT(H178)+IF(TDays[[#This Row],[کد روز هفته]]=0,1,0)),1)</f>
        <v>4</v>
      </c>
      <c r="I179">
        <f>-SUMIF(TArticle[تاریخ],TDays[[#This Row],[تاریخ]],TArticle[هزینه])</f>
        <v>0</v>
      </c>
      <c r="J179">
        <f>SUMIF(TArticle[تاریخ],TDays[[#This Row],[تاریخ]],TArticle[درآمد تتا])</f>
        <v>0</v>
      </c>
      <c r="K179">
        <f>SUMIF(TArticle[تاریخ],TDays[[#This Row],[تاریخ]],TArticle[اسنپ])</f>
        <v>0</v>
      </c>
      <c r="L179">
        <f>-SUMIF(TArticle[تاریخ],TDays[[#This Row],[تاریخ]],TArticle[پرداخت بدهی])</f>
        <v>0</v>
      </c>
      <c r="M179">
        <f>SUMIF(TArticle[تاریخ],TDays[[#This Row],[تاریخ]],TArticle[افزایش بدهی])</f>
        <v>0</v>
      </c>
      <c r="N179">
        <f>-SUMIF(TArticle[تاریخ],TDays[[#This Row],[تاریخ]],TArticle[افزایش سرمایه])</f>
        <v>0</v>
      </c>
      <c r="O179">
        <f>SUMIF(TArticle[تاریخ],TDays[[#This Row],[تاریخ]],TArticle[تعداد تراکنش انجام شده])</f>
        <v>0</v>
      </c>
      <c r="P179">
        <f>INT(((TDays[[#This Row],[ماه]]-1)*31+TDays[[#This Row],[روز]]+1)/7)+1</f>
        <v>26</v>
      </c>
      <c r="Q179">
        <f>SUMIF(TArticle[تاریخ],TDays[[#This Row],[تاریخ]],TArticle[تراکنش برنامه ریزی شده])</f>
        <v>0</v>
      </c>
    </row>
    <row r="180" spans="1:17" x14ac:dyDescent="0.25">
      <c r="A180" s="3" t="s">
        <v>377</v>
      </c>
      <c r="B180" t="str">
        <f>RIGHT(TDays[[#This Row],[تاریخ]],2)</f>
        <v>24</v>
      </c>
      <c r="C180" t="str">
        <f>RIGHT(LEFT(TDays[[#This Row],[تاریخ]],7),2)</f>
        <v>06</v>
      </c>
      <c r="D180" t="str">
        <f>LEFT(TDays[[#This Row],[تاریخ]],4)</f>
        <v>1401</v>
      </c>
      <c r="E180" t="str">
        <f>LEFT(TDays[[#This Row],[تاریخ]],7)</f>
        <v>1401-06</v>
      </c>
      <c r="F180">
        <v>5</v>
      </c>
      <c r="G180" s="15" t="str">
        <f>VLOOKUP(TDays[[#This Row],[کد روز هفته]],TDaysOfTheWeek[],2,FALSE)</f>
        <v>پنجشنبه</v>
      </c>
      <c r="H180" s="15">
        <f>IFERROR(IF(E179&lt;&gt;E180,1,INT(H179)+IF(TDays[[#This Row],[کد روز هفته]]=0,1,0)),1)</f>
        <v>4</v>
      </c>
      <c r="I180">
        <f>-SUMIF(TArticle[تاریخ],TDays[[#This Row],[تاریخ]],TArticle[هزینه])</f>
        <v>0</v>
      </c>
      <c r="J180">
        <f>SUMIF(TArticle[تاریخ],TDays[[#This Row],[تاریخ]],TArticle[درآمد تتا])</f>
        <v>0</v>
      </c>
      <c r="K180">
        <f>SUMIF(TArticle[تاریخ],TDays[[#This Row],[تاریخ]],TArticle[اسنپ])</f>
        <v>0</v>
      </c>
      <c r="L180">
        <f>-SUMIF(TArticle[تاریخ],TDays[[#This Row],[تاریخ]],TArticle[پرداخت بدهی])</f>
        <v>0</v>
      </c>
      <c r="M180">
        <f>SUMIF(TArticle[تاریخ],TDays[[#This Row],[تاریخ]],TArticle[افزایش بدهی])</f>
        <v>0</v>
      </c>
      <c r="N180">
        <f>-SUMIF(TArticle[تاریخ],TDays[[#This Row],[تاریخ]],TArticle[افزایش سرمایه])</f>
        <v>0</v>
      </c>
      <c r="O180">
        <f>SUMIF(TArticle[تاریخ],TDays[[#This Row],[تاریخ]],TArticle[تعداد تراکنش انجام شده])</f>
        <v>0</v>
      </c>
      <c r="P180">
        <f>INT(((TDays[[#This Row],[ماه]]-1)*31+TDays[[#This Row],[روز]]+1)/7)+1</f>
        <v>26</v>
      </c>
      <c r="Q180">
        <f>SUMIF(TArticle[تاریخ],TDays[[#This Row],[تاریخ]],TArticle[تراکنش برنامه ریزی شده])</f>
        <v>0</v>
      </c>
    </row>
    <row r="181" spans="1:17" x14ac:dyDescent="0.25">
      <c r="A181" s="3" t="s">
        <v>378</v>
      </c>
      <c r="B181" t="str">
        <f>RIGHT(TDays[[#This Row],[تاریخ]],2)</f>
        <v>25</v>
      </c>
      <c r="C181" t="str">
        <f>RIGHT(LEFT(TDays[[#This Row],[تاریخ]],7),2)</f>
        <v>06</v>
      </c>
      <c r="D181" t="str">
        <f>LEFT(TDays[[#This Row],[تاریخ]],4)</f>
        <v>1401</v>
      </c>
      <c r="E181" t="str">
        <f>LEFT(TDays[[#This Row],[تاریخ]],7)</f>
        <v>1401-06</v>
      </c>
      <c r="F181">
        <v>6</v>
      </c>
      <c r="G181" s="15" t="str">
        <f>VLOOKUP(TDays[[#This Row],[کد روز هفته]],TDaysOfTheWeek[],2,FALSE)</f>
        <v>جمعه</v>
      </c>
      <c r="H181" s="15">
        <f>IFERROR(IF(E180&lt;&gt;E181,1,INT(H180)+IF(TDays[[#This Row],[کد روز هفته]]=0,1,0)),1)</f>
        <v>4</v>
      </c>
      <c r="I181">
        <f>-SUMIF(TArticle[تاریخ],TDays[[#This Row],[تاریخ]],TArticle[هزینه])</f>
        <v>0</v>
      </c>
      <c r="J181">
        <f>SUMIF(TArticle[تاریخ],TDays[[#This Row],[تاریخ]],TArticle[درآمد تتا])</f>
        <v>0</v>
      </c>
      <c r="K181">
        <f>SUMIF(TArticle[تاریخ],TDays[[#This Row],[تاریخ]],TArticle[اسنپ])</f>
        <v>0</v>
      </c>
      <c r="L181">
        <f>-SUMIF(TArticle[تاریخ],TDays[[#This Row],[تاریخ]],TArticle[پرداخت بدهی])</f>
        <v>0</v>
      </c>
      <c r="M181">
        <f>SUMIF(TArticle[تاریخ],TDays[[#This Row],[تاریخ]],TArticle[افزایش بدهی])</f>
        <v>0</v>
      </c>
      <c r="N181">
        <f>-SUMIF(TArticle[تاریخ],TDays[[#This Row],[تاریخ]],TArticle[افزایش سرمایه])</f>
        <v>0</v>
      </c>
      <c r="O181">
        <f>SUMIF(TArticle[تاریخ],TDays[[#This Row],[تاریخ]],TArticle[تعداد تراکنش انجام شده])</f>
        <v>0</v>
      </c>
      <c r="P181">
        <f>INT(((TDays[[#This Row],[ماه]]-1)*31+TDays[[#This Row],[روز]]+1)/7)+1</f>
        <v>26</v>
      </c>
      <c r="Q181">
        <f>SUMIF(TArticle[تاریخ],TDays[[#This Row],[تاریخ]],TArticle[تراکنش برنامه ریزی شده])</f>
        <v>0</v>
      </c>
    </row>
    <row r="182" spans="1:17" x14ac:dyDescent="0.25">
      <c r="A182" s="3" t="s">
        <v>379</v>
      </c>
      <c r="B182" t="str">
        <f>RIGHT(TDays[[#This Row],[تاریخ]],2)</f>
        <v>26</v>
      </c>
      <c r="C182" t="str">
        <f>RIGHT(LEFT(TDays[[#This Row],[تاریخ]],7),2)</f>
        <v>06</v>
      </c>
      <c r="D182" t="str">
        <f>LEFT(TDays[[#This Row],[تاریخ]],4)</f>
        <v>1401</v>
      </c>
      <c r="E182" t="str">
        <f>LEFT(TDays[[#This Row],[تاریخ]],7)</f>
        <v>1401-06</v>
      </c>
      <c r="F182">
        <v>0</v>
      </c>
      <c r="G182" s="15" t="str">
        <f>VLOOKUP(TDays[[#This Row],[کد روز هفته]],TDaysOfTheWeek[],2,FALSE)</f>
        <v>شنبه</v>
      </c>
      <c r="H182" s="15">
        <f>IFERROR(IF(E181&lt;&gt;E182,1,INT(H181)+IF(TDays[[#This Row],[کد روز هفته]]=0,1,0)),1)</f>
        <v>5</v>
      </c>
      <c r="I182">
        <f>-SUMIF(TArticle[تاریخ],TDays[[#This Row],[تاریخ]],TArticle[هزینه])</f>
        <v>0</v>
      </c>
      <c r="J182">
        <f>SUMIF(TArticle[تاریخ],TDays[[#This Row],[تاریخ]],TArticle[درآمد تتا])</f>
        <v>0</v>
      </c>
      <c r="K182">
        <f>SUMIF(TArticle[تاریخ],TDays[[#This Row],[تاریخ]],TArticle[اسنپ])</f>
        <v>0</v>
      </c>
      <c r="L182">
        <f>-SUMIF(TArticle[تاریخ],TDays[[#This Row],[تاریخ]],TArticle[پرداخت بدهی])</f>
        <v>0</v>
      </c>
      <c r="M182">
        <f>SUMIF(TArticle[تاریخ],TDays[[#This Row],[تاریخ]],TArticle[افزایش بدهی])</f>
        <v>0</v>
      </c>
      <c r="N182">
        <f>-SUMIF(TArticle[تاریخ],TDays[[#This Row],[تاریخ]],TArticle[افزایش سرمایه])</f>
        <v>0</v>
      </c>
      <c r="O182">
        <f>SUMIF(TArticle[تاریخ],TDays[[#This Row],[تاریخ]],TArticle[تعداد تراکنش انجام شده])</f>
        <v>0</v>
      </c>
      <c r="P182">
        <f>INT(((TDays[[#This Row],[ماه]]-1)*31+TDays[[#This Row],[روز]]+1)/7)+1</f>
        <v>27</v>
      </c>
      <c r="Q182">
        <f>SUMIF(TArticle[تاریخ],TDays[[#This Row],[تاریخ]],TArticle[تراکنش برنامه ریزی شده])</f>
        <v>0</v>
      </c>
    </row>
    <row r="183" spans="1:17" x14ac:dyDescent="0.25">
      <c r="A183" s="3" t="s">
        <v>380</v>
      </c>
      <c r="B183" t="str">
        <f>RIGHT(TDays[[#This Row],[تاریخ]],2)</f>
        <v>27</v>
      </c>
      <c r="C183" t="str">
        <f>RIGHT(LEFT(TDays[[#This Row],[تاریخ]],7),2)</f>
        <v>06</v>
      </c>
      <c r="D183" t="str">
        <f>LEFT(TDays[[#This Row],[تاریخ]],4)</f>
        <v>1401</v>
      </c>
      <c r="E183" t="str">
        <f>LEFT(TDays[[#This Row],[تاریخ]],7)</f>
        <v>1401-06</v>
      </c>
      <c r="F183">
        <v>1</v>
      </c>
      <c r="G183" s="15" t="str">
        <f>VLOOKUP(TDays[[#This Row],[کد روز هفته]],TDaysOfTheWeek[],2,FALSE)</f>
        <v>یکشنبه</v>
      </c>
      <c r="H183" s="15">
        <f>IFERROR(IF(E182&lt;&gt;E183,1,INT(H182)+IF(TDays[[#This Row],[کد روز هفته]]=0,1,0)),1)</f>
        <v>5</v>
      </c>
      <c r="I183">
        <f>-SUMIF(TArticle[تاریخ],TDays[[#This Row],[تاریخ]],TArticle[هزینه])</f>
        <v>0</v>
      </c>
      <c r="J183">
        <f>SUMIF(TArticle[تاریخ],TDays[[#This Row],[تاریخ]],TArticle[درآمد تتا])</f>
        <v>0</v>
      </c>
      <c r="K183">
        <f>SUMIF(TArticle[تاریخ],TDays[[#This Row],[تاریخ]],TArticle[اسنپ])</f>
        <v>0</v>
      </c>
      <c r="L183">
        <f>-SUMIF(TArticle[تاریخ],TDays[[#This Row],[تاریخ]],TArticle[پرداخت بدهی])</f>
        <v>0</v>
      </c>
      <c r="M183">
        <f>SUMIF(TArticle[تاریخ],TDays[[#This Row],[تاریخ]],TArticle[افزایش بدهی])</f>
        <v>0</v>
      </c>
      <c r="N183">
        <f>-SUMIF(TArticle[تاریخ],TDays[[#This Row],[تاریخ]],TArticle[افزایش سرمایه])</f>
        <v>0</v>
      </c>
      <c r="O183">
        <f>SUMIF(TArticle[تاریخ],TDays[[#This Row],[تاریخ]],TArticle[تعداد تراکنش انجام شده])</f>
        <v>0</v>
      </c>
      <c r="P183">
        <f>INT(((TDays[[#This Row],[ماه]]-1)*31+TDays[[#This Row],[روز]]+1)/7)+1</f>
        <v>27</v>
      </c>
      <c r="Q183">
        <f>SUMIF(TArticle[تاریخ],TDays[[#This Row],[تاریخ]],TArticle[تراکنش برنامه ریزی شده])</f>
        <v>0</v>
      </c>
    </row>
    <row r="184" spans="1:17" x14ac:dyDescent="0.25">
      <c r="A184" s="3" t="s">
        <v>381</v>
      </c>
      <c r="B184" t="str">
        <f>RIGHT(TDays[[#This Row],[تاریخ]],2)</f>
        <v>28</v>
      </c>
      <c r="C184" t="str">
        <f>RIGHT(LEFT(TDays[[#This Row],[تاریخ]],7),2)</f>
        <v>06</v>
      </c>
      <c r="D184" t="str">
        <f>LEFT(TDays[[#This Row],[تاریخ]],4)</f>
        <v>1401</v>
      </c>
      <c r="E184" t="str">
        <f>LEFT(TDays[[#This Row],[تاریخ]],7)</f>
        <v>1401-06</v>
      </c>
      <c r="F184">
        <v>2</v>
      </c>
      <c r="G184" s="15" t="str">
        <f>VLOOKUP(TDays[[#This Row],[کد روز هفته]],TDaysOfTheWeek[],2,FALSE)</f>
        <v>دوشنبه</v>
      </c>
      <c r="H184" s="15">
        <f>IFERROR(IF(E183&lt;&gt;E184,1,INT(H183)+IF(TDays[[#This Row],[کد روز هفته]]=0,1,0)),1)</f>
        <v>5</v>
      </c>
      <c r="I184">
        <f>-SUMIF(TArticle[تاریخ],TDays[[#This Row],[تاریخ]],TArticle[هزینه])</f>
        <v>0</v>
      </c>
      <c r="J184">
        <f>SUMIF(TArticle[تاریخ],TDays[[#This Row],[تاریخ]],TArticle[درآمد تتا])</f>
        <v>0</v>
      </c>
      <c r="K184">
        <f>SUMIF(TArticle[تاریخ],TDays[[#This Row],[تاریخ]],TArticle[اسنپ])</f>
        <v>0</v>
      </c>
      <c r="L184">
        <f>-SUMIF(TArticle[تاریخ],TDays[[#This Row],[تاریخ]],TArticle[پرداخت بدهی])</f>
        <v>1808</v>
      </c>
      <c r="M184">
        <f>SUMIF(TArticle[تاریخ],TDays[[#This Row],[تاریخ]],TArticle[افزایش بدهی])</f>
        <v>0</v>
      </c>
      <c r="N184">
        <f>-SUMIF(TArticle[تاریخ],TDays[[#This Row],[تاریخ]],TArticle[افزایش سرمایه])</f>
        <v>0</v>
      </c>
      <c r="O184">
        <f>SUMIF(TArticle[تاریخ],TDays[[#This Row],[تاریخ]],TArticle[تعداد تراکنش انجام شده])</f>
        <v>1</v>
      </c>
      <c r="P184">
        <f>INT(((TDays[[#This Row],[ماه]]-1)*31+TDays[[#This Row],[روز]]+1)/7)+1</f>
        <v>27</v>
      </c>
      <c r="Q184">
        <f>SUMIF(TArticle[تاریخ],TDays[[#This Row],[تاریخ]],TArticle[تراکنش برنامه ریزی شده])</f>
        <v>0</v>
      </c>
    </row>
    <row r="185" spans="1:17" x14ac:dyDescent="0.25">
      <c r="A185" s="3" t="s">
        <v>382</v>
      </c>
      <c r="B185" t="str">
        <f>RIGHT(TDays[[#This Row],[تاریخ]],2)</f>
        <v>29</v>
      </c>
      <c r="C185" t="str">
        <f>RIGHT(LEFT(TDays[[#This Row],[تاریخ]],7),2)</f>
        <v>06</v>
      </c>
      <c r="D185" t="str">
        <f>LEFT(TDays[[#This Row],[تاریخ]],4)</f>
        <v>1401</v>
      </c>
      <c r="E185" t="str">
        <f>LEFT(TDays[[#This Row],[تاریخ]],7)</f>
        <v>1401-06</v>
      </c>
      <c r="F185">
        <v>3</v>
      </c>
      <c r="G185" s="15" t="str">
        <f>VLOOKUP(TDays[[#This Row],[کد روز هفته]],TDaysOfTheWeek[],2,FALSE)</f>
        <v>سه شنبه</v>
      </c>
      <c r="H185" s="15">
        <f>IFERROR(IF(E184&lt;&gt;E185,1,INT(H184)+IF(TDays[[#This Row],[کد روز هفته]]=0,1,0)),1)</f>
        <v>5</v>
      </c>
      <c r="I185">
        <f>-SUMIF(TArticle[تاریخ],TDays[[#This Row],[تاریخ]],TArticle[هزینه])</f>
        <v>0</v>
      </c>
      <c r="J185">
        <f>SUMIF(TArticle[تاریخ],TDays[[#This Row],[تاریخ]],TArticle[درآمد تتا])</f>
        <v>0</v>
      </c>
      <c r="K185">
        <f>SUMIF(TArticle[تاریخ],TDays[[#This Row],[تاریخ]],TArticle[اسنپ])</f>
        <v>0</v>
      </c>
      <c r="L185">
        <f>-SUMIF(TArticle[تاریخ],TDays[[#This Row],[تاریخ]],TArticle[پرداخت بدهی])</f>
        <v>0</v>
      </c>
      <c r="M185">
        <f>SUMIF(TArticle[تاریخ],TDays[[#This Row],[تاریخ]],TArticle[افزایش بدهی])</f>
        <v>0</v>
      </c>
      <c r="N185">
        <f>-SUMIF(TArticle[تاریخ],TDays[[#This Row],[تاریخ]],TArticle[افزایش سرمایه])</f>
        <v>0</v>
      </c>
      <c r="O185">
        <f>SUMIF(TArticle[تاریخ],TDays[[#This Row],[تاریخ]],TArticle[تعداد تراکنش انجام شده])</f>
        <v>0</v>
      </c>
      <c r="P185">
        <f>INT(((TDays[[#This Row],[ماه]]-1)*31+TDays[[#This Row],[روز]]+1)/7)+1</f>
        <v>27</v>
      </c>
      <c r="Q185">
        <f>SUMIF(TArticle[تاریخ],TDays[[#This Row],[تاریخ]],TArticle[تراکنش برنامه ریزی شده])</f>
        <v>0</v>
      </c>
    </row>
    <row r="186" spans="1:17" x14ac:dyDescent="0.25">
      <c r="A186" s="3" t="s">
        <v>383</v>
      </c>
      <c r="B186" t="str">
        <f>RIGHT(TDays[[#This Row],[تاریخ]],2)</f>
        <v>30</v>
      </c>
      <c r="C186" t="str">
        <f>RIGHT(LEFT(TDays[[#This Row],[تاریخ]],7),2)</f>
        <v>06</v>
      </c>
      <c r="D186" t="str">
        <f>LEFT(TDays[[#This Row],[تاریخ]],4)</f>
        <v>1401</v>
      </c>
      <c r="E186" t="str">
        <f>LEFT(TDays[[#This Row],[تاریخ]],7)</f>
        <v>1401-06</v>
      </c>
      <c r="F186">
        <v>4</v>
      </c>
      <c r="G186" s="15" t="str">
        <f>VLOOKUP(TDays[[#This Row],[کد روز هفته]],TDaysOfTheWeek[],2,FALSE)</f>
        <v>چهارشنبه</v>
      </c>
      <c r="H186" s="15">
        <f>IFERROR(IF(E185&lt;&gt;E186,1,INT(H185)+IF(TDays[[#This Row],[کد روز هفته]]=0,1,0)),1)</f>
        <v>5</v>
      </c>
      <c r="I186">
        <f>-SUMIF(TArticle[تاریخ],TDays[[#This Row],[تاریخ]],TArticle[هزینه])</f>
        <v>0</v>
      </c>
      <c r="J186">
        <f>SUMIF(TArticle[تاریخ],TDays[[#This Row],[تاریخ]],TArticle[درآمد تتا])</f>
        <v>0</v>
      </c>
      <c r="K186">
        <f>SUMIF(TArticle[تاریخ],TDays[[#This Row],[تاریخ]],TArticle[اسنپ])</f>
        <v>0</v>
      </c>
      <c r="L186">
        <f>-SUMIF(TArticle[تاریخ],TDays[[#This Row],[تاریخ]],TArticle[پرداخت بدهی])</f>
        <v>0</v>
      </c>
      <c r="M186">
        <f>SUMIF(TArticle[تاریخ],TDays[[#This Row],[تاریخ]],TArticle[افزایش بدهی])</f>
        <v>0</v>
      </c>
      <c r="N186">
        <f>-SUMIF(TArticle[تاریخ],TDays[[#This Row],[تاریخ]],TArticle[افزایش سرمایه])</f>
        <v>0</v>
      </c>
      <c r="O186">
        <f>SUMIF(TArticle[تاریخ],TDays[[#This Row],[تاریخ]],TArticle[تعداد تراکنش انجام شده])</f>
        <v>0</v>
      </c>
      <c r="P186">
        <f>INT(((TDays[[#This Row],[ماه]]-1)*31+TDays[[#This Row],[روز]]+1)/7)+1</f>
        <v>27</v>
      </c>
      <c r="Q186">
        <f>SUMIF(TArticle[تاریخ],TDays[[#This Row],[تاریخ]],TArticle[تراکنش برنامه ریزی شده])</f>
        <v>0</v>
      </c>
    </row>
    <row r="187" spans="1:17" x14ac:dyDescent="0.25">
      <c r="A187" s="3" t="s">
        <v>384</v>
      </c>
      <c r="B187" t="str">
        <f>RIGHT(TDays[[#This Row],[تاریخ]],2)</f>
        <v>31</v>
      </c>
      <c r="C187" t="str">
        <f>RIGHT(LEFT(TDays[[#This Row],[تاریخ]],7),2)</f>
        <v>06</v>
      </c>
      <c r="D187" t="str">
        <f>LEFT(TDays[[#This Row],[تاریخ]],4)</f>
        <v>1401</v>
      </c>
      <c r="E187" t="str">
        <f>LEFT(TDays[[#This Row],[تاریخ]],7)</f>
        <v>1401-06</v>
      </c>
      <c r="F187">
        <v>5</v>
      </c>
      <c r="G187" s="15" t="str">
        <f>VLOOKUP(TDays[[#This Row],[کد روز هفته]],TDaysOfTheWeek[],2,FALSE)</f>
        <v>پنجشنبه</v>
      </c>
      <c r="H187" s="15">
        <f>IFERROR(IF(E186&lt;&gt;E187,1,INT(H186)+IF(TDays[[#This Row],[کد روز هفته]]=0,1,0)),1)</f>
        <v>5</v>
      </c>
      <c r="I187">
        <f>-SUMIF(TArticle[تاریخ],TDays[[#This Row],[تاریخ]],TArticle[هزینه])</f>
        <v>13663</v>
      </c>
      <c r="J187">
        <f>SUMIF(TArticle[تاریخ],TDays[[#This Row],[تاریخ]],TArticle[درآمد تتا])</f>
        <v>0</v>
      </c>
      <c r="K187">
        <f>SUMIF(TArticle[تاریخ],TDays[[#This Row],[تاریخ]],TArticle[اسنپ])</f>
        <v>0</v>
      </c>
      <c r="L187">
        <f>-SUMIF(TArticle[تاریخ],TDays[[#This Row],[تاریخ]],TArticle[پرداخت بدهی])</f>
        <v>0</v>
      </c>
      <c r="M187">
        <f>SUMIF(TArticle[تاریخ],TDays[[#This Row],[تاریخ]],TArticle[افزایش بدهی])</f>
        <v>0</v>
      </c>
      <c r="N187">
        <f>-SUMIF(TArticle[تاریخ],TDays[[#This Row],[تاریخ]],TArticle[افزایش سرمایه])</f>
        <v>0</v>
      </c>
      <c r="O187">
        <f>SUMIF(TArticle[تاریخ],TDays[[#This Row],[تاریخ]],TArticle[تعداد تراکنش انجام شده])</f>
        <v>3</v>
      </c>
      <c r="P187">
        <f>INT(((TDays[[#This Row],[ماه]]-1)*31+TDays[[#This Row],[روز]]+1)/7)+1</f>
        <v>27</v>
      </c>
      <c r="Q187">
        <f>SUMIF(TArticle[تاریخ],TDays[[#This Row],[تاریخ]],TArticle[تراکنش برنامه ریزی شده])</f>
        <v>0</v>
      </c>
    </row>
    <row r="188" spans="1:17" x14ac:dyDescent="0.25">
      <c r="A188" s="3" t="s">
        <v>385</v>
      </c>
      <c r="B188" t="str">
        <f>RIGHT(TDays[[#This Row],[تاریخ]],2)</f>
        <v>01</v>
      </c>
      <c r="C188" t="str">
        <f>RIGHT(LEFT(TDays[[#This Row],[تاریخ]],7),2)</f>
        <v>07</v>
      </c>
      <c r="D188" t="str">
        <f>LEFT(TDays[[#This Row],[تاریخ]],4)</f>
        <v>1401</v>
      </c>
      <c r="E188" t="str">
        <f>LEFT(TDays[[#This Row],[تاریخ]],7)</f>
        <v>1401-07</v>
      </c>
      <c r="F188">
        <v>6</v>
      </c>
      <c r="G188" s="15" t="str">
        <f>VLOOKUP(TDays[[#This Row],[کد روز هفته]],TDaysOfTheWeek[],2,FALSE)</f>
        <v>جمعه</v>
      </c>
      <c r="H188" s="15">
        <f>IFERROR(IF(E187&lt;&gt;E188,1,INT(H187)+IF(TDays[[#This Row],[کد روز هفته]]=0,1,0)),1)</f>
        <v>1</v>
      </c>
      <c r="I188">
        <f>-SUMIF(TArticle[تاریخ],TDays[[#This Row],[تاریخ]],TArticle[هزینه])</f>
        <v>1941</v>
      </c>
      <c r="J188">
        <f>SUMIF(TArticle[تاریخ],TDays[[#This Row],[تاریخ]],TArticle[درآمد تتا])</f>
        <v>29270</v>
      </c>
      <c r="K188">
        <f>SUMIF(TArticle[تاریخ],TDays[[#This Row],[تاریخ]],TArticle[اسنپ])</f>
        <v>0</v>
      </c>
      <c r="L188">
        <f>-SUMIF(TArticle[تاریخ],TDays[[#This Row],[تاریخ]],TArticle[پرداخت بدهی])</f>
        <v>3660</v>
      </c>
      <c r="M188">
        <f>SUMIF(TArticle[تاریخ],TDays[[#This Row],[تاریخ]],TArticle[افزایش بدهی])</f>
        <v>0</v>
      </c>
      <c r="N188">
        <f>-SUMIF(TArticle[تاریخ],TDays[[#This Row],[تاریخ]],TArticle[افزایش سرمایه])</f>
        <v>0</v>
      </c>
      <c r="O188">
        <f>SUMIF(TArticle[تاریخ],TDays[[#This Row],[تاریخ]],TArticle[تعداد تراکنش انجام شده])</f>
        <v>6</v>
      </c>
      <c r="P188">
        <f>INT(((TDays[[#This Row],[ماه]]-1)*31+TDays[[#This Row],[روز]]+1)/7)+1</f>
        <v>27</v>
      </c>
      <c r="Q188">
        <f>SUMIF(TArticle[تاریخ],TDays[[#This Row],[تاریخ]],TArticle[تراکنش برنامه ریزی شده])</f>
        <v>0</v>
      </c>
    </row>
    <row r="189" spans="1:17" x14ac:dyDescent="0.25">
      <c r="A189" s="3" t="s">
        <v>386</v>
      </c>
      <c r="B189" t="str">
        <f>RIGHT(TDays[[#This Row],[تاریخ]],2)</f>
        <v>02</v>
      </c>
      <c r="C189" t="str">
        <f>RIGHT(LEFT(TDays[[#This Row],[تاریخ]],7),2)</f>
        <v>07</v>
      </c>
      <c r="D189" t="str">
        <f>LEFT(TDays[[#This Row],[تاریخ]],4)</f>
        <v>1401</v>
      </c>
      <c r="E189" t="str">
        <f>LEFT(TDays[[#This Row],[تاریخ]],7)</f>
        <v>1401-07</v>
      </c>
      <c r="F189">
        <v>0</v>
      </c>
      <c r="G189" s="15" t="str">
        <f>VLOOKUP(TDays[[#This Row],[کد روز هفته]],TDaysOfTheWeek[],2,FALSE)</f>
        <v>شنبه</v>
      </c>
      <c r="H189" s="15">
        <f>IFERROR(IF(E188&lt;&gt;E189,1,INT(H188)+IF(TDays[[#This Row],[کد روز هفته]]=0,1,0)),1)</f>
        <v>2</v>
      </c>
      <c r="I189">
        <f>-SUMIF(TArticle[تاریخ],TDays[[#This Row],[تاریخ]],TArticle[هزینه])</f>
        <v>0</v>
      </c>
      <c r="J189">
        <f>SUMIF(TArticle[تاریخ],TDays[[#This Row],[تاریخ]],TArticle[درآمد تتا])</f>
        <v>0</v>
      </c>
      <c r="K189">
        <f>SUMIF(TArticle[تاریخ],TDays[[#This Row],[تاریخ]],TArticle[اسنپ])</f>
        <v>0</v>
      </c>
      <c r="L189">
        <f>-SUMIF(TArticle[تاریخ],TDays[[#This Row],[تاریخ]],TArticle[پرداخت بدهی])</f>
        <v>0</v>
      </c>
      <c r="M189">
        <f>SUMIF(TArticle[تاریخ],TDays[[#This Row],[تاریخ]],TArticle[افزایش بدهی])</f>
        <v>0</v>
      </c>
      <c r="N189">
        <f>-SUMIF(TArticle[تاریخ],TDays[[#This Row],[تاریخ]],TArticle[افزایش سرمایه])</f>
        <v>0</v>
      </c>
      <c r="O189">
        <f>SUMIF(TArticle[تاریخ],TDays[[#This Row],[تاریخ]],TArticle[تعداد تراکنش انجام شده])</f>
        <v>0</v>
      </c>
      <c r="P189">
        <f>INT(((TDays[[#This Row],[ماه]]-1)*31+TDays[[#This Row],[روز]]+1)/7)+1</f>
        <v>28</v>
      </c>
      <c r="Q189">
        <f>SUMIF(TArticle[تاریخ],TDays[[#This Row],[تاریخ]],TArticle[تراکنش برنامه ریزی شده])</f>
        <v>0</v>
      </c>
    </row>
    <row r="190" spans="1:17" x14ac:dyDescent="0.25">
      <c r="A190" s="3" t="s">
        <v>387</v>
      </c>
      <c r="B190" t="str">
        <f>RIGHT(TDays[[#This Row],[تاریخ]],2)</f>
        <v>03</v>
      </c>
      <c r="C190" t="str">
        <f>RIGHT(LEFT(TDays[[#This Row],[تاریخ]],7),2)</f>
        <v>07</v>
      </c>
      <c r="D190" t="str">
        <f>LEFT(TDays[[#This Row],[تاریخ]],4)</f>
        <v>1401</v>
      </c>
      <c r="E190" t="str">
        <f>LEFT(TDays[[#This Row],[تاریخ]],7)</f>
        <v>1401-07</v>
      </c>
      <c r="F190">
        <v>1</v>
      </c>
      <c r="G190" s="15" t="str">
        <f>VLOOKUP(TDays[[#This Row],[کد روز هفته]],TDaysOfTheWeek[],2,FALSE)</f>
        <v>یکشنبه</v>
      </c>
      <c r="H190" s="15">
        <f>IFERROR(IF(E189&lt;&gt;E190,1,INT(H189)+IF(TDays[[#This Row],[کد روز هفته]]=0,1,0)),1)</f>
        <v>2</v>
      </c>
      <c r="I190">
        <f>-SUMIF(TArticle[تاریخ],TDays[[#This Row],[تاریخ]],TArticle[هزینه])</f>
        <v>0</v>
      </c>
      <c r="J190">
        <f>SUMIF(TArticle[تاریخ],TDays[[#This Row],[تاریخ]],TArticle[درآمد تتا])</f>
        <v>0</v>
      </c>
      <c r="K190">
        <f>SUMIF(TArticle[تاریخ],TDays[[#This Row],[تاریخ]],TArticle[اسنپ])</f>
        <v>0</v>
      </c>
      <c r="L190">
        <f>-SUMIF(TArticle[تاریخ],TDays[[#This Row],[تاریخ]],TArticle[پرداخت بدهی])</f>
        <v>0</v>
      </c>
      <c r="M190">
        <f>SUMIF(TArticle[تاریخ],TDays[[#This Row],[تاریخ]],TArticle[افزایش بدهی])</f>
        <v>0</v>
      </c>
      <c r="N190">
        <f>-SUMIF(TArticle[تاریخ],TDays[[#This Row],[تاریخ]],TArticle[افزایش سرمایه])</f>
        <v>0</v>
      </c>
      <c r="O190">
        <f>SUMIF(TArticle[تاریخ],TDays[[#This Row],[تاریخ]],TArticle[تعداد تراکنش انجام شده])</f>
        <v>0</v>
      </c>
      <c r="P190">
        <f>INT(((TDays[[#This Row],[ماه]]-1)*31+TDays[[#This Row],[روز]]+1)/7)+1</f>
        <v>28</v>
      </c>
      <c r="Q190">
        <f>SUMIF(TArticle[تاریخ],TDays[[#This Row],[تاریخ]],TArticle[تراکنش برنامه ریزی شده])</f>
        <v>0</v>
      </c>
    </row>
    <row r="191" spans="1:17" x14ac:dyDescent="0.25">
      <c r="A191" s="3" t="s">
        <v>388</v>
      </c>
      <c r="B191" t="str">
        <f>RIGHT(TDays[[#This Row],[تاریخ]],2)</f>
        <v>04</v>
      </c>
      <c r="C191" t="str">
        <f>RIGHT(LEFT(TDays[[#This Row],[تاریخ]],7),2)</f>
        <v>07</v>
      </c>
      <c r="D191" t="str">
        <f>LEFT(TDays[[#This Row],[تاریخ]],4)</f>
        <v>1401</v>
      </c>
      <c r="E191" t="str">
        <f>LEFT(TDays[[#This Row],[تاریخ]],7)</f>
        <v>1401-07</v>
      </c>
      <c r="F191">
        <v>2</v>
      </c>
      <c r="G191" s="15" t="str">
        <f>VLOOKUP(TDays[[#This Row],[کد روز هفته]],TDaysOfTheWeek[],2,FALSE)</f>
        <v>دوشنبه</v>
      </c>
      <c r="H191" s="15">
        <f>IFERROR(IF(E190&lt;&gt;E191,1,INT(H190)+IF(TDays[[#This Row],[کد روز هفته]]=0,1,0)),1)</f>
        <v>2</v>
      </c>
      <c r="I191">
        <f>-SUMIF(TArticle[تاریخ],TDays[[#This Row],[تاریخ]],TArticle[هزینه])</f>
        <v>0</v>
      </c>
      <c r="J191">
        <f>SUMIF(TArticle[تاریخ],TDays[[#This Row],[تاریخ]],TArticle[درآمد تتا])</f>
        <v>0</v>
      </c>
      <c r="K191">
        <f>SUMIF(TArticle[تاریخ],TDays[[#This Row],[تاریخ]],TArticle[اسنپ])</f>
        <v>0</v>
      </c>
      <c r="L191">
        <f>-SUMIF(TArticle[تاریخ],TDays[[#This Row],[تاریخ]],TArticle[پرداخت بدهی])</f>
        <v>0</v>
      </c>
      <c r="M191">
        <f>SUMIF(TArticle[تاریخ],TDays[[#This Row],[تاریخ]],TArticle[افزایش بدهی])</f>
        <v>0</v>
      </c>
      <c r="N191">
        <f>-SUMIF(TArticle[تاریخ],TDays[[#This Row],[تاریخ]],TArticle[افزایش سرمایه])</f>
        <v>0</v>
      </c>
      <c r="O191">
        <f>SUMIF(TArticle[تاریخ],TDays[[#This Row],[تاریخ]],TArticle[تعداد تراکنش انجام شده])</f>
        <v>0</v>
      </c>
      <c r="P191">
        <f>INT(((TDays[[#This Row],[ماه]]-1)*31+TDays[[#This Row],[روز]]+1)/7)+1</f>
        <v>28</v>
      </c>
      <c r="Q191">
        <f>SUMIF(TArticle[تاریخ],TDays[[#This Row],[تاریخ]],TArticle[تراکنش برنامه ریزی شده])</f>
        <v>0</v>
      </c>
    </row>
    <row r="192" spans="1:17" x14ac:dyDescent="0.25">
      <c r="A192" s="3" t="s">
        <v>389</v>
      </c>
      <c r="B192" t="str">
        <f>RIGHT(TDays[[#This Row],[تاریخ]],2)</f>
        <v>05</v>
      </c>
      <c r="C192" t="str">
        <f>RIGHT(LEFT(TDays[[#This Row],[تاریخ]],7),2)</f>
        <v>07</v>
      </c>
      <c r="D192" t="str">
        <f>LEFT(TDays[[#This Row],[تاریخ]],4)</f>
        <v>1401</v>
      </c>
      <c r="E192" t="str">
        <f>LEFT(TDays[[#This Row],[تاریخ]],7)</f>
        <v>1401-07</v>
      </c>
      <c r="F192">
        <v>3</v>
      </c>
      <c r="G192" s="15" t="str">
        <f>VLOOKUP(TDays[[#This Row],[کد روز هفته]],TDaysOfTheWeek[],2,FALSE)</f>
        <v>سه شنبه</v>
      </c>
      <c r="H192" s="15">
        <f>IFERROR(IF(E191&lt;&gt;E192,1,INT(H191)+IF(TDays[[#This Row],[کد روز هفته]]=0,1,0)),1)</f>
        <v>2</v>
      </c>
      <c r="I192">
        <f>-SUMIF(TArticle[تاریخ],TDays[[#This Row],[تاریخ]],TArticle[هزینه])</f>
        <v>9000</v>
      </c>
      <c r="J192">
        <f>SUMIF(TArticle[تاریخ],TDays[[#This Row],[تاریخ]],TArticle[درآمد تتا])</f>
        <v>0</v>
      </c>
      <c r="K192">
        <f>SUMIF(TArticle[تاریخ],TDays[[#This Row],[تاریخ]],TArticle[اسنپ])</f>
        <v>0</v>
      </c>
      <c r="L192">
        <f>-SUMIF(TArticle[تاریخ],TDays[[#This Row],[تاریخ]],TArticle[پرداخت بدهی])</f>
        <v>5000</v>
      </c>
      <c r="M192">
        <f>SUMIF(TArticle[تاریخ],TDays[[#This Row],[تاریخ]],TArticle[افزایش بدهی])</f>
        <v>0</v>
      </c>
      <c r="N192">
        <f>-SUMIF(TArticle[تاریخ],TDays[[#This Row],[تاریخ]],TArticle[افزایش سرمایه])</f>
        <v>0</v>
      </c>
      <c r="O192">
        <f>SUMIF(TArticle[تاریخ],TDays[[#This Row],[تاریخ]],TArticle[تعداد تراکنش انجام شده])</f>
        <v>2</v>
      </c>
      <c r="P192">
        <f>INT(((TDays[[#This Row],[ماه]]-1)*31+TDays[[#This Row],[روز]]+1)/7)+1</f>
        <v>28</v>
      </c>
      <c r="Q192">
        <f>SUMIF(TArticle[تاریخ],TDays[[#This Row],[تاریخ]],TArticle[تراکنش برنامه ریزی شده])</f>
        <v>0</v>
      </c>
    </row>
    <row r="193" spans="1:17" x14ac:dyDescent="0.25">
      <c r="A193" s="3" t="s">
        <v>390</v>
      </c>
      <c r="B193" t="str">
        <f>RIGHT(TDays[[#This Row],[تاریخ]],2)</f>
        <v>06</v>
      </c>
      <c r="C193" t="str">
        <f>RIGHT(LEFT(TDays[[#This Row],[تاریخ]],7),2)</f>
        <v>07</v>
      </c>
      <c r="D193" t="str">
        <f>LEFT(TDays[[#This Row],[تاریخ]],4)</f>
        <v>1401</v>
      </c>
      <c r="E193" t="str">
        <f>LEFT(TDays[[#This Row],[تاریخ]],7)</f>
        <v>1401-07</v>
      </c>
      <c r="F193">
        <v>4</v>
      </c>
      <c r="G193" s="15" t="str">
        <f>VLOOKUP(TDays[[#This Row],[کد روز هفته]],TDaysOfTheWeek[],2,FALSE)</f>
        <v>چهارشنبه</v>
      </c>
      <c r="H193" s="15">
        <f>IFERROR(IF(E192&lt;&gt;E193,1,INT(H192)+IF(TDays[[#This Row],[کد روز هفته]]=0,1,0)),1)</f>
        <v>2</v>
      </c>
      <c r="I193">
        <f>-SUMIF(TArticle[تاریخ],TDays[[#This Row],[تاریخ]],TArticle[هزینه])</f>
        <v>0</v>
      </c>
      <c r="J193">
        <f>SUMIF(TArticle[تاریخ],TDays[[#This Row],[تاریخ]],TArticle[درآمد تتا])</f>
        <v>0</v>
      </c>
      <c r="K193">
        <f>SUMIF(TArticle[تاریخ],TDays[[#This Row],[تاریخ]],TArticle[اسنپ])</f>
        <v>0</v>
      </c>
      <c r="L193">
        <f>-SUMIF(TArticle[تاریخ],TDays[[#This Row],[تاریخ]],TArticle[پرداخت بدهی])</f>
        <v>104</v>
      </c>
      <c r="M193">
        <f>SUMIF(TArticle[تاریخ],TDays[[#This Row],[تاریخ]],TArticle[افزایش بدهی])</f>
        <v>0</v>
      </c>
      <c r="N193">
        <f>-SUMIF(TArticle[تاریخ],TDays[[#This Row],[تاریخ]],TArticle[افزایش سرمایه])</f>
        <v>0</v>
      </c>
      <c r="O193">
        <f>SUMIF(TArticle[تاریخ],TDays[[#This Row],[تاریخ]],TArticle[تعداد تراکنش انجام شده])</f>
        <v>1</v>
      </c>
      <c r="P193">
        <f>INT(((TDays[[#This Row],[ماه]]-1)*31+TDays[[#This Row],[روز]]+1)/7)+1</f>
        <v>28</v>
      </c>
      <c r="Q193">
        <f>SUMIF(TArticle[تاریخ],TDays[[#This Row],[تاریخ]],TArticle[تراکنش برنامه ریزی شده])</f>
        <v>0</v>
      </c>
    </row>
    <row r="194" spans="1:17" x14ac:dyDescent="0.25">
      <c r="A194" s="3" t="s">
        <v>391</v>
      </c>
      <c r="B194" t="str">
        <f>RIGHT(TDays[[#This Row],[تاریخ]],2)</f>
        <v>07</v>
      </c>
      <c r="C194" t="str">
        <f>RIGHT(LEFT(TDays[[#This Row],[تاریخ]],7),2)</f>
        <v>07</v>
      </c>
      <c r="D194" t="str">
        <f>LEFT(TDays[[#This Row],[تاریخ]],4)</f>
        <v>1401</v>
      </c>
      <c r="E194" t="str">
        <f>LEFT(TDays[[#This Row],[تاریخ]],7)</f>
        <v>1401-07</v>
      </c>
      <c r="F194">
        <v>5</v>
      </c>
      <c r="G194" s="15" t="str">
        <f>VLOOKUP(TDays[[#This Row],[کد روز هفته]],TDaysOfTheWeek[],2,FALSE)</f>
        <v>پنجشنبه</v>
      </c>
      <c r="H194" s="15">
        <f>IFERROR(IF(E193&lt;&gt;E194,1,INT(H193)+IF(TDays[[#This Row],[کد روز هفته]]=0,1,0)),1)</f>
        <v>2</v>
      </c>
      <c r="I194">
        <f>-SUMIF(TArticle[تاریخ],TDays[[#This Row],[تاریخ]],TArticle[هزینه])</f>
        <v>0</v>
      </c>
      <c r="J194">
        <f>SUMIF(TArticle[تاریخ],TDays[[#This Row],[تاریخ]],TArticle[درآمد تتا])</f>
        <v>0</v>
      </c>
      <c r="K194">
        <f>SUMIF(TArticle[تاریخ],TDays[[#This Row],[تاریخ]],TArticle[اسنپ])</f>
        <v>0</v>
      </c>
      <c r="L194">
        <f>-SUMIF(TArticle[تاریخ],TDays[[#This Row],[تاریخ]],TArticle[پرداخت بدهی])</f>
        <v>0</v>
      </c>
      <c r="M194">
        <f>SUMIF(TArticle[تاریخ],TDays[[#This Row],[تاریخ]],TArticle[افزایش بدهی])</f>
        <v>0</v>
      </c>
      <c r="N194">
        <f>-SUMIF(TArticle[تاریخ],TDays[[#This Row],[تاریخ]],TArticle[افزایش سرمایه])</f>
        <v>0</v>
      </c>
      <c r="O194">
        <f>SUMIF(TArticle[تاریخ],TDays[[#This Row],[تاریخ]],TArticle[تعداد تراکنش انجام شده])</f>
        <v>0</v>
      </c>
      <c r="P194">
        <f>INT(((TDays[[#This Row],[ماه]]-1)*31+TDays[[#This Row],[روز]]+1)/7)+1</f>
        <v>28</v>
      </c>
      <c r="Q194">
        <f>SUMIF(TArticle[تاریخ],TDays[[#This Row],[تاریخ]],TArticle[تراکنش برنامه ریزی شده])</f>
        <v>0</v>
      </c>
    </row>
    <row r="195" spans="1:17" x14ac:dyDescent="0.25">
      <c r="A195" s="3" t="s">
        <v>392</v>
      </c>
      <c r="B195" t="str">
        <f>RIGHT(TDays[[#This Row],[تاریخ]],2)</f>
        <v>08</v>
      </c>
      <c r="C195" t="str">
        <f>RIGHT(LEFT(TDays[[#This Row],[تاریخ]],7),2)</f>
        <v>07</v>
      </c>
      <c r="D195" t="str">
        <f>LEFT(TDays[[#This Row],[تاریخ]],4)</f>
        <v>1401</v>
      </c>
      <c r="E195" t="str">
        <f>LEFT(TDays[[#This Row],[تاریخ]],7)</f>
        <v>1401-07</v>
      </c>
      <c r="F195">
        <v>6</v>
      </c>
      <c r="G195" s="15" t="str">
        <f>VLOOKUP(TDays[[#This Row],[کد روز هفته]],TDaysOfTheWeek[],2,FALSE)</f>
        <v>جمعه</v>
      </c>
      <c r="H195" s="15">
        <f>IFERROR(IF(E194&lt;&gt;E195,1,INT(H194)+IF(TDays[[#This Row],[کد روز هفته]]=0,1,0)),1)</f>
        <v>2</v>
      </c>
      <c r="I195">
        <f>-SUMIF(TArticle[تاریخ],TDays[[#This Row],[تاریخ]],TArticle[هزینه])</f>
        <v>0</v>
      </c>
      <c r="J195">
        <f>SUMIF(TArticle[تاریخ],TDays[[#This Row],[تاریخ]],TArticle[درآمد تتا])</f>
        <v>0</v>
      </c>
      <c r="K195">
        <f>SUMIF(TArticle[تاریخ],TDays[[#This Row],[تاریخ]],TArticle[اسنپ])</f>
        <v>0</v>
      </c>
      <c r="L195">
        <f>-SUMIF(TArticle[تاریخ],TDays[[#This Row],[تاریخ]],TArticle[پرداخت بدهی])</f>
        <v>0</v>
      </c>
      <c r="M195">
        <f>SUMIF(TArticle[تاریخ],TDays[[#This Row],[تاریخ]],TArticle[افزایش بدهی])</f>
        <v>0</v>
      </c>
      <c r="N195">
        <f>-SUMIF(TArticle[تاریخ],TDays[[#This Row],[تاریخ]],TArticle[افزایش سرمایه])</f>
        <v>0</v>
      </c>
      <c r="O195">
        <f>SUMIF(TArticle[تاریخ],TDays[[#This Row],[تاریخ]],TArticle[تعداد تراکنش انجام شده])</f>
        <v>0</v>
      </c>
      <c r="P195">
        <f>INT(((TDays[[#This Row],[ماه]]-1)*31+TDays[[#This Row],[روز]]+1)/7)+1</f>
        <v>28</v>
      </c>
      <c r="Q195">
        <f>SUMIF(TArticle[تاریخ],TDays[[#This Row],[تاریخ]],TArticle[تراکنش برنامه ریزی شده])</f>
        <v>0</v>
      </c>
    </row>
    <row r="196" spans="1:17" x14ac:dyDescent="0.25">
      <c r="A196" s="3" t="s">
        <v>393</v>
      </c>
      <c r="B196" t="str">
        <f>RIGHT(TDays[[#This Row],[تاریخ]],2)</f>
        <v>09</v>
      </c>
      <c r="C196" t="str">
        <f>RIGHT(LEFT(TDays[[#This Row],[تاریخ]],7),2)</f>
        <v>07</v>
      </c>
      <c r="D196" t="str">
        <f>LEFT(TDays[[#This Row],[تاریخ]],4)</f>
        <v>1401</v>
      </c>
      <c r="E196" t="str">
        <f>LEFT(TDays[[#This Row],[تاریخ]],7)</f>
        <v>1401-07</v>
      </c>
      <c r="F196">
        <v>0</v>
      </c>
      <c r="G196" s="15" t="str">
        <f>VLOOKUP(TDays[[#This Row],[کد روز هفته]],TDaysOfTheWeek[],2,FALSE)</f>
        <v>شنبه</v>
      </c>
      <c r="H196" s="15">
        <f>IFERROR(IF(E195&lt;&gt;E196,1,INT(H195)+IF(TDays[[#This Row],[کد روز هفته]]=0,1,0)),1)</f>
        <v>3</v>
      </c>
      <c r="I196">
        <f>-SUMIF(TArticle[تاریخ],TDays[[#This Row],[تاریخ]],TArticle[هزینه])</f>
        <v>0</v>
      </c>
      <c r="J196">
        <f>SUMIF(TArticle[تاریخ],TDays[[#This Row],[تاریخ]],TArticle[درآمد تتا])</f>
        <v>0</v>
      </c>
      <c r="K196">
        <f>SUMIF(TArticle[تاریخ],TDays[[#This Row],[تاریخ]],TArticle[اسنپ])</f>
        <v>0</v>
      </c>
      <c r="L196">
        <f>-SUMIF(TArticle[تاریخ],TDays[[#This Row],[تاریخ]],TArticle[پرداخت بدهی])</f>
        <v>0</v>
      </c>
      <c r="M196">
        <f>SUMIF(TArticle[تاریخ],TDays[[#This Row],[تاریخ]],TArticle[افزایش بدهی])</f>
        <v>0</v>
      </c>
      <c r="N196">
        <f>-SUMIF(TArticle[تاریخ],TDays[[#This Row],[تاریخ]],TArticle[افزایش سرمایه])</f>
        <v>0</v>
      </c>
      <c r="O196">
        <f>SUMIF(TArticle[تاریخ],TDays[[#This Row],[تاریخ]],TArticle[تعداد تراکنش انجام شده])</f>
        <v>0</v>
      </c>
      <c r="P196">
        <f>INT(((TDays[[#This Row],[ماه]]-1)*31+TDays[[#This Row],[روز]]+1)/7)+1</f>
        <v>29</v>
      </c>
      <c r="Q196">
        <f>SUMIF(TArticle[تاریخ],TDays[[#This Row],[تاریخ]],TArticle[تراکنش برنامه ریزی شده])</f>
        <v>0</v>
      </c>
    </row>
    <row r="197" spans="1:17" x14ac:dyDescent="0.25">
      <c r="A197" s="3" t="s">
        <v>394</v>
      </c>
      <c r="B197" t="str">
        <f>RIGHT(TDays[[#This Row],[تاریخ]],2)</f>
        <v>10</v>
      </c>
      <c r="C197" t="str">
        <f>RIGHT(LEFT(TDays[[#This Row],[تاریخ]],7),2)</f>
        <v>07</v>
      </c>
      <c r="D197" t="str">
        <f>LEFT(TDays[[#This Row],[تاریخ]],4)</f>
        <v>1401</v>
      </c>
      <c r="E197" t="str">
        <f>LEFT(TDays[[#This Row],[تاریخ]],7)</f>
        <v>1401-07</v>
      </c>
      <c r="F197">
        <v>1</v>
      </c>
      <c r="G197" s="15" t="str">
        <f>VLOOKUP(TDays[[#This Row],[کد روز هفته]],TDaysOfTheWeek[],2,FALSE)</f>
        <v>یکشنبه</v>
      </c>
      <c r="H197" s="15">
        <f>IFERROR(IF(E196&lt;&gt;E197,1,INT(H196)+IF(TDays[[#This Row],[کد روز هفته]]=0,1,0)),1)</f>
        <v>3</v>
      </c>
      <c r="I197">
        <f>-SUMIF(TArticle[تاریخ],TDays[[#This Row],[تاریخ]],TArticle[هزینه])</f>
        <v>0</v>
      </c>
      <c r="J197">
        <f>SUMIF(TArticle[تاریخ],TDays[[#This Row],[تاریخ]],TArticle[درآمد تتا])</f>
        <v>0</v>
      </c>
      <c r="K197">
        <f>SUMIF(TArticle[تاریخ],TDays[[#This Row],[تاریخ]],TArticle[اسنپ])</f>
        <v>0</v>
      </c>
      <c r="L197">
        <f>-SUMIF(TArticle[تاریخ],TDays[[#This Row],[تاریخ]],TArticle[پرداخت بدهی])</f>
        <v>0</v>
      </c>
      <c r="M197">
        <f>SUMIF(TArticle[تاریخ],TDays[[#This Row],[تاریخ]],TArticle[افزایش بدهی])</f>
        <v>0</v>
      </c>
      <c r="N197">
        <f>-SUMIF(TArticle[تاریخ],TDays[[#This Row],[تاریخ]],TArticle[افزایش سرمایه])</f>
        <v>0</v>
      </c>
      <c r="O197">
        <f>SUMIF(TArticle[تاریخ],TDays[[#This Row],[تاریخ]],TArticle[تعداد تراکنش انجام شده])</f>
        <v>0</v>
      </c>
      <c r="P197">
        <f>INT(((TDays[[#This Row],[ماه]]-1)*31+TDays[[#This Row],[روز]]+1)/7)+1</f>
        <v>29</v>
      </c>
      <c r="Q197">
        <f>SUMIF(TArticle[تاریخ],TDays[[#This Row],[تاریخ]],TArticle[تراکنش برنامه ریزی شده])</f>
        <v>0</v>
      </c>
    </row>
    <row r="198" spans="1:17" x14ac:dyDescent="0.25">
      <c r="A198" s="3" t="s">
        <v>395</v>
      </c>
      <c r="B198" t="str">
        <f>RIGHT(TDays[[#This Row],[تاریخ]],2)</f>
        <v>11</v>
      </c>
      <c r="C198" t="str">
        <f>RIGHT(LEFT(TDays[[#This Row],[تاریخ]],7),2)</f>
        <v>07</v>
      </c>
      <c r="D198" t="str">
        <f>LEFT(TDays[[#This Row],[تاریخ]],4)</f>
        <v>1401</v>
      </c>
      <c r="E198" t="str">
        <f>LEFT(TDays[[#This Row],[تاریخ]],7)</f>
        <v>1401-07</v>
      </c>
      <c r="F198">
        <v>2</v>
      </c>
      <c r="G198" s="15" t="str">
        <f>VLOOKUP(TDays[[#This Row],[کد روز هفته]],TDaysOfTheWeek[],2,FALSE)</f>
        <v>دوشنبه</v>
      </c>
      <c r="H198" s="15">
        <f>IFERROR(IF(E197&lt;&gt;E198,1,INT(H197)+IF(TDays[[#This Row],[کد روز هفته]]=0,1,0)),1)</f>
        <v>3</v>
      </c>
      <c r="I198">
        <f>-SUMIF(TArticle[تاریخ],TDays[[#This Row],[تاریخ]],TArticle[هزینه])</f>
        <v>0</v>
      </c>
      <c r="J198">
        <f>SUMIF(TArticle[تاریخ],TDays[[#This Row],[تاریخ]],TArticle[درآمد تتا])</f>
        <v>0</v>
      </c>
      <c r="K198">
        <f>SUMIF(TArticle[تاریخ],TDays[[#This Row],[تاریخ]],TArticle[اسنپ])</f>
        <v>0</v>
      </c>
      <c r="L198">
        <f>-SUMIF(TArticle[تاریخ],TDays[[#This Row],[تاریخ]],TArticle[پرداخت بدهی])</f>
        <v>0</v>
      </c>
      <c r="M198">
        <f>SUMIF(TArticle[تاریخ],TDays[[#This Row],[تاریخ]],TArticle[افزایش بدهی])</f>
        <v>0</v>
      </c>
      <c r="N198">
        <f>-SUMIF(TArticle[تاریخ],TDays[[#This Row],[تاریخ]],TArticle[افزایش سرمایه])</f>
        <v>0</v>
      </c>
      <c r="O198">
        <f>SUMIF(TArticle[تاریخ],TDays[[#This Row],[تاریخ]],TArticle[تعداد تراکنش انجام شده])</f>
        <v>0</v>
      </c>
      <c r="P198">
        <f>INT(((TDays[[#This Row],[ماه]]-1)*31+TDays[[#This Row],[روز]]+1)/7)+1</f>
        <v>29</v>
      </c>
      <c r="Q198">
        <f>SUMIF(TArticle[تاریخ],TDays[[#This Row],[تاریخ]],TArticle[تراکنش برنامه ریزی شده])</f>
        <v>0</v>
      </c>
    </row>
    <row r="199" spans="1:17" x14ac:dyDescent="0.25">
      <c r="A199" s="3" t="s">
        <v>396</v>
      </c>
      <c r="B199" t="str">
        <f>RIGHT(TDays[[#This Row],[تاریخ]],2)</f>
        <v>12</v>
      </c>
      <c r="C199" t="str">
        <f>RIGHT(LEFT(TDays[[#This Row],[تاریخ]],7),2)</f>
        <v>07</v>
      </c>
      <c r="D199" t="str">
        <f>LEFT(TDays[[#This Row],[تاریخ]],4)</f>
        <v>1401</v>
      </c>
      <c r="E199" t="str">
        <f>LEFT(TDays[[#This Row],[تاریخ]],7)</f>
        <v>1401-07</v>
      </c>
      <c r="F199">
        <v>3</v>
      </c>
      <c r="G199" s="15" t="str">
        <f>VLOOKUP(TDays[[#This Row],[کد روز هفته]],TDaysOfTheWeek[],2,FALSE)</f>
        <v>سه شنبه</v>
      </c>
      <c r="H199" s="15">
        <f>IFERROR(IF(E198&lt;&gt;E199,1,INT(H198)+IF(TDays[[#This Row],[کد روز هفته]]=0,1,0)),1)</f>
        <v>3</v>
      </c>
      <c r="I199">
        <f>-SUMIF(TArticle[تاریخ],TDays[[#This Row],[تاریخ]],TArticle[هزینه])</f>
        <v>0</v>
      </c>
      <c r="J199">
        <f>SUMIF(TArticle[تاریخ],TDays[[#This Row],[تاریخ]],TArticle[درآمد تتا])</f>
        <v>0</v>
      </c>
      <c r="K199">
        <f>SUMIF(TArticle[تاریخ],TDays[[#This Row],[تاریخ]],TArticle[اسنپ])</f>
        <v>0</v>
      </c>
      <c r="L199">
        <f>-SUMIF(TArticle[تاریخ],TDays[[#This Row],[تاریخ]],TArticle[پرداخت بدهی])</f>
        <v>0</v>
      </c>
      <c r="M199">
        <f>SUMIF(TArticle[تاریخ],TDays[[#This Row],[تاریخ]],TArticle[افزایش بدهی])</f>
        <v>0</v>
      </c>
      <c r="N199">
        <f>-SUMIF(TArticle[تاریخ],TDays[[#This Row],[تاریخ]],TArticle[افزایش سرمایه])</f>
        <v>0</v>
      </c>
      <c r="O199">
        <f>SUMIF(TArticle[تاریخ],TDays[[#This Row],[تاریخ]],TArticle[تعداد تراکنش انجام شده])</f>
        <v>0</v>
      </c>
      <c r="P199">
        <f>INT(((TDays[[#This Row],[ماه]]-1)*31+TDays[[#This Row],[روز]]+1)/7)+1</f>
        <v>29</v>
      </c>
      <c r="Q199">
        <f>SUMIF(TArticle[تاریخ],TDays[[#This Row],[تاریخ]],TArticle[تراکنش برنامه ریزی شده])</f>
        <v>0</v>
      </c>
    </row>
    <row r="200" spans="1:17" x14ac:dyDescent="0.25">
      <c r="A200" s="3" t="s">
        <v>397</v>
      </c>
      <c r="B200" t="str">
        <f>RIGHT(TDays[[#This Row],[تاریخ]],2)</f>
        <v>13</v>
      </c>
      <c r="C200" t="str">
        <f>RIGHT(LEFT(TDays[[#This Row],[تاریخ]],7),2)</f>
        <v>07</v>
      </c>
      <c r="D200" t="str">
        <f>LEFT(TDays[[#This Row],[تاریخ]],4)</f>
        <v>1401</v>
      </c>
      <c r="E200" t="str">
        <f>LEFT(TDays[[#This Row],[تاریخ]],7)</f>
        <v>1401-07</v>
      </c>
      <c r="F200">
        <v>4</v>
      </c>
      <c r="G200" s="15" t="str">
        <f>VLOOKUP(TDays[[#This Row],[کد روز هفته]],TDaysOfTheWeek[],2,FALSE)</f>
        <v>چهارشنبه</v>
      </c>
      <c r="H200" s="15">
        <f>IFERROR(IF(E199&lt;&gt;E200,1,INT(H199)+IF(TDays[[#This Row],[کد روز هفته]]=0,1,0)),1)</f>
        <v>3</v>
      </c>
      <c r="I200">
        <f>-SUMIF(TArticle[تاریخ],TDays[[#This Row],[تاریخ]],TArticle[هزینه])</f>
        <v>0</v>
      </c>
      <c r="J200">
        <f>SUMIF(TArticle[تاریخ],TDays[[#This Row],[تاریخ]],TArticle[درآمد تتا])</f>
        <v>0</v>
      </c>
      <c r="K200">
        <f>SUMIF(TArticle[تاریخ],TDays[[#This Row],[تاریخ]],TArticle[اسنپ])</f>
        <v>0</v>
      </c>
      <c r="L200">
        <f>-SUMIF(TArticle[تاریخ],TDays[[#This Row],[تاریخ]],TArticle[پرداخت بدهی])</f>
        <v>0</v>
      </c>
      <c r="M200">
        <f>SUMIF(TArticle[تاریخ],TDays[[#This Row],[تاریخ]],TArticle[افزایش بدهی])</f>
        <v>0</v>
      </c>
      <c r="N200">
        <f>-SUMIF(TArticle[تاریخ],TDays[[#This Row],[تاریخ]],TArticle[افزایش سرمایه])</f>
        <v>0</v>
      </c>
      <c r="O200">
        <f>SUMIF(TArticle[تاریخ],TDays[[#This Row],[تاریخ]],TArticle[تعداد تراکنش انجام شده])</f>
        <v>0</v>
      </c>
      <c r="P200">
        <f>INT(((TDays[[#This Row],[ماه]]-1)*31+TDays[[#This Row],[روز]]+1)/7)+1</f>
        <v>29</v>
      </c>
      <c r="Q200">
        <f>SUMIF(TArticle[تاریخ],TDays[[#This Row],[تاریخ]],TArticle[تراکنش برنامه ریزی شده])</f>
        <v>0</v>
      </c>
    </row>
    <row r="201" spans="1:17" x14ac:dyDescent="0.25">
      <c r="A201" s="3" t="s">
        <v>64</v>
      </c>
      <c r="B201" t="str">
        <f>RIGHT(TDays[[#This Row],[تاریخ]],2)</f>
        <v>14</v>
      </c>
      <c r="C201" t="str">
        <f>RIGHT(LEFT(TDays[[#This Row],[تاریخ]],7),2)</f>
        <v>07</v>
      </c>
      <c r="D201" t="str">
        <f>LEFT(TDays[[#This Row],[تاریخ]],4)</f>
        <v>1401</v>
      </c>
      <c r="E201" t="str">
        <f>LEFT(TDays[[#This Row],[تاریخ]],7)</f>
        <v>1401-07</v>
      </c>
      <c r="F201">
        <v>5</v>
      </c>
      <c r="G201" s="15" t="str">
        <f>VLOOKUP(TDays[[#This Row],[کد روز هفته]],TDaysOfTheWeek[],2,FALSE)</f>
        <v>پنجشنبه</v>
      </c>
      <c r="H201" s="15">
        <f>IFERROR(IF(E200&lt;&gt;E201,1,INT(H200)+IF(TDays[[#This Row],[کد روز هفته]]=0,1,0)),1)</f>
        <v>3</v>
      </c>
      <c r="I201">
        <f>-SUMIF(TArticle[تاریخ],TDays[[#This Row],[تاریخ]],TArticle[هزینه])</f>
        <v>0</v>
      </c>
      <c r="J201">
        <f>SUMIF(TArticle[تاریخ],TDays[[#This Row],[تاریخ]],TArticle[درآمد تتا])</f>
        <v>0</v>
      </c>
      <c r="K201">
        <f>SUMIF(TArticle[تاریخ],TDays[[#This Row],[تاریخ]],TArticle[اسنپ])</f>
        <v>0</v>
      </c>
      <c r="L201">
        <f>-SUMIF(TArticle[تاریخ],TDays[[#This Row],[تاریخ]],TArticle[پرداخت بدهی])</f>
        <v>0</v>
      </c>
      <c r="M201">
        <f>SUMIF(TArticle[تاریخ],TDays[[#This Row],[تاریخ]],TArticle[افزایش بدهی])</f>
        <v>18900</v>
      </c>
      <c r="N201">
        <f>-SUMIF(TArticle[تاریخ],TDays[[#This Row],[تاریخ]],TArticle[افزایش سرمایه])</f>
        <v>350</v>
      </c>
      <c r="O201">
        <f>SUMIF(TArticle[تاریخ],TDays[[#This Row],[تاریخ]],TArticle[تعداد تراکنش انجام شده])</f>
        <v>2</v>
      </c>
      <c r="P201">
        <f>INT(((TDays[[#This Row],[ماه]]-1)*31+TDays[[#This Row],[روز]]+1)/7)+1</f>
        <v>29</v>
      </c>
      <c r="Q201">
        <f>SUMIF(TArticle[تاریخ],TDays[[#This Row],[تاریخ]],TArticle[تراکنش برنامه ریزی شده])</f>
        <v>0</v>
      </c>
    </row>
    <row r="202" spans="1:17" x14ac:dyDescent="0.25">
      <c r="A202" s="3" t="s">
        <v>398</v>
      </c>
      <c r="B202" t="str">
        <f>RIGHT(TDays[[#This Row],[تاریخ]],2)</f>
        <v>15</v>
      </c>
      <c r="C202" t="str">
        <f>RIGHT(LEFT(TDays[[#This Row],[تاریخ]],7),2)</f>
        <v>07</v>
      </c>
      <c r="D202" t="str">
        <f>LEFT(TDays[[#This Row],[تاریخ]],4)</f>
        <v>1401</v>
      </c>
      <c r="E202" t="str">
        <f>LEFT(TDays[[#This Row],[تاریخ]],7)</f>
        <v>1401-07</v>
      </c>
      <c r="F202">
        <v>6</v>
      </c>
      <c r="G202" s="15" t="str">
        <f>VLOOKUP(TDays[[#This Row],[کد روز هفته]],TDaysOfTheWeek[],2,FALSE)</f>
        <v>جمعه</v>
      </c>
      <c r="H202" s="15">
        <f>IFERROR(IF(E201&lt;&gt;E202,1,INT(H201)+IF(TDays[[#This Row],[کد روز هفته]]=0,1,0)),1)</f>
        <v>3</v>
      </c>
      <c r="I202">
        <f>-SUMIF(TArticle[تاریخ],TDays[[#This Row],[تاریخ]],TArticle[هزینه])</f>
        <v>0</v>
      </c>
      <c r="J202">
        <f>SUMIF(TArticle[تاریخ],TDays[[#This Row],[تاریخ]],TArticle[درآمد تتا])</f>
        <v>0</v>
      </c>
      <c r="K202">
        <f>SUMIF(TArticle[تاریخ],TDays[[#This Row],[تاریخ]],TArticle[اسنپ])</f>
        <v>0</v>
      </c>
      <c r="L202">
        <f>-SUMIF(TArticle[تاریخ],TDays[[#This Row],[تاریخ]],TArticle[پرداخت بدهی])</f>
        <v>0</v>
      </c>
      <c r="M202">
        <f>SUMIF(TArticle[تاریخ],TDays[[#This Row],[تاریخ]],TArticle[افزایش بدهی])</f>
        <v>0</v>
      </c>
      <c r="N202">
        <f>-SUMIF(TArticle[تاریخ],TDays[[#This Row],[تاریخ]],TArticle[افزایش سرمایه])</f>
        <v>0</v>
      </c>
      <c r="O202">
        <f>SUMIF(TArticle[تاریخ],TDays[[#This Row],[تاریخ]],TArticle[تعداد تراکنش انجام شده])</f>
        <v>0</v>
      </c>
      <c r="P202">
        <f>INT(((TDays[[#This Row],[ماه]]-1)*31+TDays[[#This Row],[روز]]+1)/7)+1</f>
        <v>29</v>
      </c>
      <c r="Q202">
        <f>SUMIF(TArticle[تاریخ],TDays[[#This Row],[تاریخ]],TArticle[تراکنش برنامه ریزی شده])</f>
        <v>0</v>
      </c>
    </row>
    <row r="203" spans="1:17" x14ac:dyDescent="0.25">
      <c r="A203" s="3" t="s">
        <v>399</v>
      </c>
      <c r="B203" t="str">
        <f>RIGHT(TDays[[#This Row],[تاریخ]],2)</f>
        <v>16</v>
      </c>
      <c r="C203" t="str">
        <f>RIGHT(LEFT(TDays[[#This Row],[تاریخ]],7),2)</f>
        <v>07</v>
      </c>
      <c r="D203" t="str">
        <f>LEFT(TDays[[#This Row],[تاریخ]],4)</f>
        <v>1401</v>
      </c>
      <c r="E203" t="str">
        <f>LEFT(TDays[[#This Row],[تاریخ]],7)</f>
        <v>1401-07</v>
      </c>
      <c r="F203">
        <v>0</v>
      </c>
      <c r="G203" s="15" t="str">
        <f>VLOOKUP(TDays[[#This Row],[کد روز هفته]],TDaysOfTheWeek[],2,FALSE)</f>
        <v>شنبه</v>
      </c>
      <c r="H203" s="15">
        <f>IFERROR(IF(E202&lt;&gt;E203,1,INT(H202)+IF(TDays[[#This Row],[کد روز هفته]]=0,1,0)),1)</f>
        <v>4</v>
      </c>
      <c r="I203">
        <f>-SUMIF(TArticle[تاریخ],TDays[[#This Row],[تاریخ]],TArticle[هزینه])</f>
        <v>0</v>
      </c>
      <c r="J203">
        <f>SUMIF(TArticle[تاریخ],TDays[[#This Row],[تاریخ]],TArticle[درآمد تتا])</f>
        <v>0</v>
      </c>
      <c r="K203">
        <f>SUMIF(TArticle[تاریخ],TDays[[#This Row],[تاریخ]],TArticle[اسنپ])</f>
        <v>0</v>
      </c>
      <c r="L203">
        <f>-SUMIF(TArticle[تاریخ],TDays[[#This Row],[تاریخ]],TArticle[پرداخت بدهی])</f>
        <v>0</v>
      </c>
      <c r="M203">
        <f>SUMIF(TArticle[تاریخ],TDays[[#This Row],[تاریخ]],TArticle[افزایش بدهی])</f>
        <v>0</v>
      </c>
      <c r="N203">
        <f>-SUMIF(TArticle[تاریخ],TDays[[#This Row],[تاریخ]],TArticle[افزایش سرمایه])</f>
        <v>0</v>
      </c>
      <c r="O203">
        <f>SUMIF(TArticle[تاریخ],TDays[[#This Row],[تاریخ]],TArticle[تعداد تراکنش انجام شده])</f>
        <v>0</v>
      </c>
      <c r="P203">
        <f>INT(((TDays[[#This Row],[ماه]]-1)*31+TDays[[#This Row],[روز]]+1)/7)+1</f>
        <v>30</v>
      </c>
      <c r="Q203">
        <f>SUMIF(TArticle[تاریخ],TDays[[#This Row],[تاریخ]],TArticle[تراکنش برنامه ریزی شده])</f>
        <v>0</v>
      </c>
    </row>
    <row r="204" spans="1:17" x14ac:dyDescent="0.25">
      <c r="A204" s="3" t="s">
        <v>400</v>
      </c>
      <c r="B204" t="str">
        <f>RIGHT(TDays[[#This Row],[تاریخ]],2)</f>
        <v>17</v>
      </c>
      <c r="C204" t="str">
        <f>RIGHT(LEFT(TDays[[#This Row],[تاریخ]],7),2)</f>
        <v>07</v>
      </c>
      <c r="D204" t="str">
        <f>LEFT(TDays[[#This Row],[تاریخ]],4)</f>
        <v>1401</v>
      </c>
      <c r="E204" t="str">
        <f>LEFT(TDays[[#This Row],[تاریخ]],7)</f>
        <v>1401-07</v>
      </c>
      <c r="F204">
        <v>1</v>
      </c>
      <c r="G204" s="15" t="str">
        <f>VLOOKUP(TDays[[#This Row],[کد روز هفته]],TDaysOfTheWeek[],2,FALSE)</f>
        <v>یکشنبه</v>
      </c>
      <c r="H204" s="15">
        <f>IFERROR(IF(E203&lt;&gt;E204,1,INT(H203)+IF(TDays[[#This Row],[کد روز هفته]]=0,1,0)),1)</f>
        <v>4</v>
      </c>
      <c r="I204">
        <f>-SUMIF(TArticle[تاریخ],TDays[[#This Row],[تاریخ]],TArticle[هزینه])</f>
        <v>0</v>
      </c>
      <c r="J204">
        <f>SUMIF(TArticle[تاریخ],TDays[[#This Row],[تاریخ]],TArticle[درآمد تتا])</f>
        <v>0</v>
      </c>
      <c r="K204">
        <f>SUMIF(TArticle[تاریخ],TDays[[#This Row],[تاریخ]],TArticle[اسنپ])</f>
        <v>0</v>
      </c>
      <c r="L204">
        <f>-SUMIF(TArticle[تاریخ],TDays[[#This Row],[تاریخ]],TArticle[پرداخت بدهی])</f>
        <v>0</v>
      </c>
      <c r="M204">
        <f>SUMIF(TArticle[تاریخ],TDays[[#This Row],[تاریخ]],TArticle[افزایش بدهی])</f>
        <v>0</v>
      </c>
      <c r="N204">
        <f>-SUMIF(TArticle[تاریخ],TDays[[#This Row],[تاریخ]],TArticle[افزایش سرمایه])</f>
        <v>0</v>
      </c>
      <c r="O204">
        <f>SUMIF(TArticle[تاریخ],TDays[[#This Row],[تاریخ]],TArticle[تعداد تراکنش انجام شده])</f>
        <v>0</v>
      </c>
      <c r="P204">
        <f>INT(((TDays[[#This Row],[ماه]]-1)*31+TDays[[#This Row],[روز]]+1)/7)+1</f>
        <v>30</v>
      </c>
      <c r="Q204">
        <f>SUMIF(TArticle[تاریخ],TDays[[#This Row],[تاریخ]],TArticle[تراکنش برنامه ریزی شده])</f>
        <v>0</v>
      </c>
    </row>
    <row r="205" spans="1:17" x14ac:dyDescent="0.25">
      <c r="A205" s="3" t="s">
        <v>401</v>
      </c>
      <c r="B205" t="str">
        <f>RIGHT(TDays[[#This Row],[تاریخ]],2)</f>
        <v>18</v>
      </c>
      <c r="C205" t="str">
        <f>RIGHT(LEFT(TDays[[#This Row],[تاریخ]],7),2)</f>
        <v>07</v>
      </c>
      <c r="D205" t="str">
        <f>LEFT(TDays[[#This Row],[تاریخ]],4)</f>
        <v>1401</v>
      </c>
      <c r="E205" t="str">
        <f>LEFT(TDays[[#This Row],[تاریخ]],7)</f>
        <v>1401-07</v>
      </c>
      <c r="F205">
        <v>2</v>
      </c>
      <c r="G205" s="15" t="str">
        <f>VLOOKUP(TDays[[#This Row],[کد روز هفته]],TDaysOfTheWeek[],2,FALSE)</f>
        <v>دوشنبه</v>
      </c>
      <c r="H205" s="15">
        <f>IFERROR(IF(E204&lt;&gt;E205,1,INT(H204)+IF(TDays[[#This Row],[کد روز هفته]]=0,1,0)),1)</f>
        <v>4</v>
      </c>
      <c r="I205">
        <f>-SUMIF(TArticle[تاریخ],TDays[[#This Row],[تاریخ]],TArticle[هزینه])</f>
        <v>0</v>
      </c>
      <c r="J205">
        <f>SUMIF(TArticle[تاریخ],TDays[[#This Row],[تاریخ]],TArticle[درآمد تتا])</f>
        <v>0</v>
      </c>
      <c r="K205">
        <f>SUMIF(TArticle[تاریخ],TDays[[#This Row],[تاریخ]],TArticle[اسنپ])</f>
        <v>0</v>
      </c>
      <c r="L205">
        <f>-SUMIF(TArticle[تاریخ],TDays[[#This Row],[تاریخ]],TArticle[پرداخت بدهی])</f>
        <v>0</v>
      </c>
      <c r="M205">
        <f>SUMIF(TArticle[تاریخ],TDays[[#This Row],[تاریخ]],TArticle[افزایش بدهی])</f>
        <v>0</v>
      </c>
      <c r="N205">
        <f>-SUMIF(TArticle[تاریخ],TDays[[#This Row],[تاریخ]],TArticle[افزایش سرمایه])</f>
        <v>0</v>
      </c>
      <c r="O205">
        <f>SUMIF(TArticle[تاریخ],TDays[[#This Row],[تاریخ]],TArticle[تعداد تراکنش انجام شده])</f>
        <v>0</v>
      </c>
      <c r="P205">
        <f>INT(((TDays[[#This Row],[ماه]]-1)*31+TDays[[#This Row],[روز]]+1)/7)+1</f>
        <v>30</v>
      </c>
      <c r="Q205">
        <f>SUMIF(TArticle[تاریخ],TDays[[#This Row],[تاریخ]],TArticle[تراکنش برنامه ریزی شده])</f>
        <v>0</v>
      </c>
    </row>
    <row r="206" spans="1:17" x14ac:dyDescent="0.25">
      <c r="A206" s="3" t="s">
        <v>402</v>
      </c>
      <c r="B206" t="str">
        <f>RIGHT(TDays[[#This Row],[تاریخ]],2)</f>
        <v>19</v>
      </c>
      <c r="C206" t="str">
        <f>RIGHT(LEFT(TDays[[#This Row],[تاریخ]],7),2)</f>
        <v>07</v>
      </c>
      <c r="D206" t="str">
        <f>LEFT(TDays[[#This Row],[تاریخ]],4)</f>
        <v>1401</v>
      </c>
      <c r="E206" t="str">
        <f>LEFT(TDays[[#This Row],[تاریخ]],7)</f>
        <v>1401-07</v>
      </c>
      <c r="F206">
        <v>3</v>
      </c>
      <c r="G206" s="15" t="str">
        <f>VLOOKUP(TDays[[#This Row],[کد روز هفته]],TDaysOfTheWeek[],2,FALSE)</f>
        <v>سه شنبه</v>
      </c>
      <c r="H206" s="15">
        <f>IFERROR(IF(E205&lt;&gt;E206,1,INT(H205)+IF(TDays[[#This Row],[کد روز هفته]]=0,1,0)),1)</f>
        <v>4</v>
      </c>
      <c r="I206">
        <f>-SUMIF(TArticle[تاریخ],TDays[[#This Row],[تاریخ]],TArticle[هزینه])</f>
        <v>0</v>
      </c>
      <c r="J206">
        <f>SUMIF(TArticle[تاریخ],TDays[[#This Row],[تاریخ]],TArticle[درآمد تتا])</f>
        <v>0</v>
      </c>
      <c r="K206">
        <f>SUMIF(TArticle[تاریخ],TDays[[#This Row],[تاریخ]],TArticle[اسنپ])</f>
        <v>0</v>
      </c>
      <c r="L206">
        <f>-SUMIF(TArticle[تاریخ],TDays[[#This Row],[تاریخ]],TArticle[پرداخت بدهی])</f>
        <v>0</v>
      </c>
      <c r="M206">
        <f>SUMIF(TArticle[تاریخ],TDays[[#This Row],[تاریخ]],TArticle[افزایش بدهی])</f>
        <v>0</v>
      </c>
      <c r="N206">
        <f>-SUMIF(TArticle[تاریخ],TDays[[#This Row],[تاریخ]],TArticle[افزایش سرمایه])</f>
        <v>0</v>
      </c>
      <c r="O206">
        <f>SUMIF(TArticle[تاریخ],TDays[[#This Row],[تاریخ]],TArticle[تعداد تراکنش انجام شده])</f>
        <v>0</v>
      </c>
      <c r="P206">
        <f>INT(((TDays[[#This Row],[ماه]]-1)*31+TDays[[#This Row],[روز]]+1)/7)+1</f>
        <v>30</v>
      </c>
      <c r="Q206">
        <f>SUMIF(TArticle[تاریخ],TDays[[#This Row],[تاریخ]],TArticle[تراکنش برنامه ریزی شده])</f>
        <v>0</v>
      </c>
    </row>
    <row r="207" spans="1:17" x14ac:dyDescent="0.25">
      <c r="A207" s="3" t="s">
        <v>403</v>
      </c>
      <c r="B207" t="str">
        <f>RIGHT(TDays[[#This Row],[تاریخ]],2)</f>
        <v>20</v>
      </c>
      <c r="C207" t="str">
        <f>RIGHT(LEFT(TDays[[#This Row],[تاریخ]],7),2)</f>
        <v>07</v>
      </c>
      <c r="D207" t="str">
        <f>LEFT(TDays[[#This Row],[تاریخ]],4)</f>
        <v>1401</v>
      </c>
      <c r="E207" t="str">
        <f>LEFT(TDays[[#This Row],[تاریخ]],7)</f>
        <v>1401-07</v>
      </c>
      <c r="F207">
        <v>4</v>
      </c>
      <c r="G207" s="15" t="str">
        <f>VLOOKUP(TDays[[#This Row],[کد روز هفته]],TDaysOfTheWeek[],2,FALSE)</f>
        <v>چهارشنبه</v>
      </c>
      <c r="H207" s="15">
        <f>IFERROR(IF(E206&lt;&gt;E207,1,INT(H206)+IF(TDays[[#This Row],[کد روز هفته]]=0,1,0)),1)</f>
        <v>4</v>
      </c>
      <c r="I207">
        <f>-SUMIF(TArticle[تاریخ],TDays[[#This Row],[تاریخ]],TArticle[هزینه])</f>
        <v>0</v>
      </c>
      <c r="J207">
        <f>SUMIF(TArticle[تاریخ],TDays[[#This Row],[تاریخ]],TArticle[درآمد تتا])</f>
        <v>0</v>
      </c>
      <c r="K207">
        <f>SUMIF(TArticle[تاریخ],TDays[[#This Row],[تاریخ]],TArticle[اسنپ])</f>
        <v>0</v>
      </c>
      <c r="L207">
        <f>-SUMIF(TArticle[تاریخ],TDays[[#This Row],[تاریخ]],TArticle[پرداخت بدهی])</f>
        <v>0</v>
      </c>
      <c r="M207">
        <f>SUMIF(TArticle[تاریخ],TDays[[#This Row],[تاریخ]],TArticle[افزایش بدهی])</f>
        <v>0</v>
      </c>
      <c r="N207">
        <f>-SUMIF(TArticle[تاریخ],TDays[[#This Row],[تاریخ]],TArticle[افزایش سرمایه])</f>
        <v>0</v>
      </c>
      <c r="O207">
        <f>SUMIF(TArticle[تاریخ],TDays[[#This Row],[تاریخ]],TArticle[تعداد تراکنش انجام شده])</f>
        <v>1</v>
      </c>
      <c r="P207">
        <f>INT(((TDays[[#This Row],[ماه]]-1)*31+TDays[[#This Row],[روز]]+1)/7)+1</f>
        <v>30</v>
      </c>
      <c r="Q207">
        <f>SUMIF(TArticle[تاریخ],TDays[[#This Row],[تاریخ]],TArticle[تراکنش برنامه ریزی شده])</f>
        <v>0</v>
      </c>
    </row>
    <row r="208" spans="1:17" x14ac:dyDescent="0.25">
      <c r="A208" s="3" t="s">
        <v>404</v>
      </c>
      <c r="B208" t="str">
        <f>RIGHT(TDays[[#This Row],[تاریخ]],2)</f>
        <v>21</v>
      </c>
      <c r="C208" t="str">
        <f>RIGHT(LEFT(TDays[[#This Row],[تاریخ]],7),2)</f>
        <v>07</v>
      </c>
      <c r="D208" t="str">
        <f>LEFT(TDays[[#This Row],[تاریخ]],4)</f>
        <v>1401</v>
      </c>
      <c r="E208" t="str">
        <f>LEFT(TDays[[#This Row],[تاریخ]],7)</f>
        <v>1401-07</v>
      </c>
      <c r="F208">
        <v>5</v>
      </c>
      <c r="G208" s="15" t="str">
        <f>VLOOKUP(TDays[[#This Row],[کد روز هفته]],TDaysOfTheWeek[],2,FALSE)</f>
        <v>پنجشنبه</v>
      </c>
      <c r="H208" s="15">
        <f>IFERROR(IF(E207&lt;&gt;E208,1,INT(H207)+IF(TDays[[#This Row],[کد روز هفته]]=0,1,0)),1)</f>
        <v>4</v>
      </c>
      <c r="I208">
        <f>-SUMIF(TArticle[تاریخ],TDays[[#This Row],[تاریخ]],TArticle[هزینه])</f>
        <v>0</v>
      </c>
      <c r="J208">
        <f>SUMIF(TArticle[تاریخ],TDays[[#This Row],[تاریخ]],TArticle[درآمد تتا])</f>
        <v>0</v>
      </c>
      <c r="K208">
        <f>SUMIF(TArticle[تاریخ],TDays[[#This Row],[تاریخ]],TArticle[اسنپ])</f>
        <v>0</v>
      </c>
      <c r="L208">
        <f>-SUMIF(TArticle[تاریخ],TDays[[#This Row],[تاریخ]],TArticle[پرداخت بدهی])</f>
        <v>0</v>
      </c>
      <c r="M208">
        <f>SUMIF(TArticle[تاریخ],TDays[[#This Row],[تاریخ]],TArticle[افزایش بدهی])</f>
        <v>0</v>
      </c>
      <c r="N208">
        <f>-SUMIF(TArticle[تاریخ],TDays[[#This Row],[تاریخ]],TArticle[افزایش سرمایه])</f>
        <v>0</v>
      </c>
      <c r="O208">
        <f>SUMIF(TArticle[تاریخ],TDays[[#This Row],[تاریخ]],TArticle[تعداد تراکنش انجام شده])</f>
        <v>0</v>
      </c>
      <c r="P208">
        <f>INT(((TDays[[#This Row],[ماه]]-1)*31+TDays[[#This Row],[روز]]+1)/7)+1</f>
        <v>30</v>
      </c>
      <c r="Q208">
        <f>SUMIF(TArticle[تاریخ],TDays[[#This Row],[تاریخ]],TArticle[تراکنش برنامه ریزی شده])</f>
        <v>0</v>
      </c>
    </row>
    <row r="209" spans="1:17" x14ac:dyDescent="0.25">
      <c r="A209" s="3" t="s">
        <v>405</v>
      </c>
      <c r="B209" t="str">
        <f>RIGHT(TDays[[#This Row],[تاریخ]],2)</f>
        <v>22</v>
      </c>
      <c r="C209" t="str">
        <f>RIGHT(LEFT(TDays[[#This Row],[تاریخ]],7),2)</f>
        <v>07</v>
      </c>
      <c r="D209" t="str">
        <f>LEFT(TDays[[#This Row],[تاریخ]],4)</f>
        <v>1401</v>
      </c>
      <c r="E209" t="str">
        <f>LEFT(TDays[[#This Row],[تاریخ]],7)</f>
        <v>1401-07</v>
      </c>
      <c r="F209">
        <v>6</v>
      </c>
      <c r="G209" s="15" t="str">
        <f>VLOOKUP(TDays[[#This Row],[کد روز هفته]],TDaysOfTheWeek[],2,FALSE)</f>
        <v>جمعه</v>
      </c>
      <c r="H209" s="15">
        <f>IFERROR(IF(E208&lt;&gt;E209,1,INT(H208)+IF(TDays[[#This Row],[کد روز هفته]]=0,1,0)),1)</f>
        <v>4</v>
      </c>
      <c r="I209">
        <f>-SUMIF(TArticle[تاریخ],TDays[[#This Row],[تاریخ]],TArticle[هزینه])</f>
        <v>0</v>
      </c>
      <c r="J209">
        <f>SUMIF(TArticle[تاریخ],TDays[[#This Row],[تاریخ]],TArticle[درآمد تتا])</f>
        <v>0</v>
      </c>
      <c r="K209">
        <f>SUMIF(TArticle[تاریخ],TDays[[#This Row],[تاریخ]],TArticle[اسنپ])</f>
        <v>0</v>
      </c>
      <c r="L209">
        <f>-SUMIF(TArticle[تاریخ],TDays[[#This Row],[تاریخ]],TArticle[پرداخت بدهی])</f>
        <v>0</v>
      </c>
      <c r="M209">
        <f>SUMIF(TArticle[تاریخ],TDays[[#This Row],[تاریخ]],TArticle[افزایش بدهی])</f>
        <v>0</v>
      </c>
      <c r="N209">
        <f>-SUMIF(TArticle[تاریخ],TDays[[#This Row],[تاریخ]],TArticle[افزایش سرمایه])</f>
        <v>0</v>
      </c>
      <c r="O209">
        <f>SUMIF(TArticle[تاریخ],TDays[[#This Row],[تاریخ]],TArticle[تعداد تراکنش انجام شده])</f>
        <v>0</v>
      </c>
      <c r="P209">
        <f>INT(((TDays[[#This Row],[ماه]]-1)*31+TDays[[#This Row],[روز]]+1)/7)+1</f>
        <v>30</v>
      </c>
      <c r="Q209">
        <f>SUMIF(TArticle[تاریخ],TDays[[#This Row],[تاریخ]],TArticle[تراکنش برنامه ریزی شده])</f>
        <v>0</v>
      </c>
    </row>
    <row r="210" spans="1:17" x14ac:dyDescent="0.25">
      <c r="A210" s="3" t="s">
        <v>406</v>
      </c>
      <c r="B210" t="str">
        <f>RIGHT(TDays[[#This Row],[تاریخ]],2)</f>
        <v>23</v>
      </c>
      <c r="C210" t="str">
        <f>RIGHT(LEFT(TDays[[#This Row],[تاریخ]],7),2)</f>
        <v>07</v>
      </c>
      <c r="D210" t="str">
        <f>LEFT(TDays[[#This Row],[تاریخ]],4)</f>
        <v>1401</v>
      </c>
      <c r="E210" t="str">
        <f>LEFT(TDays[[#This Row],[تاریخ]],7)</f>
        <v>1401-07</v>
      </c>
      <c r="F210">
        <v>0</v>
      </c>
      <c r="G210" s="15" t="str">
        <f>VLOOKUP(TDays[[#This Row],[کد روز هفته]],TDaysOfTheWeek[],2,FALSE)</f>
        <v>شنبه</v>
      </c>
      <c r="H210" s="15">
        <f>IFERROR(IF(E209&lt;&gt;E210,1,INT(H209)+IF(TDays[[#This Row],[کد روز هفته]]=0,1,0)),1)</f>
        <v>5</v>
      </c>
      <c r="I210">
        <f>-SUMIF(TArticle[تاریخ],TDays[[#This Row],[تاریخ]],TArticle[هزینه])</f>
        <v>0</v>
      </c>
      <c r="J210">
        <f>SUMIF(TArticle[تاریخ],TDays[[#This Row],[تاریخ]],TArticle[درآمد تتا])</f>
        <v>0</v>
      </c>
      <c r="K210">
        <f>SUMIF(TArticle[تاریخ],TDays[[#This Row],[تاریخ]],TArticle[اسنپ])</f>
        <v>0</v>
      </c>
      <c r="L210">
        <f>-SUMIF(TArticle[تاریخ],TDays[[#This Row],[تاریخ]],TArticle[پرداخت بدهی])</f>
        <v>0</v>
      </c>
      <c r="M210">
        <f>SUMIF(TArticle[تاریخ],TDays[[#This Row],[تاریخ]],TArticle[افزایش بدهی])</f>
        <v>15000</v>
      </c>
      <c r="N210">
        <f>-SUMIF(TArticle[تاریخ],TDays[[#This Row],[تاریخ]],TArticle[افزایش سرمایه])</f>
        <v>0</v>
      </c>
      <c r="O210">
        <f>SUMIF(TArticle[تاریخ],TDays[[#This Row],[تاریخ]],TArticle[تعداد تراکنش انجام شده])</f>
        <v>1</v>
      </c>
      <c r="P210">
        <f>INT(((TDays[[#This Row],[ماه]]-1)*31+TDays[[#This Row],[روز]]+1)/7)+1</f>
        <v>31</v>
      </c>
      <c r="Q210">
        <f>SUMIF(TArticle[تاریخ],TDays[[#This Row],[تاریخ]],TArticle[تراکنش برنامه ریزی شده])</f>
        <v>0</v>
      </c>
    </row>
    <row r="211" spans="1:17" x14ac:dyDescent="0.25">
      <c r="A211" s="3" t="s">
        <v>407</v>
      </c>
      <c r="B211" t="str">
        <f>RIGHT(TDays[[#This Row],[تاریخ]],2)</f>
        <v>24</v>
      </c>
      <c r="C211" t="str">
        <f>RIGHT(LEFT(TDays[[#This Row],[تاریخ]],7),2)</f>
        <v>07</v>
      </c>
      <c r="D211" t="str">
        <f>LEFT(TDays[[#This Row],[تاریخ]],4)</f>
        <v>1401</v>
      </c>
      <c r="E211" t="str">
        <f>LEFT(TDays[[#This Row],[تاریخ]],7)</f>
        <v>1401-07</v>
      </c>
      <c r="F211">
        <v>1</v>
      </c>
      <c r="G211" s="15" t="str">
        <f>VLOOKUP(TDays[[#This Row],[کد روز هفته]],TDaysOfTheWeek[],2,FALSE)</f>
        <v>یکشنبه</v>
      </c>
      <c r="H211" s="15">
        <f>IFERROR(IF(E210&lt;&gt;E211,1,INT(H210)+IF(TDays[[#This Row],[کد روز هفته]]=0,1,0)),1)</f>
        <v>5</v>
      </c>
      <c r="I211">
        <f>-SUMIF(TArticle[تاریخ],TDays[[#This Row],[تاریخ]],TArticle[هزینه])</f>
        <v>6100</v>
      </c>
      <c r="J211">
        <f>SUMIF(TArticle[تاریخ],TDays[[#This Row],[تاریخ]],TArticle[درآمد تتا])</f>
        <v>0</v>
      </c>
      <c r="K211">
        <f>SUMIF(TArticle[تاریخ],TDays[[#This Row],[تاریخ]],TArticle[اسنپ])</f>
        <v>0</v>
      </c>
      <c r="L211">
        <f>-SUMIF(TArticle[تاریخ],TDays[[#This Row],[تاریخ]],TArticle[پرداخت بدهی])</f>
        <v>0</v>
      </c>
      <c r="M211">
        <f>SUMIF(TArticle[تاریخ],TDays[[#This Row],[تاریخ]],TArticle[افزایش بدهی])</f>
        <v>0</v>
      </c>
      <c r="N211">
        <f>-SUMIF(TArticle[تاریخ],TDays[[#This Row],[تاریخ]],TArticle[افزایش سرمایه])</f>
        <v>0</v>
      </c>
      <c r="O211">
        <f>SUMIF(TArticle[تاریخ],TDays[[#This Row],[تاریخ]],TArticle[تعداد تراکنش انجام شده])</f>
        <v>2</v>
      </c>
      <c r="P211">
        <f>INT(((TDays[[#This Row],[ماه]]-1)*31+TDays[[#This Row],[روز]]+1)/7)+1</f>
        <v>31</v>
      </c>
      <c r="Q211">
        <f>SUMIF(TArticle[تاریخ],TDays[[#This Row],[تاریخ]],TArticle[تراکنش برنامه ریزی شده])</f>
        <v>0</v>
      </c>
    </row>
    <row r="212" spans="1:17" x14ac:dyDescent="0.25">
      <c r="A212" s="3" t="s">
        <v>408</v>
      </c>
      <c r="B212" t="str">
        <f>RIGHT(TDays[[#This Row],[تاریخ]],2)</f>
        <v>25</v>
      </c>
      <c r="C212" t="str">
        <f>RIGHT(LEFT(TDays[[#This Row],[تاریخ]],7),2)</f>
        <v>07</v>
      </c>
      <c r="D212" t="str">
        <f>LEFT(TDays[[#This Row],[تاریخ]],4)</f>
        <v>1401</v>
      </c>
      <c r="E212" t="str">
        <f>LEFT(TDays[[#This Row],[تاریخ]],7)</f>
        <v>1401-07</v>
      </c>
      <c r="F212">
        <v>2</v>
      </c>
      <c r="G212" s="15" t="str">
        <f>VLOOKUP(TDays[[#This Row],[کد روز هفته]],TDaysOfTheWeek[],2,FALSE)</f>
        <v>دوشنبه</v>
      </c>
      <c r="H212" s="15">
        <f>IFERROR(IF(E211&lt;&gt;E212,1,INT(H211)+IF(TDays[[#This Row],[کد روز هفته]]=0,1,0)),1)</f>
        <v>5</v>
      </c>
      <c r="I212">
        <f>-SUMIF(TArticle[تاریخ],TDays[[#This Row],[تاریخ]],TArticle[هزینه])</f>
        <v>212</v>
      </c>
      <c r="J212">
        <f>SUMIF(TArticle[تاریخ],TDays[[#This Row],[تاریخ]],TArticle[درآمد تتا])</f>
        <v>0</v>
      </c>
      <c r="K212">
        <f>SUMIF(TArticle[تاریخ],TDays[[#This Row],[تاریخ]],TArticle[اسنپ])</f>
        <v>0</v>
      </c>
      <c r="L212">
        <f>-SUMIF(TArticle[تاریخ],TDays[[#This Row],[تاریخ]],TArticle[پرداخت بدهی])</f>
        <v>0</v>
      </c>
      <c r="M212">
        <f>SUMIF(TArticle[تاریخ],TDays[[#This Row],[تاریخ]],TArticle[افزایش بدهی])</f>
        <v>0</v>
      </c>
      <c r="N212">
        <f>-SUMIF(TArticle[تاریخ],TDays[[#This Row],[تاریخ]],TArticle[افزایش سرمایه])</f>
        <v>0</v>
      </c>
      <c r="O212">
        <f>SUMIF(TArticle[تاریخ],TDays[[#This Row],[تاریخ]],TArticle[تعداد تراکنش انجام شده])</f>
        <v>1</v>
      </c>
      <c r="P212">
        <f>INT(((TDays[[#This Row],[ماه]]-1)*31+TDays[[#This Row],[روز]]+1)/7)+1</f>
        <v>31</v>
      </c>
      <c r="Q212">
        <f>SUMIF(TArticle[تاریخ],TDays[[#This Row],[تاریخ]],TArticle[تراکنش برنامه ریزی شده])</f>
        <v>0</v>
      </c>
    </row>
    <row r="213" spans="1:17" x14ac:dyDescent="0.25">
      <c r="A213" s="3" t="s">
        <v>409</v>
      </c>
      <c r="B213" t="str">
        <f>RIGHT(TDays[[#This Row],[تاریخ]],2)</f>
        <v>26</v>
      </c>
      <c r="C213" t="str">
        <f>RIGHT(LEFT(TDays[[#This Row],[تاریخ]],7),2)</f>
        <v>07</v>
      </c>
      <c r="D213" t="str">
        <f>LEFT(TDays[[#This Row],[تاریخ]],4)</f>
        <v>1401</v>
      </c>
      <c r="E213" t="str">
        <f>LEFT(TDays[[#This Row],[تاریخ]],7)</f>
        <v>1401-07</v>
      </c>
      <c r="F213">
        <v>3</v>
      </c>
      <c r="G213" s="15" t="str">
        <f>VLOOKUP(TDays[[#This Row],[کد روز هفته]],TDaysOfTheWeek[],2,FALSE)</f>
        <v>سه شنبه</v>
      </c>
      <c r="H213" s="15">
        <f>IFERROR(IF(E212&lt;&gt;E213,1,INT(H212)+IF(TDays[[#This Row],[کد روز هفته]]=0,1,0)),1)</f>
        <v>5</v>
      </c>
      <c r="I213">
        <f>-SUMIF(TArticle[تاریخ],TDays[[#This Row],[تاریخ]],TArticle[هزینه])</f>
        <v>0</v>
      </c>
      <c r="J213">
        <f>SUMIF(TArticle[تاریخ],TDays[[#This Row],[تاریخ]],TArticle[درآمد تتا])</f>
        <v>0</v>
      </c>
      <c r="K213">
        <f>SUMIF(TArticle[تاریخ],TDays[[#This Row],[تاریخ]],TArticle[اسنپ])</f>
        <v>0</v>
      </c>
      <c r="L213">
        <f>-SUMIF(TArticle[تاریخ],TDays[[#This Row],[تاریخ]],TArticle[پرداخت بدهی])</f>
        <v>0</v>
      </c>
      <c r="M213">
        <f>SUMIF(TArticle[تاریخ],TDays[[#This Row],[تاریخ]],TArticle[افزایش بدهی])</f>
        <v>0</v>
      </c>
      <c r="N213">
        <f>-SUMIF(TArticle[تاریخ],TDays[[#This Row],[تاریخ]],TArticle[افزایش سرمایه])</f>
        <v>0</v>
      </c>
      <c r="O213">
        <f>SUMIF(TArticle[تاریخ],TDays[[#This Row],[تاریخ]],TArticle[تعداد تراکنش انجام شده])</f>
        <v>0</v>
      </c>
      <c r="P213">
        <f>INT(((TDays[[#This Row],[ماه]]-1)*31+TDays[[#This Row],[روز]]+1)/7)+1</f>
        <v>31</v>
      </c>
      <c r="Q213">
        <f>SUMIF(TArticle[تاریخ],TDays[[#This Row],[تاریخ]],TArticle[تراکنش برنامه ریزی شده])</f>
        <v>0</v>
      </c>
    </row>
    <row r="214" spans="1:17" x14ac:dyDescent="0.25">
      <c r="A214" s="3" t="s">
        <v>410</v>
      </c>
      <c r="B214" t="str">
        <f>RIGHT(TDays[[#This Row],[تاریخ]],2)</f>
        <v>27</v>
      </c>
      <c r="C214" t="str">
        <f>RIGHT(LEFT(TDays[[#This Row],[تاریخ]],7),2)</f>
        <v>07</v>
      </c>
      <c r="D214" t="str">
        <f>LEFT(TDays[[#This Row],[تاریخ]],4)</f>
        <v>1401</v>
      </c>
      <c r="E214" t="str">
        <f>LEFT(TDays[[#This Row],[تاریخ]],7)</f>
        <v>1401-07</v>
      </c>
      <c r="F214">
        <v>4</v>
      </c>
      <c r="G214" s="15" t="str">
        <f>VLOOKUP(TDays[[#This Row],[کد روز هفته]],TDaysOfTheWeek[],2,FALSE)</f>
        <v>چهارشنبه</v>
      </c>
      <c r="H214" s="15">
        <f>IFERROR(IF(E213&lt;&gt;E214,1,INT(H213)+IF(TDays[[#This Row],[کد روز هفته]]=0,1,0)),1)</f>
        <v>5</v>
      </c>
      <c r="I214">
        <f>-SUMIF(TArticle[تاریخ],TDays[[#This Row],[تاریخ]],TArticle[هزینه])</f>
        <v>0</v>
      </c>
      <c r="J214">
        <f>SUMIF(TArticle[تاریخ],TDays[[#This Row],[تاریخ]],TArticle[درآمد تتا])</f>
        <v>0</v>
      </c>
      <c r="K214">
        <f>SUMIF(TArticle[تاریخ],TDays[[#This Row],[تاریخ]],TArticle[اسنپ])</f>
        <v>0</v>
      </c>
      <c r="L214">
        <f>-SUMIF(TArticle[تاریخ],TDays[[#This Row],[تاریخ]],TArticle[پرداخت بدهی])</f>
        <v>0</v>
      </c>
      <c r="M214">
        <f>SUMIF(TArticle[تاریخ],TDays[[#This Row],[تاریخ]],TArticle[افزایش بدهی])</f>
        <v>0</v>
      </c>
      <c r="N214">
        <f>-SUMIF(TArticle[تاریخ],TDays[[#This Row],[تاریخ]],TArticle[افزایش سرمایه])</f>
        <v>0</v>
      </c>
      <c r="O214">
        <f>SUMIF(TArticle[تاریخ],TDays[[#This Row],[تاریخ]],TArticle[تعداد تراکنش انجام شده])</f>
        <v>0</v>
      </c>
      <c r="P214">
        <f>INT(((TDays[[#This Row],[ماه]]-1)*31+TDays[[#This Row],[روز]]+1)/7)+1</f>
        <v>31</v>
      </c>
      <c r="Q214">
        <f>SUMIF(TArticle[تاریخ],TDays[[#This Row],[تاریخ]],TArticle[تراکنش برنامه ریزی شده])</f>
        <v>0</v>
      </c>
    </row>
    <row r="215" spans="1:17" x14ac:dyDescent="0.25">
      <c r="A215" s="3" t="s">
        <v>411</v>
      </c>
      <c r="B215" t="str">
        <f>RIGHT(TDays[[#This Row],[تاریخ]],2)</f>
        <v>28</v>
      </c>
      <c r="C215" t="str">
        <f>RIGHT(LEFT(TDays[[#This Row],[تاریخ]],7),2)</f>
        <v>07</v>
      </c>
      <c r="D215" t="str">
        <f>LEFT(TDays[[#This Row],[تاریخ]],4)</f>
        <v>1401</v>
      </c>
      <c r="E215" t="str">
        <f>LEFT(TDays[[#This Row],[تاریخ]],7)</f>
        <v>1401-07</v>
      </c>
      <c r="F215">
        <v>5</v>
      </c>
      <c r="G215" s="15" t="str">
        <f>VLOOKUP(TDays[[#This Row],[کد روز هفته]],TDaysOfTheWeek[],2,FALSE)</f>
        <v>پنجشنبه</v>
      </c>
      <c r="H215" s="15">
        <f>IFERROR(IF(E214&lt;&gt;E215,1,INT(H214)+IF(TDays[[#This Row],[کد روز هفته]]=0,1,0)),1)</f>
        <v>5</v>
      </c>
      <c r="I215">
        <f>-SUMIF(TArticle[تاریخ],TDays[[#This Row],[تاریخ]],TArticle[هزینه])</f>
        <v>0</v>
      </c>
      <c r="J215">
        <f>SUMIF(TArticle[تاریخ],TDays[[#This Row],[تاریخ]],TArticle[درآمد تتا])</f>
        <v>0</v>
      </c>
      <c r="K215">
        <f>SUMIF(TArticle[تاریخ],TDays[[#This Row],[تاریخ]],TArticle[اسنپ])</f>
        <v>0</v>
      </c>
      <c r="L215">
        <f>-SUMIF(TArticle[تاریخ],TDays[[#This Row],[تاریخ]],TArticle[پرداخت بدهی])</f>
        <v>0</v>
      </c>
      <c r="M215">
        <f>SUMIF(TArticle[تاریخ],TDays[[#This Row],[تاریخ]],TArticle[افزایش بدهی])</f>
        <v>0</v>
      </c>
      <c r="N215">
        <f>-SUMIF(TArticle[تاریخ],TDays[[#This Row],[تاریخ]],TArticle[افزایش سرمایه])</f>
        <v>0</v>
      </c>
      <c r="O215">
        <f>SUMIF(TArticle[تاریخ],TDays[[#This Row],[تاریخ]],TArticle[تعداد تراکنش انجام شده])</f>
        <v>0</v>
      </c>
      <c r="P215">
        <f>INT(((TDays[[#This Row],[ماه]]-1)*31+TDays[[#This Row],[روز]]+1)/7)+1</f>
        <v>31</v>
      </c>
      <c r="Q215">
        <f>SUMIF(TArticle[تاریخ],TDays[[#This Row],[تاریخ]],TArticle[تراکنش برنامه ریزی شده])</f>
        <v>0</v>
      </c>
    </row>
    <row r="216" spans="1:17" x14ac:dyDescent="0.25">
      <c r="A216" s="3" t="s">
        <v>412</v>
      </c>
      <c r="B216" t="str">
        <f>RIGHT(TDays[[#This Row],[تاریخ]],2)</f>
        <v>29</v>
      </c>
      <c r="C216" t="str">
        <f>RIGHT(LEFT(TDays[[#This Row],[تاریخ]],7),2)</f>
        <v>07</v>
      </c>
      <c r="D216" t="str">
        <f>LEFT(TDays[[#This Row],[تاریخ]],4)</f>
        <v>1401</v>
      </c>
      <c r="E216" t="str">
        <f>LEFT(TDays[[#This Row],[تاریخ]],7)</f>
        <v>1401-07</v>
      </c>
      <c r="F216">
        <v>6</v>
      </c>
      <c r="G216" s="15" t="str">
        <f>VLOOKUP(TDays[[#This Row],[کد روز هفته]],TDaysOfTheWeek[],2,FALSE)</f>
        <v>جمعه</v>
      </c>
      <c r="H216" s="15">
        <f>IFERROR(IF(E215&lt;&gt;E216,1,INT(H215)+IF(TDays[[#This Row],[کد روز هفته]]=0,1,0)),1)</f>
        <v>5</v>
      </c>
      <c r="I216">
        <f>-SUMIF(TArticle[تاریخ],TDays[[#This Row],[تاریخ]],TArticle[هزینه])</f>
        <v>0</v>
      </c>
      <c r="J216">
        <f>SUMIF(TArticle[تاریخ],TDays[[#This Row],[تاریخ]],TArticle[درآمد تتا])</f>
        <v>0</v>
      </c>
      <c r="K216">
        <f>SUMIF(TArticle[تاریخ],TDays[[#This Row],[تاریخ]],TArticle[اسنپ])</f>
        <v>0</v>
      </c>
      <c r="L216">
        <f>-SUMIF(TArticle[تاریخ],TDays[[#This Row],[تاریخ]],TArticle[پرداخت بدهی])</f>
        <v>0</v>
      </c>
      <c r="M216">
        <f>SUMIF(TArticle[تاریخ],TDays[[#This Row],[تاریخ]],TArticle[افزایش بدهی])</f>
        <v>0</v>
      </c>
      <c r="N216">
        <f>-SUMIF(TArticle[تاریخ],TDays[[#This Row],[تاریخ]],TArticle[افزایش سرمایه])</f>
        <v>0</v>
      </c>
      <c r="O216">
        <f>SUMIF(TArticle[تاریخ],TDays[[#This Row],[تاریخ]],TArticle[تعداد تراکنش انجام شده])</f>
        <v>0</v>
      </c>
      <c r="P216">
        <f>INT(((TDays[[#This Row],[ماه]]-1)*31+TDays[[#This Row],[روز]]+1)/7)+1</f>
        <v>31</v>
      </c>
      <c r="Q216">
        <f>SUMIF(TArticle[تاریخ],TDays[[#This Row],[تاریخ]],TArticle[تراکنش برنامه ریزی شده])</f>
        <v>0</v>
      </c>
    </row>
    <row r="217" spans="1:17" x14ac:dyDescent="0.25">
      <c r="A217" s="3" t="s">
        <v>413</v>
      </c>
      <c r="B217" t="str">
        <f>RIGHT(TDays[[#This Row],[تاریخ]],2)</f>
        <v>30</v>
      </c>
      <c r="C217" t="str">
        <f>RIGHT(LEFT(TDays[[#This Row],[تاریخ]],7),2)</f>
        <v>07</v>
      </c>
      <c r="D217" t="str">
        <f>LEFT(TDays[[#This Row],[تاریخ]],4)</f>
        <v>1401</v>
      </c>
      <c r="E217" t="str">
        <f>LEFT(TDays[[#This Row],[تاریخ]],7)</f>
        <v>1401-07</v>
      </c>
      <c r="F217">
        <v>0</v>
      </c>
      <c r="G217" s="15" t="str">
        <f>VLOOKUP(TDays[[#This Row],[کد روز هفته]],TDaysOfTheWeek[],2,FALSE)</f>
        <v>شنبه</v>
      </c>
      <c r="H217" s="15">
        <f>IFERROR(IF(E216&lt;&gt;E217,1,INT(H216)+IF(TDays[[#This Row],[کد روز هفته]]=0,1,0)),1)</f>
        <v>6</v>
      </c>
      <c r="I217">
        <f>-SUMIF(TArticle[تاریخ],TDays[[#This Row],[تاریخ]],TArticle[هزینه])</f>
        <v>18611</v>
      </c>
      <c r="J217">
        <f>SUMIF(TArticle[تاریخ],TDays[[#This Row],[تاریخ]],TArticle[درآمد تتا])</f>
        <v>0</v>
      </c>
      <c r="K217">
        <f>SUMIF(TArticle[تاریخ],TDays[[#This Row],[تاریخ]],TArticle[اسنپ])</f>
        <v>0</v>
      </c>
      <c r="L217">
        <f>-SUMIF(TArticle[تاریخ],TDays[[#This Row],[تاریخ]],TArticle[پرداخت بدهی])</f>
        <v>0</v>
      </c>
      <c r="M217">
        <f>SUMIF(TArticle[تاریخ],TDays[[#This Row],[تاریخ]],TArticle[افزایش بدهی])</f>
        <v>0</v>
      </c>
      <c r="N217">
        <f>-SUMIF(TArticle[تاریخ],TDays[[#This Row],[تاریخ]],TArticle[افزایش سرمایه])</f>
        <v>0</v>
      </c>
      <c r="O217">
        <f>SUMIF(TArticle[تاریخ],TDays[[#This Row],[تاریخ]],TArticle[تعداد تراکنش انجام شده])</f>
        <v>1</v>
      </c>
      <c r="P217">
        <f>INT(((TDays[[#This Row],[ماه]]-1)*31+TDays[[#This Row],[روز]]+1)/7)+1</f>
        <v>32</v>
      </c>
      <c r="Q217">
        <f>SUMIF(TArticle[تاریخ],TDays[[#This Row],[تاریخ]],TArticle[تراکنش برنامه ریزی شده])</f>
        <v>0</v>
      </c>
    </row>
    <row r="218" spans="1:17" x14ac:dyDescent="0.25">
      <c r="A218" s="3" t="s">
        <v>414</v>
      </c>
      <c r="B218" t="str">
        <f>RIGHT(TDays[[#This Row],[تاریخ]],2)</f>
        <v>01</v>
      </c>
      <c r="C218" t="str">
        <f>RIGHT(LEFT(TDays[[#This Row],[تاریخ]],7),2)</f>
        <v>08</v>
      </c>
      <c r="D218" t="str">
        <f>LEFT(TDays[[#This Row],[تاریخ]],4)</f>
        <v>1401</v>
      </c>
      <c r="E218" t="str">
        <f>LEFT(TDays[[#This Row],[تاریخ]],7)</f>
        <v>1401-08</v>
      </c>
      <c r="F218">
        <v>1</v>
      </c>
      <c r="G218" s="15" t="str">
        <f>VLOOKUP(TDays[[#This Row],[کد روز هفته]],TDaysOfTheWeek[],2,FALSE)</f>
        <v>یکشنبه</v>
      </c>
      <c r="H218" s="15">
        <f>IFERROR(IF(E217&lt;&gt;E218,1,INT(H217)+IF(TDays[[#This Row],[کد روز هفته]]=0,1,0)),1)</f>
        <v>1</v>
      </c>
      <c r="I218">
        <f>-SUMIF(TArticle[تاریخ],TDays[[#This Row],[تاریخ]],TArticle[هزینه])</f>
        <v>1731</v>
      </c>
      <c r="J218">
        <f>SUMIF(TArticle[تاریخ],TDays[[#This Row],[تاریخ]],TArticle[درآمد تتا])</f>
        <v>26312</v>
      </c>
      <c r="K218">
        <f>SUMIF(TArticle[تاریخ],TDays[[#This Row],[تاریخ]],TArticle[اسنپ])</f>
        <v>0</v>
      </c>
      <c r="L218">
        <f>-SUMIF(TArticle[تاریخ],TDays[[#This Row],[تاریخ]],TArticle[پرداخت بدهی])</f>
        <v>0</v>
      </c>
      <c r="M218">
        <f>SUMIF(TArticle[تاریخ],TDays[[#This Row],[تاریخ]],TArticle[افزایش بدهی])</f>
        <v>0</v>
      </c>
      <c r="N218">
        <f>-SUMIF(TArticle[تاریخ],TDays[[#This Row],[تاریخ]],TArticle[افزایش سرمایه])</f>
        <v>0</v>
      </c>
      <c r="O218">
        <f>SUMIF(TArticle[تاریخ],TDays[[#This Row],[تاریخ]],TArticle[تعداد تراکنش انجام شده])</f>
        <v>4</v>
      </c>
      <c r="P218">
        <f>INT(((TDays[[#This Row],[ماه]]-1)*31+TDays[[#This Row],[روز]]+1)/7)+1</f>
        <v>32</v>
      </c>
      <c r="Q218">
        <f>SUMIF(TArticle[تاریخ],TDays[[#This Row],[تاریخ]],TArticle[تراکنش برنامه ریزی شده])</f>
        <v>0</v>
      </c>
    </row>
    <row r="219" spans="1:17" x14ac:dyDescent="0.25">
      <c r="A219" s="3" t="s">
        <v>415</v>
      </c>
      <c r="B219" t="str">
        <f>RIGHT(TDays[[#This Row],[تاریخ]],2)</f>
        <v>02</v>
      </c>
      <c r="C219" t="str">
        <f>RIGHT(LEFT(TDays[[#This Row],[تاریخ]],7),2)</f>
        <v>08</v>
      </c>
      <c r="D219" t="str">
        <f>LEFT(TDays[[#This Row],[تاریخ]],4)</f>
        <v>1401</v>
      </c>
      <c r="E219" t="str">
        <f>LEFT(TDays[[#This Row],[تاریخ]],7)</f>
        <v>1401-08</v>
      </c>
      <c r="F219">
        <v>2</v>
      </c>
      <c r="G219" s="15" t="str">
        <f>VLOOKUP(TDays[[#This Row],[کد روز هفته]],TDaysOfTheWeek[],2,FALSE)</f>
        <v>دوشنبه</v>
      </c>
      <c r="H219" s="15">
        <f>IFERROR(IF(E218&lt;&gt;E219,1,INT(H218)+IF(TDays[[#This Row],[کد روز هفته]]=0,1,0)),1)</f>
        <v>1</v>
      </c>
      <c r="I219">
        <f>-SUMIF(TArticle[تاریخ],TDays[[#This Row],[تاریخ]],TArticle[هزینه])</f>
        <v>2278</v>
      </c>
      <c r="J219">
        <f>SUMIF(TArticle[تاریخ],TDays[[#This Row],[تاریخ]],TArticle[درآمد تتا])</f>
        <v>0</v>
      </c>
      <c r="K219">
        <f>SUMIF(TArticle[تاریخ],TDays[[#This Row],[تاریخ]],TArticle[اسنپ])</f>
        <v>0</v>
      </c>
      <c r="L219">
        <f>-SUMIF(TArticle[تاریخ],TDays[[#This Row],[تاریخ]],TArticle[پرداخت بدهی])</f>
        <v>278</v>
      </c>
      <c r="M219">
        <f>SUMIF(TArticle[تاریخ],TDays[[#This Row],[تاریخ]],TArticle[افزایش بدهی])</f>
        <v>0</v>
      </c>
      <c r="N219">
        <f>-SUMIF(TArticle[تاریخ],TDays[[#This Row],[تاریخ]],TArticle[افزایش سرمایه])</f>
        <v>0</v>
      </c>
      <c r="O219">
        <f>SUMIF(TArticle[تاریخ],TDays[[#This Row],[تاریخ]],TArticle[تعداد تراکنش انجام شده])</f>
        <v>5</v>
      </c>
      <c r="P219">
        <f>INT(((TDays[[#This Row],[ماه]]-1)*31+TDays[[#This Row],[روز]]+1)/7)+1</f>
        <v>32</v>
      </c>
      <c r="Q219">
        <f>SUMIF(TArticle[تاریخ],TDays[[#This Row],[تاریخ]],TArticle[تراکنش برنامه ریزی شده])</f>
        <v>0</v>
      </c>
    </row>
    <row r="220" spans="1:17" x14ac:dyDescent="0.25">
      <c r="A220" s="3" t="s">
        <v>416</v>
      </c>
      <c r="B220" t="str">
        <f>RIGHT(TDays[[#This Row],[تاریخ]],2)</f>
        <v>03</v>
      </c>
      <c r="C220" t="str">
        <f>RIGHT(LEFT(TDays[[#This Row],[تاریخ]],7),2)</f>
        <v>08</v>
      </c>
      <c r="D220" t="str">
        <f>LEFT(TDays[[#This Row],[تاریخ]],4)</f>
        <v>1401</v>
      </c>
      <c r="E220" t="str">
        <f>LEFT(TDays[[#This Row],[تاریخ]],7)</f>
        <v>1401-08</v>
      </c>
      <c r="F220">
        <v>3</v>
      </c>
      <c r="G220" s="15" t="str">
        <f>VLOOKUP(TDays[[#This Row],[کد روز هفته]],TDaysOfTheWeek[],2,FALSE)</f>
        <v>سه شنبه</v>
      </c>
      <c r="H220" s="15">
        <f>IFERROR(IF(E219&lt;&gt;E220,1,INT(H219)+IF(TDays[[#This Row],[کد روز هفته]]=0,1,0)),1)</f>
        <v>1</v>
      </c>
      <c r="I220">
        <f>-SUMIF(TArticle[تاریخ],TDays[[#This Row],[تاریخ]],TArticle[هزینه])</f>
        <v>5800</v>
      </c>
      <c r="J220">
        <f>SUMIF(TArticle[تاریخ],TDays[[#This Row],[تاریخ]],TArticle[درآمد تتا])</f>
        <v>0</v>
      </c>
      <c r="K220">
        <f>SUMIF(TArticle[تاریخ],TDays[[#This Row],[تاریخ]],TArticle[اسنپ])</f>
        <v>0</v>
      </c>
      <c r="L220">
        <f>-SUMIF(TArticle[تاریخ],TDays[[#This Row],[تاریخ]],TArticle[پرداخت بدهی])</f>
        <v>0</v>
      </c>
      <c r="M220">
        <f>SUMIF(TArticle[تاریخ],TDays[[#This Row],[تاریخ]],TArticle[افزایش بدهی])</f>
        <v>0</v>
      </c>
      <c r="N220">
        <f>-SUMIF(TArticle[تاریخ],TDays[[#This Row],[تاریخ]],TArticle[افزایش سرمایه])</f>
        <v>0</v>
      </c>
      <c r="O220">
        <f>SUMIF(TArticle[تاریخ],TDays[[#This Row],[تاریخ]],TArticle[تعداد تراکنش انجام شده])</f>
        <v>2</v>
      </c>
      <c r="P220">
        <f>INT(((TDays[[#This Row],[ماه]]-1)*31+TDays[[#This Row],[روز]]+1)/7)+1</f>
        <v>32</v>
      </c>
      <c r="Q220">
        <f>SUMIF(TArticle[تاریخ],TDays[[#This Row],[تاریخ]],TArticle[تراکنش برنامه ریزی شده])</f>
        <v>0</v>
      </c>
    </row>
    <row r="221" spans="1:17" x14ac:dyDescent="0.25">
      <c r="A221" s="3" t="s">
        <v>417</v>
      </c>
      <c r="B221" t="str">
        <f>RIGHT(TDays[[#This Row],[تاریخ]],2)</f>
        <v>04</v>
      </c>
      <c r="C221" t="str">
        <f>RIGHT(LEFT(TDays[[#This Row],[تاریخ]],7),2)</f>
        <v>08</v>
      </c>
      <c r="D221" t="str">
        <f>LEFT(TDays[[#This Row],[تاریخ]],4)</f>
        <v>1401</v>
      </c>
      <c r="E221" t="str">
        <f>LEFT(TDays[[#This Row],[تاریخ]],7)</f>
        <v>1401-08</v>
      </c>
      <c r="F221">
        <v>4</v>
      </c>
      <c r="G221" s="15" t="str">
        <f>VLOOKUP(TDays[[#This Row],[کد روز هفته]],TDaysOfTheWeek[],2,FALSE)</f>
        <v>چهارشنبه</v>
      </c>
      <c r="H221" s="15">
        <f>IFERROR(IF(E220&lt;&gt;E221,1,INT(H220)+IF(TDays[[#This Row],[کد روز هفته]]=0,1,0)),1)</f>
        <v>1</v>
      </c>
      <c r="I221">
        <f>-SUMIF(TArticle[تاریخ],TDays[[#This Row],[تاریخ]],TArticle[هزینه])</f>
        <v>0</v>
      </c>
      <c r="J221">
        <f>SUMIF(TArticle[تاریخ],TDays[[#This Row],[تاریخ]],TArticle[درآمد تتا])</f>
        <v>0</v>
      </c>
      <c r="K221">
        <f>SUMIF(TArticle[تاریخ],TDays[[#This Row],[تاریخ]],TArticle[اسنپ])</f>
        <v>0</v>
      </c>
      <c r="L221">
        <f>-SUMIF(TArticle[تاریخ],TDays[[#This Row],[تاریخ]],TArticle[پرداخت بدهی])</f>
        <v>0</v>
      </c>
      <c r="M221">
        <f>SUMIF(TArticle[تاریخ],TDays[[#This Row],[تاریخ]],TArticle[افزایش بدهی])</f>
        <v>0</v>
      </c>
      <c r="N221">
        <f>-SUMIF(TArticle[تاریخ],TDays[[#This Row],[تاریخ]],TArticle[افزایش سرمایه])</f>
        <v>0</v>
      </c>
      <c r="O221">
        <f>SUMIF(TArticle[تاریخ],TDays[[#This Row],[تاریخ]],TArticle[تعداد تراکنش انجام شده])</f>
        <v>0</v>
      </c>
      <c r="P221">
        <f>INT(((TDays[[#This Row],[ماه]]-1)*31+TDays[[#This Row],[روز]]+1)/7)+1</f>
        <v>32</v>
      </c>
      <c r="Q221">
        <f>SUMIF(TArticle[تاریخ],TDays[[#This Row],[تاریخ]],TArticle[تراکنش برنامه ریزی شده])</f>
        <v>0</v>
      </c>
    </row>
    <row r="222" spans="1:17" x14ac:dyDescent="0.25">
      <c r="A222" s="3" t="s">
        <v>418</v>
      </c>
      <c r="B222" t="str">
        <f>RIGHT(TDays[[#This Row],[تاریخ]],2)</f>
        <v>05</v>
      </c>
      <c r="C222" t="str">
        <f>RIGHT(LEFT(TDays[[#This Row],[تاریخ]],7),2)</f>
        <v>08</v>
      </c>
      <c r="D222" t="str">
        <f>LEFT(TDays[[#This Row],[تاریخ]],4)</f>
        <v>1401</v>
      </c>
      <c r="E222" t="str">
        <f>LEFT(TDays[[#This Row],[تاریخ]],7)</f>
        <v>1401-08</v>
      </c>
      <c r="F222">
        <v>5</v>
      </c>
      <c r="G222" s="15" t="str">
        <f>VLOOKUP(TDays[[#This Row],[کد روز هفته]],TDaysOfTheWeek[],2,FALSE)</f>
        <v>پنجشنبه</v>
      </c>
      <c r="H222" s="15">
        <f>IFERROR(IF(E221&lt;&gt;E222,1,INT(H221)+IF(TDays[[#This Row],[کد روز هفته]]=0,1,0)),1)</f>
        <v>1</v>
      </c>
      <c r="I222">
        <f>-SUMIF(TArticle[تاریخ],TDays[[#This Row],[تاریخ]],TArticle[هزینه])</f>
        <v>0</v>
      </c>
      <c r="J222">
        <f>SUMIF(TArticle[تاریخ],TDays[[#This Row],[تاریخ]],TArticle[درآمد تتا])</f>
        <v>0</v>
      </c>
      <c r="K222">
        <f>SUMIF(TArticle[تاریخ],TDays[[#This Row],[تاریخ]],TArticle[اسنپ])</f>
        <v>0</v>
      </c>
      <c r="L222">
        <f>-SUMIF(TArticle[تاریخ],TDays[[#This Row],[تاریخ]],TArticle[پرداخت بدهی])</f>
        <v>10000</v>
      </c>
      <c r="M222">
        <f>SUMIF(TArticle[تاریخ],TDays[[#This Row],[تاریخ]],TArticle[افزایش بدهی])</f>
        <v>0</v>
      </c>
      <c r="N222">
        <f>-SUMIF(TArticle[تاریخ],TDays[[#This Row],[تاریخ]],TArticle[افزایش سرمایه])</f>
        <v>0</v>
      </c>
      <c r="O222">
        <f>SUMIF(TArticle[تاریخ],TDays[[#This Row],[تاریخ]],TArticle[تعداد تراکنش انجام شده])</f>
        <v>1</v>
      </c>
      <c r="P222">
        <f>INT(((TDays[[#This Row],[ماه]]-1)*31+TDays[[#This Row],[روز]]+1)/7)+1</f>
        <v>32</v>
      </c>
      <c r="Q222">
        <f>SUMIF(TArticle[تاریخ],TDays[[#This Row],[تاریخ]],TArticle[تراکنش برنامه ریزی شده])</f>
        <v>0</v>
      </c>
    </row>
    <row r="223" spans="1:17" x14ac:dyDescent="0.25">
      <c r="A223" s="3" t="s">
        <v>419</v>
      </c>
      <c r="B223" t="str">
        <f>RIGHT(TDays[[#This Row],[تاریخ]],2)</f>
        <v>06</v>
      </c>
      <c r="C223" t="str">
        <f>RIGHT(LEFT(TDays[[#This Row],[تاریخ]],7),2)</f>
        <v>08</v>
      </c>
      <c r="D223" t="str">
        <f>LEFT(TDays[[#This Row],[تاریخ]],4)</f>
        <v>1401</v>
      </c>
      <c r="E223" t="str">
        <f>LEFT(TDays[[#This Row],[تاریخ]],7)</f>
        <v>1401-08</v>
      </c>
      <c r="F223">
        <v>6</v>
      </c>
      <c r="G223" s="15" t="str">
        <f>VLOOKUP(TDays[[#This Row],[کد روز هفته]],TDaysOfTheWeek[],2,FALSE)</f>
        <v>جمعه</v>
      </c>
      <c r="H223" s="15">
        <f>IFERROR(IF(E222&lt;&gt;E223,1,INT(H222)+IF(TDays[[#This Row],[کد روز هفته]]=0,1,0)),1)</f>
        <v>1</v>
      </c>
      <c r="I223">
        <f>-SUMIF(TArticle[تاریخ],TDays[[#This Row],[تاریخ]],TArticle[هزینه])</f>
        <v>0</v>
      </c>
      <c r="J223">
        <f>SUMIF(TArticle[تاریخ],TDays[[#This Row],[تاریخ]],TArticle[درآمد تتا])</f>
        <v>0</v>
      </c>
      <c r="K223">
        <f>SUMIF(TArticle[تاریخ],TDays[[#This Row],[تاریخ]],TArticle[اسنپ])</f>
        <v>0</v>
      </c>
      <c r="L223">
        <f>-SUMIF(TArticle[تاریخ],TDays[[#This Row],[تاریخ]],TArticle[پرداخت بدهی])</f>
        <v>0</v>
      </c>
      <c r="M223">
        <f>SUMIF(TArticle[تاریخ],TDays[[#This Row],[تاریخ]],TArticle[افزایش بدهی])</f>
        <v>0</v>
      </c>
      <c r="N223">
        <f>-SUMIF(TArticle[تاریخ],TDays[[#This Row],[تاریخ]],TArticle[افزایش سرمایه])</f>
        <v>0</v>
      </c>
      <c r="O223">
        <f>SUMIF(TArticle[تاریخ],TDays[[#This Row],[تاریخ]],TArticle[تعداد تراکنش انجام شده])</f>
        <v>0</v>
      </c>
      <c r="P223">
        <f>INT(((TDays[[#This Row],[ماه]]-1)*31+TDays[[#This Row],[روز]]+1)/7)+1</f>
        <v>33</v>
      </c>
      <c r="Q223">
        <f>SUMIF(TArticle[تاریخ],TDays[[#This Row],[تاریخ]],TArticle[تراکنش برنامه ریزی شده])</f>
        <v>0</v>
      </c>
    </row>
    <row r="224" spans="1:17" x14ac:dyDescent="0.25">
      <c r="A224" s="3" t="s">
        <v>420</v>
      </c>
      <c r="B224" t="str">
        <f>RIGHT(TDays[[#This Row],[تاریخ]],2)</f>
        <v>07</v>
      </c>
      <c r="C224" t="str">
        <f>RIGHT(LEFT(TDays[[#This Row],[تاریخ]],7),2)</f>
        <v>08</v>
      </c>
      <c r="D224" t="str">
        <f>LEFT(TDays[[#This Row],[تاریخ]],4)</f>
        <v>1401</v>
      </c>
      <c r="E224" t="str">
        <f>LEFT(TDays[[#This Row],[تاریخ]],7)</f>
        <v>1401-08</v>
      </c>
      <c r="F224">
        <v>0</v>
      </c>
      <c r="G224" s="15" t="str">
        <f>VLOOKUP(TDays[[#This Row],[کد روز هفته]],TDaysOfTheWeek[],2,FALSE)</f>
        <v>شنبه</v>
      </c>
      <c r="H224" s="15">
        <f>IFERROR(IF(E223&lt;&gt;E224,1,INT(H223)+IF(TDays[[#This Row],[کد روز هفته]]=0,1,0)),1)</f>
        <v>2</v>
      </c>
      <c r="I224">
        <f>-SUMIF(TArticle[تاریخ],TDays[[#This Row],[تاریخ]],TArticle[هزینه])</f>
        <v>0</v>
      </c>
      <c r="J224">
        <f>SUMIF(TArticle[تاریخ],TDays[[#This Row],[تاریخ]],TArticle[درآمد تتا])</f>
        <v>0</v>
      </c>
      <c r="K224">
        <f>SUMIF(TArticle[تاریخ],TDays[[#This Row],[تاریخ]],TArticle[اسنپ])</f>
        <v>0</v>
      </c>
      <c r="L224">
        <f>-SUMIF(TArticle[تاریخ],TDays[[#This Row],[تاریخ]],TArticle[پرداخت بدهی])</f>
        <v>0</v>
      </c>
      <c r="M224">
        <f>SUMIF(TArticle[تاریخ],TDays[[#This Row],[تاریخ]],TArticle[افزایش بدهی])</f>
        <v>0</v>
      </c>
      <c r="N224">
        <f>-SUMIF(TArticle[تاریخ],TDays[[#This Row],[تاریخ]],TArticle[افزایش سرمایه])</f>
        <v>0</v>
      </c>
      <c r="O224">
        <f>SUMIF(TArticle[تاریخ],TDays[[#This Row],[تاریخ]],TArticle[تعداد تراکنش انجام شده])</f>
        <v>0</v>
      </c>
      <c r="P224">
        <f>INT(((TDays[[#This Row],[ماه]]-1)*31+TDays[[#This Row],[روز]]+1)/7)+1</f>
        <v>33</v>
      </c>
      <c r="Q224">
        <f>SUMIF(TArticle[تاریخ],TDays[[#This Row],[تاریخ]],TArticle[تراکنش برنامه ریزی شده])</f>
        <v>0</v>
      </c>
    </row>
    <row r="225" spans="1:17" x14ac:dyDescent="0.25">
      <c r="A225" s="3" t="s">
        <v>421</v>
      </c>
      <c r="B225" t="str">
        <f>RIGHT(TDays[[#This Row],[تاریخ]],2)</f>
        <v>08</v>
      </c>
      <c r="C225" t="str">
        <f>RIGHT(LEFT(TDays[[#This Row],[تاریخ]],7),2)</f>
        <v>08</v>
      </c>
      <c r="D225" t="str">
        <f>LEFT(TDays[[#This Row],[تاریخ]],4)</f>
        <v>1401</v>
      </c>
      <c r="E225" t="str">
        <f>LEFT(TDays[[#This Row],[تاریخ]],7)</f>
        <v>1401-08</v>
      </c>
      <c r="F225">
        <v>1</v>
      </c>
      <c r="G225" s="15" t="str">
        <f>VLOOKUP(TDays[[#This Row],[کد روز هفته]],TDaysOfTheWeek[],2,FALSE)</f>
        <v>یکشنبه</v>
      </c>
      <c r="H225" s="15">
        <f>IFERROR(IF(E224&lt;&gt;E225,1,INT(H224)+IF(TDays[[#This Row],[کد روز هفته]]=0,1,0)),1)</f>
        <v>2</v>
      </c>
      <c r="I225">
        <f>-SUMIF(TArticle[تاریخ],TDays[[#This Row],[تاریخ]],TArticle[هزینه])</f>
        <v>0</v>
      </c>
      <c r="J225">
        <f>SUMIF(TArticle[تاریخ],TDays[[#This Row],[تاریخ]],TArticle[درآمد تتا])</f>
        <v>0</v>
      </c>
      <c r="K225">
        <f>SUMIF(TArticle[تاریخ],TDays[[#This Row],[تاریخ]],TArticle[اسنپ])</f>
        <v>0</v>
      </c>
      <c r="L225">
        <f>-SUMIF(TArticle[تاریخ],TDays[[#This Row],[تاریخ]],TArticle[پرداخت بدهی])</f>
        <v>0</v>
      </c>
      <c r="M225">
        <f>SUMIF(TArticle[تاریخ],TDays[[#This Row],[تاریخ]],TArticle[افزایش بدهی])</f>
        <v>0</v>
      </c>
      <c r="N225">
        <f>-SUMIF(TArticle[تاریخ],TDays[[#This Row],[تاریخ]],TArticle[افزایش سرمایه])</f>
        <v>0</v>
      </c>
      <c r="O225">
        <f>SUMIF(TArticle[تاریخ],TDays[[#This Row],[تاریخ]],TArticle[تعداد تراکنش انجام شده])</f>
        <v>0</v>
      </c>
      <c r="P225">
        <f>INT(((TDays[[#This Row],[ماه]]-1)*31+TDays[[#This Row],[روز]]+1)/7)+1</f>
        <v>33</v>
      </c>
      <c r="Q225">
        <f>SUMIF(TArticle[تاریخ],TDays[[#This Row],[تاریخ]],TArticle[تراکنش برنامه ریزی شده])</f>
        <v>0</v>
      </c>
    </row>
    <row r="226" spans="1:17" x14ac:dyDescent="0.25">
      <c r="A226" s="3" t="s">
        <v>422</v>
      </c>
      <c r="B226" t="str">
        <f>RIGHT(TDays[[#This Row],[تاریخ]],2)</f>
        <v>09</v>
      </c>
      <c r="C226" t="str">
        <f>RIGHT(LEFT(TDays[[#This Row],[تاریخ]],7),2)</f>
        <v>08</v>
      </c>
      <c r="D226" t="str">
        <f>LEFT(TDays[[#This Row],[تاریخ]],4)</f>
        <v>1401</v>
      </c>
      <c r="E226" t="str">
        <f>LEFT(TDays[[#This Row],[تاریخ]],7)</f>
        <v>1401-08</v>
      </c>
      <c r="F226">
        <v>2</v>
      </c>
      <c r="G226" s="15" t="str">
        <f>VLOOKUP(TDays[[#This Row],[کد روز هفته]],TDaysOfTheWeek[],2,FALSE)</f>
        <v>دوشنبه</v>
      </c>
      <c r="H226" s="15">
        <f>IFERROR(IF(E225&lt;&gt;E226,1,INT(H225)+IF(TDays[[#This Row],[کد روز هفته]]=0,1,0)),1)</f>
        <v>2</v>
      </c>
      <c r="I226">
        <f>-SUMIF(TArticle[تاریخ],TDays[[#This Row],[تاریخ]],TArticle[هزینه])</f>
        <v>0</v>
      </c>
      <c r="J226">
        <f>SUMIF(TArticle[تاریخ],TDays[[#This Row],[تاریخ]],TArticle[درآمد تتا])</f>
        <v>0</v>
      </c>
      <c r="K226">
        <f>SUMIF(TArticle[تاریخ],TDays[[#This Row],[تاریخ]],TArticle[اسنپ])</f>
        <v>0</v>
      </c>
      <c r="L226">
        <f>-SUMIF(TArticle[تاریخ],TDays[[#This Row],[تاریخ]],TArticle[پرداخت بدهی])</f>
        <v>0</v>
      </c>
      <c r="M226">
        <f>SUMIF(TArticle[تاریخ],TDays[[#This Row],[تاریخ]],TArticle[افزایش بدهی])</f>
        <v>0</v>
      </c>
      <c r="N226">
        <f>-SUMIF(TArticle[تاریخ],TDays[[#This Row],[تاریخ]],TArticle[افزایش سرمایه])</f>
        <v>0</v>
      </c>
      <c r="O226">
        <f>SUMIF(TArticle[تاریخ],TDays[[#This Row],[تاریخ]],TArticle[تعداد تراکنش انجام شده])</f>
        <v>0</v>
      </c>
      <c r="P226">
        <f>INT(((TDays[[#This Row],[ماه]]-1)*31+TDays[[#This Row],[روز]]+1)/7)+1</f>
        <v>33</v>
      </c>
      <c r="Q226">
        <f>SUMIF(TArticle[تاریخ],TDays[[#This Row],[تاریخ]],TArticle[تراکنش برنامه ریزی شده])</f>
        <v>0</v>
      </c>
    </row>
    <row r="227" spans="1:17" x14ac:dyDescent="0.25">
      <c r="A227" s="3" t="s">
        <v>423</v>
      </c>
      <c r="B227" t="str">
        <f>RIGHT(TDays[[#This Row],[تاریخ]],2)</f>
        <v>10</v>
      </c>
      <c r="C227" t="str">
        <f>RIGHT(LEFT(TDays[[#This Row],[تاریخ]],7),2)</f>
        <v>08</v>
      </c>
      <c r="D227" t="str">
        <f>LEFT(TDays[[#This Row],[تاریخ]],4)</f>
        <v>1401</v>
      </c>
      <c r="E227" t="str">
        <f>LEFT(TDays[[#This Row],[تاریخ]],7)</f>
        <v>1401-08</v>
      </c>
      <c r="F227">
        <v>3</v>
      </c>
      <c r="G227" s="15" t="str">
        <f>VLOOKUP(TDays[[#This Row],[کد روز هفته]],TDaysOfTheWeek[],2,FALSE)</f>
        <v>سه شنبه</v>
      </c>
      <c r="H227" s="15">
        <f>IFERROR(IF(E226&lt;&gt;E227,1,INT(H226)+IF(TDays[[#This Row],[کد روز هفته]]=0,1,0)),1)</f>
        <v>2</v>
      </c>
      <c r="I227">
        <f>-SUMIF(TArticle[تاریخ],TDays[[#This Row],[تاریخ]],TArticle[هزینه])</f>
        <v>0</v>
      </c>
      <c r="J227">
        <f>SUMIF(TArticle[تاریخ],TDays[[#This Row],[تاریخ]],TArticle[درآمد تتا])</f>
        <v>0</v>
      </c>
      <c r="K227">
        <f>SUMIF(TArticle[تاریخ],TDays[[#This Row],[تاریخ]],TArticle[اسنپ])</f>
        <v>0</v>
      </c>
      <c r="L227">
        <f>-SUMIF(TArticle[تاریخ],TDays[[#This Row],[تاریخ]],TArticle[پرداخت بدهی])</f>
        <v>0</v>
      </c>
      <c r="M227">
        <f>SUMIF(TArticle[تاریخ],TDays[[#This Row],[تاریخ]],TArticle[افزایش بدهی])</f>
        <v>0</v>
      </c>
      <c r="N227">
        <f>-SUMIF(TArticle[تاریخ],TDays[[#This Row],[تاریخ]],TArticle[افزایش سرمایه])</f>
        <v>0</v>
      </c>
      <c r="O227">
        <f>SUMIF(TArticle[تاریخ],TDays[[#This Row],[تاریخ]],TArticle[تعداد تراکنش انجام شده])</f>
        <v>0</v>
      </c>
      <c r="P227">
        <f>INT(((TDays[[#This Row],[ماه]]-1)*31+TDays[[#This Row],[روز]]+1)/7)+1</f>
        <v>33</v>
      </c>
      <c r="Q227">
        <f>SUMIF(TArticle[تاریخ],TDays[[#This Row],[تاریخ]],TArticle[تراکنش برنامه ریزی شده])</f>
        <v>0</v>
      </c>
    </row>
    <row r="228" spans="1:17" x14ac:dyDescent="0.25">
      <c r="A228" s="3" t="s">
        <v>424</v>
      </c>
      <c r="B228" t="str">
        <f>RIGHT(TDays[[#This Row],[تاریخ]],2)</f>
        <v>11</v>
      </c>
      <c r="C228" t="str">
        <f>RIGHT(LEFT(TDays[[#This Row],[تاریخ]],7),2)</f>
        <v>08</v>
      </c>
      <c r="D228" t="str">
        <f>LEFT(TDays[[#This Row],[تاریخ]],4)</f>
        <v>1401</v>
      </c>
      <c r="E228" t="str">
        <f>LEFT(TDays[[#This Row],[تاریخ]],7)</f>
        <v>1401-08</v>
      </c>
      <c r="F228">
        <v>4</v>
      </c>
      <c r="G228" s="15" t="str">
        <f>VLOOKUP(TDays[[#This Row],[کد روز هفته]],TDaysOfTheWeek[],2,FALSE)</f>
        <v>چهارشنبه</v>
      </c>
      <c r="H228" s="15">
        <f>IFERROR(IF(E227&lt;&gt;E228,1,INT(H227)+IF(TDays[[#This Row],[کد روز هفته]]=0,1,0)),1)</f>
        <v>2</v>
      </c>
      <c r="I228">
        <f>-SUMIF(TArticle[تاریخ],TDays[[#This Row],[تاریخ]],TArticle[هزینه])</f>
        <v>0</v>
      </c>
      <c r="J228">
        <f>SUMIF(TArticle[تاریخ],TDays[[#This Row],[تاریخ]],TArticle[درآمد تتا])</f>
        <v>0</v>
      </c>
      <c r="K228">
        <f>SUMIF(TArticle[تاریخ],TDays[[#This Row],[تاریخ]],TArticle[اسنپ])</f>
        <v>0</v>
      </c>
      <c r="L228">
        <f>-SUMIF(TArticle[تاریخ],TDays[[#This Row],[تاریخ]],TArticle[پرداخت بدهی])</f>
        <v>0</v>
      </c>
      <c r="M228">
        <f>SUMIF(TArticle[تاریخ],TDays[[#This Row],[تاریخ]],TArticle[افزایش بدهی])</f>
        <v>0</v>
      </c>
      <c r="N228">
        <f>-SUMIF(TArticle[تاریخ],TDays[[#This Row],[تاریخ]],TArticle[افزایش سرمایه])</f>
        <v>0</v>
      </c>
      <c r="O228">
        <f>SUMIF(TArticle[تاریخ],TDays[[#This Row],[تاریخ]],TArticle[تعداد تراکنش انجام شده])</f>
        <v>0</v>
      </c>
      <c r="P228">
        <f>INT(((TDays[[#This Row],[ماه]]-1)*31+TDays[[#This Row],[روز]]+1)/7)+1</f>
        <v>33</v>
      </c>
      <c r="Q228">
        <f>SUMIF(TArticle[تاریخ],TDays[[#This Row],[تاریخ]],TArticle[تراکنش برنامه ریزی شده])</f>
        <v>0</v>
      </c>
    </row>
    <row r="229" spans="1:17" x14ac:dyDescent="0.25">
      <c r="A229" s="3" t="s">
        <v>425</v>
      </c>
      <c r="B229" t="str">
        <f>RIGHT(TDays[[#This Row],[تاریخ]],2)</f>
        <v>12</v>
      </c>
      <c r="C229" t="str">
        <f>RIGHT(LEFT(TDays[[#This Row],[تاریخ]],7),2)</f>
        <v>08</v>
      </c>
      <c r="D229" t="str">
        <f>LEFT(TDays[[#This Row],[تاریخ]],4)</f>
        <v>1401</v>
      </c>
      <c r="E229" t="str">
        <f>LEFT(TDays[[#This Row],[تاریخ]],7)</f>
        <v>1401-08</v>
      </c>
      <c r="F229">
        <v>5</v>
      </c>
      <c r="G229" s="15" t="str">
        <f>VLOOKUP(TDays[[#This Row],[کد روز هفته]],TDaysOfTheWeek[],2,FALSE)</f>
        <v>پنجشنبه</v>
      </c>
      <c r="H229" s="15">
        <f>IFERROR(IF(E228&lt;&gt;E229,1,INT(H228)+IF(TDays[[#This Row],[کد روز هفته]]=0,1,0)),1)</f>
        <v>2</v>
      </c>
      <c r="I229">
        <f>-SUMIF(TArticle[تاریخ],TDays[[#This Row],[تاریخ]],TArticle[هزینه])</f>
        <v>0</v>
      </c>
      <c r="J229">
        <f>SUMIF(TArticle[تاریخ],TDays[[#This Row],[تاریخ]],TArticle[درآمد تتا])</f>
        <v>0</v>
      </c>
      <c r="K229">
        <f>SUMIF(TArticle[تاریخ],TDays[[#This Row],[تاریخ]],TArticle[اسنپ])</f>
        <v>0</v>
      </c>
      <c r="L229">
        <f>-SUMIF(TArticle[تاریخ],TDays[[#This Row],[تاریخ]],TArticle[پرداخت بدهی])</f>
        <v>0</v>
      </c>
      <c r="M229">
        <f>SUMIF(TArticle[تاریخ],TDays[[#This Row],[تاریخ]],TArticle[افزایش بدهی])</f>
        <v>0</v>
      </c>
      <c r="N229">
        <f>-SUMIF(TArticle[تاریخ],TDays[[#This Row],[تاریخ]],TArticle[افزایش سرمایه])</f>
        <v>0</v>
      </c>
      <c r="O229">
        <f>SUMIF(TArticle[تاریخ],TDays[[#This Row],[تاریخ]],TArticle[تعداد تراکنش انجام شده])</f>
        <v>0</v>
      </c>
      <c r="P229">
        <f>INT(((TDays[[#This Row],[ماه]]-1)*31+TDays[[#This Row],[روز]]+1)/7)+1</f>
        <v>33</v>
      </c>
      <c r="Q229">
        <f>SUMIF(TArticle[تاریخ],TDays[[#This Row],[تاریخ]],TArticle[تراکنش برنامه ریزی شده])</f>
        <v>0</v>
      </c>
    </row>
    <row r="230" spans="1:17" x14ac:dyDescent="0.25">
      <c r="A230" s="3" t="s">
        <v>426</v>
      </c>
      <c r="B230" t="str">
        <f>RIGHT(TDays[[#This Row],[تاریخ]],2)</f>
        <v>13</v>
      </c>
      <c r="C230" t="str">
        <f>RIGHT(LEFT(TDays[[#This Row],[تاریخ]],7),2)</f>
        <v>08</v>
      </c>
      <c r="D230" t="str">
        <f>LEFT(TDays[[#This Row],[تاریخ]],4)</f>
        <v>1401</v>
      </c>
      <c r="E230" t="str">
        <f>LEFT(TDays[[#This Row],[تاریخ]],7)</f>
        <v>1401-08</v>
      </c>
      <c r="F230">
        <v>6</v>
      </c>
      <c r="G230" s="15" t="str">
        <f>VLOOKUP(TDays[[#This Row],[کد روز هفته]],TDaysOfTheWeek[],2,FALSE)</f>
        <v>جمعه</v>
      </c>
      <c r="H230" s="15">
        <f>IFERROR(IF(E229&lt;&gt;E230,1,INT(H229)+IF(TDays[[#This Row],[کد روز هفته]]=0,1,0)),1)</f>
        <v>2</v>
      </c>
      <c r="I230">
        <f>-SUMIF(TArticle[تاریخ],TDays[[#This Row],[تاریخ]],TArticle[هزینه])</f>
        <v>0</v>
      </c>
      <c r="J230">
        <f>SUMIF(TArticle[تاریخ],TDays[[#This Row],[تاریخ]],TArticle[درآمد تتا])</f>
        <v>0</v>
      </c>
      <c r="K230">
        <f>SUMIF(TArticle[تاریخ],TDays[[#This Row],[تاریخ]],TArticle[اسنپ])</f>
        <v>0</v>
      </c>
      <c r="L230">
        <f>-SUMIF(TArticle[تاریخ],TDays[[#This Row],[تاریخ]],TArticle[پرداخت بدهی])</f>
        <v>0</v>
      </c>
      <c r="M230">
        <f>SUMIF(TArticle[تاریخ],TDays[[#This Row],[تاریخ]],TArticle[افزایش بدهی])</f>
        <v>0</v>
      </c>
      <c r="N230">
        <f>-SUMIF(TArticle[تاریخ],TDays[[#This Row],[تاریخ]],TArticle[افزایش سرمایه])</f>
        <v>0</v>
      </c>
      <c r="O230">
        <f>SUMIF(TArticle[تاریخ],TDays[[#This Row],[تاریخ]],TArticle[تعداد تراکنش انجام شده])</f>
        <v>0</v>
      </c>
      <c r="P230">
        <f>INT(((TDays[[#This Row],[ماه]]-1)*31+TDays[[#This Row],[روز]]+1)/7)+1</f>
        <v>34</v>
      </c>
      <c r="Q230">
        <f>SUMIF(TArticle[تاریخ],TDays[[#This Row],[تاریخ]],TArticle[تراکنش برنامه ریزی شده])</f>
        <v>0</v>
      </c>
    </row>
    <row r="231" spans="1:17" x14ac:dyDescent="0.25">
      <c r="A231" s="3" t="s">
        <v>65</v>
      </c>
      <c r="B231" t="str">
        <f>RIGHT(TDays[[#This Row],[تاریخ]],2)</f>
        <v>14</v>
      </c>
      <c r="C231" t="str">
        <f>RIGHT(LEFT(TDays[[#This Row],[تاریخ]],7),2)</f>
        <v>08</v>
      </c>
      <c r="D231" t="str">
        <f>LEFT(TDays[[#This Row],[تاریخ]],4)</f>
        <v>1401</v>
      </c>
      <c r="E231" t="str">
        <f>LEFT(TDays[[#This Row],[تاریخ]],7)</f>
        <v>1401-08</v>
      </c>
      <c r="F231">
        <v>0</v>
      </c>
      <c r="G231" s="15" t="str">
        <f>VLOOKUP(TDays[[#This Row],[کد روز هفته]],TDaysOfTheWeek[],2,FALSE)</f>
        <v>شنبه</v>
      </c>
      <c r="H231" s="15">
        <f>IFERROR(IF(E230&lt;&gt;E231,1,INT(H230)+IF(TDays[[#This Row],[کد روز هفته]]=0,1,0)),1)</f>
        <v>3</v>
      </c>
      <c r="I231">
        <f>-SUMIF(TArticle[تاریخ],TDays[[#This Row],[تاریخ]],TArticle[هزینه])</f>
        <v>0</v>
      </c>
      <c r="J231">
        <f>SUMIF(TArticle[تاریخ],TDays[[#This Row],[تاریخ]],TArticle[درآمد تتا])</f>
        <v>0</v>
      </c>
      <c r="K231">
        <f>SUMIF(TArticle[تاریخ],TDays[[#This Row],[تاریخ]],TArticle[اسنپ])</f>
        <v>0</v>
      </c>
      <c r="L231">
        <f>-SUMIF(TArticle[تاریخ],TDays[[#This Row],[تاریخ]],TArticle[پرداخت بدهی])</f>
        <v>0</v>
      </c>
      <c r="M231">
        <f>SUMIF(TArticle[تاریخ],TDays[[#This Row],[تاریخ]],TArticle[افزایش بدهی])</f>
        <v>0</v>
      </c>
      <c r="N231">
        <f>-SUMIF(TArticle[تاریخ],TDays[[#This Row],[تاریخ]],TArticle[افزایش سرمایه])</f>
        <v>350</v>
      </c>
      <c r="O231">
        <f>SUMIF(TArticle[تاریخ],TDays[[#This Row],[تاریخ]],TArticle[تعداد تراکنش انجام شده])</f>
        <v>1</v>
      </c>
      <c r="P231">
        <f>INT(((TDays[[#This Row],[ماه]]-1)*31+TDays[[#This Row],[روز]]+1)/7)+1</f>
        <v>34</v>
      </c>
      <c r="Q231">
        <f>SUMIF(TArticle[تاریخ],TDays[[#This Row],[تاریخ]],TArticle[تراکنش برنامه ریزی شده])</f>
        <v>0</v>
      </c>
    </row>
    <row r="232" spans="1:17" x14ac:dyDescent="0.25">
      <c r="A232" s="3" t="s">
        <v>427</v>
      </c>
      <c r="B232" t="str">
        <f>RIGHT(TDays[[#This Row],[تاریخ]],2)</f>
        <v>15</v>
      </c>
      <c r="C232" t="str">
        <f>RIGHT(LEFT(TDays[[#This Row],[تاریخ]],7),2)</f>
        <v>08</v>
      </c>
      <c r="D232" t="str">
        <f>LEFT(TDays[[#This Row],[تاریخ]],4)</f>
        <v>1401</v>
      </c>
      <c r="E232" t="str">
        <f>LEFT(TDays[[#This Row],[تاریخ]],7)</f>
        <v>1401-08</v>
      </c>
      <c r="F232">
        <v>1</v>
      </c>
      <c r="G232" s="15" t="str">
        <f>VLOOKUP(TDays[[#This Row],[کد روز هفته]],TDaysOfTheWeek[],2,FALSE)</f>
        <v>یکشنبه</v>
      </c>
      <c r="H232" s="15">
        <f>IFERROR(IF(E231&lt;&gt;E232,1,INT(H231)+IF(TDays[[#This Row],[کد روز هفته]]=0,1,0)),1)</f>
        <v>3</v>
      </c>
      <c r="I232">
        <f>-SUMIF(TArticle[تاریخ],TDays[[#This Row],[تاریخ]],TArticle[هزینه])</f>
        <v>0</v>
      </c>
      <c r="J232">
        <f>SUMIF(TArticle[تاریخ],TDays[[#This Row],[تاریخ]],TArticle[درآمد تتا])</f>
        <v>0</v>
      </c>
      <c r="K232">
        <f>SUMIF(TArticle[تاریخ],TDays[[#This Row],[تاریخ]],TArticle[اسنپ])</f>
        <v>0</v>
      </c>
      <c r="L232">
        <f>-SUMIF(TArticle[تاریخ],TDays[[#This Row],[تاریخ]],TArticle[پرداخت بدهی])</f>
        <v>0</v>
      </c>
      <c r="M232">
        <f>SUMIF(TArticle[تاریخ],TDays[[#This Row],[تاریخ]],TArticle[افزایش بدهی])</f>
        <v>0</v>
      </c>
      <c r="N232">
        <f>-SUMIF(TArticle[تاریخ],TDays[[#This Row],[تاریخ]],TArticle[افزایش سرمایه])</f>
        <v>0</v>
      </c>
      <c r="O232">
        <f>SUMIF(TArticle[تاریخ],TDays[[#This Row],[تاریخ]],TArticle[تعداد تراکنش انجام شده])</f>
        <v>0</v>
      </c>
      <c r="P232">
        <f>INT(((TDays[[#This Row],[ماه]]-1)*31+TDays[[#This Row],[روز]]+1)/7)+1</f>
        <v>34</v>
      </c>
      <c r="Q232">
        <f>SUMIF(TArticle[تاریخ],TDays[[#This Row],[تاریخ]],TArticle[تراکنش برنامه ریزی شده])</f>
        <v>0</v>
      </c>
    </row>
    <row r="233" spans="1:17" x14ac:dyDescent="0.25">
      <c r="A233" s="3" t="s">
        <v>428</v>
      </c>
      <c r="B233" t="str">
        <f>RIGHT(TDays[[#This Row],[تاریخ]],2)</f>
        <v>16</v>
      </c>
      <c r="C233" t="str">
        <f>RIGHT(LEFT(TDays[[#This Row],[تاریخ]],7),2)</f>
        <v>08</v>
      </c>
      <c r="D233" t="str">
        <f>LEFT(TDays[[#This Row],[تاریخ]],4)</f>
        <v>1401</v>
      </c>
      <c r="E233" t="str">
        <f>LEFT(TDays[[#This Row],[تاریخ]],7)</f>
        <v>1401-08</v>
      </c>
      <c r="F233">
        <v>2</v>
      </c>
      <c r="G233" s="15" t="str">
        <f>VLOOKUP(TDays[[#This Row],[کد روز هفته]],TDaysOfTheWeek[],2,FALSE)</f>
        <v>دوشنبه</v>
      </c>
      <c r="H233" s="15">
        <f>IFERROR(IF(E232&lt;&gt;E233,1,INT(H232)+IF(TDays[[#This Row],[کد روز هفته]]=0,1,0)),1)</f>
        <v>3</v>
      </c>
      <c r="I233">
        <f>-SUMIF(TArticle[تاریخ],TDays[[#This Row],[تاریخ]],TArticle[هزینه])</f>
        <v>0</v>
      </c>
      <c r="J233">
        <f>SUMIF(TArticle[تاریخ],TDays[[#This Row],[تاریخ]],TArticle[درآمد تتا])</f>
        <v>0</v>
      </c>
      <c r="K233">
        <f>SUMIF(TArticle[تاریخ],TDays[[#This Row],[تاریخ]],TArticle[اسنپ])</f>
        <v>0</v>
      </c>
      <c r="L233">
        <f>-SUMIF(TArticle[تاریخ],TDays[[#This Row],[تاریخ]],TArticle[پرداخت بدهی])</f>
        <v>0</v>
      </c>
      <c r="M233">
        <f>SUMIF(TArticle[تاریخ],TDays[[#This Row],[تاریخ]],TArticle[افزایش بدهی])</f>
        <v>0</v>
      </c>
      <c r="N233">
        <f>-SUMIF(TArticle[تاریخ],TDays[[#This Row],[تاریخ]],TArticle[افزایش سرمایه])</f>
        <v>0</v>
      </c>
      <c r="O233">
        <f>SUMIF(TArticle[تاریخ],TDays[[#This Row],[تاریخ]],TArticle[تعداد تراکنش انجام شده])</f>
        <v>0</v>
      </c>
      <c r="P233">
        <f>INT(((TDays[[#This Row],[ماه]]-1)*31+TDays[[#This Row],[روز]]+1)/7)+1</f>
        <v>34</v>
      </c>
      <c r="Q233">
        <f>SUMIF(TArticle[تاریخ],TDays[[#This Row],[تاریخ]],TArticle[تراکنش برنامه ریزی شده])</f>
        <v>0</v>
      </c>
    </row>
    <row r="234" spans="1:17" x14ac:dyDescent="0.25">
      <c r="A234" s="3" t="s">
        <v>429</v>
      </c>
      <c r="B234" t="str">
        <f>RIGHT(TDays[[#This Row],[تاریخ]],2)</f>
        <v>17</v>
      </c>
      <c r="C234" t="str">
        <f>RIGHT(LEFT(TDays[[#This Row],[تاریخ]],7),2)</f>
        <v>08</v>
      </c>
      <c r="D234" t="str">
        <f>LEFT(TDays[[#This Row],[تاریخ]],4)</f>
        <v>1401</v>
      </c>
      <c r="E234" t="str">
        <f>LEFT(TDays[[#This Row],[تاریخ]],7)</f>
        <v>1401-08</v>
      </c>
      <c r="F234">
        <v>3</v>
      </c>
      <c r="G234" s="15" t="str">
        <f>VLOOKUP(TDays[[#This Row],[کد روز هفته]],TDaysOfTheWeek[],2,FALSE)</f>
        <v>سه شنبه</v>
      </c>
      <c r="H234" s="15">
        <f>IFERROR(IF(E233&lt;&gt;E234,1,INT(H233)+IF(TDays[[#This Row],[کد روز هفته]]=0,1,0)),1)</f>
        <v>3</v>
      </c>
      <c r="I234">
        <f>-SUMIF(TArticle[تاریخ],TDays[[#This Row],[تاریخ]],TArticle[هزینه])</f>
        <v>0</v>
      </c>
      <c r="J234">
        <f>SUMIF(TArticle[تاریخ],TDays[[#This Row],[تاریخ]],TArticle[درآمد تتا])</f>
        <v>0</v>
      </c>
      <c r="K234">
        <f>SUMIF(TArticle[تاریخ],TDays[[#This Row],[تاریخ]],TArticle[اسنپ])</f>
        <v>0</v>
      </c>
      <c r="L234">
        <f>-SUMIF(TArticle[تاریخ],TDays[[#This Row],[تاریخ]],TArticle[پرداخت بدهی])</f>
        <v>0</v>
      </c>
      <c r="M234">
        <f>SUMIF(TArticle[تاریخ],TDays[[#This Row],[تاریخ]],TArticle[افزایش بدهی])</f>
        <v>0</v>
      </c>
      <c r="N234">
        <f>-SUMIF(TArticle[تاریخ],TDays[[#This Row],[تاریخ]],TArticle[افزایش سرمایه])</f>
        <v>0</v>
      </c>
      <c r="O234">
        <f>SUMIF(TArticle[تاریخ],TDays[[#This Row],[تاریخ]],TArticle[تعداد تراکنش انجام شده])</f>
        <v>0</v>
      </c>
      <c r="P234">
        <f>INT(((TDays[[#This Row],[ماه]]-1)*31+TDays[[#This Row],[روز]]+1)/7)+1</f>
        <v>34</v>
      </c>
      <c r="Q234">
        <f>SUMIF(TArticle[تاریخ],TDays[[#This Row],[تاریخ]],TArticle[تراکنش برنامه ریزی شده])</f>
        <v>0</v>
      </c>
    </row>
    <row r="235" spans="1:17" x14ac:dyDescent="0.25">
      <c r="A235" s="3" t="s">
        <v>430</v>
      </c>
      <c r="B235" t="str">
        <f>RIGHT(TDays[[#This Row],[تاریخ]],2)</f>
        <v>18</v>
      </c>
      <c r="C235" t="str">
        <f>RIGHT(LEFT(TDays[[#This Row],[تاریخ]],7),2)</f>
        <v>08</v>
      </c>
      <c r="D235" t="str">
        <f>LEFT(TDays[[#This Row],[تاریخ]],4)</f>
        <v>1401</v>
      </c>
      <c r="E235" t="str">
        <f>LEFT(TDays[[#This Row],[تاریخ]],7)</f>
        <v>1401-08</v>
      </c>
      <c r="F235">
        <v>4</v>
      </c>
      <c r="G235" s="15" t="str">
        <f>VLOOKUP(TDays[[#This Row],[کد روز هفته]],TDaysOfTheWeek[],2,FALSE)</f>
        <v>چهارشنبه</v>
      </c>
      <c r="H235" s="15">
        <f>IFERROR(IF(E234&lt;&gt;E235,1,INT(H234)+IF(TDays[[#This Row],[کد روز هفته]]=0,1,0)),1)</f>
        <v>3</v>
      </c>
      <c r="I235">
        <f>-SUMIF(TArticle[تاریخ],TDays[[#This Row],[تاریخ]],TArticle[هزینه])</f>
        <v>0</v>
      </c>
      <c r="J235">
        <f>SUMIF(TArticle[تاریخ],TDays[[#This Row],[تاریخ]],TArticle[درآمد تتا])</f>
        <v>0</v>
      </c>
      <c r="K235">
        <f>SUMIF(TArticle[تاریخ],TDays[[#This Row],[تاریخ]],TArticle[اسنپ])</f>
        <v>0</v>
      </c>
      <c r="L235">
        <f>-SUMIF(TArticle[تاریخ],TDays[[#This Row],[تاریخ]],TArticle[پرداخت بدهی])</f>
        <v>0</v>
      </c>
      <c r="M235">
        <f>SUMIF(TArticle[تاریخ],TDays[[#This Row],[تاریخ]],TArticle[افزایش بدهی])</f>
        <v>0</v>
      </c>
      <c r="N235">
        <f>-SUMIF(TArticle[تاریخ],TDays[[#This Row],[تاریخ]],TArticle[افزایش سرمایه])</f>
        <v>0</v>
      </c>
      <c r="O235">
        <f>SUMIF(TArticle[تاریخ],TDays[[#This Row],[تاریخ]],TArticle[تعداد تراکنش انجام شده])</f>
        <v>0</v>
      </c>
      <c r="P235">
        <f>INT(((TDays[[#This Row],[ماه]]-1)*31+TDays[[#This Row],[روز]]+1)/7)+1</f>
        <v>34</v>
      </c>
      <c r="Q235">
        <f>SUMIF(TArticle[تاریخ],TDays[[#This Row],[تاریخ]],TArticle[تراکنش برنامه ریزی شده])</f>
        <v>0</v>
      </c>
    </row>
    <row r="236" spans="1:17" x14ac:dyDescent="0.25">
      <c r="A236" s="3" t="s">
        <v>431</v>
      </c>
      <c r="B236" t="str">
        <f>RIGHT(TDays[[#This Row],[تاریخ]],2)</f>
        <v>19</v>
      </c>
      <c r="C236" t="str">
        <f>RIGHT(LEFT(TDays[[#This Row],[تاریخ]],7),2)</f>
        <v>08</v>
      </c>
      <c r="D236" t="str">
        <f>LEFT(TDays[[#This Row],[تاریخ]],4)</f>
        <v>1401</v>
      </c>
      <c r="E236" t="str">
        <f>LEFT(TDays[[#This Row],[تاریخ]],7)</f>
        <v>1401-08</v>
      </c>
      <c r="F236">
        <v>5</v>
      </c>
      <c r="G236" s="15" t="str">
        <f>VLOOKUP(TDays[[#This Row],[کد روز هفته]],TDaysOfTheWeek[],2,FALSE)</f>
        <v>پنجشنبه</v>
      </c>
      <c r="H236" s="15">
        <f>IFERROR(IF(E235&lt;&gt;E236,1,INT(H235)+IF(TDays[[#This Row],[کد روز هفته]]=0,1,0)),1)</f>
        <v>3</v>
      </c>
      <c r="I236">
        <f>-SUMIF(TArticle[تاریخ],TDays[[#This Row],[تاریخ]],TArticle[هزینه])</f>
        <v>0</v>
      </c>
      <c r="J236">
        <f>SUMIF(TArticle[تاریخ],TDays[[#This Row],[تاریخ]],TArticle[درآمد تتا])</f>
        <v>0</v>
      </c>
      <c r="K236">
        <f>SUMIF(TArticle[تاریخ],TDays[[#This Row],[تاریخ]],TArticle[اسنپ])</f>
        <v>0</v>
      </c>
      <c r="L236">
        <f>-SUMIF(TArticle[تاریخ],TDays[[#This Row],[تاریخ]],TArticle[پرداخت بدهی])</f>
        <v>0</v>
      </c>
      <c r="M236">
        <f>SUMIF(TArticle[تاریخ],TDays[[#This Row],[تاریخ]],TArticle[افزایش بدهی])</f>
        <v>0</v>
      </c>
      <c r="N236">
        <f>-SUMIF(TArticle[تاریخ],TDays[[#This Row],[تاریخ]],TArticle[افزایش سرمایه])</f>
        <v>0</v>
      </c>
      <c r="O236">
        <f>SUMIF(TArticle[تاریخ],TDays[[#This Row],[تاریخ]],TArticle[تعداد تراکنش انجام شده])</f>
        <v>0</v>
      </c>
      <c r="P236">
        <f>INT(((TDays[[#This Row],[ماه]]-1)*31+TDays[[#This Row],[روز]]+1)/7)+1</f>
        <v>34</v>
      </c>
      <c r="Q236">
        <f>SUMIF(TArticle[تاریخ],TDays[[#This Row],[تاریخ]],TArticle[تراکنش برنامه ریزی شده])</f>
        <v>0</v>
      </c>
    </row>
    <row r="237" spans="1:17" x14ac:dyDescent="0.25">
      <c r="A237" s="3" t="s">
        <v>432</v>
      </c>
      <c r="B237" t="str">
        <f>RIGHT(TDays[[#This Row],[تاریخ]],2)</f>
        <v>20</v>
      </c>
      <c r="C237" t="str">
        <f>RIGHT(LEFT(TDays[[#This Row],[تاریخ]],7),2)</f>
        <v>08</v>
      </c>
      <c r="D237" t="str">
        <f>LEFT(TDays[[#This Row],[تاریخ]],4)</f>
        <v>1401</v>
      </c>
      <c r="E237" t="str">
        <f>LEFT(TDays[[#This Row],[تاریخ]],7)</f>
        <v>1401-08</v>
      </c>
      <c r="F237">
        <v>6</v>
      </c>
      <c r="G237" s="15" t="str">
        <f>VLOOKUP(TDays[[#This Row],[کد روز هفته]],TDaysOfTheWeek[],2,FALSE)</f>
        <v>جمعه</v>
      </c>
      <c r="H237" s="15">
        <f>IFERROR(IF(E236&lt;&gt;E237,1,INT(H236)+IF(TDays[[#This Row],[کد روز هفته]]=0,1,0)),1)</f>
        <v>3</v>
      </c>
      <c r="I237">
        <f>-SUMIF(TArticle[تاریخ],TDays[[#This Row],[تاریخ]],TArticle[هزینه])</f>
        <v>0</v>
      </c>
      <c r="J237">
        <f>SUMIF(TArticle[تاریخ],TDays[[#This Row],[تاریخ]],TArticle[درآمد تتا])</f>
        <v>0</v>
      </c>
      <c r="K237">
        <f>SUMIF(TArticle[تاریخ],TDays[[#This Row],[تاریخ]],TArticle[اسنپ])</f>
        <v>0</v>
      </c>
      <c r="L237">
        <f>-SUMIF(TArticle[تاریخ],TDays[[#This Row],[تاریخ]],TArticle[پرداخت بدهی])</f>
        <v>0</v>
      </c>
      <c r="M237">
        <f>SUMIF(TArticle[تاریخ],TDays[[#This Row],[تاریخ]],TArticle[افزایش بدهی])</f>
        <v>0</v>
      </c>
      <c r="N237">
        <f>-SUMIF(TArticle[تاریخ],TDays[[#This Row],[تاریخ]],TArticle[افزایش سرمایه])</f>
        <v>0</v>
      </c>
      <c r="O237">
        <f>SUMIF(TArticle[تاریخ],TDays[[#This Row],[تاریخ]],TArticle[تعداد تراکنش انجام شده])</f>
        <v>1</v>
      </c>
      <c r="P237">
        <f>INT(((TDays[[#This Row],[ماه]]-1)*31+TDays[[#This Row],[روز]]+1)/7)+1</f>
        <v>35</v>
      </c>
      <c r="Q237">
        <f>SUMIF(TArticle[تاریخ],TDays[[#This Row],[تاریخ]],TArticle[تراکنش برنامه ریزی شده])</f>
        <v>0</v>
      </c>
    </row>
    <row r="238" spans="1:17" x14ac:dyDescent="0.25">
      <c r="A238" s="3" t="s">
        <v>433</v>
      </c>
      <c r="B238" t="str">
        <f>RIGHT(TDays[[#This Row],[تاریخ]],2)</f>
        <v>21</v>
      </c>
      <c r="C238" t="str">
        <f>RIGHT(LEFT(TDays[[#This Row],[تاریخ]],7),2)</f>
        <v>08</v>
      </c>
      <c r="D238" t="str">
        <f>LEFT(TDays[[#This Row],[تاریخ]],4)</f>
        <v>1401</v>
      </c>
      <c r="E238" t="str">
        <f>LEFT(TDays[[#This Row],[تاریخ]],7)</f>
        <v>1401-08</v>
      </c>
      <c r="F238">
        <v>0</v>
      </c>
      <c r="G238" s="15" t="str">
        <f>VLOOKUP(TDays[[#This Row],[کد روز هفته]],TDaysOfTheWeek[],2,FALSE)</f>
        <v>شنبه</v>
      </c>
      <c r="H238" s="15">
        <f>IFERROR(IF(E237&lt;&gt;E238,1,INT(H237)+IF(TDays[[#This Row],[کد روز هفته]]=0,1,0)),1)</f>
        <v>4</v>
      </c>
      <c r="I238">
        <f>-SUMIF(TArticle[تاریخ],TDays[[#This Row],[تاریخ]],TArticle[هزینه])</f>
        <v>0</v>
      </c>
      <c r="J238">
        <f>SUMIF(TArticle[تاریخ],TDays[[#This Row],[تاریخ]],TArticle[درآمد تتا])</f>
        <v>0</v>
      </c>
      <c r="K238">
        <f>SUMIF(TArticle[تاریخ],TDays[[#This Row],[تاریخ]],TArticle[اسنپ])</f>
        <v>0</v>
      </c>
      <c r="L238">
        <f>-SUMIF(TArticle[تاریخ],TDays[[#This Row],[تاریخ]],TArticle[پرداخت بدهی])</f>
        <v>0</v>
      </c>
      <c r="M238">
        <f>SUMIF(TArticle[تاریخ],TDays[[#This Row],[تاریخ]],TArticle[افزایش بدهی])</f>
        <v>0</v>
      </c>
      <c r="N238">
        <f>-SUMIF(TArticle[تاریخ],TDays[[#This Row],[تاریخ]],TArticle[افزایش سرمایه])</f>
        <v>0</v>
      </c>
      <c r="O238">
        <f>SUMIF(TArticle[تاریخ],TDays[[#This Row],[تاریخ]],TArticle[تعداد تراکنش انجام شده])</f>
        <v>0</v>
      </c>
      <c r="P238">
        <f>INT(((TDays[[#This Row],[ماه]]-1)*31+TDays[[#This Row],[روز]]+1)/7)+1</f>
        <v>35</v>
      </c>
      <c r="Q238">
        <f>SUMIF(TArticle[تاریخ],TDays[[#This Row],[تاریخ]],TArticle[تراکنش برنامه ریزی شده])</f>
        <v>0</v>
      </c>
    </row>
    <row r="239" spans="1:17" x14ac:dyDescent="0.25">
      <c r="A239" s="3" t="s">
        <v>434</v>
      </c>
      <c r="B239" t="str">
        <f>RIGHT(TDays[[#This Row],[تاریخ]],2)</f>
        <v>22</v>
      </c>
      <c r="C239" t="str">
        <f>RIGHT(LEFT(TDays[[#This Row],[تاریخ]],7),2)</f>
        <v>08</v>
      </c>
      <c r="D239" t="str">
        <f>LEFT(TDays[[#This Row],[تاریخ]],4)</f>
        <v>1401</v>
      </c>
      <c r="E239" t="str">
        <f>LEFT(TDays[[#This Row],[تاریخ]],7)</f>
        <v>1401-08</v>
      </c>
      <c r="F239">
        <v>1</v>
      </c>
      <c r="G239" s="15" t="str">
        <f>VLOOKUP(TDays[[#This Row],[کد روز هفته]],TDaysOfTheWeek[],2,FALSE)</f>
        <v>یکشنبه</v>
      </c>
      <c r="H239" s="15">
        <f>IFERROR(IF(E238&lt;&gt;E239,1,INT(H238)+IF(TDays[[#This Row],[کد روز هفته]]=0,1,0)),1)</f>
        <v>4</v>
      </c>
      <c r="I239">
        <f>-SUMIF(TArticle[تاریخ],TDays[[#This Row],[تاریخ]],TArticle[هزینه])</f>
        <v>0</v>
      </c>
      <c r="J239">
        <f>SUMIF(TArticle[تاریخ],TDays[[#This Row],[تاریخ]],TArticle[درآمد تتا])</f>
        <v>0</v>
      </c>
      <c r="K239">
        <f>SUMIF(TArticle[تاریخ],TDays[[#This Row],[تاریخ]],TArticle[اسنپ])</f>
        <v>0</v>
      </c>
      <c r="L239">
        <f>-SUMIF(TArticle[تاریخ],TDays[[#This Row],[تاریخ]],TArticle[پرداخت بدهی])</f>
        <v>0</v>
      </c>
      <c r="M239">
        <f>SUMIF(TArticle[تاریخ],TDays[[#This Row],[تاریخ]],TArticle[افزایش بدهی])</f>
        <v>0</v>
      </c>
      <c r="N239">
        <f>-SUMIF(TArticle[تاریخ],TDays[[#This Row],[تاریخ]],TArticle[افزایش سرمایه])</f>
        <v>0</v>
      </c>
      <c r="O239">
        <f>SUMIF(TArticle[تاریخ],TDays[[#This Row],[تاریخ]],TArticle[تعداد تراکنش انجام شده])</f>
        <v>0</v>
      </c>
      <c r="P239">
        <f>INT(((TDays[[#This Row],[ماه]]-1)*31+TDays[[#This Row],[روز]]+1)/7)+1</f>
        <v>35</v>
      </c>
      <c r="Q239">
        <f>SUMIF(TArticle[تاریخ],TDays[[#This Row],[تاریخ]],TArticle[تراکنش برنامه ریزی شده])</f>
        <v>0</v>
      </c>
    </row>
    <row r="240" spans="1:17" x14ac:dyDescent="0.25">
      <c r="A240" s="3" t="s">
        <v>435</v>
      </c>
      <c r="B240" t="str">
        <f>RIGHT(TDays[[#This Row],[تاریخ]],2)</f>
        <v>23</v>
      </c>
      <c r="C240" t="str">
        <f>RIGHT(LEFT(TDays[[#This Row],[تاریخ]],7),2)</f>
        <v>08</v>
      </c>
      <c r="D240" t="str">
        <f>LEFT(TDays[[#This Row],[تاریخ]],4)</f>
        <v>1401</v>
      </c>
      <c r="E240" t="str">
        <f>LEFT(TDays[[#This Row],[تاریخ]],7)</f>
        <v>1401-08</v>
      </c>
      <c r="F240">
        <v>2</v>
      </c>
      <c r="G240" s="15" t="str">
        <f>VLOOKUP(TDays[[#This Row],[کد روز هفته]],TDaysOfTheWeek[],2,FALSE)</f>
        <v>دوشنبه</v>
      </c>
      <c r="H240" s="15">
        <f>IFERROR(IF(E239&lt;&gt;E240,1,INT(H239)+IF(TDays[[#This Row],[کد روز هفته]]=0,1,0)),1)</f>
        <v>4</v>
      </c>
      <c r="I240">
        <f>-SUMIF(TArticle[تاریخ],TDays[[#This Row],[تاریخ]],TArticle[هزینه])</f>
        <v>0</v>
      </c>
      <c r="J240">
        <f>SUMIF(TArticle[تاریخ],TDays[[#This Row],[تاریخ]],TArticle[درآمد تتا])</f>
        <v>0</v>
      </c>
      <c r="K240">
        <f>SUMIF(TArticle[تاریخ],TDays[[#This Row],[تاریخ]],TArticle[اسنپ])</f>
        <v>0</v>
      </c>
      <c r="L240">
        <f>-SUMIF(TArticle[تاریخ],TDays[[#This Row],[تاریخ]],TArticle[پرداخت بدهی])</f>
        <v>0</v>
      </c>
      <c r="M240">
        <f>SUMIF(TArticle[تاریخ],TDays[[#This Row],[تاریخ]],TArticle[افزایش بدهی])</f>
        <v>0</v>
      </c>
      <c r="N240">
        <f>-SUMIF(TArticle[تاریخ],TDays[[#This Row],[تاریخ]],TArticle[افزایش سرمایه])</f>
        <v>0</v>
      </c>
      <c r="O240">
        <f>SUMIF(TArticle[تاریخ],TDays[[#This Row],[تاریخ]],TArticle[تعداد تراکنش انجام شده])</f>
        <v>0</v>
      </c>
      <c r="P240">
        <f>INT(((TDays[[#This Row],[ماه]]-1)*31+TDays[[#This Row],[روز]]+1)/7)+1</f>
        <v>35</v>
      </c>
      <c r="Q240">
        <f>SUMIF(TArticle[تاریخ],TDays[[#This Row],[تاریخ]],TArticle[تراکنش برنامه ریزی شده])</f>
        <v>0</v>
      </c>
    </row>
    <row r="241" spans="1:17" x14ac:dyDescent="0.25">
      <c r="A241" s="3" t="s">
        <v>436</v>
      </c>
      <c r="B241" t="str">
        <f>RIGHT(TDays[[#This Row],[تاریخ]],2)</f>
        <v>24</v>
      </c>
      <c r="C241" t="str">
        <f>RIGHT(LEFT(TDays[[#This Row],[تاریخ]],7),2)</f>
        <v>08</v>
      </c>
      <c r="D241" t="str">
        <f>LEFT(TDays[[#This Row],[تاریخ]],4)</f>
        <v>1401</v>
      </c>
      <c r="E241" t="str">
        <f>LEFT(TDays[[#This Row],[تاریخ]],7)</f>
        <v>1401-08</v>
      </c>
      <c r="F241">
        <v>3</v>
      </c>
      <c r="G241" s="15" t="str">
        <f>VLOOKUP(TDays[[#This Row],[کد روز هفته]],TDaysOfTheWeek[],2,FALSE)</f>
        <v>سه شنبه</v>
      </c>
      <c r="H241" s="15">
        <f>IFERROR(IF(E240&lt;&gt;E241,1,INT(H240)+IF(TDays[[#This Row],[کد روز هفته]]=0,1,0)),1)</f>
        <v>4</v>
      </c>
      <c r="I241">
        <f>-SUMIF(TArticle[تاریخ],TDays[[#This Row],[تاریخ]],TArticle[هزینه])</f>
        <v>0</v>
      </c>
      <c r="J241">
        <f>SUMIF(TArticle[تاریخ],TDays[[#This Row],[تاریخ]],TArticle[درآمد تتا])</f>
        <v>0</v>
      </c>
      <c r="K241">
        <f>SUMIF(TArticle[تاریخ],TDays[[#This Row],[تاریخ]],TArticle[اسنپ])</f>
        <v>0</v>
      </c>
      <c r="L241">
        <f>-SUMIF(TArticle[تاریخ],TDays[[#This Row],[تاریخ]],TArticle[پرداخت بدهی])</f>
        <v>0</v>
      </c>
      <c r="M241">
        <f>SUMIF(TArticle[تاریخ],TDays[[#This Row],[تاریخ]],TArticle[افزایش بدهی])</f>
        <v>0</v>
      </c>
      <c r="N241">
        <f>-SUMIF(TArticle[تاریخ],TDays[[#This Row],[تاریخ]],TArticle[افزایش سرمایه])</f>
        <v>0</v>
      </c>
      <c r="O241">
        <f>SUMIF(TArticle[تاریخ],TDays[[#This Row],[تاریخ]],TArticle[تعداد تراکنش انجام شده])</f>
        <v>0</v>
      </c>
      <c r="P241">
        <f>INT(((TDays[[#This Row],[ماه]]-1)*31+TDays[[#This Row],[روز]]+1)/7)+1</f>
        <v>35</v>
      </c>
      <c r="Q241">
        <f>SUMIF(TArticle[تاریخ],TDays[[#This Row],[تاریخ]],TArticle[تراکنش برنامه ریزی شده])</f>
        <v>0</v>
      </c>
    </row>
    <row r="242" spans="1:17" x14ac:dyDescent="0.25">
      <c r="A242" s="3" t="s">
        <v>437</v>
      </c>
      <c r="B242" t="str">
        <f>RIGHT(TDays[[#This Row],[تاریخ]],2)</f>
        <v>25</v>
      </c>
      <c r="C242" t="str">
        <f>RIGHT(LEFT(TDays[[#This Row],[تاریخ]],7),2)</f>
        <v>08</v>
      </c>
      <c r="D242" t="str">
        <f>LEFT(TDays[[#This Row],[تاریخ]],4)</f>
        <v>1401</v>
      </c>
      <c r="E242" t="str">
        <f>LEFT(TDays[[#This Row],[تاریخ]],7)</f>
        <v>1401-08</v>
      </c>
      <c r="F242">
        <v>4</v>
      </c>
      <c r="G242" s="15" t="str">
        <f>VLOOKUP(TDays[[#This Row],[کد روز هفته]],TDaysOfTheWeek[],2,FALSE)</f>
        <v>چهارشنبه</v>
      </c>
      <c r="H242" s="15">
        <f>IFERROR(IF(E241&lt;&gt;E242,1,INT(H241)+IF(TDays[[#This Row],[کد روز هفته]]=0,1,0)),1)</f>
        <v>4</v>
      </c>
      <c r="I242">
        <f>-SUMIF(TArticle[تاریخ],TDays[[#This Row],[تاریخ]],TArticle[هزینه])</f>
        <v>0</v>
      </c>
      <c r="J242">
        <f>SUMIF(TArticle[تاریخ],TDays[[#This Row],[تاریخ]],TArticle[درآمد تتا])</f>
        <v>0</v>
      </c>
      <c r="K242">
        <f>SUMIF(TArticle[تاریخ],TDays[[#This Row],[تاریخ]],TArticle[اسنپ])</f>
        <v>0</v>
      </c>
      <c r="L242">
        <f>-SUMIF(TArticle[تاریخ],TDays[[#This Row],[تاریخ]],TArticle[پرداخت بدهی])</f>
        <v>0</v>
      </c>
      <c r="M242">
        <f>SUMIF(TArticle[تاریخ],TDays[[#This Row],[تاریخ]],TArticle[افزایش بدهی])</f>
        <v>0</v>
      </c>
      <c r="N242">
        <f>-SUMIF(TArticle[تاریخ],TDays[[#This Row],[تاریخ]],TArticle[افزایش سرمایه])</f>
        <v>0</v>
      </c>
      <c r="O242">
        <f>SUMIF(TArticle[تاریخ],TDays[[#This Row],[تاریخ]],TArticle[تعداد تراکنش انجام شده])</f>
        <v>0</v>
      </c>
      <c r="P242">
        <f>INT(((TDays[[#This Row],[ماه]]-1)*31+TDays[[#This Row],[روز]]+1)/7)+1</f>
        <v>35</v>
      </c>
      <c r="Q242">
        <f>SUMIF(TArticle[تاریخ],TDays[[#This Row],[تاریخ]],TArticle[تراکنش برنامه ریزی شده])</f>
        <v>0</v>
      </c>
    </row>
    <row r="243" spans="1:17" x14ac:dyDescent="0.25">
      <c r="A243" s="3" t="s">
        <v>438</v>
      </c>
      <c r="B243" t="str">
        <f>RIGHT(TDays[[#This Row],[تاریخ]],2)</f>
        <v>26</v>
      </c>
      <c r="C243" t="str">
        <f>RIGHT(LEFT(TDays[[#This Row],[تاریخ]],7),2)</f>
        <v>08</v>
      </c>
      <c r="D243" t="str">
        <f>LEFT(TDays[[#This Row],[تاریخ]],4)</f>
        <v>1401</v>
      </c>
      <c r="E243" t="str">
        <f>LEFT(TDays[[#This Row],[تاریخ]],7)</f>
        <v>1401-08</v>
      </c>
      <c r="F243">
        <v>5</v>
      </c>
      <c r="G243" s="15" t="str">
        <f>VLOOKUP(TDays[[#This Row],[کد روز هفته]],TDaysOfTheWeek[],2,FALSE)</f>
        <v>پنجشنبه</v>
      </c>
      <c r="H243" s="15">
        <f>IFERROR(IF(E242&lt;&gt;E243,1,INT(H242)+IF(TDays[[#This Row],[کد روز هفته]]=0,1,0)),1)</f>
        <v>4</v>
      </c>
      <c r="I243">
        <f>-SUMIF(TArticle[تاریخ],TDays[[#This Row],[تاریخ]],TArticle[هزینه])</f>
        <v>0</v>
      </c>
      <c r="J243">
        <f>SUMIF(TArticle[تاریخ],TDays[[#This Row],[تاریخ]],TArticle[درآمد تتا])</f>
        <v>0</v>
      </c>
      <c r="K243">
        <f>SUMIF(TArticle[تاریخ],TDays[[#This Row],[تاریخ]],TArticle[اسنپ])</f>
        <v>0</v>
      </c>
      <c r="L243">
        <f>-SUMIF(TArticle[تاریخ],TDays[[#This Row],[تاریخ]],TArticle[پرداخت بدهی])</f>
        <v>0</v>
      </c>
      <c r="M243">
        <f>SUMIF(TArticle[تاریخ],TDays[[#This Row],[تاریخ]],TArticle[افزایش بدهی])</f>
        <v>0</v>
      </c>
      <c r="N243">
        <f>-SUMIF(TArticle[تاریخ],TDays[[#This Row],[تاریخ]],TArticle[افزایش سرمایه])</f>
        <v>0</v>
      </c>
      <c r="O243">
        <f>SUMIF(TArticle[تاریخ],TDays[[#This Row],[تاریخ]],TArticle[تعداد تراکنش انجام شده])</f>
        <v>0</v>
      </c>
      <c r="P243">
        <f>INT(((TDays[[#This Row],[ماه]]-1)*31+TDays[[#This Row],[روز]]+1)/7)+1</f>
        <v>35</v>
      </c>
      <c r="Q243">
        <f>SUMIF(TArticle[تاریخ],TDays[[#This Row],[تاریخ]],TArticle[تراکنش برنامه ریزی شده])</f>
        <v>0</v>
      </c>
    </row>
    <row r="244" spans="1:17" x14ac:dyDescent="0.25">
      <c r="A244" s="3" t="s">
        <v>439</v>
      </c>
      <c r="B244" t="str">
        <f>RIGHT(TDays[[#This Row],[تاریخ]],2)</f>
        <v>27</v>
      </c>
      <c r="C244" t="str">
        <f>RIGHT(LEFT(TDays[[#This Row],[تاریخ]],7),2)</f>
        <v>08</v>
      </c>
      <c r="D244" t="str">
        <f>LEFT(TDays[[#This Row],[تاریخ]],4)</f>
        <v>1401</v>
      </c>
      <c r="E244" t="str">
        <f>LEFT(TDays[[#This Row],[تاریخ]],7)</f>
        <v>1401-08</v>
      </c>
      <c r="F244">
        <v>6</v>
      </c>
      <c r="G244" s="15" t="str">
        <f>VLOOKUP(TDays[[#This Row],[کد روز هفته]],TDaysOfTheWeek[],2,FALSE)</f>
        <v>جمعه</v>
      </c>
      <c r="H244" s="15">
        <f>IFERROR(IF(E243&lt;&gt;E244,1,INT(H243)+IF(TDays[[#This Row],[کد روز هفته]]=0,1,0)),1)</f>
        <v>4</v>
      </c>
      <c r="I244">
        <f>-SUMIF(TArticle[تاریخ],TDays[[#This Row],[تاریخ]],TArticle[هزینه])</f>
        <v>0</v>
      </c>
      <c r="J244">
        <f>SUMIF(TArticle[تاریخ],TDays[[#This Row],[تاریخ]],TArticle[درآمد تتا])</f>
        <v>0</v>
      </c>
      <c r="K244">
        <f>SUMIF(TArticle[تاریخ],TDays[[#This Row],[تاریخ]],TArticle[اسنپ])</f>
        <v>0</v>
      </c>
      <c r="L244">
        <f>-SUMIF(TArticle[تاریخ],TDays[[#This Row],[تاریخ]],TArticle[پرداخت بدهی])</f>
        <v>0</v>
      </c>
      <c r="M244">
        <f>SUMIF(TArticle[تاریخ],TDays[[#This Row],[تاریخ]],TArticle[افزایش بدهی])</f>
        <v>0</v>
      </c>
      <c r="N244">
        <f>-SUMIF(TArticle[تاریخ],TDays[[#This Row],[تاریخ]],TArticle[افزایش سرمایه])</f>
        <v>0</v>
      </c>
      <c r="O244">
        <f>SUMIF(TArticle[تاریخ],TDays[[#This Row],[تاریخ]],TArticle[تعداد تراکنش انجام شده])</f>
        <v>0</v>
      </c>
      <c r="P244">
        <f>INT(((TDays[[#This Row],[ماه]]-1)*31+TDays[[#This Row],[روز]]+1)/7)+1</f>
        <v>36</v>
      </c>
      <c r="Q244">
        <f>SUMIF(TArticle[تاریخ],TDays[[#This Row],[تاریخ]],TArticle[تراکنش برنامه ریزی شده])</f>
        <v>0</v>
      </c>
    </row>
    <row r="245" spans="1:17" x14ac:dyDescent="0.25">
      <c r="A245" s="3" t="s">
        <v>440</v>
      </c>
      <c r="B245" t="str">
        <f>RIGHT(TDays[[#This Row],[تاریخ]],2)</f>
        <v>28</v>
      </c>
      <c r="C245" t="str">
        <f>RIGHT(LEFT(TDays[[#This Row],[تاریخ]],7),2)</f>
        <v>08</v>
      </c>
      <c r="D245" t="str">
        <f>LEFT(TDays[[#This Row],[تاریخ]],4)</f>
        <v>1401</v>
      </c>
      <c r="E245" t="str">
        <f>LEFT(TDays[[#This Row],[تاریخ]],7)</f>
        <v>1401-08</v>
      </c>
      <c r="F245">
        <v>0</v>
      </c>
      <c r="G245" s="15" t="str">
        <f>VLOOKUP(TDays[[#This Row],[کد روز هفته]],TDaysOfTheWeek[],2,FALSE)</f>
        <v>شنبه</v>
      </c>
      <c r="H245" s="15">
        <f>IFERROR(IF(E244&lt;&gt;E245,1,INT(H244)+IF(TDays[[#This Row],[کد روز هفته]]=0,1,0)),1)</f>
        <v>5</v>
      </c>
      <c r="I245">
        <f>-SUMIF(TArticle[تاریخ],TDays[[#This Row],[تاریخ]],TArticle[هزینه])</f>
        <v>0</v>
      </c>
      <c r="J245">
        <f>SUMIF(TArticle[تاریخ],TDays[[#This Row],[تاریخ]],TArticle[درآمد تتا])</f>
        <v>0</v>
      </c>
      <c r="K245">
        <f>SUMIF(TArticle[تاریخ],TDays[[#This Row],[تاریخ]],TArticle[اسنپ])</f>
        <v>0</v>
      </c>
      <c r="L245">
        <f>-SUMIF(TArticle[تاریخ],TDays[[#This Row],[تاریخ]],TArticle[پرداخت بدهی])</f>
        <v>0</v>
      </c>
      <c r="M245">
        <f>SUMIF(TArticle[تاریخ],TDays[[#This Row],[تاریخ]],TArticle[افزایش بدهی])</f>
        <v>0</v>
      </c>
      <c r="N245">
        <f>-SUMIF(TArticle[تاریخ],TDays[[#This Row],[تاریخ]],TArticle[افزایش سرمایه])</f>
        <v>0</v>
      </c>
      <c r="O245">
        <f>SUMIF(TArticle[تاریخ],TDays[[#This Row],[تاریخ]],TArticle[تعداد تراکنش انجام شده])</f>
        <v>0</v>
      </c>
      <c r="P245">
        <f>INT(((TDays[[#This Row],[ماه]]-1)*31+TDays[[#This Row],[روز]]+1)/7)+1</f>
        <v>36</v>
      </c>
      <c r="Q245">
        <f>SUMIF(TArticle[تاریخ],TDays[[#This Row],[تاریخ]],TArticle[تراکنش برنامه ریزی شده])</f>
        <v>0</v>
      </c>
    </row>
    <row r="246" spans="1:17" x14ac:dyDescent="0.25">
      <c r="A246" s="3" t="s">
        <v>441</v>
      </c>
      <c r="B246" t="str">
        <f>RIGHT(TDays[[#This Row],[تاریخ]],2)</f>
        <v>29</v>
      </c>
      <c r="C246" t="str">
        <f>RIGHT(LEFT(TDays[[#This Row],[تاریخ]],7),2)</f>
        <v>08</v>
      </c>
      <c r="D246" t="str">
        <f>LEFT(TDays[[#This Row],[تاریخ]],4)</f>
        <v>1401</v>
      </c>
      <c r="E246" t="str">
        <f>LEFT(TDays[[#This Row],[تاریخ]],7)</f>
        <v>1401-08</v>
      </c>
      <c r="F246">
        <v>1</v>
      </c>
      <c r="G246" s="15" t="str">
        <f>VLOOKUP(TDays[[#This Row],[کد روز هفته]],TDaysOfTheWeek[],2,FALSE)</f>
        <v>یکشنبه</v>
      </c>
      <c r="H246" s="15">
        <f>IFERROR(IF(E245&lt;&gt;E246,1,INT(H245)+IF(TDays[[#This Row],[کد روز هفته]]=0,1,0)),1)</f>
        <v>5</v>
      </c>
      <c r="I246">
        <f>-SUMIF(TArticle[تاریخ],TDays[[#This Row],[تاریخ]],TArticle[هزینه])</f>
        <v>0</v>
      </c>
      <c r="J246">
        <f>SUMIF(TArticle[تاریخ],TDays[[#This Row],[تاریخ]],TArticle[درآمد تتا])</f>
        <v>0</v>
      </c>
      <c r="K246">
        <f>SUMIF(TArticle[تاریخ],TDays[[#This Row],[تاریخ]],TArticle[اسنپ])</f>
        <v>0</v>
      </c>
      <c r="L246">
        <f>-SUMIF(TArticle[تاریخ],TDays[[#This Row],[تاریخ]],TArticle[پرداخت بدهی])</f>
        <v>0</v>
      </c>
      <c r="M246">
        <f>SUMIF(TArticle[تاریخ],TDays[[#This Row],[تاریخ]],TArticle[افزایش بدهی])</f>
        <v>0</v>
      </c>
      <c r="N246">
        <f>-SUMIF(TArticle[تاریخ],TDays[[#This Row],[تاریخ]],TArticle[افزایش سرمایه])</f>
        <v>0</v>
      </c>
      <c r="O246">
        <f>SUMIF(TArticle[تاریخ],TDays[[#This Row],[تاریخ]],TArticle[تعداد تراکنش انجام شده])</f>
        <v>0</v>
      </c>
      <c r="P246">
        <f>INT(((TDays[[#This Row],[ماه]]-1)*31+TDays[[#This Row],[روز]]+1)/7)+1</f>
        <v>36</v>
      </c>
      <c r="Q246">
        <f>SUMIF(TArticle[تاریخ],TDays[[#This Row],[تاریخ]],TArticle[تراکنش برنامه ریزی شده])</f>
        <v>0</v>
      </c>
    </row>
    <row r="247" spans="1:17" x14ac:dyDescent="0.25">
      <c r="A247" s="3" t="s">
        <v>442</v>
      </c>
      <c r="B247" t="str">
        <f>RIGHT(TDays[[#This Row],[تاریخ]],2)</f>
        <v>30</v>
      </c>
      <c r="C247" t="str">
        <f>RIGHT(LEFT(TDays[[#This Row],[تاریخ]],7),2)</f>
        <v>08</v>
      </c>
      <c r="D247" t="str">
        <f>LEFT(TDays[[#This Row],[تاریخ]],4)</f>
        <v>1401</v>
      </c>
      <c r="E247" t="str">
        <f>LEFT(TDays[[#This Row],[تاریخ]],7)</f>
        <v>1401-08</v>
      </c>
      <c r="F247">
        <v>2</v>
      </c>
      <c r="G247" s="15" t="str">
        <f>VLOOKUP(TDays[[#This Row],[کد روز هفته]],TDaysOfTheWeek[],2,FALSE)</f>
        <v>دوشنبه</v>
      </c>
      <c r="H247" s="15">
        <f>IFERROR(IF(E246&lt;&gt;E247,1,INT(H246)+IF(TDays[[#This Row],[کد روز هفته]]=0,1,0)),1)</f>
        <v>5</v>
      </c>
      <c r="I247">
        <f>-SUMIF(TArticle[تاریخ],TDays[[#This Row],[تاریخ]],TArticle[هزینه])</f>
        <v>0</v>
      </c>
      <c r="J247">
        <f>SUMIF(TArticle[تاریخ],TDays[[#This Row],[تاریخ]],TArticle[درآمد تتا])</f>
        <v>0</v>
      </c>
      <c r="K247">
        <f>SUMIF(TArticle[تاریخ],TDays[[#This Row],[تاریخ]],TArticle[اسنپ])</f>
        <v>0</v>
      </c>
      <c r="L247">
        <f>-SUMIF(TArticle[تاریخ],TDays[[#This Row],[تاریخ]],TArticle[پرداخت بدهی])</f>
        <v>0</v>
      </c>
      <c r="M247">
        <f>SUMIF(TArticle[تاریخ],TDays[[#This Row],[تاریخ]],TArticle[افزایش بدهی])</f>
        <v>0</v>
      </c>
      <c r="N247">
        <f>-SUMIF(TArticle[تاریخ],TDays[[#This Row],[تاریخ]],TArticle[افزایش سرمایه])</f>
        <v>0</v>
      </c>
      <c r="O247">
        <f>SUMIF(TArticle[تاریخ],TDays[[#This Row],[تاریخ]],TArticle[تعداد تراکنش انجام شده])</f>
        <v>0</v>
      </c>
      <c r="P247">
        <f>INT(((TDays[[#This Row],[ماه]]-1)*31+TDays[[#This Row],[روز]]+1)/7)+1</f>
        <v>36</v>
      </c>
      <c r="Q247">
        <f>SUMIF(TArticle[تاریخ],TDays[[#This Row],[تاریخ]],TArticle[تراکنش برنامه ریزی شده])</f>
        <v>0</v>
      </c>
    </row>
    <row r="248" spans="1:17" x14ac:dyDescent="0.25">
      <c r="A248" s="3" t="s">
        <v>443</v>
      </c>
      <c r="B248" t="str">
        <f>RIGHT(TDays[[#This Row],[تاریخ]],2)</f>
        <v>01</v>
      </c>
      <c r="C248" t="str">
        <f>RIGHT(LEFT(TDays[[#This Row],[تاریخ]],7),2)</f>
        <v>09</v>
      </c>
      <c r="D248" t="str">
        <f>LEFT(TDays[[#This Row],[تاریخ]],4)</f>
        <v>1401</v>
      </c>
      <c r="E248" t="str">
        <f>LEFT(TDays[[#This Row],[تاریخ]],7)</f>
        <v>1401-09</v>
      </c>
      <c r="F248">
        <v>3</v>
      </c>
      <c r="G248" s="15" t="str">
        <f>VLOOKUP(TDays[[#This Row],[کد روز هفته]],TDaysOfTheWeek[],2,FALSE)</f>
        <v>سه شنبه</v>
      </c>
      <c r="H248" s="15">
        <f>IFERROR(IF(E247&lt;&gt;E248,1,INT(H247)+IF(TDays[[#This Row],[کد روز هفته]]=0,1,0)),1)</f>
        <v>1</v>
      </c>
      <c r="I248">
        <f>-SUMIF(TArticle[تاریخ],TDays[[#This Row],[تاریخ]],TArticle[هزینه])</f>
        <v>0</v>
      </c>
      <c r="J248">
        <f>SUMIF(TArticle[تاریخ],TDays[[#This Row],[تاریخ]],TArticle[درآمد تتا])</f>
        <v>47323</v>
      </c>
      <c r="K248">
        <f>SUMIF(TArticle[تاریخ],TDays[[#This Row],[تاریخ]],TArticle[اسنپ])</f>
        <v>0</v>
      </c>
      <c r="L248">
        <f>-SUMIF(TArticle[تاریخ],TDays[[#This Row],[تاریخ]],TArticle[پرداخت بدهی])</f>
        <v>0</v>
      </c>
      <c r="M248">
        <f>SUMIF(TArticle[تاریخ],TDays[[#This Row],[تاریخ]],TArticle[افزایش بدهی])</f>
        <v>0</v>
      </c>
      <c r="N248">
        <f>-SUMIF(TArticle[تاریخ],TDays[[#This Row],[تاریخ]],TArticle[افزایش سرمایه])</f>
        <v>0</v>
      </c>
      <c r="O248">
        <f>SUMIF(TArticle[تاریخ],TDays[[#This Row],[تاریخ]],TArticle[تعداد تراکنش انجام شده])</f>
        <v>1</v>
      </c>
      <c r="P248">
        <f>INT(((TDays[[#This Row],[ماه]]-1)*31+TDays[[#This Row],[روز]]+1)/7)+1</f>
        <v>36</v>
      </c>
      <c r="Q248">
        <f>SUMIF(TArticle[تاریخ],TDays[[#This Row],[تاریخ]],TArticle[تراکنش برنامه ریزی شده])</f>
        <v>0</v>
      </c>
    </row>
    <row r="249" spans="1:17" x14ac:dyDescent="0.25">
      <c r="A249" s="3" t="s">
        <v>444</v>
      </c>
      <c r="B249" t="str">
        <f>RIGHT(TDays[[#This Row],[تاریخ]],2)</f>
        <v>02</v>
      </c>
      <c r="C249" t="str">
        <f>RIGHT(LEFT(TDays[[#This Row],[تاریخ]],7),2)</f>
        <v>09</v>
      </c>
      <c r="D249" t="str">
        <f>LEFT(TDays[[#This Row],[تاریخ]],4)</f>
        <v>1401</v>
      </c>
      <c r="E249" t="str">
        <f>LEFT(TDays[[#This Row],[تاریخ]],7)</f>
        <v>1401-09</v>
      </c>
      <c r="F249">
        <v>4</v>
      </c>
      <c r="G249" s="15" t="str">
        <f>VLOOKUP(TDays[[#This Row],[کد روز هفته]],TDaysOfTheWeek[],2,FALSE)</f>
        <v>چهارشنبه</v>
      </c>
      <c r="H249" s="15">
        <f>IFERROR(IF(E248&lt;&gt;E249,1,INT(H248)+IF(TDays[[#This Row],[کد روز هفته]]=0,1,0)),1)</f>
        <v>1</v>
      </c>
      <c r="I249">
        <f>-SUMIF(TArticle[تاریخ],TDays[[#This Row],[تاریخ]],TArticle[هزینه])</f>
        <v>0</v>
      </c>
      <c r="J249">
        <f>SUMIF(TArticle[تاریخ],TDays[[#This Row],[تاریخ]],TArticle[درآمد تتا])</f>
        <v>0</v>
      </c>
      <c r="K249">
        <f>SUMIF(TArticle[تاریخ],TDays[[#This Row],[تاریخ]],TArticle[اسنپ])</f>
        <v>0</v>
      </c>
      <c r="L249">
        <f>-SUMIF(TArticle[تاریخ],TDays[[#This Row],[تاریخ]],TArticle[پرداخت بدهی])</f>
        <v>0</v>
      </c>
      <c r="M249">
        <f>SUMIF(TArticle[تاریخ],TDays[[#This Row],[تاریخ]],TArticle[افزایش بدهی])</f>
        <v>0</v>
      </c>
      <c r="N249">
        <f>-SUMIF(TArticle[تاریخ],TDays[[#This Row],[تاریخ]],TArticle[افزایش سرمایه])</f>
        <v>0</v>
      </c>
      <c r="O249">
        <f>SUMIF(TArticle[تاریخ],TDays[[#This Row],[تاریخ]],TArticle[تعداد تراکنش انجام شده])</f>
        <v>0</v>
      </c>
      <c r="P249">
        <f>INT(((TDays[[#This Row],[ماه]]-1)*31+TDays[[#This Row],[روز]]+1)/7)+1</f>
        <v>36</v>
      </c>
      <c r="Q249">
        <f>SUMIF(TArticle[تاریخ],TDays[[#This Row],[تاریخ]],TArticle[تراکنش برنامه ریزی شده])</f>
        <v>0</v>
      </c>
    </row>
    <row r="250" spans="1:17" x14ac:dyDescent="0.25">
      <c r="A250" s="3" t="s">
        <v>445</v>
      </c>
      <c r="B250" t="str">
        <f>RIGHT(TDays[[#This Row],[تاریخ]],2)</f>
        <v>03</v>
      </c>
      <c r="C250" t="str">
        <f>RIGHT(LEFT(TDays[[#This Row],[تاریخ]],7),2)</f>
        <v>09</v>
      </c>
      <c r="D250" t="str">
        <f>LEFT(TDays[[#This Row],[تاریخ]],4)</f>
        <v>1401</v>
      </c>
      <c r="E250" t="str">
        <f>LEFT(TDays[[#This Row],[تاریخ]],7)</f>
        <v>1401-09</v>
      </c>
      <c r="F250">
        <v>5</v>
      </c>
      <c r="G250" s="15" t="str">
        <f>VLOOKUP(TDays[[#This Row],[کد روز هفته]],TDaysOfTheWeek[],2,FALSE)</f>
        <v>پنجشنبه</v>
      </c>
      <c r="H250" s="15">
        <f>IFERROR(IF(E249&lt;&gt;E250,1,INT(H249)+IF(TDays[[#This Row],[کد روز هفته]]=0,1,0)),1)</f>
        <v>1</v>
      </c>
      <c r="I250">
        <f>-SUMIF(TArticle[تاریخ],TDays[[#This Row],[تاریخ]],TArticle[هزینه])</f>
        <v>84</v>
      </c>
      <c r="J250">
        <f>SUMIF(TArticle[تاریخ],TDays[[#This Row],[تاریخ]],TArticle[درآمد تتا])</f>
        <v>0</v>
      </c>
      <c r="K250">
        <f>SUMIF(TArticle[تاریخ],TDays[[#This Row],[تاریخ]],TArticle[اسنپ])</f>
        <v>0</v>
      </c>
      <c r="L250">
        <f>-SUMIF(TArticle[تاریخ],TDays[[#This Row],[تاریخ]],TArticle[پرداخت بدهی])</f>
        <v>9448</v>
      </c>
      <c r="M250">
        <f>SUMIF(TArticle[تاریخ],TDays[[#This Row],[تاریخ]],TArticle[افزایش بدهی])</f>
        <v>0</v>
      </c>
      <c r="N250">
        <f>-SUMIF(TArticle[تاریخ],TDays[[#This Row],[تاریخ]],TArticle[افزایش سرمایه])</f>
        <v>0</v>
      </c>
      <c r="O250">
        <f>SUMIF(TArticle[تاریخ],TDays[[#This Row],[تاریخ]],TArticle[تعداد تراکنش انجام شده])</f>
        <v>8</v>
      </c>
      <c r="P250">
        <f>INT(((TDays[[#This Row],[ماه]]-1)*31+TDays[[#This Row],[روز]]+1)/7)+1</f>
        <v>37</v>
      </c>
      <c r="Q250">
        <f>SUMIF(TArticle[تاریخ],TDays[[#This Row],[تاریخ]],TArticle[تراکنش برنامه ریزی شده])</f>
        <v>0</v>
      </c>
    </row>
    <row r="251" spans="1:17" x14ac:dyDescent="0.25">
      <c r="A251" s="3" t="s">
        <v>446</v>
      </c>
      <c r="B251" t="str">
        <f>RIGHT(TDays[[#This Row],[تاریخ]],2)</f>
        <v>04</v>
      </c>
      <c r="C251" t="str">
        <f>RIGHT(LEFT(TDays[[#This Row],[تاریخ]],7),2)</f>
        <v>09</v>
      </c>
      <c r="D251" t="str">
        <f>LEFT(TDays[[#This Row],[تاریخ]],4)</f>
        <v>1401</v>
      </c>
      <c r="E251" t="str">
        <f>LEFT(TDays[[#This Row],[تاریخ]],7)</f>
        <v>1401-09</v>
      </c>
      <c r="F251">
        <v>6</v>
      </c>
      <c r="G251" s="15" t="str">
        <f>VLOOKUP(TDays[[#This Row],[کد روز هفته]],TDaysOfTheWeek[],2,FALSE)</f>
        <v>جمعه</v>
      </c>
      <c r="H251" s="15">
        <f>IFERROR(IF(E250&lt;&gt;E251,1,INT(H250)+IF(TDays[[#This Row],[کد روز هفته]]=0,1,0)),1)</f>
        <v>1</v>
      </c>
      <c r="I251">
        <f>-SUMIF(TArticle[تاریخ],TDays[[#This Row],[تاریخ]],TArticle[هزینه])</f>
        <v>0</v>
      </c>
      <c r="J251">
        <f>SUMIF(TArticle[تاریخ],TDays[[#This Row],[تاریخ]],TArticle[درآمد تتا])</f>
        <v>0</v>
      </c>
      <c r="K251">
        <f>SUMIF(TArticle[تاریخ],TDays[[#This Row],[تاریخ]],TArticle[اسنپ])</f>
        <v>0</v>
      </c>
      <c r="L251">
        <f>-SUMIF(TArticle[تاریخ],TDays[[#This Row],[تاریخ]],TArticle[پرداخت بدهی])</f>
        <v>0</v>
      </c>
      <c r="M251">
        <f>SUMIF(TArticle[تاریخ],TDays[[#This Row],[تاریخ]],TArticle[افزایش بدهی])</f>
        <v>0</v>
      </c>
      <c r="N251">
        <f>-SUMIF(TArticle[تاریخ],TDays[[#This Row],[تاریخ]],TArticle[افزایش سرمایه])</f>
        <v>0</v>
      </c>
      <c r="O251">
        <f>SUMIF(TArticle[تاریخ],TDays[[#This Row],[تاریخ]],TArticle[تعداد تراکنش انجام شده])</f>
        <v>0</v>
      </c>
      <c r="P251">
        <f>INT(((TDays[[#This Row],[ماه]]-1)*31+TDays[[#This Row],[روز]]+1)/7)+1</f>
        <v>37</v>
      </c>
      <c r="Q251">
        <f>SUMIF(TArticle[تاریخ],TDays[[#This Row],[تاریخ]],TArticle[تراکنش برنامه ریزی شده])</f>
        <v>0</v>
      </c>
    </row>
    <row r="252" spans="1:17" x14ac:dyDescent="0.25">
      <c r="A252" s="3" t="s">
        <v>447</v>
      </c>
      <c r="B252" t="str">
        <f>RIGHT(TDays[[#This Row],[تاریخ]],2)</f>
        <v>05</v>
      </c>
      <c r="C252" t="str">
        <f>RIGHT(LEFT(TDays[[#This Row],[تاریخ]],7),2)</f>
        <v>09</v>
      </c>
      <c r="D252" t="str">
        <f>LEFT(TDays[[#This Row],[تاریخ]],4)</f>
        <v>1401</v>
      </c>
      <c r="E252" t="str">
        <f>LEFT(TDays[[#This Row],[تاریخ]],7)</f>
        <v>1401-09</v>
      </c>
      <c r="F252">
        <v>0</v>
      </c>
      <c r="G252" s="15" t="str">
        <f>VLOOKUP(TDays[[#This Row],[کد روز هفته]],TDaysOfTheWeek[],2,FALSE)</f>
        <v>شنبه</v>
      </c>
      <c r="H252" s="15">
        <f>IFERROR(IF(E251&lt;&gt;E252,1,INT(H251)+IF(TDays[[#This Row],[کد روز هفته]]=0,1,0)),1)</f>
        <v>2</v>
      </c>
      <c r="I252">
        <f>-SUMIF(TArticle[تاریخ],TDays[[#This Row],[تاریخ]],TArticle[هزینه])</f>
        <v>18200</v>
      </c>
      <c r="J252">
        <f>SUMIF(TArticle[تاریخ],TDays[[#This Row],[تاریخ]],TArticle[درآمد تتا])</f>
        <v>0</v>
      </c>
      <c r="K252">
        <f>SUMIF(TArticle[تاریخ],TDays[[#This Row],[تاریخ]],TArticle[اسنپ])</f>
        <v>0</v>
      </c>
      <c r="L252">
        <f>-SUMIF(TArticle[تاریخ],TDays[[#This Row],[تاریخ]],TArticle[پرداخت بدهی])</f>
        <v>10000</v>
      </c>
      <c r="M252">
        <f>SUMIF(TArticle[تاریخ],TDays[[#This Row],[تاریخ]],TArticle[افزایش بدهی])</f>
        <v>0</v>
      </c>
      <c r="N252">
        <f>-SUMIF(TArticle[تاریخ],TDays[[#This Row],[تاریخ]],TArticle[افزایش سرمایه])</f>
        <v>0</v>
      </c>
      <c r="O252">
        <f>SUMIF(TArticle[تاریخ],TDays[[#This Row],[تاریخ]],TArticle[تعداد تراکنش انجام شده])</f>
        <v>3</v>
      </c>
      <c r="P252">
        <f>INT(((TDays[[#This Row],[ماه]]-1)*31+TDays[[#This Row],[روز]]+1)/7)+1</f>
        <v>37</v>
      </c>
      <c r="Q252">
        <f>SUMIF(TArticle[تاریخ],TDays[[#This Row],[تاریخ]],TArticle[تراکنش برنامه ریزی شده])</f>
        <v>0</v>
      </c>
    </row>
    <row r="253" spans="1:17" x14ac:dyDescent="0.25">
      <c r="A253" s="3" t="s">
        <v>448</v>
      </c>
      <c r="B253" t="str">
        <f>RIGHT(TDays[[#This Row],[تاریخ]],2)</f>
        <v>06</v>
      </c>
      <c r="C253" t="str">
        <f>RIGHT(LEFT(TDays[[#This Row],[تاریخ]],7),2)</f>
        <v>09</v>
      </c>
      <c r="D253" t="str">
        <f>LEFT(TDays[[#This Row],[تاریخ]],4)</f>
        <v>1401</v>
      </c>
      <c r="E253" t="str">
        <f>LEFT(TDays[[#This Row],[تاریخ]],7)</f>
        <v>1401-09</v>
      </c>
      <c r="F253">
        <v>1</v>
      </c>
      <c r="G253" s="15" t="str">
        <f>VLOOKUP(TDays[[#This Row],[کد روز هفته]],TDaysOfTheWeek[],2,FALSE)</f>
        <v>یکشنبه</v>
      </c>
      <c r="H253" s="15">
        <f>IFERROR(IF(E252&lt;&gt;E253,1,INT(H252)+IF(TDays[[#This Row],[کد روز هفته]]=0,1,0)),1)</f>
        <v>2</v>
      </c>
      <c r="I253">
        <f>-SUMIF(TArticle[تاریخ],TDays[[#This Row],[تاریخ]],TArticle[هزینه])</f>
        <v>0</v>
      </c>
      <c r="J253">
        <f>SUMIF(TArticle[تاریخ],TDays[[#This Row],[تاریخ]],TArticle[درآمد تتا])</f>
        <v>0</v>
      </c>
      <c r="K253">
        <f>SUMIF(TArticle[تاریخ],TDays[[#This Row],[تاریخ]],TArticle[اسنپ])</f>
        <v>0</v>
      </c>
      <c r="L253">
        <f>-SUMIF(TArticle[تاریخ],TDays[[#This Row],[تاریخ]],TArticle[پرداخت بدهی])</f>
        <v>0</v>
      </c>
      <c r="M253">
        <f>SUMIF(TArticle[تاریخ],TDays[[#This Row],[تاریخ]],TArticle[افزایش بدهی])</f>
        <v>0</v>
      </c>
      <c r="N253">
        <f>-SUMIF(TArticle[تاریخ],TDays[[#This Row],[تاریخ]],TArticle[افزایش سرمایه])</f>
        <v>0</v>
      </c>
      <c r="O253">
        <f>SUMIF(TArticle[تاریخ],TDays[[#This Row],[تاریخ]],TArticle[تعداد تراکنش انجام شده])</f>
        <v>0</v>
      </c>
      <c r="P253">
        <f>INT(((TDays[[#This Row],[ماه]]-1)*31+TDays[[#This Row],[روز]]+1)/7)+1</f>
        <v>37</v>
      </c>
      <c r="Q253">
        <f>SUMIF(TArticle[تاریخ],TDays[[#This Row],[تاریخ]],TArticle[تراکنش برنامه ریزی شده])</f>
        <v>0</v>
      </c>
    </row>
    <row r="254" spans="1:17" x14ac:dyDescent="0.25">
      <c r="A254" s="3" t="s">
        <v>449</v>
      </c>
      <c r="B254" t="str">
        <f>RIGHT(TDays[[#This Row],[تاریخ]],2)</f>
        <v>07</v>
      </c>
      <c r="C254" t="str">
        <f>RIGHT(LEFT(TDays[[#This Row],[تاریخ]],7),2)</f>
        <v>09</v>
      </c>
      <c r="D254" t="str">
        <f>LEFT(TDays[[#This Row],[تاریخ]],4)</f>
        <v>1401</v>
      </c>
      <c r="E254" t="str">
        <f>LEFT(TDays[[#This Row],[تاریخ]],7)</f>
        <v>1401-09</v>
      </c>
      <c r="F254">
        <v>2</v>
      </c>
      <c r="G254" s="15" t="str">
        <f>VLOOKUP(TDays[[#This Row],[کد روز هفته]],TDaysOfTheWeek[],2,FALSE)</f>
        <v>دوشنبه</v>
      </c>
      <c r="H254" s="15">
        <f>IFERROR(IF(E253&lt;&gt;E254,1,INT(H253)+IF(TDays[[#This Row],[کد روز هفته]]=0,1,0)),1)</f>
        <v>2</v>
      </c>
      <c r="I254">
        <f>-SUMIF(TArticle[تاریخ],TDays[[#This Row],[تاریخ]],TArticle[هزینه])</f>
        <v>0</v>
      </c>
      <c r="J254">
        <f>SUMIF(TArticle[تاریخ],TDays[[#This Row],[تاریخ]],TArticle[درآمد تتا])</f>
        <v>0</v>
      </c>
      <c r="K254">
        <f>SUMIF(TArticle[تاریخ],TDays[[#This Row],[تاریخ]],TArticle[اسنپ])</f>
        <v>0</v>
      </c>
      <c r="L254">
        <f>-SUMIF(TArticle[تاریخ],TDays[[#This Row],[تاریخ]],TArticle[پرداخت بدهی])</f>
        <v>3660</v>
      </c>
      <c r="M254">
        <f>SUMIF(TArticle[تاریخ],TDays[[#This Row],[تاریخ]],TArticle[افزایش بدهی])</f>
        <v>0</v>
      </c>
      <c r="N254">
        <f>-SUMIF(TArticle[تاریخ],TDays[[#This Row],[تاریخ]],TArticle[افزایش سرمایه])</f>
        <v>0</v>
      </c>
      <c r="O254">
        <f>SUMIF(TArticle[تاریخ],TDays[[#This Row],[تاریخ]],TArticle[تعداد تراکنش انجام شده])</f>
        <v>2</v>
      </c>
      <c r="P254">
        <f>INT(((TDays[[#This Row],[ماه]]-1)*31+TDays[[#This Row],[روز]]+1)/7)+1</f>
        <v>37</v>
      </c>
      <c r="Q254">
        <f>SUMIF(TArticle[تاریخ],TDays[[#This Row],[تاریخ]],TArticle[تراکنش برنامه ریزی شده])</f>
        <v>0</v>
      </c>
    </row>
    <row r="255" spans="1:17" x14ac:dyDescent="0.25">
      <c r="A255" s="3" t="s">
        <v>450</v>
      </c>
      <c r="B255" t="str">
        <f>RIGHT(TDays[[#This Row],[تاریخ]],2)</f>
        <v>08</v>
      </c>
      <c r="C255" t="str">
        <f>RIGHT(LEFT(TDays[[#This Row],[تاریخ]],7),2)</f>
        <v>09</v>
      </c>
      <c r="D255" t="str">
        <f>LEFT(TDays[[#This Row],[تاریخ]],4)</f>
        <v>1401</v>
      </c>
      <c r="E255" t="str">
        <f>LEFT(TDays[[#This Row],[تاریخ]],7)</f>
        <v>1401-09</v>
      </c>
      <c r="F255">
        <v>3</v>
      </c>
      <c r="G255" s="15" t="str">
        <f>VLOOKUP(TDays[[#This Row],[کد روز هفته]],TDaysOfTheWeek[],2,FALSE)</f>
        <v>سه شنبه</v>
      </c>
      <c r="H255" s="15">
        <f>IFERROR(IF(E254&lt;&gt;E255,1,INT(H254)+IF(TDays[[#This Row],[کد روز هفته]]=0,1,0)),1)</f>
        <v>2</v>
      </c>
      <c r="I255">
        <f>-SUMIF(TArticle[تاریخ],TDays[[#This Row],[تاریخ]],TArticle[هزینه])</f>
        <v>0</v>
      </c>
      <c r="J255">
        <f>SUMIF(TArticle[تاریخ],TDays[[#This Row],[تاریخ]],TArticle[درآمد تتا])</f>
        <v>0</v>
      </c>
      <c r="K255">
        <f>SUMIF(TArticle[تاریخ],TDays[[#This Row],[تاریخ]],TArticle[اسنپ])</f>
        <v>0</v>
      </c>
      <c r="L255">
        <f>-SUMIF(TArticle[تاریخ],TDays[[#This Row],[تاریخ]],TArticle[پرداخت بدهی])</f>
        <v>0</v>
      </c>
      <c r="M255">
        <f>SUMIF(TArticle[تاریخ],TDays[[#This Row],[تاریخ]],TArticle[افزایش بدهی])</f>
        <v>0</v>
      </c>
      <c r="N255">
        <f>-SUMIF(TArticle[تاریخ],TDays[[#This Row],[تاریخ]],TArticle[افزایش سرمایه])</f>
        <v>0</v>
      </c>
      <c r="O255">
        <f>SUMIF(TArticle[تاریخ],TDays[[#This Row],[تاریخ]],TArticle[تعداد تراکنش انجام شده])</f>
        <v>0</v>
      </c>
      <c r="P255">
        <f>INT(((TDays[[#This Row],[ماه]]-1)*31+TDays[[#This Row],[روز]]+1)/7)+1</f>
        <v>37</v>
      </c>
      <c r="Q255">
        <f>SUMIF(TArticle[تاریخ],TDays[[#This Row],[تاریخ]],TArticle[تراکنش برنامه ریزی شده])</f>
        <v>0</v>
      </c>
    </row>
    <row r="256" spans="1:17" x14ac:dyDescent="0.25">
      <c r="A256" s="3" t="s">
        <v>451</v>
      </c>
      <c r="B256" t="str">
        <f>RIGHT(TDays[[#This Row],[تاریخ]],2)</f>
        <v>09</v>
      </c>
      <c r="C256" t="str">
        <f>RIGHT(LEFT(TDays[[#This Row],[تاریخ]],7),2)</f>
        <v>09</v>
      </c>
      <c r="D256" t="str">
        <f>LEFT(TDays[[#This Row],[تاریخ]],4)</f>
        <v>1401</v>
      </c>
      <c r="E256" t="str">
        <f>LEFT(TDays[[#This Row],[تاریخ]],7)</f>
        <v>1401-09</v>
      </c>
      <c r="F256">
        <v>4</v>
      </c>
      <c r="G256" s="15" t="str">
        <f>VLOOKUP(TDays[[#This Row],[کد روز هفته]],TDaysOfTheWeek[],2,FALSE)</f>
        <v>چهارشنبه</v>
      </c>
      <c r="H256" s="15">
        <f>IFERROR(IF(E255&lt;&gt;E256,1,INT(H255)+IF(TDays[[#This Row],[کد روز هفته]]=0,1,0)),1)</f>
        <v>2</v>
      </c>
      <c r="I256">
        <f>-SUMIF(TArticle[تاریخ],TDays[[#This Row],[تاریخ]],TArticle[هزینه])</f>
        <v>0</v>
      </c>
      <c r="J256">
        <f>SUMIF(TArticle[تاریخ],TDays[[#This Row],[تاریخ]],TArticle[درآمد تتا])</f>
        <v>0</v>
      </c>
      <c r="K256">
        <f>SUMIF(TArticle[تاریخ],TDays[[#This Row],[تاریخ]],TArticle[اسنپ])</f>
        <v>0</v>
      </c>
      <c r="L256">
        <f>-SUMIF(TArticle[تاریخ],TDays[[#This Row],[تاریخ]],TArticle[پرداخت بدهی])</f>
        <v>0</v>
      </c>
      <c r="M256">
        <f>SUMIF(TArticle[تاریخ],TDays[[#This Row],[تاریخ]],TArticle[افزایش بدهی])</f>
        <v>0</v>
      </c>
      <c r="N256">
        <f>-SUMIF(TArticle[تاریخ],TDays[[#This Row],[تاریخ]],TArticle[افزایش سرمایه])</f>
        <v>0</v>
      </c>
      <c r="O256">
        <f>SUMIF(TArticle[تاریخ],TDays[[#This Row],[تاریخ]],TArticle[تعداد تراکنش انجام شده])</f>
        <v>0</v>
      </c>
      <c r="P256">
        <f>INT(((TDays[[#This Row],[ماه]]-1)*31+TDays[[#This Row],[روز]]+1)/7)+1</f>
        <v>37</v>
      </c>
      <c r="Q256">
        <f>SUMIF(TArticle[تاریخ],TDays[[#This Row],[تاریخ]],TArticle[تراکنش برنامه ریزی شده])</f>
        <v>0</v>
      </c>
    </row>
    <row r="257" spans="1:17" x14ac:dyDescent="0.25">
      <c r="A257" s="3" t="s">
        <v>452</v>
      </c>
      <c r="B257" t="str">
        <f>RIGHT(TDays[[#This Row],[تاریخ]],2)</f>
        <v>10</v>
      </c>
      <c r="C257" t="str">
        <f>RIGHT(LEFT(TDays[[#This Row],[تاریخ]],7),2)</f>
        <v>09</v>
      </c>
      <c r="D257" t="str">
        <f>LEFT(TDays[[#This Row],[تاریخ]],4)</f>
        <v>1401</v>
      </c>
      <c r="E257" t="str">
        <f>LEFT(TDays[[#This Row],[تاریخ]],7)</f>
        <v>1401-09</v>
      </c>
      <c r="F257">
        <v>5</v>
      </c>
      <c r="G257" s="15" t="str">
        <f>VLOOKUP(TDays[[#This Row],[کد روز هفته]],TDaysOfTheWeek[],2,FALSE)</f>
        <v>پنجشنبه</v>
      </c>
      <c r="H257" s="15">
        <f>IFERROR(IF(E256&lt;&gt;E257,1,INT(H256)+IF(TDays[[#This Row],[کد روز هفته]]=0,1,0)),1)</f>
        <v>2</v>
      </c>
      <c r="I257">
        <f>-SUMIF(TArticle[تاریخ],TDays[[#This Row],[تاریخ]],TArticle[هزینه])</f>
        <v>0</v>
      </c>
      <c r="J257">
        <f>SUMIF(TArticle[تاریخ],TDays[[#This Row],[تاریخ]],TArticle[درآمد تتا])</f>
        <v>0</v>
      </c>
      <c r="K257">
        <f>SUMIF(TArticle[تاریخ],TDays[[#This Row],[تاریخ]],TArticle[اسنپ])</f>
        <v>0</v>
      </c>
      <c r="L257">
        <f>-SUMIF(TArticle[تاریخ],TDays[[#This Row],[تاریخ]],TArticle[پرداخت بدهی])</f>
        <v>0</v>
      </c>
      <c r="M257">
        <f>SUMIF(TArticle[تاریخ],TDays[[#This Row],[تاریخ]],TArticle[افزایش بدهی])</f>
        <v>0</v>
      </c>
      <c r="N257">
        <f>-SUMIF(TArticle[تاریخ],TDays[[#This Row],[تاریخ]],TArticle[افزایش سرمایه])</f>
        <v>0</v>
      </c>
      <c r="O257">
        <f>SUMIF(TArticle[تاریخ],TDays[[#This Row],[تاریخ]],TArticle[تعداد تراکنش انجام شده])</f>
        <v>0</v>
      </c>
      <c r="P257">
        <f>INT(((TDays[[#This Row],[ماه]]-1)*31+TDays[[#This Row],[روز]]+1)/7)+1</f>
        <v>38</v>
      </c>
      <c r="Q257">
        <f>SUMIF(TArticle[تاریخ],TDays[[#This Row],[تاریخ]],TArticle[تراکنش برنامه ریزی شده])</f>
        <v>0</v>
      </c>
    </row>
    <row r="258" spans="1:17" x14ac:dyDescent="0.25">
      <c r="A258" s="3" t="s">
        <v>453</v>
      </c>
      <c r="B258" t="str">
        <f>RIGHT(TDays[[#This Row],[تاریخ]],2)</f>
        <v>11</v>
      </c>
      <c r="C258" t="str">
        <f>RIGHT(LEFT(TDays[[#This Row],[تاریخ]],7),2)</f>
        <v>09</v>
      </c>
      <c r="D258" t="str">
        <f>LEFT(TDays[[#This Row],[تاریخ]],4)</f>
        <v>1401</v>
      </c>
      <c r="E258" t="str">
        <f>LEFT(TDays[[#This Row],[تاریخ]],7)</f>
        <v>1401-09</v>
      </c>
      <c r="F258">
        <v>6</v>
      </c>
      <c r="G258" s="15" t="str">
        <f>VLOOKUP(TDays[[#This Row],[کد روز هفته]],TDaysOfTheWeek[],2,FALSE)</f>
        <v>جمعه</v>
      </c>
      <c r="H258" s="15">
        <f>IFERROR(IF(E257&lt;&gt;E258,1,INT(H257)+IF(TDays[[#This Row],[کد روز هفته]]=0,1,0)),1)</f>
        <v>2</v>
      </c>
      <c r="I258">
        <f>-SUMIF(TArticle[تاریخ],TDays[[#This Row],[تاریخ]],TArticle[هزینه])</f>
        <v>0</v>
      </c>
      <c r="J258">
        <f>SUMIF(TArticle[تاریخ],TDays[[#This Row],[تاریخ]],TArticle[درآمد تتا])</f>
        <v>0</v>
      </c>
      <c r="K258">
        <f>SUMIF(TArticle[تاریخ],TDays[[#This Row],[تاریخ]],TArticle[اسنپ])</f>
        <v>0</v>
      </c>
      <c r="L258">
        <f>-SUMIF(TArticle[تاریخ],TDays[[#This Row],[تاریخ]],TArticle[پرداخت بدهی])</f>
        <v>0</v>
      </c>
      <c r="M258">
        <f>SUMIF(TArticle[تاریخ],TDays[[#This Row],[تاریخ]],TArticle[افزایش بدهی])</f>
        <v>0</v>
      </c>
      <c r="N258">
        <f>-SUMIF(TArticle[تاریخ],TDays[[#This Row],[تاریخ]],TArticle[افزایش سرمایه])</f>
        <v>0</v>
      </c>
      <c r="O258">
        <f>SUMIF(TArticle[تاریخ],TDays[[#This Row],[تاریخ]],TArticle[تعداد تراکنش انجام شده])</f>
        <v>0</v>
      </c>
      <c r="P258">
        <f>INT(((TDays[[#This Row],[ماه]]-1)*31+TDays[[#This Row],[روز]]+1)/7)+1</f>
        <v>38</v>
      </c>
      <c r="Q258">
        <f>SUMIF(TArticle[تاریخ],TDays[[#This Row],[تاریخ]],TArticle[تراکنش برنامه ریزی شده])</f>
        <v>0</v>
      </c>
    </row>
    <row r="259" spans="1:17" x14ac:dyDescent="0.25">
      <c r="A259" s="3" t="s">
        <v>454</v>
      </c>
      <c r="B259" t="str">
        <f>RIGHT(TDays[[#This Row],[تاریخ]],2)</f>
        <v>12</v>
      </c>
      <c r="C259" t="str">
        <f>RIGHT(LEFT(TDays[[#This Row],[تاریخ]],7),2)</f>
        <v>09</v>
      </c>
      <c r="D259" t="str">
        <f>LEFT(TDays[[#This Row],[تاریخ]],4)</f>
        <v>1401</v>
      </c>
      <c r="E259" t="str">
        <f>LEFT(TDays[[#This Row],[تاریخ]],7)</f>
        <v>1401-09</v>
      </c>
      <c r="F259">
        <v>0</v>
      </c>
      <c r="G259" s="15" t="str">
        <f>VLOOKUP(TDays[[#This Row],[کد روز هفته]],TDaysOfTheWeek[],2,FALSE)</f>
        <v>شنبه</v>
      </c>
      <c r="H259" s="15">
        <f>IFERROR(IF(E258&lt;&gt;E259,1,INT(H258)+IF(TDays[[#This Row],[کد روز هفته]]=0,1,0)),1)</f>
        <v>3</v>
      </c>
      <c r="I259">
        <f>-SUMIF(TArticle[تاریخ],TDays[[#This Row],[تاریخ]],TArticle[هزینه])</f>
        <v>0</v>
      </c>
      <c r="J259">
        <f>SUMIF(TArticle[تاریخ],TDays[[#This Row],[تاریخ]],TArticle[درآمد تتا])</f>
        <v>0</v>
      </c>
      <c r="K259">
        <f>SUMIF(TArticle[تاریخ],TDays[[#This Row],[تاریخ]],TArticle[اسنپ])</f>
        <v>0</v>
      </c>
      <c r="L259">
        <f>-SUMIF(TArticle[تاریخ],TDays[[#This Row],[تاریخ]],TArticle[پرداخت بدهی])</f>
        <v>0</v>
      </c>
      <c r="M259">
        <f>SUMIF(TArticle[تاریخ],TDays[[#This Row],[تاریخ]],TArticle[افزایش بدهی])</f>
        <v>0</v>
      </c>
      <c r="N259">
        <f>-SUMIF(TArticle[تاریخ],TDays[[#This Row],[تاریخ]],TArticle[افزایش سرمایه])</f>
        <v>0</v>
      </c>
      <c r="O259">
        <f>SUMIF(TArticle[تاریخ],TDays[[#This Row],[تاریخ]],TArticle[تعداد تراکنش انجام شده])</f>
        <v>0</v>
      </c>
      <c r="P259">
        <f>INT(((TDays[[#This Row],[ماه]]-1)*31+TDays[[#This Row],[روز]]+1)/7)+1</f>
        <v>38</v>
      </c>
      <c r="Q259">
        <f>SUMIF(TArticle[تاریخ],TDays[[#This Row],[تاریخ]],TArticle[تراکنش برنامه ریزی شده])</f>
        <v>0</v>
      </c>
    </row>
    <row r="260" spans="1:17" x14ac:dyDescent="0.25">
      <c r="A260" s="3" t="s">
        <v>455</v>
      </c>
      <c r="B260" t="str">
        <f>RIGHT(TDays[[#This Row],[تاریخ]],2)</f>
        <v>13</v>
      </c>
      <c r="C260" t="str">
        <f>RIGHT(LEFT(TDays[[#This Row],[تاریخ]],7),2)</f>
        <v>09</v>
      </c>
      <c r="D260" t="str">
        <f>LEFT(TDays[[#This Row],[تاریخ]],4)</f>
        <v>1401</v>
      </c>
      <c r="E260" t="str">
        <f>LEFT(TDays[[#This Row],[تاریخ]],7)</f>
        <v>1401-09</v>
      </c>
      <c r="F260">
        <v>1</v>
      </c>
      <c r="G260" s="15" t="str">
        <f>VLOOKUP(TDays[[#This Row],[کد روز هفته]],TDaysOfTheWeek[],2,FALSE)</f>
        <v>یکشنبه</v>
      </c>
      <c r="H260" s="15">
        <f>IFERROR(IF(E259&lt;&gt;E260,1,INT(H259)+IF(TDays[[#This Row],[کد روز هفته]]=0,1,0)),1)</f>
        <v>3</v>
      </c>
      <c r="I260">
        <f>-SUMIF(TArticle[تاریخ],TDays[[#This Row],[تاریخ]],TArticle[هزینه])</f>
        <v>0</v>
      </c>
      <c r="J260">
        <f>SUMIF(TArticle[تاریخ],TDays[[#This Row],[تاریخ]],TArticle[درآمد تتا])</f>
        <v>0</v>
      </c>
      <c r="K260">
        <f>SUMIF(TArticle[تاریخ],TDays[[#This Row],[تاریخ]],TArticle[اسنپ])</f>
        <v>0</v>
      </c>
      <c r="L260">
        <f>-SUMIF(TArticle[تاریخ],TDays[[#This Row],[تاریخ]],TArticle[پرداخت بدهی])</f>
        <v>0</v>
      </c>
      <c r="M260">
        <f>SUMIF(TArticle[تاریخ],TDays[[#This Row],[تاریخ]],TArticle[افزایش بدهی])</f>
        <v>0</v>
      </c>
      <c r="N260">
        <f>-SUMIF(TArticle[تاریخ],TDays[[#This Row],[تاریخ]],TArticle[افزایش سرمایه])</f>
        <v>0</v>
      </c>
      <c r="O260">
        <f>SUMIF(TArticle[تاریخ],TDays[[#This Row],[تاریخ]],TArticle[تعداد تراکنش انجام شده])</f>
        <v>0</v>
      </c>
      <c r="P260">
        <f>INT(((TDays[[#This Row],[ماه]]-1)*31+TDays[[#This Row],[روز]]+1)/7)+1</f>
        <v>38</v>
      </c>
      <c r="Q260">
        <f>SUMIF(TArticle[تاریخ],TDays[[#This Row],[تاریخ]],TArticle[تراکنش برنامه ریزی شده])</f>
        <v>0</v>
      </c>
    </row>
    <row r="261" spans="1:17" x14ac:dyDescent="0.25">
      <c r="A261" s="3" t="s">
        <v>66</v>
      </c>
      <c r="B261" t="str">
        <f>RIGHT(TDays[[#This Row],[تاریخ]],2)</f>
        <v>14</v>
      </c>
      <c r="C261" t="str">
        <f>RIGHT(LEFT(TDays[[#This Row],[تاریخ]],7),2)</f>
        <v>09</v>
      </c>
      <c r="D261" t="str">
        <f>LEFT(TDays[[#This Row],[تاریخ]],4)</f>
        <v>1401</v>
      </c>
      <c r="E261" t="str">
        <f>LEFT(TDays[[#This Row],[تاریخ]],7)</f>
        <v>1401-09</v>
      </c>
      <c r="F261">
        <v>2</v>
      </c>
      <c r="G261" s="15" t="str">
        <f>VLOOKUP(TDays[[#This Row],[کد روز هفته]],TDaysOfTheWeek[],2,FALSE)</f>
        <v>دوشنبه</v>
      </c>
      <c r="H261" s="15">
        <f>IFERROR(IF(E260&lt;&gt;E261,1,INT(H260)+IF(TDays[[#This Row],[کد روز هفته]]=0,1,0)),1)</f>
        <v>3</v>
      </c>
      <c r="I261">
        <f>-SUMIF(TArticle[تاریخ],TDays[[#This Row],[تاریخ]],TArticle[هزینه])</f>
        <v>0</v>
      </c>
      <c r="J261">
        <f>SUMIF(TArticle[تاریخ],TDays[[#This Row],[تاریخ]],TArticle[درآمد تتا])</f>
        <v>0</v>
      </c>
      <c r="K261">
        <f>SUMIF(TArticle[تاریخ],TDays[[#This Row],[تاریخ]],TArticle[اسنپ])</f>
        <v>0</v>
      </c>
      <c r="L261">
        <f>-SUMIF(TArticle[تاریخ],TDays[[#This Row],[تاریخ]],TArticle[پرداخت بدهی])</f>
        <v>0</v>
      </c>
      <c r="M261">
        <f>SUMIF(TArticle[تاریخ],TDays[[#This Row],[تاریخ]],TArticle[افزایش بدهی])</f>
        <v>0</v>
      </c>
      <c r="N261">
        <f>-SUMIF(TArticle[تاریخ],TDays[[#This Row],[تاریخ]],TArticle[افزایش سرمایه])</f>
        <v>350</v>
      </c>
      <c r="O261">
        <f>SUMIF(TArticle[تاریخ],TDays[[#This Row],[تاریخ]],TArticle[تعداد تراکنش انجام شده])</f>
        <v>1</v>
      </c>
      <c r="P261">
        <f>INT(((TDays[[#This Row],[ماه]]-1)*31+TDays[[#This Row],[روز]]+1)/7)+1</f>
        <v>38</v>
      </c>
      <c r="Q261">
        <f>SUMIF(TArticle[تاریخ],TDays[[#This Row],[تاریخ]],TArticle[تراکنش برنامه ریزی شده])</f>
        <v>0</v>
      </c>
    </row>
    <row r="262" spans="1:17" x14ac:dyDescent="0.25">
      <c r="A262" s="3" t="s">
        <v>456</v>
      </c>
      <c r="B262" t="str">
        <f>RIGHT(TDays[[#This Row],[تاریخ]],2)</f>
        <v>15</v>
      </c>
      <c r="C262" t="str">
        <f>RIGHT(LEFT(TDays[[#This Row],[تاریخ]],7),2)</f>
        <v>09</v>
      </c>
      <c r="D262" t="str">
        <f>LEFT(TDays[[#This Row],[تاریخ]],4)</f>
        <v>1401</v>
      </c>
      <c r="E262" t="str">
        <f>LEFT(TDays[[#This Row],[تاریخ]],7)</f>
        <v>1401-09</v>
      </c>
      <c r="F262">
        <v>3</v>
      </c>
      <c r="G262" s="15" t="str">
        <f>VLOOKUP(TDays[[#This Row],[کد روز هفته]],TDaysOfTheWeek[],2,FALSE)</f>
        <v>سه شنبه</v>
      </c>
      <c r="H262" s="15">
        <f>IFERROR(IF(E261&lt;&gt;E262,1,INT(H261)+IF(TDays[[#This Row],[کد روز هفته]]=0,1,0)),1)</f>
        <v>3</v>
      </c>
      <c r="I262">
        <f>-SUMIF(TArticle[تاریخ],TDays[[#This Row],[تاریخ]],TArticle[هزینه])</f>
        <v>0</v>
      </c>
      <c r="J262">
        <f>SUMIF(TArticle[تاریخ],TDays[[#This Row],[تاریخ]],TArticle[درآمد تتا])</f>
        <v>0</v>
      </c>
      <c r="K262">
        <f>SUMIF(TArticle[تاریخ],TDays[[#This Row],[تاریخ]],TArticle[اسنپ])</f>
        <v>0</v>
      </c>
      <c r="L262">
        <f>-SUMIF(TArticle[تاریخ],TDays[[#This Row],[تاریخ]],TArticle[پرداخت بدهی])</f>
        <v>0</v>
      </c>
      <c r="M262">
        <f>SUMIF(TArticle[تاریخ],TDays[[#This Row],[تاریخ]],TArticle[افزایش بدهی])</f>
        <v>0</v>
      </c>
      <c r="N262">
        <f>-SUMIF(TArticle[تاریخ],TDays[[#This Row],[تاریخ]],TArticle[افزایش سرمایه])</f>
        <v>0</v>
      </c>
      <c r="O262">
        <f>SUMIF(TArticle[تاریخ],TDays[[#This Row],[تاریخ]],TArticle[تعداد تراکنش انجام شده])</f>
        <v>0</v>
      </c>
      <c r="P262">
        <f>INT(((TDays[[#This Row],[ماه]]-1)*31+TDays[[#This Row],[روز]]+1)/7)+1</f>
        <v>38</v>
      </c>
      <c r="Q262">
        <f>SUMIF(TArticle[تاریخ],TDays[[#This Row],[تاریخ]],TArticle[تراکنش برنامه ریزی شده])</f>
        <v>0</v>
      </c>
    </row>
    <row r="263" spans="1:17" x14ac:dyDescent="0.25">
      <c r="A263" s="3" t="s">
        <v>457</v>
      </c>
      <c r="B263" t="str">
        <f>RIGHT(TDays[[#This Row],[تاریخ]],2)</f>
        <v>16</v>
      </c>
      <c r="C263" t="str">
        <f>RIGHT(LEFT(TDays[[#This Row],[تاریخ]],7),2)</f>
        <v>09</v>
      </c>
      <c r="D263" t="str">
        <f>LEFT(TDays[[#This Row],[تاریخ]],4)</f>
        <v>1401</v>
      </c>
      <c r="E263" t="str">
        <f>LEFT(TDays[[#This Row],[تاریخ]],7)</f>
        <v>1401-09</v>
      </c>
      <c r="F263">
        <v>4</v>
      </c>
      <c r="G263" s="15" t="str">
        <f>VLOOKUP(TDays[[#This Row],[کد روز هفته]],TDaysOfTheWeek[],2,FALSE)</f>
        <v>چهارشنبه</v>
      </c>
      <c r="H263" s="15">
        <f>IFERROR(IF(E262&lt;&gt;E263,1,INT(H262)+IF(TDays[[#This Row],[کد روز هفته]]=0,1,0)),1)</f>
        <v>3</v>
      </c>
      <c r="I263">
        <f>-SUMIF(TArticle[تاریخ],TDays[[#This Row],[تاریخ]],TArticle[هزینه])</f>
        <v>0</v>
      </c>
      <c r="J263">
        <f>SUMIF(TArticle[تاریخ],TDays[[#This Row],[تاریخ]],TArticle[درآمد تتا])</f>
        <v>0</v>
      </c>
      <c r="K263">
        <f>SUMIF(TArticle[تاریخ],TDays[[#This Row],[تاریخ]],TArticle[اسنپ])</f>
        <v>0</v>
      </c>
      <c r="L263">
        <f>-SUMIF(TArticle[تاریخ],TDays[[#This Row],[تاریخ]],TArticle[پرداخت بدهی])</f>
        <v>0</v>
      </c>
      <c r="M263">
        <f>SUMIF(TArticle[تاریخ],TDays[[#This Row],[تاریخ]],TArticle[افزایش بدهی])</f>
        <v>0</v>
      </c>
      <c r="N263">
        <f>-SUMIF(TArticle[تاریخ],TDays[[#This Row],[تاریخ]],TArticle[افزایش سرمایه])</f>
        <v>0</v>
      </c>
      <c r="O263">
        <f>SUMIF(TArticle[تاریخ],TDays[[#This Row],[تاریخ]],TArticle[تعداد تراکنش انجام شده])</f>
        <v>0</v>
      </c>
      <c r="P263">
        <f>INT(((TDays[[#This Row],[ماه]]-1)*31+TDays[[#This Row],[روز]]+1)/7)+1</f>
        <v>38</v>
      </c>
      <c r="Q263">
        <f>SUMIF(TArticle[تاریخ],TDays[[#This Row],[تاریخ]],TArticle[تراکنش برنامه ریزی شده])</f>
        <v>0</v>
      </c>
    </row>
    <row r="264" spans="1:17" x14ac:dyDescent="0.25">
      <c r="A264" s="3" t="s">
        <v>458</v>
      </c>
      <c r="B264" t="str">
        <f>RIGHT(TDays[[#This Row],[تاریخ]],2)</f>
        <v>17</v>
      </c>
      <c r="C264" t="str">
        <f>RIGHT(LEFT(TDays[[#This Row],[تاریخ]],7),2)</f>
        <v>09</v>
      </c>
      <c r="D264" t="str">
        <f>LEFT(TDays[[#This Row],[تاریخ]],4)</f>
        <v>1401</v>
      </c>
      <c r="E264" t="str">
        <f>LEFT(TDays[[#This Row],[تاریخ]],7)</f>
        <v>1401-09</v>
      </c>
      <c r="F264">
        <v>5</v>
      </c>
      <c r="G264" s="15" t="str">
        <f>VLOOKUP(TDays[[#This Row],[کد روز هفته]],TDaysOfTheWeek[],2,FALSE)</f>
        <v>پنجشنبه</v>
      </c>
      <c r="H264" s="15">
        <f>IFERROR(IF(E263&lt;&gt;E264,1,INT(H263)+IF(TDays[[#This Row],[کد روز هفته]]=0,1,0)),1)</f>
        <v>3</v>
      </c>
      <c r="I264">
        <f>-SUMIF(TArticle[تاریخ],TDays[[#This Row],[تاریخ]],TArticle[هزینه])</f>
        <v>0</v>
      </c>
      <c r="J264">
        <f>SUMIF(TArticle[تاریخ],TDays[[#This Row],[تاریخ]],TArticle[درآمد تتا])</f>
        <v>0</v>
      </c>
      <c r="K264">
        <f>SUMIF(TArticle[تاریخ],TDays[[#This Row],[تاریخ]],TArticle[اسنپ])</f>
        <v>0</v>
      </c>
      <c r="L264">
        <f>-SUMIF(TArticle[تاریخ],TDays[[#This Row],[تاریخ]],TArticle[پرداخت بدهی])</f>
        <v>0</v>
      </c>
      <c r="M264">
        <f>SUMIF(TArticle[تاریخ],TDays[[#This Row],[تاریخ]],TArticle[افزایش بدهی])</f>
        <v>0</v>
      </c>
      <c r="N264">
        <f>-SUMIF(TArticle[تاریخ],TDays[[#This Row],[تاریخ]],TArticle[افزایش سرمایه])</f>
        <v>0</v>
      </c>
      <c r="O264">
        <f>SUMIF(TArticle[تاریخ],TDays[[#This Row],[تاریخ]],TArticle[تعداد تراکنش انجام شده])</f>
        <v>0</v>
      </c>
      <c r="P264">
        <f>INT(((TDays[[#This Row],[ماه]]-1)*31+TDays[[#This Row],[روز]]+1)/7)+1</f>
        <v>39</v>
      </c>
      <c r="Q264">
        <f>SUMIF(TArticle[تاریخ],TDays[[#This Row],[تاریخ]],TArticle[تراکنش برنامه ریزی شده])</f>
        <v>0</v>
      </c>
    </row>
    <row r="265" spans="1:17" x14ac:dyDescent="0.25">
      <c r="A265" s="3" t="s">
        <v>459</v>
      </c>
      <c r="B265" t="str">
        <f>RIGHT(TDays[[#This Row],[تاریخ]],2)</f>
        <v>18</v>
      </c>
      <c r="C265" t="str">
        <f>RIGHT(LEFT(TDays[[#This Row],[تاریخ]],7),2)</f>
        <v>09</v>
      </c>
      <c r="D265" t="str">
        <f>LEFT(TDays[[#This Row],[تاریخ]],4)</f>
        <v>1401</v>
      </c>
      <c r="E265" t="str">
        <f>LEFT(TDays[[#This Row],[تاریخ]],7)</f>
        <v>1401-09</v>
      </c>
      <c r="F265">
        <v>6</v>
      </c>
      <c r="G265" s="15" t="str">
        <f>VLOOKUP(TDays[[#This Row],[کد روز هفته]],TDaysOfTheWeek[],2,FALSE)</f>
        <v>جمعه</v>
      </c>
      <c r="H265" s="15">
        <f>IFERROR(IF(E264&lt;&gt;E265,1,INT(H264)+IF(TDays[[#This Row],[کد روز هفته]]=0,1,0)),1)</f>
        <v>3</v>
      </c>
      <c r="I265">
        <f>-SUMIF(TArticle[تاریخ],TDays[[#This Row],[تاریخ]],TArticle[هزینه])</f>
        <v>0</v>
      </c>
      <c r="J265">
        <f>SUMIF(TArticle[تاریخ],TDays[[#This Row],[تاریخ]],TArticle[درآمد تتا])</f>
        <v>0</v>
      </c>
      <c r="K265">
        <f>SUMIF(TArticle[تاریخ],TDays[[#This Row],[تاریخ]],TArticle[اسنپ])</f>
        <v>0</v>
      </c>
      <c r="L265">
        <f>-SUMIF(TArticle[تاریخ],TDays[[#This Row],[تاریخ]],TArticle[پرداخت بدهی])</f>
        <v>0</v>
      </c>
      <c r="M265">
        <f>SUMIF(TArticle[تاریخ],TDays[[#This Row],[تاریخ]],TArticle[افزایش بدهی])</f>
        <v>0</v>
      </c>
      <c r="N265">
        <f>-SUMIF(TArticle[تاریخ],TDays[[#This Row],[تاریخ]],TArticle[افزایش سرمایه])</f>
        <v>0</v>
      </c>
      <c r="O265">
        <f>SUMIF(TArticle[تاریخ],TDays[[#This Row],[تاریخ]],TArticle[تعداد تراکنش انجام شده])</f>
        <v>0</v>
      </c>
      <c r="P265">
        <f>INT(((TDays[[#This Row],[ماه]]-1)*31+TDays[[#This Row],[روز]]+1)/7)+1</f>
        <v>39</v>
      </c>
      <c r="Q265">
        <f>SUMIF(TArticle[تاریخ],TDays[[#This Row],[تاریخ]],TArticle[تراکنش برنامه ریزی شده])</f>
        <v>0</v>
      </c>
    </row>
    <row r="266" spans="1:17" x14ac:dyDescent="0.25">
      <c r="A266" s="3" t="s">
        <v>460</v>
      </c>
      <c r="B266" t="str">
        <f>RIGHT(TDays[[#This Row],[تاریخ]],2)</f>
        <v>19</v>
      </c>
      <c r="C266" t="str">
        <f>RIGHT(LEFT(TDays[[#This Row],[تاریخ]],7),2)</f>
        <v>09</v>
      </c>
      <c r="D266" t="str">
        <f>LEFT(TDays[[#This Row],[تاریخ]],4)</f>
        <v>1401</v>
      </c>
      <c r="E266" t="str">
        <f>LEFT(TDays[[#This Row],[تاریخ]],7)</f>
        <v>1401-09</v>
      </c>
      <c r="F266">
        <v>0</v>
      </c>
      <c r="G266" s="15" t="str">
        <f>VLOOKUP(TDays[[#This Row],[کد روز هفته]],TDaysOfTheWeek[],2,FALSE)</f>
        <v>شنبه</v>
      </c>
      <c r="H266" s="15">
        <f>IFERROR(IF(E265&lt;&gt;E266,1,INT(H265)+IF(TDays[[#This Row],[کد روز هفته]]=0,1,0)),1)</f>
        <v>4</v>
      </c>
      <c r="I266">
        <f>-SUMIF(TArticle[تاریخ],TDays[[#This Row],[تاریخ]],TArticle[هزینه])</f>
        <v>0</v>
      </c>
      <c r="J266">
        <f>SUMIF(TArticle[تاریخ],TDays[[#This Row],[تاریخ]],TArticle[درآمد تتا])</f>
        <v>0</v>
      </c>
      <c r="K266">
        <f>SUMIF(TArticle[تاریخ],TDays[[#This Row],[تاریخ]],TArticle[اسنپ])</f>
        <v>0</v>
      </c>
      <c r="L266">
        <f>-SUMIF(TArticle[تاریخ],TDays[[#This Row],[تاریخ]],TArticle[پرداخت بدهی])</f>
        <v>0</v>
      </c>
      <c r="M266">
        <f>SUMIF(TArticle[تاریخ],TDays[[#This Row],[تاریخ]],TArticle[افزایش بدهی])</f>
        <v>0</v>
      </c>
      <c r="N266">
        <f>-SUMIF(TArticle[تاریخ],TDays[[#This Row],[تاریخ]],TArticle[افزایش سرمایه])</f>
        <v>0</v>
      </c>
      <c r="O266">
        <f>SUMIF(TArticle[تاریخ],TDays[[#This Row],[تاریخ]],TArticle[تعداد تراکنش انجام شده])</f>
        <v>0</v>
      </c>
      <c r="P266">
        <f>INT(((TDays[[#This Row],[ماه]]-1)*31+TDays[[#This Row],[روز]]+1)/7)+1</f>
        <v>39</v>
      </c>
      <c r="Q266">
        <f>SUMIF(TArticle[تاریخ],TDays[[#This Row],[تاریخ]],TArticle[تراکنش برنامه ریزی شده])</f>
        <v>0</v>
      </c>
    </row>
    <row r="267" spans="1:17" x14ac:dyDescent="0.25">
      <c r="A267" s="3" t="s">
        <v>461</v>
      </c>
      <c r="B267" t="str">
        <f>RIGHT(TDays[[#This Row],[تاریخ]],2)</f>
        <v>20</v>
      </c>
      <c r="C267" t="str">
        <f>RIGHT(LEFT(TDays[[#This Row],[تاریخ]],7),2)</f>
        <v>09</v>
      </c>
      <c r="D267" t="str">
        <f>LEFT(TDays[[#This Row],[تاریخ]],4)</f>
        <v>1401</v>
      </c>
      <c r="E267" t="str">
        <f>LEFT(TDays[[#This Row],[تاریخ]],7)</f>
        <v>1401-09</v>
      </c>
      <c r="F267">
        <v>1</v>
      </c>
      <c r="G267" s="15" t="str">
        <f>VLOOKUP(TDays[[#This Row],[کد روز هفته]],TDaysOfTheWeek[],2,FALSE)</f>
        <v>یکشنبه</v>
      </c>
      <c r="H267" s="15">
        <f>IFERROR(IF(E266&lt;&gt;E267,1,INT(H266)+IF(TDays[[#This Row],[کد روز هفته]]=0,1,0)),1)</f>
        <v>4</v>
      </c>
      <c r="I267">
        <f>-SUMIF(TArticle[تاریخ],TDays[[#This Row],[تاریخ]],TArticle[هزینه])</f>
        <v>0</v>
      </c>
      <c r="J267">
        <f>SUMIF(TArticle[تاریخ],TDays[[#This Row],[تاریخ]],TArticle[درآمد تتا])</f>
        <v>0</v>
      </c>
      <c r="K267">
        <f>SUMIF(TArticle[تاریخ],TDays[[#This Row],[تاریخ]],TArticle[اسنپ])</f>
        <v>0</v>
      </c>
      <c r="L267">
        <f>-SUMIF(TArticle[تاریخ],TDays[[#This Row],[تاریخ]],TArticle[پرداخت بدهی])</f>
        <v>0</v>
      </c>
      <c r="M267">
        <f>SUMIF(TArticle[تاریخ],TDays[[#This Row],[تاریخ]],TArticle[افزایش بدهی])</f>
        <v>0</v>
      </c>
      <c r="N267">
        <f>-SUMIF(TArticle[تاریخ],TDays[[#This Row],[تاریخ]],TArticle[افزایش سرمایه])</f>
        <v>0</v>
      </c>
      <c r="O267">
        <f>SUMIF(TArticle[تاریخ],TDays[[#This Row],[تاریخ]],TArticle[تعداد تراکنش انجام شده])</f>
        <v>1</v>
      </c>
      <c r="P267">
        <f>INT(((TDays[[#This Row],[ماه]]-1)*31+TDays[[#This Row],[روز]]+1)/7)+1</f>
        <v>39</v>
      </c>
      <c r="Q267">
        <f>SUMIF(TArticle[تاریخ],TDays[[#This Row],[تاریخ]],TArticle[تراکنش برنامه ریزی شده])</f>
        <v>0</v>
      </c>
    </row>
    <row r="268" spans="1:17" x14ac:dyDescent="0.25">
      <c r="A268" s="3" t="s">
        <v>462</v>
      </c>
      <c r="B268" t="str">
        <f>RIGHT(TDays[[#This Row],[تاریخ]],2)</f>
        <v>21</v>
      </c>
      <c r="C268" t="str">
        <f>RIGHT(LEFT(TDays[[#This Row],[تاریخ]],7),2)</f>
        <v>09</v>
      </c>
      <c r="D268" t="str">
        <f>LEFT(TDays[[#This Row],[تاریخ]],4)</f>
        <v>1401</v>
      </c>
      <c r="E268" t="str">
        <f>LEFT(TDays[[#This Row],[تاریخ]],7)</f>
        <v>1401-09</v>
      </c>
      <c r="F268">
        <v>2</v>
      </c>
      <c r="G268" s="15" t="str">
        <f>VLOOKUP(TDays[[#This Row],[کد روز هفته]],TDaysOfTheWeek[],2,FALSE)</f>
        <v>دوشنبه</v>
      </c>
      <c r="H268" s="15">
        <f>IFERROR(IF(E267&lt;&gt;E268,1,INT(H267)+IF(TDays[[#This Row],[کد روز هفته]]=0,1,0)),1)</f>
        <v>4</v>
      </c>
      <c r="I268">
        <f>-SUMIF(TArticle[تاریخ],TDays[[#This Row],[تاریخ]],TArticle[هزینه])</f>
        <v>0</v>
      </c>
      <c r="J268">
        <f>SUMIF(TArticle[تاریخ],TDays[[#This Row],[تاریخ]],TArticle[درآمد تتا])</f>
        <v>0</v>
      </c>
      <c r="K268">
        <f>SUMIF(TArticle[تاریخ],TDays[[#This Row],[تاریخ]],TArticle[اسنپ])</f>
        <v>0</v>
      </c>
      <c r="L268">
        <f>-SUMIF(TArticle[تاریخ],TDays[[#This Row],[تاریخ]],TArticle[پرداخت بدهی])</f>
        <v>0</v>
      </c>
      <c r="M268">
        <f>SUMIF(TArticle[تاریخ],TDays[[#This Row],[تاریخ]],TArticle[افزایش بدهی])</f>
        <v>0</v>
      </c>
      <c r="N268">
        <f>-SUMIF(TArticle[تاریخ],TDays[[#This Row],[تاریخ]],TArticle[افزایش سرمایه])</f>
        <v>0</v>
      </c>
      <c r="O268">
        <f>SUMIF(TArticle[تاریخ],TDays[[#This Row],[تاریخ]],TArticle[تعداد تراکنش انجام شده])</f>
        <v>0</v>
      </c>
      <c r="P268">
        <f>INT(((TDays[[#This Row],[ماه]]-1)*31+TDays[[#This Row],[روز]]+1)/7)+1</f>
        <v>39</v>
      </c>
      <c r="Q268">
        <f>SUMIF(TArticle[تاریخ],TDays[[#This Row],[تاریخ]],TArticle[تراکنش برنامه ریزی شده])</f>
        <v>0</v>
      </c>
    </row>
    <row r="269" spans="1:17" x14ac:dyDescent="0.25">
      <c r="A269" s="3" t="s">
        <v>463</v>
      </c>
      <c r="B269" t="str">
        <f>RIGHT(TDays[[#This Row],[تاریخ]],2)</f>
        <v>22</v>
      </c>
      <c r="C269" t="str">
        <f>RIGHT(LEFT(TDays[[#This Row],[تاریخ]],7),2)</f>
        <v>09</v>
      </c>
      <c r="D269" t="str">
        <f>LEFT(TDays[[#This Row],[تاریخ]],4)</f>
        <v>1401</v>
      </c>
      <c r="E269" t="str">
        <f>LEFT(TDays[[#This Row],[تاریخ]],7)</f>
        <v>1401-09</v>
      </c>
      <c r="F269">
        <v>3</v>
      </c>
      <c r="G269" s="15" t="str">
        <f>VLOOKUP(TDays[[#This Row],[کد روز هفته]],TDaysOfTheWeek[],2,FALSE)</f>
        <v>سه شنبه</v>
      </c>
      <c r="H269" s="15">
        <f>IFERROR(IF(E268&lt;&gt;E269,1,INT(H268)+IF(TDays[[#This Row],[کد روز هفته]]=0,1,0)),1)</f>
        <v>4</v>
      </c>
      <c r="I269">
        <f>-SUMIF(TArticle[تاریخ],TDays[[#This Row],[تاریخ]],TArticle[هزینه])</f>
        <v>0</v>
      </c>
      <c r="J269">
        <f>SUMIF(TArticle[تاریخ],TDays[[#This Row],[تاریخ]],TArticle[درآمد تتا])</f>
        <v>0</v>
      </c>
      <c r="K269">
        <f>SUMIF(TArticle[تاریخ],TDays[[#This Row],[تاریخ]],TArticle[اسنپ])</f>
        <v>0</v>
      </c>
      <c r="L269">
        <f>-SUMIF(TArticle[تاریخ],TDays[[#This Row],[تاریخ]],TArticle[پرداخت بدهی])</f>
        <v>0</v>
      </c>
      <c r="M269">
        <f>SUMIF(TArticle[تاریخ],TDays[[#This Row],[تاریخ]],TArticle[افزایش بدهی])</f>
        <v>0</v>
      </c>
      <c r="N269">
        <f>-SUMIF(TArticle[تاریخ],TDays[[#This Row],[تاریخ]],TArticle[افزایش سرمایه])</f>
        <v>0</v>
      </c>
      <c r="O269">
        <f>SUMIF(TArticle[تاریخ],TDays[[#This Row],[تاریخ]],TArticle[تعداد تراکنش انجام شده])</f>
        <v>0</v>
      </c>
      <c r="P269">
        <f>INT(((TDays[[#This Row],[ماه]]-1)*31+TDays[[#This Row],[روز]]+1)/7)+1</f>
        <v>39</v>
      </c>
      <c r="Q269">
        <f>SUMIF(TArticle[تاریخ],TDays[[#This Row],[تاریخ]],TArticle[تراکنش برنامه ریزی شده])</f>
        <v>0</v>
      </c>
    </row>
    <row r="270" spans="1:17" x14ac:dyDescent="0.25">
      <c r="A270" s="3" t="s">
        <v>464</v>
      </c>
      <c r="B270" t="str">
        <f>RIGHT(TDays[[#This Row],[تاریخ]],2)</f>
        <v>23</v>
      </c>
      <c r="C270" t="str">
        <f>RIGHT(LEFT(TDays[[#This Row],[تاریخ]],7),2)</f>
        <v>09</v>
      </c>
      <c r="D270" t="str">
        <f>LEFT(TDays[[#This Row],[تاریخ]],4)</f>
        <v>1401</v>
      </c>
      <c r="E270" t="str">
        <f>LEFT(TDays[[#This Row],[تاریخ]],7)</f>
        <v>1401-09</v>
      </c>
      <c r="F270">
        <v>4</v>
      </c>
      <c r="G270" s="15" t="str">
        <f>VLOOKUP(TDays[[#This Row],[کد روز هفته]],TDaysOfTheWeek[],2,FALSE)</f>
        <v>چهارشنبه</v>
      </c>
      <c r="H270" s="15">
        <f>IFERROR(IF(E269&lt;&gt;E270,1,INT(H269)+IF(TDays[[#This Row],[کد روز هفته]]=0,1,0)),1)</f>
        <v>4</v>
      </c>
      <c r="I270">
        <f>-SUMIF(TArticle[تاریخ],TDays[[#This Row],[تاریخ]],TArticle[هزینه])</f>
        <v>0</v>
      </c>
      <c r="J270">
        <f>SUMIF(TArticle[تاریخ],TDays[[#This Row],[تاریخ]],TArticle[درآمد تتا])</f>
        <v>0</v>
      </c>
      <c r="K270">
        <f>SUMIF(TArticle[تاریخ],TDays[[#This Row],[تاریخ]],TArticle[اسنپ])</f>
        <v>0</v>
      </c>
      <c r="L270">
        <f>-SUMIF(TArticle[تاریخ],TDays[[#This Row],[تاریخ]],TArticle[پرداخت بدهی])</f>
        <v>0</v>
      </c>
      <c r="M270">
        <f>SUMIF(TArticle[تاریخ],TDays[[#This Row],[تاریخ]],TArticle[افزایش بدهی])</f>
        <v>0</v>
      </c>
      <c r="N270">
        <f>-SUMIF(TArticle[تاریخ],TDays[[#This Row],[تاریخ]],TArticle[افزایش سرمایه])</f>
        <v>0</v>
      </c>
      <c r="O270">
        <f>SUMIF(TArticle[تاریخ],TDays[[#This Row],[تاریخ]],TArticle[تعداد تراکنش انجام شده])</f>
        <v>0</v>
      </c>
      <c r="P270">
        <f>INT(((TDays[[#This Row],[ماه]]-1)*31+TDays[[#This Row],[روز]]+1)/7)+1</f>
        <v>39</v>
      </c>
      <c r="Q270">
        <f>SUMIF(TArticle[تاریخ],TDays[[#This Row],[تاریخ]],TArticle[تراکنش برنامه ریزی شده])</f>
        <v>0</v>
      </c>
    </row>
    <row r="271" spans="1:17" x14ac:dyDescent="0.25">
      <c r="A271" s="3" t="s">
        <v>465</v>
      </c>
      <c r="B271" t="str">
        <f>RIGHT(TDays[[#This Row],[تاریخ]],2)</f>
        <v>24</v>
      </c>
      <c r="C271" t="str">
        <f>RIGHT(LEFT(TDays[[#This Row],[تاریخ]],7),2)</f>
        <v>09</v>
      </c>
      <c r="D271" t="str">
        <f>LEFT(TDays[[#This Row],[تاریخ]],4)</f>
        <v>1401</v>
      </c>
      <c r="E271" t="str">
        <f>LEFT(TDays[[#This Row],[تاریخ]],7)</f>
        <v>1401-09</v>
      </c>
      <c r="F271">
        <v>5</v>
      </c>
      <c r="G271" s="15" t="str">
        <f>VLOOKUP(TDays[[#This Row],[کد روز هفته]],TDaysOfTheWeek[],2,FALSE)</f>
        <v>پنجشنبه</v>
      </c>
      <c r="H271" s="15">
        <f>IFERROR(IF(E270&lt;&gt;E271,1,INT(H270)+IF(TDays[[#This Row],[کد روز هفته]]=0,1,0)),1)</f>
        <v>4</v>
      </c>
      <c r="I271">
        <f>-SUMIF(TArticle[تاریخ],TDays[[#This Row],[تاریخ]],TArticle[هزینه])</f>
        <v>0</v>
      </c>
      <c r="J271">
        <f>SUMIF(TArticle[تاریخ],TDays[[#This Row],[تاریخ]],TArticle[درآمد تتا])</f>
        <v>0</v>
      </c>
      <c r="K271">
        <f>SUMIF(TArticle[تاریخ],TDays[[#This Row],[تاریخ]],TArticle[اسنپ])</f>
        <v>0</v>
      </c>
      <c r="L271">
        <f>-SUMIF(TArticle[تاریخ],TDays[[#This Row],[تاریخ]],TArticle[پرداخت بدهی])</f>
        <v>0</v>
      </c>
      <c r="M271">
        <f>SUMIF(TArticle[تاریخ],TDays[[#This Row],[تاریخ]],TArticle[افزایش بدهی])</f>
        <v>0</v>
      </c>
      <c r="N271">
        <f>-SUMIF(TArticle[تاریخ],TDays[[#This Row],[تاریخ]],TArticle[افزایش سرمایه])</f>
        <v>0</v>
      </c>
      <c r="O271">
        <f>SUMIF(TArticle[تاریخ],TDays[[#This Row],[تاریخ]],TArticle[تعداد تراکنش انجام شده])</f>
        <v>0</v>
      </c>
      <c r="P271">
        <f>INT(((TDays[[#This Row],[ماه]]-1)*31+TDays[[#This Row],[روز]]+1)/7)+1</f>
        <v>40</v>
      </c>
      <c r="Q271">
        <f>SUMIF(TArticle[تاریخ],TDays[[#This Row],[تاریخ]],TArticle[تراکنش برنامه ریزی شده])</f>
        <v>0</v>
      </c>
    </row>
    <row r="272" spans="1:17" x14ac:dyDescent="0.25">
      <c r="A272" s="3" t="s">
        <v>466</v>
      </c>
      <c r="B272" t="str">
        <f>RIGHT(TDays[[#This Row],[تاریخ]],2)</f>
        <v>25</v>
      </c>
      <c r="C272" t="str">
        <f>RIGHT(LEFT(TDays[[#This Row],[تاریخ]],7),2)</f>
        <v>09</v>
      </c>
      <c r="D272" t="str">
        <f>LEFT(TDays[[#This Row],[تاریخ]],4)</f>
        <v>1401</v>
      </c>
      <c r="E272" t="str">
        <f>LEFT(TDays[[#This Row],[تاریخ]],7)</f>
        <v>1401-09</v>
      </c>
      <c r="F272">
        <v>6</v>
      </c>
      <c r="G272" s="15" t="str">
        <f>VLOOKUP(TDays[[#This Row],[کد روز هفته]],TDaysOfTheWeek[],2,FALSE)</f>
        <v>جمعه</v>
      </c>
      <c r="H272" s="15">
        <f>IFERROR(IF(E271&lt;&gt;E272,1,INT(H271)+IF(TDays[[#This Row],[کد روز هفته]]=0,1,0)),1)</f>
        <v>4</v>
      </c>
      <c r="I272">
        <f>-SUMIF(TArticle[تاریخ],TDays[[#This Row],[تاریخ]],TArticle[هزینه])</f>
        <v>0</v>
      </c>
      <c r="J272">
        <f>SUMIF(TArticle[تاریخ],TDays[[#This Row],[تاریخ]],TArticle[درآمد تتا])</f>
        <v>0</v>
      </c>
      <c r="K272">
        <f>SUMIF(TArticle[تاریخ],TDays[[#This Row],[تاریخ]],TArticle[اسنپ])</f>
        <v>0</v>
      </c>
      <c r="L272">
        <f>-SUMIF(TArticle[تاریخ],TDays[[#This Row],[تاریخ]],TArticle[پرداخت بدهی])</f>
        <v>0</v>
      </c>
      <c r="M272">
        <f>SUMIF(TArticle[تاریخ],TDays[[#This Row],[تاریخ]],TArticle[افزایش بدهی])</f>
        <v>0</v>
      </c>
      <c r="N272">
        <f>-SUMIF(TArticle[تاریخ],TDays[[#This Row],[تاریخ]],TArticle[افزایش سرمایه])</f>
        <v>0</v>
      </c>
      <c r="O272">
        <f>SUMIF(TArticle[تاریخ],TDays[[#This Row],[تاریخ]],TArticle[تعداد تراکنش انجام شده])</f>
        <v>0</v>
      </c>
      <c r="P272">
        <f>INT(((TDays[[#This Row],[ماه]]-1)*31+TDays[[#This Row],[روز]]+1)/7)+1</f>
        <v>40</v>
      </c>
      <c r="Q272">
        <f>SUMIF(TArticle[تاریخ],TDays[[#This Row],[تاریخ]],TArticle[تراکنش برنامه ریزی شده])</f>
        <v>0</v>
      </c>
    </row>
    <row r="273" spans="1:17" x14ac:dyDescent="0.25">
      <c r="A273" s="3" t="s">
        <v>467</v>
      </c>
      <c r="B273" t="str">
        <f>RIGHT(TDays[[#This Row],[تاریخ]],2)</f>
        <v>26</v>
      </c>
      <c r="C273" t="str">
        <f>RIGHT(LEFT(TDays[[#This Row],[تاریخ]],7),2)</f>
        <v>09</v>
      </c>
      <c r="D273" t="str">
        <f>LEFT(TDays[[#This Row],[تاریخ]],4)</f>
        <v>1401</v>
      </c>
      <c r="E273" t="str">
        <f>LEFT(TDays[[#This Row],[تاریخ]],7)</f>
        <v>1401-09</v>
      </c>
      <c r="F273">
        <v>0</v>
      </c>
      <c r="G273" s="15" t="str">
        <f>VLOOKUP(TDays[[#This Row],[کد روز هفته]],TDaysOfTheWeek[],2,FALSE)</f>
        <v>شنبه</v>
      </c>
      <c r="H273" s="15">
        <f>IFERROR(IF(E272&lt;&gt;E273,1,INT(H272)+IF(TDays[[#This Row],[کد روز هفته]]=0,1,0)),1)</f>
        <v>5</v>
      </c>
      <c r="I273">
        <f>-SUMIF(TArticle[تاریخ],TDays[[#This Row],[تاریخ]],TArticle[هزینه])</f>
        <v>0</v>
      </c>
      <c r="J273">
        <f>SUMIF(TArticle[تاریخ],TDays[[#This Row],[تاریخ]],TArticle[درآمد تتا])</f>
        <v>0</v>
      </c>
      <c r="K273">
        <f>SUMIF(TArticle[تاریخ],TDays[[#This Row],[تاریخ]],TArticle[اسنپ])</f>
        <v>0</v>
      </c>
      <c r="L273">
        <f>-SUMIF(TArticle[تاریخ],TDays[[#This Row],[تاریخ]],TArticle[پرداخت بدهی])</f>
        <v>0</v>
      </c>
      <c r="M273">
        <f>SUMIF(TArticle[تاریخ],TDays[[#This Row],[تاریخ]],TArticle[افزایش بدهی])</f>
        <v>0</v>
      </c>
      <c r="N273">
        <f>-SUMIF(TArticle[تاریخ],TDays[[#This Row],[تاریخ]],TArticle[افزایش سرمایه])</f>
        <v>0</v>
      </c>
      <c r="O273">
        <f>SUMIF(TArticle[تاریخ],TDays[[#This Row],[تاریخ]],TArticle[تعداد تراکنش انجام شده])</f>
        <v>0</v>
      </c>
      <c r="P273">
        <f>INT(((TDays[[#This Row],[ماه]]-1)*31+TDays[[#This Row],[روز]]+1)/7)+1</f>
        <v>40</v>
      </c>
      <c r="Q273">
        <f>SUMIF(TArticle[تاریخ],TDays[[#This Row],[تاریخ]],TArticle[تراکنش برنامه ریزی شده])</f>
        <v>0</v>
      </c>
    </row>
    <row r="274" spans="1:17" x14ac:dyDescent="0.25">
      <c r="A274" s="3" t="s">
        <v>468</v>
      </c>
      <c r="B274" t="str">
        <f>RIGHT(TDays[[#This Row],[تاریخ]],2)</f>
        <v>27</v>
      </c>
      <c r="C274" t="str">
        <f>RIGHT(LEFT(TDays[[#This Row],[تاریخ]],7),2)</f>
        <v>09</v>
      </c>
      <c r="D274" t="str">
        <f>LEFT(TDays[[#This Row],[تاریخ]],4)</f>
        <v>1401</v>
      </c>
      <c r="E274" t="str">
        <f>LEFT(TDays[[#This Row],[تاریخ]],7)</f>
        <v>1401-09</v>
      </c>
      <c r="F274">
        <v>1</v>
      </c>
      <c r="G274" s="15" t="str">
        <f>VLOOKUP(TDays[[#This Row],[کد روز هفته]],TDaysOfTheWeek[],2,FALSE)</f>
        <v>یکشنبه</v>
      </c>
      <c r="H274" s="15">
        <f>IFERROR(IF(E273&lt;&gt;E274,1,INT(H273)+IF(TDays[[#This Row],[کد روز هفته]]=0,1,0)),1)</f>
        <v>5</v>
      </c>
      <c r="I274">
        <f>-SUMIF(TArticle[تاریخ],TDays[[#This Row],[تاریخ]],TArticle[هزینه])</f>
        <v>0</v>
      </c>
      <c r="J274">
        <f>SUMIF(TArticle[تاریخ],TDays[[#This Row],[تاریخ]],TArticle[درآمد تتا])</f>
        <v>0</v>
      </c>
      <c r="K274">
        <f>SUMIF(TArticle[تاریخ],TDays[[#This Row],[تاریخ]],TArticle[اسنپ])</f>
        <v>0</v>
      </c>
      <c r="L274">
        <f>-SUMIF(TArticle[تاریخ],TDays[[#This Row],[تاریخ]],TArticle[پرداخت بدهی])</f>
        <v>0</v>
      </c>
      <c r="M274">
        <f>SUMIF(TArticle[تاریخ],TDays[[#This Row],[تاریخ]],TArticle[افزایش بدهی])</f>
        <v>0</v>
      </c>
      <c r="N274">
        <f>-SUMIF(TArticle[تاریخ],TDays[[#This Row],[تاریخ]],TArticle[افزایش سرمایه])</f>
        <v>0</v>
      </c>
      <c r="O274">
        <f>SUMIF(TArticle[تاریخ],TDays[[#This Row],[تاریخ]],TArticle[تعداد تراکنش انجام شده])</f>
        <v>0</v>
      </c>
      <c r="P274">
        <f>INT(((TDays[[#This Row],[ماه]]-1)*31+TDays[[#This Row],[روز]]+1)/7)+1</f>
        <v>40</v>
      </c>
      <c r="Q274">
        <f>SUMIF(TArticle[تاریخ],TDays[[#This Row],[تاریخ]],TArticle[تراکنش برنامه ریزی شده])</f>
        <v>0</v>
      </c>
    </row>
    <row r="275" spans="1:17" x14ac:dyDescent="0.25">
      <c r="A275" s="3" t="s">
        <v>469</v>
      </c>
      <c r="B275" t="str">
        <f>RIGHT(TDays[[#This Row],[تاریخ]],2)</f>
        <v>28</v>
      </c>
      <c r="C275" t="str">
        <f>RIGHT(LEFT(TDays[[#This Row],[تاریخ]],7),2)</f>
        <v>09</v>
      </c>
      <c r="D275" t="str">
        <f>LEFT(TDays[[#This Row],[تاریخ]],4)</f>
        <v>1401</v>
      </c>
      <c r="E275" t="str">
        <f>LEFT(TDays[[#This Row],[تاریخ]],7)</f>
        <v>1401-09</v>
      </c>
      <c r="F275">
        <v>2</v>
      </c>
      <c r="G275" s="15" t="str">
        <f>VLOOKUP(TDays[[#This Row],[کد روز هفته]],TDaysOfTheWeek[],2,FALSE)</f>
        <v>دوشنبه</v>
      </c>
      <c r="H275" s="15">
        <f>IFERROR(IF(E274&lt;&gt;E275,1,INT(H274)+IF(TDays[[#This Row],[کد روز هفته]]=0,1,0)),1)</f>
        <v>5</v>
      </c>
      <c r="I275">
        <f>-SUMIF(TArticle[تاریخ],TDays[[#This Row],[تاریخ]],TArticle[هزینه])</f>
        <v>0</v>
      </c>
      <c r="J275">
        <f>SUMIF(TArticle[تاریخ],TDays[[#This Row],[تاریخ]],TArticle[درآمد تتا])</f>
        <v>0</v>
      </c>
      <c r="K275">
        <f>SUMIF(TArticle[تاریخ],TDays[[#This Row],[تاریخ]],TArticle[اسنپ])</f>
        <v>0</v>
      </c>
      <c r="L275">
        <f>-SUMIF(TArticle[تاریخ],TDays[[#This Row],[تاریخ]],TArticle[پرداخت بدهی])</f>
        <v>0</v>
      </c>
      <c r="M275">
        <f>SUMIF(TArticle[تاریخ],TDays[[#This Row],[تاریخ]],TArticle[افزایش بدهی])</f>
        <v>0</v>
      </c>
      <c r="N275">
        <f>-SUMIF(TArticle[تاریخ],TDays[[#This Row],[تاریخ]],TArticle[افزایش سرمایه])</f>
        <v>0</v>
      </c>
      <c r="O275">
        <f>SUMIF(TArticle[تاریخ],TDays[[#This Row],[تاریخ]],TArticle[تعداد تراکنش انجام شده])</f>
        <v>0</v>
      </c>
      <c r="P275">
        <f>INT(((TDays[[#This Row],[ماه]]-1)*31+TDays[[#This Row],[روز]]+1)/7)+1</f>
        <v>40</v>
      </c>
      <c r="Q275">
        <f>SUMIF(TArticle[تاریخ],TDays[[#This Row],[تاریخ]],TArticle[تراکنش برنامه ریزی شده])</f>
        <v>0</v>
      </c>
    </row>
    <row r="276" spans="1:17" x14ac:dyDescent="0.25">
      <c r="A276" s="3" t="s">
        <v>470</v>
      </c>
      <c r="B276" t="str">
        <f>RIGHT(TDays[[#This Row],[تاریخ]],2)</f>
        <v>29</v>
      </c>
      <c r="C276" t="str">
        <f>RIGHT(LEFT(TDays[[#This Row],[تاریخ]],7),2)</f>
        <v>09</v>
      </c>
      <c r="D276" t="str">
        <f>LEFT(TDays[[#This Row],[تاریخ]],4)</f>
        <v>1401</v>
      </c>
      <c r="E276" t="str">
        <f>LEFT(TDays[[#This Row],[تاریخ]],7)</f>
        <v>1401-09</v>
      </c>
      <c r="F276">
        <v>3</v>
      </c>
      <c r="G276" s="15" t="str">
        <f>VLOOKUP(TDays[[#This Row],[کد روز هفته]],TDaysOfTheWeek[],2,FALSE)</f>
        <v>سه شنبه</v>
      </c>
      <c r="H276" s="15">
        <f>IFERROR(IF(E275&lt;&gt;E276,1,INT(H275)+IF(TDays[[#This Row],[کد روز هفته]]=0,1,0)),1)</f>
        <v>5</v>
      </c>
      <c r="I276">
        <f>-SUMIF(TArticle[تاریخ],TDays[[#This Row],[تاریخ]],TArticle[هزینه])</f>
        <v>0</v>
      </c>
      <c r="J276">
        <f>SUMIF(TArticle[تاریخ],TDays[[#This Row],[تاریخ]],TArticle[درآمد تتا])</f>
        <v>0</v>
      </c>
      <c r="K276">
        <f>SUMIF(TArticle[تاریخ],TDays[[#This Row],[تاریخ]],TArticle[اسنپ])</f>
        <v>0</v>
      </c>
      <c r="L276">
        <f>-SUMIF(TArticle[تاریخ],TDays[[#This Row],[تاریخ]],TArticle[پرداخت بدهی])</f>
        <v>0</v>
      </c>
      <c r="M276">
        <f>SUMIF(TArticle[تاریخ],TDays[[#This Row],[تاریخ]],TArticle[افزایش بدهی])</f>
        <v>0</v>
      </c>
      <c r="N276">
        <f>-SUMIF(TArticle[تاریخ],TDays[[#This Row],[تاریخ]],TArticle[افزایش سرمایه])</f>
        <v>0</v>
      </c>
      <c r="O276">
        <f>SUMIF(TArticle[تاریخ],TDays[[#This Row],[تاریخ]],TArticle[تعداد تراکنش انجام شده])</f>
        <v>0</v>
      </c>
      <c r="P276">
        <f>INT(((TDays[[#This Row],[ماه]]-1)*31+TDays[[#This Row],[روز]]+1)/7)+1</f>
        <v>40</v>
      </c>
      <c r="Q276">
        <f>SUMIF(TArticle[تاریخ],TDays[[#This Row],[تاریخ]],TArticle[تراکنش برنامه ریزی شده])</f>
        <v>0</v>
      </c>
    </row>
    <row r="277" spans="1:17" x14ac:dyDescent="0.25">
      <c r="A277" s="3" t="s">
        <v>471</v>
      </c>
      <c r="B277" t="str">
        <f>RIGHT(TDays[[#This Row],[تاریخ]],2)</f>
        <v>30</v>
      </c>
      <c r="C277" t="str">
        <f>RIGHT(LEFT(TDays[[#This Row],[تاریخ]],7),2)</f>
        <v>09</v>
      </c>
      <c r="D277" t="str">
        <f>LEFT(TDays[[#This Row],[تاریخ]],4)</f>
        <v>1401</v>
      </c>
      <c r="E277" t="str">
        <f>LEFT(TDays[[#This Row],[تاریخ]],7)</f>
        <v>1401-09</v>
      </c>
      <c r="F277">
        <v>4</v>
      </c>
      <c r="G277" s="15" t="str">
        <f>VLOOKUP(TDays[[#This Row],[کد روز هفته]],TDaysOfTheWeek[],2,FALSE)</f>
        <v>چهارشنبه</v>
      </c>
      <c r="H277" s="15">
        <f>IFERROR(IF(E276&lt;&gt;E277,1,INT(H276)+IF(TDays[[#This Row],[کد روز هفته]]=0,1,0)),1)</f>
        <v>5</v>
      </c>
      <c r="I277">
        <f>-SUMIF(TArticle[تاریخ],TDays[[#This Row],[تاریخ]],TArticle[هزینه])</f>
        <v>0</v>
      </c>
      <c r="J277">
        <f>SUMIF(TArticle[تاریخ],TDays[[#This Row],[تاریخ]],TArticle[درآمد تتا])</f>
        <v>0</v>
      </c>
      <c r="K277">
        <f>SUMIF(TArticle[تاریخ],TDays[[#This Row],[تاریخ]],TArticle[اسنپ])</f>
        <v>0</v>
      </c>
      <c r="L277">
        <f>-SUMIF(TArticle[تاریخ],TDays[[#This Row],[تاریخ]],TArticle[پرداخت بدهی])</f>
        <v>0</v>
      </c>
      <c r="M277">
        <f>SUMIF(TArticle[تاریخ],TDays[[#This Row],[تاریخ]],TArticle[افزایش بدهی])</f>
        <v>0</v>
      </c>
      <c r="N277">
        <f>-SUMIF(TArticle[تاریخ],TDays[[#This Row],[تاریخ]],TArticle[افزایش سرمایه])</f>
        <v>0</v>
      </c>
      <c r="O277">
        <f>SUMIF(TArticle[تاریخ],TDays[[#This Row],[تاریخ]],TArticle[تعداد تراکنش انجام شده])</f>
        <v>0</v>
      </c>
      <c r="P277">
        <f>INT(((TDays[[#This Row],[ماه]]-1)*31+TDays[[#This Row],[روز]]+1)/7)+1</f>
        <v>40</v>
      </c>
      <c r="Q277">
        <f>SUMIF(TArticle[تاریخ],TDays[[#This Row],[تاریخ]],TArticle[تراکنش برنامه ریزی شده])</f>
        <v>0</v>
      </c>
    </row>
    <row r="278" spans="1:17" x14ac:dyDescent="0.25">
      <c r="A278" s="3" t="s">
        <v>472</v>
      </c>
      <c r="B278" t="str">
        <f>RIGHT(TDays[[#This Row],[تاریخ]],2)</f>
        <v>01</v>
      </c>
      <c r="C278" t="str">
        <f>RIGHT(LEFT(TDays[[#This Row],[تاریخ]],7),2)</f>
        <v>10</v>
      </c>
      <c r="D278" t="str">
        <f>LEFT(TDays[[#This Row],[تاریخ]],4)</f>
        <v>1401</v>
      </c>
      <c r="E278" t="str">
        <f>LEFT(TDays[[#This Row],[تاریخ]],7)</f>
        <v>1401-10</v>
      </c>
      <c r="F278">
        <v>5</v>
      </c>
      <c r="G278" s="15" t="str">
        <f>VLOOKUP(TDays[[#This Row],[کد روز هفته]],TDaysOfTheWeek[],2,FALSE)</f>
        <v>پنجشنبه</v>
      </c>
      <c r="H278" s="15">
        <f>IFERROR(IF(E277&lt;&gt;E278,1,INT(H277)+IF(TDays[[#This Row],[کد روز هفته]]=0,1,0)),1)</f>
        <v>1</v>
      </c>
      <c r="I278">
        <f>-SUMIF(TArticle[تاریخ],TDays[[#This Row],[تاریخ]],TArticle[هزینه])</f>
        <v>5723</v>
      </c>
      <c r="J278">
        <f>SUMIF(TArticle[تاریخ],TDays[[#This Row],[تاریخ]],TArticle[درآمد تتا])</f>
        <v>41177</v>
      </c>
      <c r="K278">
        <f>SUMIF(TArticle[تاریخ],TDays[[#This Row],[تاریخ]],TArticle[اسنپ])</f>
        <v>0</v>
      </c>
      <c r="L278">
        <f>-SUMIF(TArticle[تاریخ],TDays[[#This Row],[تاریخ]],TArticle[پرداخت بدهی])</f>
        <v>0</v>
      </c>
      <c r="M278">
        <f>SUMIF(TArticle[تاریخ],TDays[[#This Row],[تاریخ]],TArticle[افزایش بدهی])</f>
        <v>0</v>
      </c>
      <c r="N278">
        <f>-SUMIF(TArticle[تاریخ],TDays[[#This Row],[تاریخ]],TArticle[افزایش سرمایه])</f>
        <v>0</v>
      </c>
      <c r="O278">
        <f>SUMIF(TArticle[تاریخ],TDays[[#This Row],[تاریخ]],TArticle[تعداد تراکنش انجام شده])</f>
        <v>2</v>
      </c>
      <c r="P278">
        <f>INT(((TDays[[#This Row],[ماه]]-1)*31+TDays[[#This Row],[روز]]+1)/7)+1</f>
        <v>41</v>
      </c>
      <c r="Q278">
        <f>SUMIF(TArticle[تاریخ],TDays[[#This Row],[تاریخ]],TArticle[تراکنش برنامه ریزی شده])</f>
        <v>0</v>
      </c>
    </row>
    <row r="279" spans="1:17" x14ac:dyDescent="0.25">
      <c r="A279" s="3" t="s">
        <v>473</v>
      </c>
      <c r="B279" t="str">
        <f>RIGHT(TDays[[#This Row],[تاریخ]],2)</f>
        <v>02</v>
      </c>
      <c r="C279" t="str">
        <f>RIGHT(LEFT(TDays[[#This Row],[تاریخ]],7),2)</f>
        <v>10</v>
      </c>
      <c r="D279" t="str">
        <f>LEFT(TDays[[#This Row],[تاریخ]],4)</f>
        <v>1401</v>
      </c>
      <c r="E279" t="str">
        <f>LEFT(TDays[[#This Row],[تاریخ]],7)</f>
        <v>1401-10</v>
      </c>
      <c r="F279">
        <v>6</v>
      </c>
      <c r="G279" s="15" t="str">
        <f>VLOOKUP(TDays[[#This Row],[کد روز هفته]],TDaysOfTheWeek[],2,FALSE)</f>
        <v>جمعه</v>
      </c>
      <c r="H279" s="15">
        <f>IFERROR(IF(E278&lt;&gt;E279,1,INT(H278)+IF(TDays[[#This Row],[کد روز هفته]]=0,1,0)),1)</f>
        <v>1</v>
      </c>
      <c r="I279">
        <f>-SUMIF(TArticle[تاریخ],TDays[[#This Row],[تاریخ]],TArticle[هزینه])</f>
        <v>104980</v>
      </c>
      <c r="J279">
        <f>SUMIF(TArticle[تاریخ],TDays[[#This Row],[تاریخ]],TArticle[درآمد تتا])</f>
        <v>0</v>
      </c>
      <c r="K279">
        <f>SUMIF(TArticle[تاریخ],TDays[[#This Row],[تاریخ]],TArticle[اسنپ])</f>
        <v>0</v>
      </c>
      <c r="L279">
        <f>-SUMIF(TArticle[تاریخ],TDays[[#This Row],[تاریخ]],TArticle[پرداخت بدهی])</f>
        <v>0</v>
      </c>
      <c r="M279">
        <f>SUMIF(TArticle[تاریخ],TDays[[#This Row],[تاریخ]],TArticle[افزایش بدهی])</f>
        <v>0</v>
      </c>
      <c r="N279">
        <f>-SUMIF(TArticle[تاریخ],TDays[[#This Row],[تاریخ]],TArticle[افزایش سرمایه])</f>
        <v>0</v>
      </c>
      <c r="O279">
        <f>SUMIF(TArticle[تاریخ],TDays[[#This Row],[تاریخ]],TArticle[تعداد تراکنش انجام شده])</f>
        <v>4</v>
      </c>
      <c r="P279">
        <f>INT(((TDays[[#This Row],[ماه]]-1)*31+TDays[[#This Row],[روز]]+1)/7)+1</f>
        <v>41</v>
      </c>
      <c r="Q279">
        <f>SUMIF(TArticle[تاریخ],TDays[[#This Row],[تاریخ]],TArticle[تراکنش برنامه ریزی شده])</f>
        <v>0</v>
      </c>
    </row>
    <row r="280" spans="1:17" x14ac:dyDescent="0.25">
      <c r="A280" s="3" t="s">
        <v>474</v>
      </c>
      <c r="B280" t="str">
        <f>RIGHT(TDays[[#This Row],[تاریخ]],2)</f>
        <v>03</v>
      </c>
      <c r="C280" t="str">
        <f>RIGHT(LEFT(TDays[[#This Row],[تاریخ]],7),2)</f>
        <v>10</v>
      </c>
      <c r="D280" t="str">
        <f>LEFT(TDays[[#This Row],[تاریخ]],4)</f>
        <v>1401</v>
      </c>
      <c r="E280" t="str">
        <f>LEFT(TDays[[#This Row],[تاریخ]],7)</f>
        <v>1401-10</v>
      </c>
      <c r="F280">
        <v>0</v>
      </c>
      <c r="G280" s="15" t="str">
        <f>VLOOKUP(TDays[[#This Row],[کد روز هفته]],TDaysOfTheWeek[],2,FALSE)</f>
        <v>شنبه</v>
      </c>
      <c r="H280" s="15">
        <f>IFERROR(IF(E279&lt;&gt;E280,1,INT(H279)+IF(TDays[[#This Row],[کد روز هفته]]=0,1,0)),1)</f>
        <v>2</v>
      </c>
      <c r="I280">
        <f>-SUMIF(TArticle[تاریخ],TDays[[#This Row],[تاریخ]],TArticle[هزینه])</f>
        <v>5064</v>
      </c>
      <c r="J280">
        <f>SUMIF(TArticle[تاریخ],TDays[[#This Row],[تاریخ]],TArticle[درآمد تتا])</f>
        <v>0</v>
      </c>
      <c r="K280">
        <f>SUMIF(TArticle[تاریخ],TDays[[#This Row],[تاریخ]],TArticle[اسنپ])</f>
        <v>0</v>
      </c>
      <c r="L280">
        <f>-SUMIF(TArticle[تاریخ],TDays[[#This Row],[تاریخ]],TArticle[پرداخت بدهی])</f>
        <v>9128</v>
      </c>
      <c r="M280">
        <f>SUMIF(TArticle[تاریخ],TDays[[#This Row],[تاریخ]],TArticle[افزایش بدهی])</f>
        <v>0</v>
      </c>
      <c r="N280">
        <f>-SUMIF(TArticle[تاریخ],TDays[[#This Row],[تاریخ]],TArticle[افزایش سرمایه])</f>
        <v>0</v>
      </c>
      <c r="O280">
        <f>SUMIF(TArticle[تاریخ],TDays[[#This Row],[تاریخ]],TArticle[تعداد تراکنش انجام شده])</f>
        <v>7</v>
      </c>
      <c r="P280">
        <f>INT(((TDays[[#This Row],[ماه]]-1)*31+TDays[[#This Row],[روز]]+1)/7)+1</f>
        <v>41</v>
      </c>
      <c r="Q280">
        <f>SUMIF(TArticle[تاریخ],TDays[[#This Row],[تاریخ]],TArticle[تراکنش برنامه ریزی شده])</f>
        <v>0</v>
      </c>
    </row>
    <row r="281" spans="1:17" x14ac:dyDescent="0.25">
      <c r="A281" s="3" t="s">
        <v>475</v>
      </c>
      <c r="B281" t="str">
        <f>RIGHT(TDays[[#This Row],[تاریخ]],2)</f>
        <v>04</v>
      </c>
      <c r="C281" t="str">
        <f>RIGHT(LEFT(TDays[[#This Row],[تاریخ]],7),2)</f>
        <v>10</v>
      </c>
      <c r="D281" t="str">
        <f>LEFT(TDays[[#This Row],[تاریخ]],4)</f>
        <v>1401</v>
      </c>
      <c r="E281" t="str">
        <f>LEFT(TDays[[#This Row],[تاریخ]],7)</f>
        <v>1401-10</v>
      </c>
      <c r="F281">
        <v>1</v>
      </c>
      <c r="G281" s="15" t="str">
        <f>VLOOKUP(TDays[[#This Row],[کد روز هفته]],TDaysOfTheWeek[],2,FALSE)</f>
        <v>یکشنبه</v>
      </c>
      <c r="H281" s="15">
        <f>IFERROR(IF(E280&lt;&gt;E281,1,INT(H280)+IF(TDays[[#This Row],[کد روز هفته]]=0,1,0)),1)</f>
        <v>2</v>
      </c>
      <c r="I281">
        <f>-SUMIF(TArticle[تاریخ],TDays[[#This Row],[تاریخ]],TArticle[هزینه])</f>
        <v>0</v>
      </c>
      <c r="J281">
        <f>SUMIF(TArticle[تاریخ],TDays[[#This Row],[تاریخ]],TArticle[درآمد تتا])</f>
        <v>0</v>
      </c>
      <c r="K281">
        <f>SUMIF(TArticle[تاریخ],TDays[[#This Row],[تاریخ]],TArticle[اسنپ])</f>
        <v>0</v>
      </c>
      <c r="L281">
        <f>-SUMIF(TArticle[تاریخ],TDays[[#This Row],[تاریخ]],TArticle[پرداخت بدهی])</f>
        <v>0</v>
      </c>
      <c r="M281">
        <f>SUMIF(TArticle[تاریخ],TDays[[#This Row],[تاریخ]],TArticle[افزایش بدهی])</f>
        <v>0</v>
      </c>
      <c r="N281">
        <f>-SUMIF(TArticle[تاریخ],TDays[[#This Row],[تاریخ]],TArticle[افزایش سرمایه])</f>
        <v>0</v>
      </c>
      <c r="O281">
        <f>SUMIF(TArticle[تاریخ],TDays[[#This Row],[تاریخ]],TArticle[تعداد تراکنش انجام شده])</f>
        <v>2</v>
      </c>
      <c r="P281">
        <f>INT(((TDays[[#This Row],[ماه]]-1)*31+TDays[[#This Row],[روز]]+1)/7)+1</f>
        <v>41</v>
      </c>
      <c r="Q281">
        <f>SUMIF(TArticle[تاریخ],TDays[[#This Row],[تاریخ]],TArticle[تراکنش برنامه ریزی شده])</f>
        <v>0</v>
      </c>
    </row>
    <row r="282" spans="1:17" x14ac:dyDescent="0.25">
      <c r="A282" s="3" t="s">
        <v>476</v>
      </c>
      <c r="B282" t="str">
        <f>RIGHT(TDays[[#This Row],[تاریخ]],2)</f>
        <v>05</v>
      </c>
      <c r="C282" t="str">
        <f>RIGHT(LEFT(TDays[[#This Row],[تاریخ]],7),2)</f>
        <v>10</v>
      </c>
      <c r="D282" t="str">
        <f>LEFT(TDays[[#This Row],[تاریخ]],4)</f>
        <v>1401</v>
      </c>
      <c r="E282" t="str">
        <f>LEFT(TDays[[#This Row],[تاریخ]],7)</f>
        <v>1401-10</v>
      </c>
      <c r="F282">
        <v>2</v>
      </c>
      <c r="G282" s="15" t="str">
        <f>VLOOKUP(TDays[[#This Row],[کد روز هفته]],TDaysOfTheWeek[],2,FALSE)</f>
        <v>دوشنبه</v>
      </c>
      <c r="H282" s="15">
        <f>IFERROR(IF(E281&lt;&gt;E282,1,INT(H281)+IF(TDays[[#This Row],[کد روز هفته]]=0,1,0)),1)</f>
        <v>2</v>
      </c>
      <c r="I282">
        <f>-SUMIF(TArticle[تاریخ],TDays[[#This Row],[تاریخ]],TArticle[هزینه])</f>
        <v>0</v>
      </c>
      <c r="J282">
        <f>SUMIF(TArticle[تاریخ],TDays[[#This Row],[تاریخ]],TArticle[درآمد تتا])</f>
        <v>0</v>
      </c>
      <c r="K282">
        <f>SUMIF(TArticle[تاریخ],TDays[[#This Row],[تاریخ]],TArticle[اسنپ])</f>
        <v>0</v>
      </c>
      <c r="L282">
        <f>-SUMIF(TArticle[تاریخ],TDays[[#This Row],[تاریخ]],TArticle[پرداخت بدهی])</f>
        <v>4000</v>
      </c>
      <c r="M282">
        <f>SUMIF(TArticle[تاریخ],TDays[[#This Row],[تاریخ]],TArticle[افزایش بدهی])</f>
        <v>0</v>
      </c>
      <c r="N282">
        <f>-SUMIF(TArticle[تاریخ],TDays[[#This Row],[تاریخ]],TArticle[افزایش سرمایه])</f>
        <v>0</v>
      </c>
      <c r="O282">
        <f>SUMIF(TArticle[تاریخ],TDays[[#This Row],[تاریخ]],TArticle[تعداد تراکنش انجام شده])</f>
        <v>1</v>
      </c>
      <c r="P282">
        <f>INT(((TDays[[#This Row],[ماه]]-1)*31+TDays[[#This Row],[روز]]+1)/7)+1</f>
        <v>41</v>
      </c>
      <c r="Q282">
        <f>SUMIF(TArticle[تاریخ],TDays[[#This Row],[تاریخ]],TArticle[تراکنش برنامه ریزی شده])</f>
        <v>0</v>
      </c>
    </row>
    <row r="283" spans="1:17" x14ac:dyDescent="0.25">
      <c r="A283" s="3" t="s">
        <v>477</v>
      </c>
      <c r="B283" t="str">
        <f>RIGHT(TDays[[#This Row],[تاریخ]],2)</f>
        <v>06</v>
      </c>
      <c r="C283" t="str">
        <f>RIGHT(LEFT(TDays[[#This Row],[تاریخ]],7),2)</f>
        <v>10</v>
      </c>
      <c r="D283" t="str">
        <f>LEFT(TDays[[#This Row],[تاریخ]],4)</f>
        <v>1401</v>
      </c>
      <c r="E283" t="str">
        <f>LEFT(TDays[[#This Row],[تاریخ]],7)</f>
        <v>1401-10</v>
      </c>
      <c r="F283">
        <v>3</v>
      </c>
      <c r="G283" s="15" t="str">
        <f>VLOOKUP(TDays[[#This Row],[کد روز هفته]],TDaysOfTheWeek[],2,FALSE)</f>
        <v>سه شنبه</v>
      </c>
      <c r="H283" s="15">
        <f>IFERROR(IF(E282&lt;&gt;E283,1,INT(H282)+IF(TDays[[#This Row],[کد روز هفته]]=0,1,0)),1)</f>
        <v>2</v>
      </c>
      <c r="I283">
        <f>-SUMIF(TArticle[تاریخ],TDays[[#This Row],[تاریخ]],TArticle[هزینه])</f>
        <v>0</v>
      </c>
      <c r="J283">
        <f>SUMIF(TArticle[تاریخ],TDays[[#This Row],[تاریخ]],TArticle[درآمد تتا])</f>
        <v>0</v>
      </c>
      <c r="K283">
        <f>SUMIF(TArticle[تاریخ],TDays[[#This Row],[تاریخ]],TArticle[اسنپ])</f>
        <v>0</v>
      </c>
      <c r="L283">
        <f>-SUMIF(TArticle[تاریخ],TDays[[#This Row],[تاریخ]],TArticle[پرداخت بدهی])</f>
        <v>0</v>
      </c>
      <c r="M283">
        <f>SUMIF(TArticle[تاریخ],TDays[[#This Row],[تاریخ]],TArticle[افزایش بدهی])</f>
        <v>0</v>
      </c>
      <c r="N283">
        <f>-SUMIF(TArticle[تاریخ],TDays[[#This Row],[تاریخ]],TArticle[افزایش سرمایه])</f>
        <v>0</v>
      </c>
      <c r="O283">
        <f>SUMIF(TArticle[تاریخ],TDays[[#This Row],[تاریخ]],TArticle[تعداد تراکنش انجام شده])</f>
        <v>0</v>
      </c>
      <c r="P283">
        <f>INT(((TDays[[#This Row],[ماه]]-1)*31+TDays[[#This Row],[روز]]+1)/7)+1</f>
        <v>41</v>
      </c>
      <c r="Q283">
        <f>SUMIF(TArticle[تاریخ],TDays[[#This Row],[تاریخ]],TArticle[تراکنش برنامه ریزی شده])</f>
        <v>0</v>
      </c>
    </row>
    <row r="284" spans="1:17" x14ac:dyDescent="0.25">
      <c r="A284" s="3" t="s">
        <v>478</v>
      </c>
      <c r="B284" t="str">
        <f>RIGHT(TDays[[#This Row],[تاریخ]],2)</f>
        <v>07</v>
      </c>
      <c r="C284" t="str">
        <f>RIGHT(LEFT(TDays[[#This Row],[تاریخ]],7),2)</f>
        <v>10</v>
      </c>
      <c r="D284" t="str">
        <f>LEFT(TDays[[#This Row],[تاریخ]],4)</f>
        <v>1401</v>
      </c>
      <c r="E284" t="str">
        <f>LEFT(TDays[[#This Row],[تاریخ]],7)</f>
        <v>1401-10</v>
      </c>
      <c r="F284">
        <v>4</v>
      </c>
      <c r="G284" s="15" t="str">
        <f>VLOOKUP(TDays[[#This Row],[کد روز هفته]],TDaysOfTheWeek[],2,FALSE)</f>
        <v>چهارشنبه</v>
      </c>
      <c r="H284" s="15">
        <f>IFERROR(IF(E283&lt;&gt;E284,1,INT(H283)+IF(TDays[[#This Row],[کد روز هفته]]=0,1,0)),1)</f>
        <v>2</v>
      </c>
      <c r="I284">
        <f>-SUMIF(TArticle[تاریخ],TDays[[#This Row],[تاریخ]],TArticle[هزینه])</f>
        <v>0</v>
      </c>
      <c r="J284">
        <f>SUMIF(TArticle[تاریخ],TDays[[#This Row],[تاریخ]],TArticle[درآمد تتا])</f>
        <v>0</v>
      </c>
      <c r="K284">
        <f>SUMIF(TArticle[تاریخ],TDays[[#This Row],[تاریخ]],TArticle[اسنپ])</f>
        <v>0</v>
      </c>
      <c r="L284">
        <f>-SUMIF(TArticle[تاریخ],TDays[[#This Row],[تاریخ]],TArticle[پرداخت بدهی])</f>
        <v>0</v>
      </c>
      <c r="M284">
        <f>SUMIF(TArticle[تاریخ],TDays[[#This Row],[تاریخ]],TArticle[افزایش بدهی])</f>
        <v>0</v>
      </c>
      <c r="N284">
        <f>-SUMIF(TArticle[تاریخ],TDays[[#This Row],[تاریخ]],TArticle[افزایش سرمایه])</f>
        <v>0</v>
      </c>
      <c r="O284">
        <f>SUMIF(TArticle[تاریخ],TDays[[#This Row],[تاریخ]],TArticle[تعداد تراکنش انجام شده])</f>
        <v>0</v>
      </c>
      <c r="P284">
        <f>INT(((TDays[[#This Row],[ماه]]-1)*31+TDays[[#This Row],[روز]]+1)/7)+1</f>
        <v>42</v>
      </c>
      <c r="Q284">
        <f>SUMIF(TArticle[تاریخ],TDays[[#This Row],[تاریخ]],TArticle[تراکنش برنامه ریزی شده])</f>
        <v>0</v>
      </c>
    </row>
    <row r="285" spans="1:17" x14ac:dyDescent="0.25">
      <c r="A285" s="3" t="s">
        <v>479</v>
      </c>
      <c r="B285" t="str">
        <f>RIGHT(TDays[[#This Row],[تاریخ]],2)</f>
        <v>08</v>
      </c>
      <c r="C285" t="str">
        <f>RIGHT(LEFT(TDays[[#This Row],[تاریخ]],7),2)</f>
        <v>10</v>
      </c>
      <c r="D285" t="str">
        <f>LEFT(TDays[[#This Row],[تاریخ]],4)</f>
        <v>1401</v>
      </c>
      <c r="E285" t="str">
        <f>LEFT(TDays[[#This Row],[تاریخ]],7)</f>
        <v>1401-10</v>
      </c>
      <c r="F285">
        <v>5</v>
      </c>
      <c r="G285" s="15" t="str">
        <f>VLOOKUP(TDays[[#This Row],[کد روز هفته]],TDaysOfTheWeek[],2,FALSE)</f>
        <v>پنجشنبه</v>
      </c>
      <c r="H285" s="15">
        <f>IFERROR(IF(E284&lt;&gt;E285,1,INT(H284)+IF(TDays[[#This Row],[کد روز هفته]]=0,1,0)),1)</f>
        <v>2</v>
      </c>
      <c r="I285">
        <f>-SUMIF(TArticle[تاریخ],TDays[[#This Row],[تاریخ]],TArticle[هزینه])</f>
        <v>0</v>
      </c>
      <c r="J285">
        <f>SUMIF(TArticle[تاریخ],TDays[[#This Row],[تاریخ]],TArticle[درآمد تتا])</f>
        <v>0</v>
      </c>
      <c r="K285">
        <f>SUMIF(TArticle[تاریخ],TDays[[#This Row],[تاریخ]],TArticle[اسنپ])</f>
        <v>0</v>
      </c>
      <c r="L285">
        <f>-SUMIF(TArticle[تاریخ],TDays[[#This Row],[تاریخ]],TArticle[پرداخت بدهی])</f>
        <v>0</v>
      </c>
      <c r="M285">
        <f>SUMIF(TArticle[تاریخ],TDays[[#This Row],[تاریخ]],TArticle[افزایش بدهی])</f>
        <v>0</v>
      </c>
      <c r="N285">
        <f>-SUMIF(TArticle[تاریخ],TDays[[#This Row],[تاریخ]],TArticle[افزایش سرمایه])</f>
        <v>0</v>
      </c>
      <c r="O285">
        <f>SUMIF(TArticle[تاریخ],TDays[[#This Row],[تاریخ]],TArticle[تعداد تراکنش انجام شده])</f>
        <v>0</v>
      </c>
      <c r="P285">
        <f>INT(((TDays[[#This Row],[ماه]]-1)*31+TDays[[#This Row],[روز]]+1)/7)+1</f>
        <v>42</v>
      </c>
      <c r="Q285">
        <f>SUMIF(TArticle[تاریخ],TDays[[#This Row],[تاریخ]],TArticle[تراکنش برنامه ریزی شده])</f>
        <v>0</v>
      </c>
    </row>
    <row r="286" spans="1:17" x14ac:dyDescent="0.25">
      <c r="A286" s="3" t="s">
        <v>480</v>
      </c>
      <c r="B286" t="str">
        <f>RIGHT(TDays[[#This Row],[تاریخ]],2)</f>
        <v>09</v>
      </c>
      <c r="C286" t="str">
        <f>RIGHT(LEFT(TDays[[#This Row],[تاریخ]],7),2)</f>
        <v>10</v>
      </c>
      <c r="D286" t="str">
        <f>LEFT(TDays[[#This Row],[تاریخ]],4)</f>
        <v>1401</v>
      </c>
      <c r="E286" t="str">
        <f>LEFT(TDays[[#This Row],[تاریخ]],7)</f>
        <v>1401-10</v>
      </c>
      <c r="F286">
        <v>6</v>
      </c>
      <c r="G286" s="15" t="str">
        <f>VLOOKUP(TDays[[#This Row],[کد روز هفته]],TDaysOfTheWeek[],2,FALSE)</f>
        <v>جمعه</v>
      </c>
      <c r="H286" s="15">
        <f>IFERROR(IF(E285&lt;&gt;E286,1,INT(H285)+IF(TDays[[#This Row],[کد روز هفته]]=0,1,0)),1)</f>
        <v>2</v>
      </c>
      <c r="I286">
        <f>-SUMIF(TArticle[تاریخ],TDays[[#This Row],[تاریخ]],TArticle[هزینه])</f>
        <v>0</v>
      </c>
      <c r="J286">
        <f>SUMIF(TArticle[تاریخ],TDays[[#This Row],[تاریخ]],TArticle[درآمد تتا])</f>
        <v>0</v>
      </c>
      <c r="K286">
        <f>SUMIF(TArticle[تاریخ],TDays[[#This Row],[تاریخ]],TArticle[اسنپ])</f>
        <v>0</v>
      </c>
      <c r="L286">
        <f>-SUMIF(TArticle[تاریخ],TDays[[#This Row],[تاریخ]],TArticle[پرداخت بدهی])</f>
        <v>0</v>
      </c>
      <c r="M286">
        <f>SUMIF(TArticle[تاریخ],TDays[[#This Row],[تاریخ]],TArticle[افزایش بدهی])</f>
        <v>0</v>
      </c>
      <c r="N286">
        <f>-SUMIF(TArticle[تاریخ],TDays[[#This Row],[تاریخ]],TArticle[افزایش سرمایه])</f>
        <v>0</v>
      </c>
      <c r="O286">
        <f>SUMIF(TArticle[تاریخ],TDays[[#This Row],[تاریخ]],TArticle[تعداد تراکنش انجام شده])</f>
        <v>0</v>
      </c>
      <c r="P286">
        <f>INT(((TDays[[#This Row],[ماه]]-1)*31+TDays[[#This Row],[روز]]+1)/7)+1</f>
        <v>42</v>
      </c>
      <c r="Q286">
        <f>SUMIF(TArticle[تاریخ],TDays[[#This Row],[تاریخ]],TArticle[تراکنش برنامه ریزی شده])</f>
        <v>0</v>
      </c>
    </row>
    <row r="287" spans="1:17" x14ac:dyDescent="0.25">
      <c r="A287" s="3" t="s">
        <v>481</v>
      </c>
      <c r="B287" t="str">
        <f>RIGHT(TDays[[#This Row],[تاریخ]],2)</f>
        <v>10</v>
      </c>
      <c r="C287" t="str">
        <f>RIGHT(LEFT(TDays[[#This Row],[تاریخ]],7),2)</f>
        <v>10</v>
      </c>
      <c r="D287" t="str">
        <f>LEFT(TDays[[#This Row],[تاریخ]],4)</f>
        <v>1401</v>
      </c>
      <c r="E287" t="str">
        <f>LEFT(TDays[[#This Row],[تاریخ]],7)</f>
        <v>1401-10</v>
      </c>
      <c r="F287">
        <v>0</v>
      </c>
      <c r="G287" s="15" t="str">
        <f>VLOOKUP(TDays[[#This Row],[کد روز هفته]],TDaysOfTheWeek[],2,FALSE)</f>
        <v>شنبه</v>
      </c>
      <c r="H287" s="15">
        <f>IFERROR(IF(E286&lt;&gt;E287,1,INT(H286)+IF(TDays[[#This Row],[کد روز هفته]]=0,1,0)),1)</f>
        <v>3</v>
      </c>
      <c r="I287">
        <f>-SUMIF(TArticle[تاریخ],TDays[[#This Row],[تاریخ]],TArticle[هزینه])</f>
        <v>0</v>
      </c>
      <c r="J287">
        <f>SUMIF(TArticle[تاریخ],TDays[[#This Row],[تاریخ]],TArticle[درآمد تتا])</f>
        <v>0</v>
      </c>
      <c r="K287">
        <f>SUMIF(TArticle[تاریخ],TDays[[#This Row],[تاریخ]],TArticle[اسنپ])</f>
        <v>0</v>
      </c>
      <c r="L287">
        <f>-SUMIF(TArticle[تاریخ],TDays[[#This Row],[تاریخ]],TArticle[پرداخت بدهی])</f>
        <v>0</v>
      </c>
      <c r="M287">
        <f>SUMIF(TArticle[تاریخ],TDays[[#This Row],[تاریخ]],TArticle[افزایش بدهی])</f>
        <v>0</v>
      </c>
      <c r="N287">
        <f>-SUMIF(TArticle[تاریخ],TDays[[#This Row],[تاریخ]],TArticle[افزایش سرمایه])</f>
        <v>0</v>
      </c>
      <c r="O287">
        <f>SUMIF(TArticle[تاریخ],TDays[[#This Row],[تاریخ]],TArticle[تعداد تراکنش انجام شده])</f>
        <v>0</v>
      </c>
      <c r="P287">
        <f>INT(((TDays[[#This Row],[ماه]]-1)*31+TDays[[#This Row],[روز]]+1)/7)+1</f>
        <v>42</v>
      </c>
      <c r="Q287">
        <f>SUMIF(TArticle[تاریخ],TDays[[#This Row],[تاریخ]],TArticle[تراکنش برنامه ریزی شده])</f>
        <v>0</v>
      </c>
    </row>
    <row r="288" spans="1:17" x14ac:dyDescent="0.25">
      <c r="A288" s="3" t="s">
        <v>482</v>
      </c>
      <c r="B288" t="str">
        <f>RIGHT(TDays[[#This Row],[تاریخ]],2)</f>
        <v>11</v>
      </c>
      <c r="C288" t="str">
        <f>RIGHT(LEFT(TDays[[#This Row],[تاریخ]],7),2)</f>
        <v>10</v>
      </c>
      <c r="D288" t="str">
        <f>LEFT(TDays[[#This Row],[تاریخ]],4)</f>
        <v>1401</v>
      </c>
      <c r="E288" t="str">
        <f>LEFT(TDays[[#This Row],[تاریخ]],7)</f>
        <v>1401-10</v>
      </c>
      <c r="F288">
        <v>1</v>
      </c>
      <c r="G288" s="15" t="str">
        <f>VLOOKUP(TDays[[#This Row],[کد روز هفته]],TDaysOfTheWeek[],2,FALSE)</f>
        <v>یکشنبه</v>
      </c>
      <c r="H288" s="15">
        <f>IFERROR(IF(E287&lt;&gt;E288,1,INT(H287)+IF(TDays[[#This Row],[کد روز هفته]]=0,1,0)),1)</f>
        <v>3</v>
      </c>
      <c r="I288">
        <f>-SUMIF(TArticle[تاریخ],TDays[[#This Row],[تاریخ]],TArticle[هزینه])</f>
        <v>0</v>
      </c>
      <c r="J288">
        <f>SUMIF(TArticle[تاریخ],TDays[[#This Row],[تاریخ]],TArticle[درآمد تتا])</f>
        <v>0</v>
      </c>
      <c r="K288">
        <f>SUMIF(TArticle[تاریخ],TDays[[#This Row],[تاریخ]],TArticle[اسنپ])</f>
        <v>0</v>
      </c>
      <c r="L288">
        <f>-SUMIF(TArticle[تاریخ],TDays[[#This Row],[تاریخ]],TArticle[پرداخت بدهی])</f>
        <v>0</v>
      </c>
      <c r="M288">
        <f>SUMIF(TArticle[تاریخ],TDays[[#This Row],[تاریخ]],TArticle[افزایش بدهی])</f>
        <v>0</v>
      </c>
      <c r="N288">
        <f>-SUMIF(TArticle[تاریخ],TDays[[#This Row],[تاریخ]],TArticle[افزایش سرمایه])</f>
        <v>0</v>
      </c>
      <c r="O288">
        <f>SUMIF(TArticle[تاریخ],TDays[[#This Row],[تاریخ]],TArticle[تعداد تراکنش انجام شده])</f>
        <v>0</v>
      </c>
      <c r="P288">
        <f>INT(((TDays[[#This Row],[ماه]]-1)*31+TDays[[#This Row],[روز]]+1)/7)+1</f>
        <v>42</v>
      </c>
      <c r="Q288">
        <f>SUMIF(TArticle[تاریخ],TDays[[#This Row],[تاریخ]],TArticle[تراکنش برنامه ریزی شده])</f>
        <v>0</v>
      </c>
    </row>
    <row r="289" spans="1:17" x14ac:dyDescent="0.25">
      <c r="A289" s="3" t="s">
        <v>483</v>
      </c>
      <c r="B289" t="str">
        <f>RIGHT(TDays[[#This Row],[تاریخ]],2)</f>
        <v>12</v>
      </c>
      <c r="C289" t="str">
        <f>RIGHT(LEFT(TDays[[#This Row],[تاریخ]],7),2)</f>
        <v>10</v>
      </c>
      <c r="D289" t="str">
        <f>LEFT(TDays[[#This Row],[تاریخ]],4)</f>
        <v>1401</v>
      </c>
      <c r="E289" t="str">
        <f>LEFT(TDays[[#This Row],[تاریخ]],7)</f>
        <v>1401-10</v>
      </c>
      <c r="F289">
        <v>2</v>
      </c>
      <c r="G289" s="15" t="str">
        <f>VLOOKUP(TDays[[#This Row],[کد روز هفته]],TDaysOfTheWeek[],2,FALSE)</f>
        <v>دوشنبه</v>
      </c>
      <c r="H289" s="15">
        <f>IFERROR(IF(E288&lt;&gt;E289,1,INT(H288)+IF(TDays[[#This Row],[کد روز هفته]]=0,1,0)),1)</f>
        <v>3</v>
      </c>
      <c r="I289">
        <f>-SUMIF(TArticle[تاریخ],TDays[[#This Row],[تاریخ]],TArticle[هزینه])</f>
        <v>0</v>
      </c>
      <c r="J289">
        <f>SUMIF(TArticle[تاریخ],TDays[[#This Row],[تاریخ]],TArticle[درآمد تتا])</f>
        <v>0</v>
      </c>
      <c r="K289">
        <f>SUMIF(TArticle[تاریخ],TDays[[#This Row],[تاریخ]],TArticle[اسنپ])</f>
        <v>0</v>
      </c>
      <c r="L289">
        <f>-SUMIF(TArticle[تاریخ],TDays[[#This Row],[تاریخ]],TArticle[پرداخت بدهی])</f>
        <v>0</v>
      </c>
      <c r="M289">
        <f>SUMIF(TArticle[تاریخ],TDays[[#This Row],[تاریخ]],TArticle[افزایش بدهی])</f>
        <v>0</v>
      </c>
      <c r="N289">
        <f>-SUMIF(TArticle[تاریخ],TDays[[#This Row],[تاریخ]],TArticle[افزایش سرمایه])</f>
        <v>0</v>
      </c>
      <c r="O289">
        <f>SUMIF(TArticle[تاریخ],TDays[[#This Row],[تاریخ]],TArticle[تعداد تراکنش انجام شده])</f>
        <v>0</v>
      </c>
      <c r="P289">
        <f>INT(((TDays[[#This Row],[ماه]]-1)*31+TDays[[#This Row],[روز]]+1)/7)+1</f>
        <v>42</v>
      </c>
      <c r="Q289">
        <f>SUMIF(TArticle[تاریخ],TDays[[#This Row],[تاریخ]],TArticle[تراکنش برنامه ریزی شده])</f>
        <v>0</v>
      </c>
    </row>
    <row r="290" spans="1:17" x14ac:dyDescent="0.25">
      <c r="A290" s="3" t="s">
        <v>484</v>
      </c>
      <c r="B290" t="str">
        <f>RIGHT(TDays[[#This Row],[تاریخ]],2)</f>
        <v>13</v>
      </c>
      <c r="C290" t="str">
        <f>RIGHT(LEFT(TDays[[#This Row],[تاریخ]],7),2)</f>
        <v>10</v>
      </c>
      <c r="D290" t="str">
        <f>LEFT(TDays[[#This Row],[تاریخ]],4)</f>
        <v>1401</v>
      </c>
      <c r="E290" t="str">
        <f>LEFT(TDays[[#This Row],[تاریخ]],7)</f>
        <v>1401-10</v>
      </c>
      <c r="F290">
        <v>3</v>
      </c>
      <c r="G290" s="15" t="str">
        <f>VLOOKUP(TDays[[#This Row],[کد روز هفته]],TDaysOfTheWeek[],2,FALSE)</f>
        <v>سه شنبه</v>
      </c>
      <c r="H290" s="15">
        <f>IFERROR(IF(E289&lt;&gt;E290,1,INT(H289)+IF(TDays[[#This Row],[کد روز هفته]]=0,1,0)),1)</f>
        <v>3</v>
      </c>
      <c r="I290">
        <f>-SUMIF(TArticle[تاریخ],TDays[[#This Row],[تاریخ]],TArticle[هزینه])</f>
        <v>0</v>
      </c>
      <c r="J290">
        <f>SUMIF(TArticle[تاریخ],TDays[[#This Row],[تاریخ]],TArticle[درآمد تتا])</f>
        <v>0</v>
      </c>
      <c r="K290">
        <f>SUMIF(TArticle[تاریخ],TDays[[#This Row],[تاریخ]],TArticle[اسنپ])</f>
        <v>0</v>
      </c>
      <c r="L290">
        <f>-SUMIF(TArticle[تاریخ],TDays[[#This Row],[تاریخ]],TArticle[پرداخت بدهی])</f>
        <v>0</v>
      </c>
      <c r="M290">
        <f>SUMIF(TArticle[تاریخ],TDays[[#This Row],[تاریخ]],TArticle[افزایش بدهی])</f>
        <v>0</v>
      </c>
      <c r="N290">
        <f>-SUMIF(TArticle[تاریخ],TDays[[#This Row],[تاریخ]],TArticle[افزایش سرمایه])</f>
        <v>0</v>
      </c>
      <c r="O290">
        <f>SUMIF(TArticle[تاریخ],TDays[[#This Row],[تاریخ]],TArticle[تعداد تراکنش انجام شده])</f>
        <v>0</v>
      </c>
      <c r="P290">
        <f>INT(((TDays[[#This Row],[ماه]]-1)*31+TDays[[#This Row],[روز]]+1)/7)+1</f>
        <v>42</v>
      </c>
      <c r="Q290">
        <f>SUMIF(TArticle[تاریخ],TDays[[#This Row],[تاریخ]],TArticle[تراکنش برنامه ریزی شده])</f>
        <v>0</v>
      </c>
    </row>
    <row r="291" spans="1:17" x14ac:dyDescent="0.25">
      <c r="A291" s="3" t="s">
        <v>67</v>
      </c>
      <c r="B291" t="str">
        <f>RIGHT(TDays[[#This Row],[تاریخ]],2)</f>
        <v>14</v>
      </c>
      <c r="C291" t="str">
        <f>RIGHT(LEFT(TDays[[#This Row],[تاریخ]],7),2)</f>
        <v>10</v>
      </c>
      <c r="D291" t="str">
        <f>LEFT(TDays[[#This Row],[تاریخ]],4)</f>
        <v>1401</v>
      </c>
      <c r="E291" t="str">
        <f>LEFT(TDays[[#This Row],[تاریخ]],7)</f>
        <v>1401-10</v>
      </c>
      <c r="F291">
        <v>4</v>
      </c>
      <c r="G291" s="15" t="str">
        <f>VLOOKUP(TDays[[#This Row],[کد روز هفته]],TDaysOfTheWeek[],2,FALSE)</f>
        <v>چهارشنبه</v>
      </c>
      <c r="H291" s="15">
        <f>IFERROR(IF(E290&lt;&gt;E291,1,INT(H290)+IF(TDays[[#This Row],[کد روز هفته]]=0,1,0)),1)</f>
        <v>3</v>
      </c>
      <c r="I291">
        <f>-SUMIF(TArticle[تاریخ],TDays[[#This Row],[تاریخ]],TArticle[هزینه])</f>
        <v>0</v>
      </c>
      <c r="J291">
        <f>SUMIF(TArticle[تاریخ],TDays[[#This Row],[تاریخ]],TArticle[درآمد تتا])</f>
        <v>0</v>
      </c>
      <c r="K291">
        <f>SUMIF(TArticle[تاریخ],TDays[[#This Row],[تاریخ]],TArticle[اسنپ])</f>
        <v>0</v>
      </c>
      <c r="L291">
        <f>-SUMIF(TArticle[تاریخ],TDays[[#This Row],[تاریخ]],TArticle[پرداخت بدهی])</f>
        <v>0</v>
      </c>
      <c r="M291">
        <f>SUMIF(TArticle[تاریخ],TDays[[#This Row],[تاریخ]],TArticle[افزایش بدهی])</f>
        <v>0</v>
      </c>
      <c r="N291">
        <f>-SUMIF(TArticle[تاریخ],TDays[[#This Row],[تاریخ]],TArticle[افزایش سرمایه])</f>
        <v>350</v>
      </c>
      <c r="O291">
        <f>SUMIF(TArticle[تاریخ],TDays[[#This Row],[تاریخ]],TArticle[تعداد تراکنش انجام شده])</f>
        <v>1</v>
      </c>
      <c r="P291">
        <f>INT(((TDays[[#This Row],[ماه]]-1)*31+TDays[[#This Row],[روز]]+1)/7)+1</f>
        <v>43</v>
      </c>
      <c r="Q291">
        <f>SUMIF(TArticle[تاریخ],TDays[[#This Row],[تاریخ]],TArticle[تراکنش برنامه ریزی شده])</f>
        <v>0</v>
      </c>
    </row>
    <row r="292" spans="1:17" x14ac:dyDescent="0.25">
      <c r="A292" s="3" t="s">
        <v>485</v>
      </c>
      <c r="B292" t="str">
        <f>RIGHT(TDays[[#This Row],[تاریخ]],2)</f>
        <v>15</v>
      </c>
      <c r="C292" t="str">
        <f>RIGHT(LEFT(TDays[[#This Row],[تاریخ]],7),2)</f>
        <v>10</v>
      </c>
      <c r="D292" t="str">
        <f>LEFT(TDays[[#This Row],[تاریخ]],4)</f>
        <v>1401</v>
      </c>
      <c r="E292" t="str">
        <f>LEFT(TDays[[#This Row],[تاریخ]],7)</f>
        <v>1401-10</v>
      </c>
      <c r="F292">
        <v>5</v>
      </c>
      <c r="G292" s="15" t="str">
        <f>VLOOKUP(TDays[[#This Row],[کد روز هفته]],TDaysOfTheWeek[],2,FALSE)</f>
        <v>پنجشنبه</v>
      </c>
      <c r="H292" s="15">
        <f>IFERROR(IF(E291&lt;&gt;E292,1,INT(H291)+IF(TDays[[#This Row],[کد روز هفته]]=0,1,0)),1)</f>
        <v>3</v>
      </c>
      <c r="I292">
        <f>-SUMIF(TArticle[تاریخ],TDays[[#This Row],[تاریخ]],TArticle[هزینه])</f>
        <v>0</v>
      </c>
      <c r="J292">
        <f>SUMIF(TArticle[تاریخ],TDays[[#This Row],[تاریخ]],TArticle[درآمد تتا])</f>
        <v>0</v>
      </c>
      <c r="K292">
        <f>SUMIF(TArticle[تاریخ],TDays[[#This Row],[تاریخ]],TArticle[اسنپ])</f>
        <v>0</v>
      </c>
      <c r="L292">
        <f>-SUMIF(TArticle[تاریخ],TDays[[#This Row],[تاریخ]],TArticle[پرداخت بدهی])</f>
        <v>0</v>
      </c>
      <c r="M292">
        <f>SUMIF(TArticle[تاریخ],TDays[[#This Row],[تاریخ]],TArticle[افزایش بدهی])</f>
        <v>0</v>
      </c>
      <c r="N292">
        <f>-SUMIF(TArticle[تاریخ],TDays[[#This Row],[تاریخ]],TArticle[افزایش سرمایه])</f>
        <v>0</v>
      </c>
      <c r="O292">
        <f>SUMIF(TArticle[تاریخ],TDays[[#This Row],[تاریخ]],TArticle[تعداد تراکنش انجام شده])</f>
        <v>0</v>
      </c>
      <c r="P292">
        <f>INT(((TDays[[#This Row],[ماه]]-1)*31+TDays[[#This Row],[روز]]+1)/7)+1</f>
        <v>43</v>
      </c>
      <c r="Q292">
        <f>SUMIF(TArticle[تاریخ],TDays[[#This Row],[تاریخ]],TArticle[تراکنش برنامه ریزی شده])</f>
        <v>0</v>
      </c>
    </row>
    <row r="293" spans="1:17" x14ac:dyDescent="0.25">
      <c r="A293" s="3" t="s">
        <v>486</v>
      </c>
      <c r="B293" t="str">
        <f>RIGHT(TDays[[#This Row],[تاریخ]],2)</f>
        <v>16</v>
      </c>
      <c r="C293" t="str">
        <f>RIGHT(LEFT(TDays[[#This Row],[تاریخ]],7),2)</f>
        <v>10</v>
      </c>
      <c r="D293" t="str">
        <f>LEFT(TDays[[#This Row],[تاریخ]],4)</f>
        <v>1401</v>
      </c>
      <c r="E293" t="str">
        <f>LEFT(TDays[[#This Row],[تاریخ]],7)</f>
        <v>1401-10</v>
      </c>
      <c r="F293">
        <v>6</v>
      </c>
      <c r="G293" s="15" t="str">
        <f>VLOOKUP(TDays[[#This Row],[کد روز هفته]],TDaysOfTheWeek[],2,FALSE)</f>
        <v>جمعه</v>
      </c>
      <c r="H293" s="15">
        <f>IFERROR(IF(E292&lt;&gt;E293,1,INT(H292)+IF(TDays[[#This Row],[کد روز هفته]]=0,1,0)),1)</f>
        <v>3</v>
      </c>
      <c r="I293">
        <f>-SUMIF(TArticle[تاریخ],TDays[[#This Row],[تاریخ]],TArticle[هزینه])</f>
        <v>0</v>
      </c>
      <c r="J293">
        <f>SUMIF(TArticle[تاریخ],TDays[[#This Row],[تاریخ]],TArticle[درآمد تتا])</f>
        <v>0</v>
      </c>
      <c r="K293">
        <f>SUMIF(TArticle[تاریخ],TDays[[#This Row],[تاریخ]],TArticle[اسنپ])</f>
        <v>0</v>
      </c>
      <c r="L293">
        <f>-SUMIF(TArticle[تاریخ],TDays[[#This Row],[تاریخ]],TArticle[پرداخت بدهی])</f>
        <v>0</v>
      </c>
      <c r="M293">
        <f>SUMIF(TArticle[تاریخ],TDays[[#This Row],[تاریخ]],TArticle[افزایش بدهی])</f>
        <v>0</v>
      </c>
      <c r="N293">
        <f>-SUMIF(TArticle[تاریخ],TDays[[#This Row],[تاریخ]],TArticle[افزایش سرمایه])</f>
        <v>0</v>
      </c>
      <c r="O293">
        <f>SUMIF(TArticle[تاریخ],TDays[[#This Row],[تاریخ]],TArticle[تعداد تراکنش انجام شده])</f>
        <v>0</v>
      </c>
      <c r="P293">
        <f>INT(((TDays[[#This Row],[ماه]]-1)*31+TDays[[#This Row],[روز]]+1)/7)+1</f>
        <v>43</v>
      </c>
      <c r="Q293">
        <f>SUMIF(TArticle[تاریخ],TDays[[#This Row],[تاریخ]],TArticle[تراکنش برنامه ریزی شده])</f>
        <v>0</v>
      </c>
    </row>
    <row r="294" spans="1:17" x14ac:dyDescent="0.25">
      <c r="A294" s="3" t="s">
        <v>487</v>
      </c>
      <c r="B294" t="str">
        <f>RIGHT(TDays[[#This Row],[تاریخ]],2)</f>
        <v>17</v>
      </c>
      <c r="C294" t="str">
        <f>RIGHT(LEFT(TDays[[#This Row],[تاریخ]],7),2)</f>
        <v>10</v>
      </c>
      <c r="D294" t="str">
        <f>LEFT(TDays[[#This Row],[تاریخ]],4)</f>
        <v>1401</v>
      </c>
      <c r="E294" t="str">
        <f>LEFT(TDays[[#This Row],[تاریخ]],7)</f>
        <v>1401-10</v>
      </c>
      <c r="F294">
        <v>0</v>
      </c>
      <c r="G294" s="15" t="str">
        <f>VLOOKUP(TDays[[#This Row],[کد روز هفته]],TDaysOfTheWeek[],2,FALSE)</f>
        <v>شنبه</v>
      </c>
      <c r="H294" s="15">
        <f>IFERROR(IF(E293&lt;&gt;E294,1,INT(H293)+IF(TDays[[#This Row],[کد روز هفته]]=0,1,0)),1)</f>
        <v>4</v>
      </c>
      <c r="I294">
        <f>-SUMIF(TArticle[تاریخ],TDays[[#This Row],[تاریخ]],TArticle[هزینه])</f>
        <v>0</v>
      </c>
      <c r="J294">
        <f>SUMIF(TArticle[تاریخ],TDays[[#This Row],[تاریخ]],TArticle[درآمد تتا])</f>
        <v>0</v>
      </c>
      <c r="K294">
        <f>SUMIF(TArticle[تاریخ],TDays[[#This Row],[تاریخ]],TArticle[اسنپ])</f>
        <v>0</v>
      </c>
      <c r="L294">
        <f>-SUMIF(TArticle[تاریخ],TDays[[#This Row],[تاریخ]],TArticle[پرداخت بدهی])</f>
        <v>0</v>
      </c>
      <c r="M294">
        <f>SUMIF(TArticle[تاریخ],TDays[[#This Row],[تاریخ]],TArticle[افزایش بدهی])</f>
        <v>0</v>
      </c>
      <c r="N294">
        <f>-SUMIF(TArticle[تاریخ],TDays[[#This Row],[تاریخ]],TArticle[افزایش سرمایه])</f>
        <v>0</v>
      </c>
      <c r="O294">
        <f>SUMIF(TArticle[تاریخ],TDays[[#This Row],[تاریخ]],TArticle[تعداد تراکنش انجام شده])</f>
        <v>0</v>
      </c>
      <c r="P294">
        <f>INT(((TDays[[#This Row],[ماه]]-1)*31+TDays[[#This Row],[روز]]+1)/7)+1</f>
        <v>43</v>
      </c>
      <c r="Q294">
        <f>SUMIF(TArticle[تاریخ],TDays[[#This Row],[تاریخ]],TArticle[تراکنش برنامه ریزی شده])</f>
        <v>0</v>
      </c>
    </row>
    <row r="295" spans="1:17" x14ac:dyDescent="0.25">
      <c r="A295" s="3" t="s">
        <v>488</v>
      </c>
      <c r="B295" t="str">
        <f>RIGHT(TDays[[#This Row],[تاریخ]],2)</f>
        <v>18</v>
      </c>
      <c r="C295" t="str">
        <f>RIGHT(LEFT(TDays[[#This Row],[تاریخ]],7),2)</f>
        <v>10</v>
      </c>
      <c r="D295" t="str">
        <f>LEFT(TDays[[#This Row],[تاریخ]],4)</f>
        <v>1401</v>
      </c>
      <c r="E295" t="str">
        <f>LEFT(TDays[[#This Row],[تاریخ]],7)</f>
        <v>1401-10</v>
      </c>
      <c r="F295">
        <v>1</v>
      </c>
      <c r="G295" s="15" t="str">
        <f>VLOOKUP(TDays[[#This Row],[کد روز هفته]],TDaysOfTheWeek[],2,FALSE)</f>
        <v>یکشنبه</v>
      </c>
      <c r="H295" s="15">
        <f>IFERROR(IF(E294&lt;&gt;E295,1,INT(H294)+IF(TDays[[#This Row],[کد روز هفته]]=0,1,0)),1)</f>
        <v>4</v>
      </c>
      <c r="I295">
        <f>-SUMIF(TArticle[تاریخ],TDays[[#This Row],[تاریخ]],TArticle[هزینه])</f>
        <v>0</v>
      </c>
      <c r="J295">
        <f>SUMIF(TArticle[تاریخ],TDays[[#This Row],[تاریخ]],TArticle[درآمد تتا])</f>
        <v>0</v>
      </c>
      <c r="K295">
        <f>SUMIF(TArticle[تاریخ],TDays[[#This Row],[تاریخ]],TArticle[اسنپ])</f>
        <v>0</v>
      </c>
      <c r="L295">
        <f>-SUMIF(TArticle[تاریخ],TDays[[#This Row],[تاریخ]],TArticle[پرداخت بدهی])</f>
        <v>0</v>
      </c>
      <c r="M295">
        <f>SUMIF(TArticle[تاریخ],TDays[[#This Row],[تاریخ]],TArticle[افزایش بدهی])</f>
        <v>0</v>
      </c>
      <c r="N295">
        <f>-SUMIF(TArticle[تاریخ],TDays[[#This Row],[تاریخ]],TArticle[افزایش سرمایه])</f>
        <v>0</v>
      </c>
      <c r="O295">
        <f>SUMIF(TArticle[تاریخ],TDays[[#This Row],[تاریخ]],TArticle[تعداد تراکنش انجام شده])</f>
        <v>0</v>
      </c>
      <c r="P295">
        <f>INT(((TDays[[#This Row],[ماه]]-1)*31+TDays[[#This Row],[روز]]+1)/7)+1</f>
        <v>43</v>
      </c>
      <c r="Q295">
        <f>SUMIF(TArticle[تاریخ],TDays[[#This Row],[تاریخ]],TArticle[تراکنش برنامه ریزی شده])</f>
        <v>0</v>
      </c>
    </row>
    <row r="296" spans="1:17" x14ac:dyDescent="0.25">
      <c r="A296" s="3" t="s">
        <v>489</v>
      </c>
      <c r="B296" t="str">
        <f>RIGHT(TDays[[#This Row],[تاریخ]],2)</f>
        <v>19</v>
      </c>
      <c r="C296" t="str">
        <f>RIGHT(LEFT(TDays[[#This Row],[تاریخ]],7),2)</f>
        <v>10</v>
      </c>
      <c r="D296" t="str">
        <f>LEFT(TDays[[#This Row],[تاریخ]],4)</f>
        <v>1401</v>
      </c>
      <c r="E296" t="str">
        <f>LEFT(TDays[[#This Row],[تاریخ]],7)</f>
        <v>1401-10</v>
      </c>
      <c r="F296">
        <v>2</v>
      </c>
      <c r="G296" s="15" t="str">
        <f>VLOOKUP(TDays[[#This Row],[کد روز هفته]],TDaysOfTheWeek[],2,FALSE)</f>
        <v>دوشنبه</v>
      </c>
      <c r="H296" s="15">
        <f>IFERROR(IF(E295&lt;&gt;E296,1,INT(H295)+IF(TDays[[#This Row],[کد روز هفته]]=0,1,0)),1)</f>
        <v>4</v>
      </c>
      <c r="I296">
        <f>-SUMIF(TArticle[تاریخ],TDays[[#This Row],[تاریخ]],TArticle[هزینه])</f>
        <v>0</v>
      </c>
      <c r="J296">
        <f>SUMIF(TArticle[تاریخ],TDays[[#This Row],[تاریخ]],TArticle[درآمد تتا])</f>
        <v>0</v>
      </c>
      <c r="K296">
        <f>SUMIF(TArticle[تاریخ],TDays[[#This Row],[تاریخ]],TArticle[اسنپ])</f>
        <v>0</v>
      </c>
      <c r="L296">
        <f>-SUMIF(TArticle[تاریخ],TDays[[#This Row],[تاریخ]],TArticle[پرداخت بدهی])</f>
        <v>0</v>
      </c>
      <c r="M296">
        <f>SUMIF(TArticle[تاریخ],TDays[[#This Row],[تاریخ]],TArticle[افزایش بدهی])</f>
        <v>0</v>
      </c>
      <c r="N296">
        <f>-SUMIF(TArticle[تاریخ],TDays[[#This Row],[تاریخ]],TArticle[افزایش سرمایه])</f>
        <v>0</v>
      </c>
      <c r="O296">
        <f>SUMIF(TArticle[تاریخ],TDays[[#This Row],[تاریخ]],TArticle[تعداد تراکنش انجام شده])</f>
        <v>0</v>
      </c>
      <c r="P296">
        <f>INT(((TDays[[#This Row],[ماه]]-1)*31+TDays[[#This Row],[روز]]+1)/7)+1</f>
        <v>43</v>
      </c>
      <c r="Q296">
        <f>SUMIF(TArticle[تاریخ],TDays[[#This Row],[تاریخ]],TArticle[تراکنش برنامه ریزی شده])</f>
        <v>0</v>
      </c>
    </row>
    <row r="297" spans="1:17" x14ac:dyDescent="0.25">
      <c r="A297" s="3" t="s">
        <v>490</v>
      </c>
      <c r="B297" t="str">
        <f>RIGHT(TDays[[#This Row],[تاریخ]],2)</f>
        <v>20</v>
      </c>
      <c r="C297" t="str">
        <f>RIGHT(LEFT(TDays[[#This Row],[تاریخ]],7),2)</f>
        <v>10</v>
      </c>
      <c r="D297" t="str">
        <f>LEFT(TDays[[#This Row],[تاریخ]],4)</f>
        <v>1401</v>
      </c>
      <c r="E297" t="str">
        <f>LEFT(TDays[[#This Row],[تاریخ]],7)</f>
        <v>1401-10</v>
      </c>
      <c r="F297">
        <v>3</v>
      </c>
      <c r="G297" s="15" t="str">
        <f>VLOOKUP(TDays[[#This Row],[کد روز هفته]],TDaysOfTheWeek[],2,FALSE)</f>
        <v>سه شنبه</v>
      </c>
      <c r="H297" s="15">
        <f>IFERROR(IF(E296&lt;&gt;E297,1,INT(H296)+IF(TDays[[#This Row],[کد روز هفته]]=0,1,0)),1)</f>
        <v>4</v>
      </c>
      <c r="I297">
        <f>-SUMIF(TArticle[تاریخ],TDays[[#This Row],[تاریخ]],TArticle[هزینه])</f>
        <v>0</v>
      </c>
      <c r="J297">
        <f>SUMIF(TArticle[تاریخ],TDays[[#This Row],[تاریخ]],TArticle[درآمد تتا])</f>
        <v>0</v>
      </c>
      <c r="K297">
        <f>SUMIF(TArticle[تاریخ],TDays[[#This Row],[تاریخ]],TArticle[اسنپ])</f>
        <v>0</v>
      </c>
      <c r="L297">
        <f>-SUMIF(TArticle[تاریخ],TDays[[#This Row],[تاریخ]],TArticle[پرداخت بدهی])</f>
        <v>0</v>
      </c>
      <c r="M297">
        <f>SUMIF(TArticle[تاریخ],TDays[[#This Row],[تاریخ]],TArticle[افزایش بدهی])</f>
        <v>0</v>
      </c>
      <c r="N297">
        <f>-SUMIF(TArticle[تاریخ],TDays[[#This Row],[تاریخ]],TArticle[افزایش سرمایه])</f>
        <v>0</v>
      </c>
      <c r="O297">
        <f>SUMIF(TArticle[تاریخ],TDays[[#This Row],[تاریخ]],TArticle[تعداد تراکنش انجام شده])</f>
        <v>1</v>
      </c>
      <c r="P297">
        <f>INT(((TDays[[#This Row],[ماه]]-1)*31+TDays[[#This Row],[روز]]+1)/7)+1</f>
        <v>43</v>
      </c>
      <c r="Q297">
        <f>SUMIF(TArticle[تاریخ],TDays[[#This Row],[تاریخ]],TArticle[تراکنش برنامه ریزی شده])</f>
        <v>0</v>
      </c>
    </row>
    <row r="298" spans="1:17" x14ac:dyDescent="0.25">
      <c r="A298" s="3" t="s">
        <v>491</v>
      </c>
      <c r="B298" t="str">
        <f>RIGHT(TDays[[#This Row],[تاریخ]],2)</f>
        <v>21</v>
      </c>
      <c r="C298" t="str">
        <f>RIGHT(LEFT(TDays[[#This Row],[تاریخ]],7),2)</f>
        <v>10</v>
      </c>
      <c r="D298" t="str">
        <f>LEFT(TDays[[#This Row],[تاریخ]],4)</f>
        <v>1401</v>
      </c>
      <c r="E298" t="str">
        <f>LEFT(TDays[[#This Row],[تاریخ]],7)</f>
        <v>1401-10</v>
      </c>
      <c r="F298">
        <v>4</v>
      </c>
      <c r="G298" s="15" t="str">
        <f>VLOOKUP(TDays[[#This Row],[کد روز هفته]],TDaysOfTheWeek[],2,FALSE)</f>
        <v>چهارشنبه</v>
      </c>
      <c r="H298" s="15">
        <f>IFERROR(IF(E297&lt;&gt;E298,1,INT(H297)+IF(TDays[[#This Row],[کد روز هفته]]=0,1,0)),1)</f>
        <v>4</v>
      </c>
      <c r="I298">
        <f>-SUMIF(TArticle[تاریخ],TDays[[#This Row],[تاریخ]],TArticle[هزینه])</f>
        <v>0</v>
      </c>
      <c r="J298">
        <f>SUMIF(TArticle[تاریخ],TDays[[#This Row],[تاریخ]],TArticle[درآمد تتا])</f>
        <v>0</v>
      </c>
      <c r="K298">
        <f>SUMIF(TArticle[تاریخ],TDays[[#This Row],[تاریخ]],TArticle[اسنپ])</f>
        <v>0</v>
      </c>
      <c r="L298">
        <f>-SUMIF(TArticle[تاریخ],TDays[[#This Row],[تاریخ]],TArticle[پرداخت بدهی])</f>
        <v>0</v>
      </c>
      <c r="M298">
        <f>SUMIF(TArticle[تاریخ],TDays[[#This Row],[تاریخ]],TArticle[افزایش بدهی])</f>
        <v>0</v>
      </c>
      <c r="N298">
        <f>-SUMIF(TArticle[تاریخ],TDays[[#This Row],[تاریخ]],TArticle[افزایش سرمایه])</f>
        <v>0</v>
      </c>
      <c r="O298">
        <f>SUMIF(TArticle[تاریخ],TDays[[#This Row],[تاریخ]],TArticle[تعداد تراکنش انجام شده])</f>
        <v>0</v>
      </c>
      <c r="P298">
        <f>INT(((TDays[[#This Row],[ماه]]-1)*31+TDays[[#This Row],[روز]]+1)/7)+1</f>
        <v>44</v>
      </c>
      <c r="Q298">
        <f>SUMIF(TArticle[تاریخ],TDays[[#This Row],[تاریخ]],TArticle[تراکنش برنامه ریزی شده])</f>
        <v>0</v>
      </c>
    </row>
    <row r="299" spans="1:17" x14ac:dyDescent="0.25">
      <c r="A299" s="3" t="s">
        <v>492</v>
      </c>
      <c r="B299" t="str">
        <f>RIGHT(TDays[[#This Row],[تاریخ]],2)</f>
        <v>22</v>
      </c>
      <c r="C299" t="str">
        <f>RIGHT(LEFT(TDays[[#This Row],[تاریخ]],7),2)</f>
        <v>10</v>
      </c>
      <c r="D299" t="str">
        <f>LEFT(TDays[[#This Row],[تاریخ]],4)</f>
        <v>1401</v>
      </c>
      <c r="E299" t="str">
        <f>LEFT(TDays[[#This Row],[تاریخ]],7)</f>
        <v>1401-10</v>
      </c>
      <c r="F299">
        <v>5</v>
      </c>
      <c r="G299" s="15" t="str">
        <f>VLOOKUP(TDays[[#This Row],[کد روز هفته]],TDaysOfTheWeek[],2,FALSE)</f>
        <v>پنجشنبه</v>
      </c>
      <c r="H299" s="15">
        <f>IFERROR(IF(E298&lt;&gt;E299,1,INT(H298)+IF(TDays[[#This Row],[کد روز هفته]]=0,1,0)),1)</f>
        <v>4</v>
      </c>
      <c r="I299">
        <f>-SUMIF(TArticle[تاریخ],TDays[[#This Row],[تاریخ]],TArticle[هزینه])</f>
        <v>0</v>
      </c>
      <c r="J299">
        <f>SUMIF(TArticle[تاریخ],TDays[[#This Row],[تاریخ]],TArticle[درآمد تتا])</f>
        <v>0</v>
      </c>
      <c r="K299">
        <f>SUMIF(TArticle[تاریخ],TDays[[#This Row],[تاریخ]],TArticle[اسنپ])</f>
        <v>0</v>
      </c>
      <c r="L299">
        <f>-SUMIF(TArticle[تاریخ],TDays[[#This Row],[تاریخ]],TArticle[پرداخت بدهی])</f>
        <v>0</v>
      </c>
      <c r="M299">
        <f>SUMIF(TArticle[تاریخ],TDays[[#This Row],[تاریخ]],TArticle[افزایش بدهی])</f>
        <v>0</v>
      </c>
      <c r="N299">
        <f>-SUMIF(TArticle[تاریخ],TDays[[#This Row],[تاریخ]],TArticle[افزایش سرمایه])</f>
        <v>0</v>
      </c>
      <c r="O299">
        <f>SUMIF(TArticle[تاریخ],TDays[[#This Row],[تاریخ]],TArticle[تعداد تراکنش انجام شده])</f>
        <v>0</v>
      </c>
      <c r="P299">
        <f>INT(((TDays[[#This Row],[ماه]]-1)*31+TDays[[#This Row],[روز]]+1)/7)+1</f>
        <v>44</v>
      </c>
      <c r="Q299">
        <f>SUMIF(TArticle[تاریخ],TDays[[#This Row],[تاریخ]],TArticle[تراکنش برنامه ریزی شده])</f>
        <v>0</v>
      </c>
    </row>
    <row r="300" spans="1:17" x14ac:dyDescent="0.25">
      <c r="A300" s="3" t="s">
        <v>493</v>
      </c>
      <c r="B300" t="str">
        <f>RIGHT(TDays[[#This Row],[تاریخ]],2)</f>
        <v>23</v>
      </c>
      <c r="C300" t="str">
        <f>RIGHT(LEFT(TDays[[#This Row],[تاریخ]],7),2)</f>
        <v>10</v>
      </c>
      <c r="D300" t="str">
        <f>LEFT(TDays[[#This Row],[تاریخ]],4)</f>
        <v>1401</v>
      </c>
      <c r="E300" t="str">
        <f>LEFT(TDays[[#This Row],[تاریخ]],7)</f>
        <v>1401-10</v>
      </c>
      <c r="F300">
        <v>6</v>
      </c>
      <c r="G300" s="15" t="str">
        <f>VLOOKUP(TDays[[#This Row],[کد روز هفته]],TDaysOfTheWeek[],2,FALSE)</f>
        <v>جمعه</v>
      </c>
      <c r="H300" s="15">
        <f>IFERROR(IF(E299&lt;&gt;E300,1,INT(H299)+IF(TDays[[#This Row],[کد روز هفته]]=0,1,0)),1)</f>
        <v>4</v>
      </c>
      <c r="I300">
        <f>-SUMIF(TArticle[تاریخ],TDays[[#This Row],[تاریخ]],TArticle[هزینه])</f>
        <v>0</v>
      </c>
      <c r="J300">
        <f>SUMIF(TArticle[تاریخ],TDays[[#This Row],[تاریخ]],TArticle[درآمد تتا])</f>
        <v>0</v>
      </c>
      <c r="K300">
        <f>SUMIF(TArticle[تاریخ],TDays[[#This Row],[تاریخ]],TArticle[اسنپ])</f>
        <v>0</v>
      </c>
      <c r="L300">
        <f>-SUMIF(TArticle[تاریخ],TDays[[#This Row],[تاریخ]],TArticle[پرداخت بدهی])</f>
        <v>0</v>
      </c>
      <c r="M300">
        <f>SUMIF(TArticle[تاریخ],TDays[[#This Row],[تاریخ]],TArticle[افزایش بدهی])</f>
        <v>0</v>
      </c>
      <c r="N300">
        <f>-SUMIF(TArticle[تاریخ],TDays[[#This Row],[تاریخ]],TArticle[افزایش سرمایه])</f>
        <v>0</v>
      </c>
      <c r="O300">
        <f>SUMIF(TArticle[تاریخ],TDays[[#This Row],[تاریخ]],TArticle[تعداد تراکنش انجام شده])</f>
        <v>0</v>
      </c>
      <c r="P300">
        <f>INT(((TDays[[#This Row],[ماه]]-1)*31+TDays[[#This Row],[روز]]+1)/7)+1</f>
        <v>44</v>
      </c>
      <c r="Q300">
        <f>SUMIF(TArticle[تاریخ],TDays[[#This Row],[تاریخ]],TArticle[تراکنش برنامه ریزی شده])</f>
        <v>0</v>
      </c>
    </row>
    <row r="301" spans="1:17" x14ac:dyDescent="0.25">
      <c r="A301" s="3" t="s">
        <v>494</v>
      </c>
      <c r="B301" t="str">
        <f>RIGHT(TDays[[#This Row],[تاریخ]],2)</f>
        <v>24</v>
      </c>
      <c r="C301" t="str">
        <f>RIGHT(LEFT(TDays[[#This Row],[تاریخ]],7),2)</f>
        <v>10</v>
      </c>
      <c r="D301" t="str">
        <f>LEFT(TDays[[#This Row],[تاریخ]],4)</f>
        <v>1401</v>
      </c>
      <c r="E301" t="str">
        <f>LEFT(TDays[[#This Row],[تاریخ]],7)</f>
        <v>1401-10</v>
      </c>
      <c r="F301">
        <v>0</v>
      </c>
      <c r="G301" s="15" t="str">
        <f>VLOOKUP(TDays[[#This Row],[کد روز هفته]],TDaysOfTheWeek[],2,FALSE)</f>
        <v>شنبه</v>
      </c>
      <c r="H301" s="15">
        <f>IFERROR(IF(E300&lt;&gt;E301,1,INT(H300)+IF(TDays[[#This Row],[کد روز هفته]]=0,1,0)),1)</f>
        <v>5</v>
      </c>
      <c r="I301">
        <f>-SUMIF(TArticle[تاریخ],TDays[[#This Row],[تاریخ]],TArticle[هزینه])</f>
        <v>0</v>
      </c>
      <c r="J301">
        <f>SUMIF(TArticle[تاریخ],TDays[[#This Row],[تاریخ]],TArticle[درآمد تتا])</f>
        <v>0</v>
      </c>
      <c r="K301">
        <f>SUMIF(TArticle[تاریخ],TDays[[#This Row],[تاریخ]],TArticle[اسنپ])</f>
        <v>0</v>
      </c>
      <c r="L301">
        <f>-SUMIF(TArticle[تاریخ],TDays[[#This Row],[تاریخ]],TArticle[پرداخت بدهی])</f>
        <v>0</v>
      </c>
      <c r="M301">
        <f>SUMIF(TArticle[تاریخ],TDays[[#This Row],[تاریخ]],TArticle[افزایش بدهی])</f>
        <v>0</v>
      </c>
      <c r="N301">
        <f>-SUMIF(TArticle[تاریخ],TDays[[#This Row],[تاریخ]],TArticle[افزایش سرمایه])</f>
        <v>0</v>
      </c>
      <c r="O301">
        <f>SUMIF(TArticle[تاریخ],TDays[[#This Row],[تاریخ]],TArticle[تعداد تراکنش انجام شده])</f>
        <v>0</v>
      </c>
      <c r="P301">
        <f>INT(((TDays[[#This Row],[ماه]]-1)*31+TDays[[#This Row],[روز]]+1)/7)+1</f>
        <v>44</v>
      </c>
      <c r="Q301">
        <f>SUMIF(TArticle[تاریخ],TDays[[#This Row],[تاریخ]],TArticle[تراکنش برنامه ریزی شده])</f>
        <v>0</v>
      </c>
    </row>
    <row r="302" spans="1:17" x14ac:dyDescent="0.25">
      <c r="A302" s="3" t="s">
        <v>495</v>
      </c>
      <c r="B302" t="str">
        <f>RIGHT(TDays[[#This Row],[تاریخ]],2)</f>
        <v>25</v>
      </c>
      <c r="C302" t="str">
        <f>RIGHT(LEFT(TDays[[#This Row],[تاریخ]],7),2)</f>
        <v>10</v>
      </c>
      <c r="D302" t="str">
        <f>LEFT(TDays[[#This Row],[تاریخ]],4)</f>
        <v>1401</v>
      </c>
      <c r="E302" t="str">
        <f>LEFT(TDays[[#This Row],[تاریخ]],7)</f>
        <v>1401-10</v>
      </c>
      <c r="F302">
        <v>1</v>
      </c>
      <c r="G302" s="15" t="str">
        <f>VLOOKUP(TDays[[#This Row],[کد روز هفته]],TDaysOfTheWeek[],2,FALSE)</f>
        <v>یکشنبه</v>
      </c>
      <c r="H302" s="15">
        <f>IFERROR(IF(E301&lt;&gt;E302,1,INT(H301)+IF(TDays[[#This Row],[کد روز هفته]]=0,1,0)),1)</f>
        <v>5</v>
      </c>
      <c r="I302">
        <f>-SUMIF(TArticle[تاریخ],TDays[[#This Row],[تاریخ]],TArticle[هزینه])</f>
        <v>0</v>
      </c>
      <c r="J302">
        <f>SUMIF(TArticle[تاریخ],TDays[[#This Row],[تاریخ]],TArticle[درآمد تتا])</f>
        <v>0</v>
      </c>
      <c r="K302">
        <f>SUMIF(TArticle[تاریخ],TDays[[#This Row],[تاریخ]],TArticle[اسنپ])</f>
        <v>0</v>
      </c>
      <c r="L302">
        <f>-SUMIF(TArticle[تاریخ],TDays[[#This Row],[تاریخ]],TArticle[پرداخت بدهی])</f>
        <v>0</v>
      </c>
      <c r="M302">
        <f>SUMIF(TArticle[تاریخ],TDays[[#This Row],[تاریخ]],TArticle[افزایش بدهی])</f>
        <v>0</v>
      </c>
      <c r="N302">
        <f>-SUMIF(TArticle[تاریخ],TDays[[#This Row],[تاریخ]],TArticle[افزایش سرمایه])</f>
        <v>0</v>
      </c>
      <c r="O302">
        <f>SUMIF(TArticle[تاریخ],TDays[[#This Row],[تاریخ]],TArticle[تعداد تراکنش انجام شده])</f>
        <v>0</v>
      </c>
      <c r="P302">
        <f>INT(((TDays[[#This Row],[ماه]]-1)*31+TDays[[#This Row],[روز]]+1)/7)+1</f>
        <v>44</v>
      </c>
      <c r="Q302">
        <f>SUMIF(TArticle[تاریخ],TDays[[#This Row],[تاریخ]],TArticle[تراکنش برنامه ریزی شده])</f>
        <v>0</v>
      </c>
    </row>
    <row r="303" spans="1:17" x14ac:dyDescent="0.25">
      <c r="A303" s="3" t="s">
        <v>496</v>
      </c>
      <c r="B303" t="str">
        <f>RIGHT(TDays[[#This Row],[تاریخ]],2)</f>
        <v>26</v>
      </c>
      <c r="C303" t="str">
        <f>RIGHT(LEFT(TDays[[#This Row],[تاریخ]],7),2)</f>
        <v>10</v>
      </c>
      <c r="D303" t="str">
        <f>LEFT(TDays[[#This Row],[تاریخ]],4)</f>
        <v>1401</v>
      </c>
      <c r="E303" t="str">
        <f>LEFT(TDays[[#This Row],[تاریخ]],7)</f>
        <v>1401-10</v>
      </c>
      <c r="F303">
        <v>2</v>
      </c>
      <c r="G303" s="15" t="str">
        <f>VLOOKUP(TDays[[#This Row],[کد روز هفته]],TDaysOfTheWeek[],2,FALSE)</f>
        <v>دوشنبه</v>
      </c>
      <c r="H303" s="15">
        <f>IFERROR(IF(E302&lt;&gt;E303,1,INT(H302)+IF(TDays[[#This Row],[کد روز هفته]]=0,1,0)),1)</f>
        <v>5</v>
      </c>
      <c r="I303">
        <f>-SUMIF(TArticle[تاریخ],TDays[[#This Row],[تاریخ]],TArticle[هزینه])</f>
        <v>0</v>
      </c>
      <c r="J303">
        <f>SUMIF(TArticle[تاریخ],TDays[[#This Row],[تاریخ]],TArticle[درآمد تتا])</f>
        <v>0</v>
      </c>
      <c r="K303">
        <f>SUMIF(TArticle[تاریخ],TDays[[#This Row],[تاریخ]],TArticle[اسنپ])</f>
        <v>0</v>
      </c>
      <c r="L303">
        <f>-SUMIF(TArticle[تاریخ],TDays[[#This Row],[تاریخ]],TArticle[پرداخت بدهی])</f>
        <v>0</v>
      </c>
      <c r="M303">
        <f>SUMIF(TArticle[تاریخ],TDays[[#This Row],[تاریخ]],TArticle[افزایش بدهی])</f>
        <v>0</v>
      </c>
      <c r="N303">
        <f>-SUMIF(TArticle[تاریخ],TDays[[#This Row],[تاریخ]],TArticle[افزایش سرمایه])</f>
        <v>0</v>
      </c>
      <c r="O303">
        <f>SUMIF(TArticle[تاریخ],TDays[[#This Row],[تاریخ]],TArticle[تعداد تراکنش انجام شده])</f>
        <v>0</v>
      </c>
      <c r="P303">
        <f>INT(((TDays[[#This Row],[ماه]]-1)*31+TDays[[#This Row],[روز]]+1)/7)+1</f>
        <v>44</v>
      </c>
      <c r="Q303">
        <f>SUMIF(TArticle[تاریخ],TDays[[#This Row],[تاریخ]],TArticle[تراکنش برنامه ریزی شده])</f>
        <v>0</v>
      </c>
    </row>
    <row r="304" spans="1:17" x14ac:dyDescent="0.25">
      <c r="A304" s="3" t="s">
        <v>497</v>
      </c>
      <c r="B304" t="str">
        <f>RIGHT(TDays[[#This Row],[تاریخ]],2)</f>
        <v>27</v>
      </c>
      <c r="C304" t="str">
        <f>RIGHT(LEFT(TDays[[#This Row],[تاریخ]],7),2)</f>
        <v>10</v>
      </c>
      <c r="D304" t="str">
        <f>LEFT(TDays[[#This Row],[تاریخ]],4)</f>
        <v>1401</v>
      </c>
      <c r="E304" t="str">
        <f>LEFT(TDays[[#This Row],[تاریخ]],7)</f>
        <v>1401-10</v>
      </c>
      <c r="F304">
        <v>3</v>
      </c>
      <c r="G304" s="15" t="str">
        <f>VLOOKUP(TDays[[#This Row],[کد روز هفته]],TDaysOfTheWeek[],2,FALSE)</f>
        <v>سه شنبه</v>
      </c>
      <c r="H304" s="15">
        <f>IFERROR(IF(E303&lt;&gt;E304,1,INT(H303)+IF(TDays[[#This Row],[کد روز هفته]]=0,1,0)),1)</f>
        <v>5</v>
      </c>
      <c r="I304">
        <f>-SUMIF(TArticle[تاریخ],TDays[[#This Row],[تاریخ]],TArticle[هزینه])</f>
        <v>0</v>
      </c>
      <c r="J304">
        <f>SUMIF(TArticle[تاریخ],TDays[[#This Row],[تاریخ]],TArticle[درآمد تتا])</f>
        <v>0</v>
      </c>
      <c r="K304">
        <f>SUMIF(TArticle[تاریخ],TDays[[#This Row],[تاریخ]],TArticle[اسنپ])</f>
        <v>0</v>
      </c>
      <c r="L304">
        <f>-SUMIF(TArticle[تاریخ],TDays[[#This Row],[تاریخ]],TArticle[پرداخت بدهی])</f>
        <v>0</v>
      </c>
      <c r="M304">
        <f>SUMIF(TArticle[تاریخ],TDays[[#This Row],[تاریخ]],TArticle[افزایش بدهی])</f>
        <v>0</v>
      </c>
      <c r="N304">
        <f>-SUMIF(TArticle[تاریخ],TDays[[#This Row],[تاریخ]],TArticle[افزایش سرمایه])</f>
        <v>0</v>
      </c>
      <c r="O304">
        <f>SUMIF(TArticle[تاریخ],TDays[[#This Row],[تاریخ]],TArticle[تعداد تراکنش انجام شده])</f>
        <v>0</v>
      </c>
      <c r="P304">
        <f>INT(((TDays[[#This Row],[ماه]]-1)*31+TDays[[#This Row],[روز]]+1)/7)+1</f>
        <v>44</v>
      </c>
      <c r="Q304">
        <f>SUMIF(TArticle[تاریخ],TDays[[#This Row],[تاریخ]],TArticle[تراکنش برنامه ریزی شده])</f>
        <v>0</v>
      </c>
    </row>
    <row r="305" spans="1:17" x14ac:dyDescent="0.25">
      <c r="A305" s="3" t="s">
        <v>498</v>
      </c>
      <c r="B305" t="str">
        <f>RIGHT(TDays[[#This Row],[تاریخ]],2)</f>
        <v>28</v>
      </c>
      <c r="C305" t="str">
        <f>RIGHT(LEFT(TDays[[#This Row],[تاریخ]],7),2)</f>
        <v>10</v>
      </c>
      <c r="D305" t="str">
        <f>LEFT(TDays[[#This Row],[تاریخ]],4)</f>
        <v>1401</v>
      </c>
      <c r="E305" t="str">
        <f>LEFT(TDays[[#This Row],[تاریخ]],7)</f>
        <v>1401-10</v>
      </c>
      <c r="F305">
        <v>4</v>
      </c>
      <c r="G305" s="15" t="str">
        <f>VLOOKUP(TDays[[#This Row],[کد روز هفته]],TDaysOfTheWeek[],2,FALSE)</f>
        <v>چهارشنبه</v>
      </c>
      <c r="H305" s="15">
        <f>IFERROR(IF(E304&lt;&gt;E305,1,INT(H304)+IF(TDays[[#This Row],[کد روز هفته]]=0,1,0)),1)</f>
        <v>5</v>
      </c>
      <c r="I305">
        <f>-SUMIF(TArticle[تاریخ],TDays[[#This Row],[تاریخ]],TArticle[هزینه])</f>
        <v>0</v>
      </c>
      <c r="J305">
        <f>SUMIF(TArticle[تاریخ],TDays[[#This Row],[تاریخ]],TArticle[درآمد تتا])</f>
        <v>0</v>
      </c>
      <c r="K305">
        <f>SUMIF(TArticle[تاریخ],TDays[[#This Row],[تاریخ]],TArticle[اسنپ])</f>
        <v>0</v>
      </c>
      <c r="L305">
        <f>-SUMIF(TArticle[تاریخ],TDays[[#This Row],[تاریخ]],TArticle[پرداخت بدهی])</f>
        <v>0</v>
      </c>
      <c r="M305">
        <f>SUMIF(TArticle[تاریخ],TDays[[#This Row],[تاریخ]],TArticle[افزایش بدهی])</f>
        <v>0</v>
      </c>
      <c r="N305">
        <f>-SUMIF(TArticle[تاریخ],TDays[[#This Row],[تاریخ]],TArticle[افزایش سرمایه])</f>
        <v>0</v>
      </c>
      <c r="O305">
        <f>SUMIF(TArticle[تاریخ],TDays[[#This Row],[تاریخ]],TArticle[تعداد تراکنش انجام شده])</f>
        <v>0</v>
      </c>
      <c r="P305">
        <f>INT(((TDays[[#This Row],[ماه]]-1)*31+TDays[[#This Row],[روز]]+1)/7)+1</f>
        <v>45</v>
      </c>
      <c r="Q305">
        <f>SUMIF(TArticle[تاریخ],TDays[[#This Row],[تاریخ]],TArticle[تراکنش برنامه ریزی شده])</f>
        <v>0</v>
      </c>
    </row>
    <row r="306" spans="1:17" x14ac:dyDescent="0.25">
      <c r="A306" s="3" t="s">
        <v>499</v>
      </c>
      <c r="B306" t="str">
        <f>RIGHT(TDays[[#This Row],[تاریخ]],2)</f>
        <v>29</v>
      </c>
      <c r="C306" t="str">
        <f>RIGHT(LEFT(TDays[[#This Row],[تاریخ]],7),2)</f>
        <v>10</v>
      </c>
      <c r="D306" t="str">
        <f>LEFT(TDays[[#This Row],[تاریخ]],4)</f>
        <v>1401</v>
      </c>
      <c r="E306" t="str">
        <f>LEFT(TDays[[#This Row],[تاریخ]],7)</f>
        <v>1401-10</v>
      </c>
      <c r="F306">
        <v>5</v>
      </c>
      <c r="G306" s="15" t="str">
        <f>VLOOKUP(TDays[[#This Row],[کد روز هفته]],TDaysOfTheWeek[],2,FALSE)</f>
        <v>پنجشنبه</v>
      </c>
      <c r="H306" s="15">
        <f>IFERROR(IF(E305&lt;&gt;E306,1,INT(H305)+IF(TDays[[#This Row],[کد روز هفته]]=0,1,0)),1)</f>
        <v>5</v>
      </c>
      <c r="I306">
        <f>-SUMIF(TArticle[تاریخ],TDays[[#This Row],[تاریخ]],TArticle[هزینه])</f>
        <v>0</v>
      </c>
      <c r="J306">
        <f>SUMIF(TArticle[تاریخ],TDays[[#This Row],[تاریخ]],TArticle[درآمد تتا])</f>
        <v>0</v>
      </c>
      <c r="K306">
        <f>SUMIF(TArticle[تاریخ],TDays[[#This Row],[تاریخ]],TArticle[اسنپ])</f>
        <v>0</v>
      </c>
      <c r="L306">
        <f>-SUMIF(TArticle[تاریخ],TDays[[#This Row],[تاریخ]],TArticle[پرداخت بدهی])</f>
        <v>0</v>
      </c>
      <c r="M306">
        <f>SUMIF(TArticle[تاریخ],TDays[[#This Row],[تاریخ]],TArticle[افزایش بدهی])</f>
        <v>0</v>
      </c>
      <c r="N306">
        <f>-SUMIF(TArticle[تاریخ],TDays[[#This Row],[تاریخ]],TArticle[افزایش سرمایه])</f>
        <v>0</v>
      </c>
      <c r="O306">
        <f>SUMIF(TArticle[تاریخ],TDays[[#This Row],[تاریخ]],TArticle[تعداد تراکنش انجام شده])</f>
        <v>0</v>
      </c>
      <c r="P306">
        <f>INT(((TDays[[#This Row],[ماه]]-1)*31+TDays[[#This Row],[روز]]+1)/7)+1</f>
        <v>45</v>
      </c>
      <c r="Q306">
        <f>SUMIF(TArticle[تاریخ],TDays[[#This Row],[تاریخ]],TArticle[تراکنش برنامه ریزی شده])</f>
        <v>0</v>
      </c>
    </row>
    <row r="307" spans="1:17" x14ac:dyDescent="0.25">
      <c r="A307" s="3" t="s">
        <v>500</v>
      </c>
      <c r="B307" t="str">
        <f>RIGHT(TDays[[#This Row],[تاریخ]],2)</f>
        <v>30</v>
      </c>
      <c r="C307" t="str">
        <f>RIGHT(LEFT(TDays[[#This Row],[تاریخ]],7),2)</f>
        <v>10</v>
      </c>
      <c r="D307" t="str">
        <f>LEFT(TDays[[#This Row],[تاریخ]],4)</f>
        <v>1401</v>
      </c>
      <c r="E307" t="str">
        <f>LEFT(TDays[[#This Row],[تاریخ]],7)</f>
        <v>1401-10</v>
      </c>
      <c r="F307">
        <v>6</v>
      </c>
      <c r="G307" s="15" t="str">
        <f>VLOOKUP(TDays[[#This Row],[کد روز هفته]],TDaysOfTheWeek[],2,FALSE)</f>
        <v>جمعه</v>
      </c>
      <c r="H307" s="15">
        <f>IFERROR(IF(E306&lt;&gt;E307,1,INT(H306)+IF(TDays[[#This Row],[کد روز هفته]]=0,1,0)),1)</f>
        <v>5</v>
      </c>
      <c r="I307">
        <f>-SUMIF(TArticle[تاریخ],TDays[[#This Row],[تاریخ]],TArticle[هزینه])</f>
        <v>33006</v>
      </c>
      <c r="J307">
        <f>SUMIF(TArticle[تاریخ],TDays[[#This Row],[تاریخ]],TArticle[درآمد تتا])</f>
        <v>0</v>
      </c>
      <c r="K307">
        <f>SUMIF(TArticle[تاریخ],TDays[[#This Row],[تاریخ]],TArticle[اسنپ])</f>
        <v>0</v>
      </c>
      <c r="L307">
        <f>-SUMIF(TArticle[تاریخ],TDays[[#This Row],[تاریخ]],TArticle[پرداخت بدهی])</f>
        <v>0</v>
      </c>
      <c r="M307">
        <f>SUMIF(TArticle[تاریخ],TDays[[#This Row],[تاریخ]],TArticle[افزایش بدهی])</f>
        <v>0</v>
      </c>
      <c r="N307">
        <f>-SUMIF(TArticle[تاریخ],TDays[[#This Row],[تاریخ]],TArticle[افزایش سرمایه])</f>
        <v>0</v>
      </c>
      <c r="O307">
        <f>SUMIF(TArticle[تاریخ],TDays[[#This Row],[تاریخ]],TArticle[تعداد تراکنش انجام شده])</f>
        <v>1</v>
      </c>
      <c r="P307">
        <f>INT(((TDays[[#This Row],[ماه]]-1)*31+TDays[[#This Row],[روز]]+1)/7)+1</f>
        <v>45</v>
      </c>
      <c r="Q307">
        <f>SUMIF(TArticle[تاریخ],TDays[[#This Row],[تاریخ]],TArticle[تراکنش برنامه ریزی شده])</f>
        <v>0</v>
      </c>
    </row>
    <row r="308" spans="1:17" x14ac:dyDescent="0.25">
      <c r="A308" s="3" t="s">
        <v>501</v>
      </c>
      <c r="B308" t="str">
        <f>RIGHT(TDays[[#This Row],[تاریخ]],2)</f>
        <v>01</v>
      </c>
      <c r="C308" t="str">
        <f>RIGHT(LEFT(TDays[[#This Row],[تاریخ]],7),2)</f>
        <v>11</v>
      </c>
      <c r="D308" t="str">
        <f>LEFT(TDays[[#This Row],[تاریخ]],4)</f>
        <v>1401</v>
      </c>
      <c r="E308" t="str">
        <f>LEFT(TDays[[#This Row],[تاریخ]],7)</f>
        <v>1401-11</v>
      </c>
      <c r="F308">
        <v>0</v>
      </c>
      <c r="G308" s="15" t="str">
        <f>VLOOKUP(TDays[[#This Row],[کد روز هفته]],TDaysOfTheWeek[],2,FALSE)</f>
        <v>شنبه</v>
      </c>
      <c r="H308" s="15">
        <f>IFERROR(IF(E307&lt;&gt;E308,1,INT(H307)+IF(TDays[[#This Row],[کد روز هفته]]=0,1,0)),1)</f>
        <v>1</v>
      </c>
      <c r="I308">
        <f>-SUMIF(TArticle[تاریخ],TDays[[#This Row],[تاریخ]],TArticle[هزینه])</f>
        <v>0</v>
      </c>
      <c r="J308">
        <f>SUMIF(TArticle[تاریخ],TDays[[#This Row],[تاریخ]],TArticle[درآمد تتا])</f>
        <v>30489</v>
      </c>
      <c r="K308">
        <f>SUMIF(TArticle[تاریخ],TDays[[#This Row],[تاریخ]],TArticle[اسنپ])</f>
        <v>0</v>
      </c>
      <c r="L308">
        <f>-SUMIF(TArticle[تاریخ],TDays[[#This Row],[تاریخ]],TArticle[پرداخت بدهی])</f>
        <v>10808</v>
      </c>
      <c r="M308">
        <f>SUMIF(TArticle[تاریخ],TDays[[#This Row],[تاریخ]],TArticle[افزایش بدهی])</f>
        <v>0</v>
      </c>
      <c r="N308">
        <f>-SUMIF(TArticle[تاریخ],TDays[[#This Row],[تاریخ]],TArticle[افزایش سرمایه])</f>
        <v>0</v>
      </c>
      <c r="O308">
        <f>SUMIF(TArticle[تاریخ],TDays[[#This Row],[تاریخ]],TArticle[تعداد تراکنش انجام شده])</f>
        <v>5</v>
      </c>
      <c r="P308">
        <f>INT(((TDays[[#This Row],[ماه]]-1)*31+TDays[[#This Row],[روز]]+1)/7)+1</f>
        <v>45</v>
      </c>
      <c r="Q308">
        <f>SUMIF(TArticle[تاریخ],TDays[[#This Row],[تاریخ]],TArticle[تراکنش برنامه ریزی شده])</f>
        <v>0</v>
      </c>
    </row>
    <row r="309" spans="1:17" x14ac:dyDescent="0.25">
      <c r="A309" s="3" t="s">
        <v>502</v>
      </c>
      <c r="B309" t="str">
        <f>RIGHT(TDays[[#This Row],[تاریخ]],2)</f>
        <v>02</v>
      </c>
      <c r="C309" t="str">
        <f>RIGHT(LEFT(TDays[[#This Row],[تاریخ]],7),2)</f>
        <v>11</v>
      </c>
      <c r="D309" t="str">
        <f>LEFT(TDays[[#This Row],[تاریخ]],4)</f>
        <v>1401</v>
      </c>
      <c r="E309" t="str">
        <f>LEFT(TDays[[#This Row],[تاریخ]],7)</f>
        <v>1401-11</v>
      </c>
      <c r="F309">
        <v>1</v>
      </c>
      <c r="G309" s="15" t="str">
        <f>VLOOKUP(TDays[[#This Row],[کد روز هفته]],TDaysOfTheWeek[],2,FALSE)</f>
        <v>یکشنبه</v>
      </c>
      <c r="H309" s="15">
        <f>IFERROR(IF(E308&lt;&gt;E309,1,INT(H308)+IF(TDays[[#This Row],[کد روز هفته]]=0,1,0)),1)</f>
        <v>1</v>
      </c>
      <c r="I309">
        <f>-SUMIF(TArticle[تاریخ],TDays[[#This Row],[تاریخ]],TArticle[هزینه])</f>
        <v>4000</v>
      </c>
      <c r="J309">
        <f>SUMIF(TArticle[تاریخ],TDays[[#This Row],[تاریخ]],TArticle[درآمد تتا])</f>
        <v>0</v>
      </c>
      <c r="K309">
        <f>SUMIF(TArticle[تاریخ],TDays[[#This Row],[تاریخ]],TArticle[اسنپ])</f>
        <v>0</v>
      </c>
      <c r="L309">
        <f>-SUMIF(TArticle[تاریخ],TDays[[#This Row],[تاریخ]],TArticle[پرداخت بدهی])</f>
        <v>0</v>
      </c>
      <c r="M309">
        <f>SUMIF(TArticle[تاریخ],TDays[[#This Row],[تاریخ]],TArticle[افزایش بدهی])</f>
        <v>0</v>
      </c>
      <c r="N309">
        <f>-SUMIF(TArticle[تاریخ],TDays[[#This Row],[تاریخ]],TArticle[افزایش سرمایه])</f>
        <v>0</v>
      </c>
      <c r="O309">
        <f>SUMIF(TArticle[تاریخ],TDays[[#This Row],[تاریخ]],TArticle[تعداد تراکنش انجام شده])</f>
        <v>1</v>
      </c>
      <c r="P309">
        <f>INT(((TDays[[#This Row],[ماه]]-1)*31+TDays[[#This Row],[روز]]+1)/7)+1</f>
        <v>45</v>
      </c>
      <c r="Q309">
        <f>SUMIF(TArticle[تاریخ],TDays[[#This Row],[تاریخ]],TArticle[تراکنش برنامه ریزی شده])</f>
        <v>0</v>
      </c>
    </row>
    <row r="310" spans="1:17" x14ac:dyDescent="0.25">
      <c r="A310" s="3" t="s">
        <v>503</v>
      </c>
      <c r="B310" t="str">
        <f>RIGHT(TDays[[#This Row],[تاریخ]],2)</f>
        <v>03</v>
      </c>
      <c r="C310" t="str">
        <f>RIGHT(LEFT(TDays[[#This Row],[تاریخ]],7),2)</f>
        <v>11</v>
      </c>
      <c r="D310" t="str">
        <f>LEFT(TDays[[#This Row],[تاریخ]],4)</f>
        <v>1401</v>
      </c>
      <c r="E310" t="str">
        <f>LEFT(TDays[[#This Row],[تاریخ]],7)</f>
        <v>1401-11</v>
      </c>
      <c r="F310">
        <v>2</v>
      </c>
      <c r="G310" s="15" t="str">
        <f>VLOOKUP(TDays[[#This Row],[کد روز هفته]],TDaysOfTheWeek[],2,FALSE)</f>
        <v>دوشنبه</v>
      </c>
      <c r="H310" s="15">
        <f>IFERROR(IF(E309&lt;&gt;E310,1,INT(H309)+IF(TDays[[#This Row],[کد روز هفته]]=0,1,0)),1)</f>
        <v>1</v>
      </c>
      <c r="I310">
        <f>-SUMIF(TArticle[تاریخ],TDays[[#This Row],[تاریخ]],TArticle[هزینه])</f>
        <v>0</v>
      </c>
      <c r="J310">
        <f>SUMIF(TArticle[تاریخ],TDays[[#This Row],[تاریخ]],TArticle[درآمد تتا])</f>
        <v>0</v>
      </c>
      <c r="K310">
        <f>SUMIF(TArticle[تاریخ],TDays[[#This Row],[تاریخ]],TArticle[اسنپ])</f>
        <v>0</v>
      </c>
      <c r="L310">
        <f>-SUMIF(TArticle[تاریخ],TDays[[#This Row],[تاریخ]],TArticle[پرداخت بدهی])</f>
        <v>0</v>
      </c>
      <c r="M310">
        <f>SUMIF(TArticle[تاریخ],TDays[[#This Row],[تاریخ]],TArticle[افزایش بدهی])</f>
        <v>0</v>
      </c>
      <c r="N310">
        <f>-SUMIF(TArticle[تاریخ],TDays[[#This Row],[تاریخ]],TArticle[افزایش سرمایه])</f>
        <v>0</v>
      </c>
      <c r="O310">
        <f>SUMIF(TArticle[تاریخ],TDays[[#This Row],[تاریخ]],TArticle[تعداد تراکنش انجام شده])</f>
        <v>0</v>
      </c>
      <c r="P310">
        <f>INT(((TDays[[#This Row],[ماه]]-1)*31+TDays[[#This Row],[روز]]+1)/7)+1</f>
        <v>45</v>
      </c>
      <c r="Q310">
        <f>SUMIF(TArticle[تاریخ],TDays[[#This Row],[تاریخ]],TArticle[تراکنش برنامه ریزی شده])</f>
        <v>0</v>
      </c>
    </row>
    <row r="311" spans="1:17" x14ac:dyDescent="0.25">
      <c r="A311" s="3" t="s">
        <v>504</v>
      </c>
      <c r="B311" t="str">
        <f>RIGHT(TDays[[#This Row],[تاریخ]],2)</f>
        <v>04</v>
      </c>
      <c r="C311" t="str">
        <f>RIGHT(LEFT(TDays[[#This Row],[تاریخ]],7),2)</f>
        <v>11</v>
      </c>
      <c r="D311" t="str">
        <f>LEFT(TDays[[#This Row],[تاریخ]],4)</f>
        <v>1401</v>
      </c>
      <c r="E311" t="str">
        <f>LEFT(TDays[[#This Row],[تاریخ]],7)</f>
        <v>1401-11</v>
      </c>
      <c r="F311">
        <v>3</v>
      </c>
      <c r="G311" s="15" t="str">
        <f>VLOOKUP(TDays[[#This Row],[کد روز هفته]],TDaysOfTheWeek[],2,FALSE)</f>
        <v>سه شنبه</v>
      </c>
      <c r="H311" s="15">
        <f>IFERROR(IF(E310&lt;&gt;E311,1,INT(H310)+IF(TDays[[#This Row],[کد روز هفته]]=0,1,0)),1)</f>
        <v>1</v>
      </c>
      <c r="I311">
        <f>-SUMIF(TArticle[تاریخ],TDays[[#This Row],[تاریخ]],TArticle[هزینه])</f>
        <v>0</v>
      </c>
      <c r="J311">
        <f>SUMIF(TArticle[تاریخ],TDays[[#This Row],[تاریخ]],TArticle[درآمد تتا])</f>
        <v>0</v>
      </c>
      <c r="K311">
        <f>SUMIF(TArticle[تاریخ],TDays[[#This Row],[تاریخ]],TArticle[اسنپ])</f>
        <v>0</v>
      </c>
      <c r="L311">
        <f>-SUMIF(TArticle[تاریخ],TDays[[#This Row],[تاریخ]],TArticle[پرداخت بدهی])</f>
        <v>0</v>
      </c>
      <c r="M311">
        <f>SUMIF(TArticle[تاریخ],TDays[[#This Row],[تاریخ]],TArticle[افزایش بدهی])</f>
        <v>0</v>
      </c>
      <c r="N311">
        <f>-SUMIF(TArticle[تاریخ],TDays[[#This Row],[تاریخ]],TArticle[افزایش سرمایه])</f>
        <v>0</v>
      </c>
      <c r="O311">
        <f>SUMIF(TArticle[تاریخ],TDays[[#This Row],[تاریخ]],TArticle[تعداد تراکنش انجام شده])</f>
        <v>0</v>
      </c>
      <c r="P311">
        <f>INT(((TDays[[#This Row],[ماه]]-1)*31+TDays[[#This Row],[روز]]+1)/7)+1</f>
        <v>46</v>
      </c>
      <c r="Q311">
        <f>SUMIF(TArticle[تاریخ],TDays[[#This Row],[تاریخ]],TArticle[تراکنش برنامه ریزی شده])</f>
        <v>0</v>
      </c>
    </row>
    <row r="312" spans="1:17" x14ac:dyDescent="0.25">
      <c r="A312" s="3" t="s">
        <v>505</v>
      </c>
      <c r="B312" t="str">
        <f>RIGHT(TDays[[#This Row],[تاریخ]],2)</f>
        <v>05</v>
      </c>
      <c r="C312" t="str">
        <f>RIGHT(LEFT(TDays[[#This Row],[تاریخ]],7),2)</f>
        <v>11</v>
      </c>
      <c r="D312" t="str">
        <f>LEFT(TDays[[#This Row],[تاریخ]],4)</f>
        <v>1401</v>
      </c>
      <c r="E312" t="str">
        <f>LEFT(TDays[[#This Row],[تاریخ]],7)</f>
        <v>1401-11</v>
      </c>
      <c r="F312">
        <v>4</v>
      </c>
      <c r="G312" s="15" t="str">
        <f>VLOOKUP(TDays[[#This Row],[کد روز هفته]],TDaysOfTheWeek[],2,FALSE)</f>
        <v>چهارشنبه</v>
      </c>
      <c r="H312" s="15">
        <f>IFERROR(IF(E311&lt;&gt;E312,1,INT(H311)+IF(TDays[[#This Row],[کد روز هفته]]=0,1,0)),1)</f>
        <v>1</v>
      </c>
      <c r="I312">
        <f>-SUMIF(TArticle[تاریخ],TDays[[#This Row],[تاریخ]],TArticle[هزینه])</f>
        <v>0</v>
      </c>
      <c r="J312">
        <f>SUMIF(TArticle[تاریخ],TDays[[#This Row],[تاریخ]],TArticle[درآمد تتا])</f>
        <v>0</v>
      </c>
      <c r="K312">
        <f>SUMIF(TArticle[تاریخ],TDays[[#This Row],[تاریخ]],TArticle[اسنپ])</f>
        <v>0</v>
      </c>
      <c r="L312">
        <f>-SUMIF(TArticle[تاریخ],TDays[[#This Row],[تاریخ]],TArticle[پرداخت بدهی])</f>
        <v>4000</v>
      </c>
      <c r="M312">
        <f>SUMIF(TArticle[تاریخ],TDays[[#This Row],[تاریخ]],TArticle[افزایش بدهی])</f>
        <v>0</v>
      </c>
      <c r="N312">
        <f>-SUMIF(TArticle[تاریخ],TDays[[#This Row],[تاریخ]],TArticle[افزایش سرمایه])</f>
        <v>0</v>
      </c>
      <c r="O312">
        <f>SUMIF(TArticle[تاریخ],TDays[[#This Row],[تاریخ]],TArticle[تعداد تراکنش انجام شده])</f>
        <v>3</v>
      </c>
      <c r="P312">
        <f>INT(((TDays[[#This Row],[ماه]]-1)*31+TDays[[#This Row],[روز]]+1)/7)+1</f>
        <v>46</v>
      </c>
      <c r="Q312">
        <f>SUMIF(TArticle[تاریخ],TDays[[#This Row],[تاریخ]],TArticle[تراکنش برنامه ریزی شده])</f>
        <v>0</v>
      </c>
    </row>
    <row r="313" spans="1:17" x14ac:dyDescent="0.25">
      <c r="A313" s="3" t="s">
        <v>506</v>
      </c>
      <c r="B313" t="str">
        <f>RIGHT(TDays[[#This Row],[تاریخ]],2)</f>
        <v>06</v>
      </c>
      <c r="C313" t="str">
        <f>RIGHT(LEFT(TDays[[#This Row],[تاریخ]],7),2)</f>
        <v>11</v>
      </c>
      <c r="D313" t="str">
        <f>LEFT(TDays[[#This Row],[تاریخ]],4)</f>
        <v>1401</v>
      </c>
      <c r="E313" t="str">
        <f>LEFT(TDays[[#This Row],[تاریخ]],7)</f>
        <v>1401-11</v>
      </c>
      <c r="F313">
        <v>5</v>
      </c>
      <c r="G313" s="15" t="str">
        <f>VLOOKUP(TDays[[#This Row],[کد روز هفته]],TDaysOfTheWeek[],2,FALSE)</f>
        <v>پنجشنبه</v>
      </c>
      <c r="H313" s="15">
        <f>IFERROR(IF(E312&lt;&gt;E313,1,INT(H312)+IF(TDays[[#This Row],[کد روز هفته]]=0,1,0)),1)</f>
        <v>1</v>
      </c>
      <c r="I313">
        <f>-SUMIF(TArticle[تاریخ],TDays[[#This Row],[تاریخ]],TArticle[هزینه])</f>
        <v>0</v>
      </c>
      <c r="J313">
        <f>SUMIF(TArticle[تاریخ],TDays[[#This Row],[تاریخ]],TArticle[درآمد تتا])</f>
        <v>0</v>
      </c>
      <c r="K313">
        <f>SUMIF(TArticle[تاریخ],TDays[[#This Row],[تاریخ]],TArticle[اسنپ])</f>
        <v>0</v>
      </c>
      <c r="L313">
        <f>-SUMIF(TArticle[تاریخ],TDays[[#This Row],[تاریخ]],TArticle[پرداخت بدهی])</f>
        <v>0</v>
      </c>
      <c r="M313">
        <f>SUMIF(TArticle[تاریخ],TDays[[#This Row],[تاریخ]],TArticle[افزایش بدهی])</f>
        <v>0</v>
      </c>
      <c r="N313">
        <f>-SUMIF(TArticle[تاریخ],TDays[[#This Row],[تاریخ]],TArticle[افزایش سرمایه])</f>
        <v>0</v>
      </c>
      <c r="O313">
        <f>SUMIF(TArticle[تاریخ],TDays[[#This Row],[تاریخ]],TArticle[تعداد تراکنش انجام شده])</f>
        <v>0</v>
      </c>
      <c r="P313">
        <f>INT(((TDays[[#This Row],[ماه]]-1)*31+TDays[[#This Row],[روز]]+1)/7)+1</f>
        <v>46</v>
      </c>
      <c r="Q313">
        <f>SUMIF(TArticle[تاریخ],TDays[[#This Row],[تاریخ]],TArticle[تراکنش برنامه ریزی شده])</f>
        <v>0</v>
      </c>
    </row>
    <row r="314" spans="1:17" x14ac:dyDescent="0.25">
      <c r="A314" s="3" t="s">
        <v>507</v>
      </c>
      <c r="B314" t="str">
        <f>RIGHT(TDays[[#This Row],[تاریخ]],2)</f>
        <v>07</v>
      </c>
      <c r="C314" t="str">
        <f>RIGHT(LEFT(TDays[[#This Row],[تاریخ]],7),2)</f>
        <v>11</v>
      </c>
      <c r="D314" t="str">
        <f>LEFT(TDays[[#This Row],[تاریخ]],4)</f>
        <v>1401</v>
      </c>
      <c r="E314" t="str">
        <f>LEFT(TDays[[#This Row],[تاریخ]],7)</f>
        <v>1401-11</v>
      </c>
      <c r="F314">
        <v>6</v>
      </c>
      <c r="G314" s="15" t="str">
        <f>VLOOKUP(TDays[[#This Row],[کد روز هفته]],TDaysOfTheWeek[],2,FALSE)</f>
        <v>جمعه</v>
      </c>
      <c r="H314" s="15">
        <f>IFERROR(IF(E313&lt;&gt;E314,1,INT(H313)+IF(TDays[[#This Row],[کد روز هفته]]=0,1,0)),1)</f>
        <v>1</v>
      </c>
      <c r="I314">
        <f>-SUMIF(TArticle[تاریخ],TDays[[#This Row],[تاریخ]],TArticle[هزینه])</f>
        <v>0</v>
      </c>
      <c r="J314">
        <f>SUMIF(TArticle[تاریخ],TDays[[#This Row],[تاریخ]],TArticle[درآمد تتا])</f>
        <v>0</v>
      </c>
      <c r="K314">
        <f>SUMIF(TArticle[تاریخ],TDays[[#This Row],[تاریخ]],TArticle[اسنپ])</f>
        <v>0</v>
      </c>
      <c r="L314">
        <f>-SUMIF(TArticle[تاریخ],TDays[[#This Row],[تاریخ]],TArticle[پرداخت بدهی])</f>
        <v>0</v>
      </c>
      <c r="M314">
        <f>SUMIF(TArticle[تاریخ],TDays[[#This Row],[تاریخ]],TArticle[افزایش بدهی])</f>
        <v>0</v>
      </c>
      <c r="N314">
        <f>-SUMIF(TArticle[تاریخ],TDays[[#This Row],[تاریخ]],TArticle[افزایش سرمایه])</f>
        <v>0</v>
      </c>
      <c r="O314">
        <f>SUMIF(TArticle[تاریخ],TDays[[#This Row],[تاریخ]],TArticle[تعداد تراکنش انجام شده])</f>
        <v>0</v>
      </c>
      <c r="P314">
        <f>INT(((TDays[[#This Row],[ماه]]-1)*31+TDays[[#This Row],[روز]]+1)/7)+1</f>
        <v>46</v>
      </c>
      <c r="Q314">
        <f>SUMIF(TArticle[تاریخ],TDays[[#This Row],[تاریخ]],TArticle[تراکنش برنامه ریزی شده])</f>
        <v>0</v>
      </c>
    </row>
    <row r="315" spans="1:17" x14ac:dyDescent="0.25">
      <c r="A315" s="3" t="s">
        <v>508</v>
      </c>
      <c r="B315" t="str">
        <f>RIGHT(TDays[[#This Row],[تاریخ]],2)</f>
        <v>08</v>
      </c>
      <c r="C315" t="str">
        <f>RIGHT(LEFT(TDays[[#This Row],[تاریخ]],7),2)</f>
        <v>11</v>
      </c>
      <c r="D315" t="str">
        <f>LEFT(TDays[[#This Row],[تاریخ]],4)</f>
        <v>1401</v>
      </c>
      <c r="E315" t="str">
        <f>LEFT(TDays[[#This Row],[تاریخ]],7)</f>
        <v>1401-11</v>
      </c>
      <c r="F315">
        <v>0</v>
      </c>
      <c r="G315" s="15" t="str">
        <f>VLOOKUP(TDays[[#This Row],[کد روز هفته]],TDaysOfTheWeek[],2,FALSE)</f>
        <v>شنبه</v>
      </c>
      <c r="H315" s="15">
        <f>IFERROR(IF(E314&lt;&gt;E315,1,INT(H314)+IF(TDays[[#This Row],[کد روز هفته]]=0,1,0)),1)</f>
        <v>2</v>
      </c>
      <c r="I315">
        <f>-SUMIF(TArticle[تاریخ],TDays[[#This Row],[تاریخ]],TArticle[هزینه])</f>
        <v>0</v>
      </c>
      <c r="J315">
        <f>SUMIF(TArticle[تاریخ],TDays[[#This Row],[تاریخ]],TArticle[درآمد تتا])</f>
        <v>0</v>
      </c>
      <c r="K315">
        <f>SUMIF(TArticle[تاریخ],TDays[[#This Row],[تاریخ]],TArticle[اسنپ])</f>
        <v>0</v>
      </c>
      <c r="L315">
        <f>-SUMIF(TArticle[تاریخ],TDays[[#This Row],[تاریخ]],TArticle[پرداخت بدهی])</f>
        <v>0</v>
      </c>
      <c r="M315">
        <f>SUMIF(TArticle[تاریخ],TDays[[#This Row],[تاریخ]],TArticle[افزایش بدهی])</f>
        <v>0</v>
      </c>
      <c r="N315">
        <f>-SUMIF(TArticle[تاریخ],TDays[[#This Row],[تاریخ]],TArticle[افزایش سرمایه])</f>
        <v>0</v>
      </c>
      <c r="O315">
        <f>SUMIF(TArticle[تاریخ],TDays[[#This Row],[تاریخ]],TArticle[تعداد تراکنش انجام شده])</f>
        <v>0</v>
      </c>
      <c r="P315">
        <f>INT(((TDays[[#This Row],[ماه]]-1)*31+TDays[[#This Row],[روز]]+1)/7)+1</f>
        <v>46</v>
      </c>
      <c r="Q315">
        <f>SUMIF(TArticle[تاریخ],TDays[[#This Row],[تاریخ]],TArticle[تراکنش برنامه ریزی شده])</f>
        <v>0</v>
      </c>
    </row>
    <row r="316" spans="1:17" x14ac:dyDescent="0.25">
      <c r="A316" s="3" t="s">
        <v>509</v>
      </c>
      <c r="B316" t="str">
        <f>RIGHT(TDays[[#This Row],[تاریخ]],2)</f>
        <v>09</v>
      </c>
      <c r="C316" t="str">
        <f>RIGHT(LEFT(TDays[[#This Row],[تاریخ]],7),2)</f>
        <v>11</v>
      </c>
      <c r="D316" t="str">
        <f>LEFT(TDays[[#This Row],[تاریخ]],4)</f>
        <v>1401</v>
      </c>
      <c r="E316" t="str">
        <f>LEFT(TDays[[#This Row],[تاریخ]],7)</f>
        <v>1401-11</v>
      </c>
      <c r="F316">
        <v>1</v>
      </c>
      <c r="G316" s="15" t="str">
        <f>VLOOKUP(TDays[[#This Row],[کد روز هفته]],TDaysOfTheWeek[],2,FALSE)</f>
        <v>یکشنبه</v>
      </c>
      <c r="H316" s="15">
        <f>IFERROR(IF(E315&lt;&gt;E316,1,INT(H315)+IF(TDays[[#This Row],[کد روز هفته]]=0,1,0)),1)</f>
        <v>2</v>
      </c>
      <c r="I316">
        <f>-SUMIF(TArticle[تاریخ],TDays[[#This Row],[تاریخ]],TArticle[هزینه])</f>
        <v>0</v>
      </c>
      <c r="J316">
        <f>SUMIF(TArticle[تاریخ],TDays[[#This Row],[تاریخ]],TArticle[درآمد تتا])</f>
        <v>0</v>
      </c>
      <c r="K316">
        <f>SUMIF(TArticle[تاریخ],TDays[[#This Row],[تاریخ]],TArticle[اسنپ])</f>
        <v>0</v>
      </c>
      <c r="L316">
        <f>-SUMIF(TArticle[تاریخ],TDays[[#This Row],[تاریخ]],TArticle[پرداخت بدهی])</f>
        <v>0</v>
      </c>
      <c r="M316">
        <f>SUMIF(TArticle[تاریخ],TDays[[#This Row],[تاریخ]],TArticle[افزایش بدهی])</f>
        <v>0</v>
      </c>
      <c r="N316">
        <f>-SUMIF(TArticle[تاریخ],TDays[[#This Row],[تاریخ]],TArticle[افزایش سرمایه])</f>
        <v>0</v>
      </c>
      <c r="O316">
        <f>SUMIF(TArticle[تاریخ],TDays[[#This Row],[تاریخ]],TArticle[تعداد تراکنش انجام شده])</f>
        <v>0</v>
      </c>
      <c r="P316">
        <f>INT(((TDays[[#This Row],[ماه]]-1)*31+TDays[[#This Row],[روز]]+1)/7)+1</f>
        <v>46</v>
      </c>
      <c r="Q316">
        <f>SUMIF(TArticle[تاریخ],TDays[[#This Row],[تاریخ]],TArticle[تراکنش برنامه ریزی شده])</f>
        <v>0</v>
      </c>
    </row>
    <row r="317" spans="1:17" x14ac:dyDescent="0.25">
      <c r="A317" s="3" t="s">
        <v>510</v>
      </c>
      <c r="B317" t="str">
        <f>RIGHT(TDays[[#This Row],[تاریخ]],2)</f>
        <v>10</v>
      </c>
      <c r="C317" t="str">
        <f>RIGHT(LEFT(TDays[[#This Row],[تاریخ]],7),2)</f>
        <v>11</v>
      </c>
      <c r="D317" t="str">
        <f>LEFT(TDays[[#This Row],[تاریخ]],4)</f>
        <v>1401</v>
      </c>
      <c r="E317" t="str">
        <f>LEFT(TDays[[#This Row],[تاریخ]],7)</f>
        <v>1401-11</v>
      </c>
      <c r="F317">
        <v>2</v>
      </c>
      <c r="G317" s="15" t="str">
        <f>VLOOKUP(TDays[[#This Row],[کد روز هفته]],TDaysOfTheWeek[],2,FALSE)</f>
        <v>دوشنبه</v>
      </c>
      <c r="H317" s="15">
        <f>IFERROR(IF(E316&lt;&gt;E317,1,INT(H316)+IF(TDays[[#This Row],[کد روز هفته]]=0,1,0)),1)</f>
        <v>2</v>
      </c>
      <c r="I317">
        <f>-SUMIF(TArticle[تاریخ],TDays[[#This Row],[تاریخ]],TArticle[هزینه])</f>
        <v>0</v>
      </c>
      <c r="J317">
        <f>SUMIF(TArticle[تاریخ],TDays[[#This Row],[تاریخ]],TArticle[درآمد تتا])</f>
        <v>0</v>
      </c>
      <c r="K317">
        <f>SUMIF(TArticle[تاریخ],TDays[[#This Row],[تاریخ]],TArticle[اسنپ])</f>
        <v>0</v>
      </c>
      <c r="L317">
        <f>-SUMIF(TArticle[تاریخ],TDays[[#This Row],[تاریخ]],TArticle[پرداخت بدهی])</f>
        <v>0</v>
      </c>
      <c r="M317">
        <f>SUMIF(TArticle[تاریخ],TDays[[#This Row],[تاریخ]],TArticle[افزایش بدهی])</f>
        <v>0</v>
      </c>
      <c r="N317">
        <f>-SUMIF(TArticle[تاریخ],TDays[[#This Row],[تاریخ]],TArticle[افزایش سرمایه])</f>
        <v>0</v>
      </c>
      <c r="O317">
        <f>SUMIF(TArticle[تاریخ],TDays[[#This Row],[تاریخ]],TArticle[تعداد تراکنش انجام شده])</f>
        <v>0</v>
      </c>
      <c r="P317">
        <f>INT(((TDays[[#This Row],[ماه]]-1)*31+TDays[[#This Row],[روز]]+1)/7)+1</f>
        <v>46</v>
      </c>
      <c r="Q317">
        <f>SUMIF(TArticle[تاریخ],TDays[[#This Row],[تاریخ]],TArticle[تراکنش برنامه ریزی شده])</f>
        <v>0</v>
      </c>
    </row>
    <row r="318" spans="1:17" x14ac:dyDescent="0.25">
      <c r="A318" s="3" t="s">
        <v>511</v>
      </c>
      <c r="B318" t="str">
        <f>RIGHT(TDays[[#This Row],[تاریخ]],2)</f>
        <v>11</v>
      </c>
      <c r="C318" t="str">
        <f>RIGHT(LEFT(TDays[[#This Row],[تاریخ]],7),2)</f>
        <v>11</v>
      </c>
      <c r="D318" t="str">
        <f>LEFT(TDays[[#This Row],[تاریخ]],4)</f>
        <v>1401</v>
      </c>
      <c r="E318" t="str">
        <f>LEFT(TDays[[#This Row],[تاریخ]],7)</f>
        <v>1401-11</v>
      </c>
      <c r="F318">
        <v>3</v>
      </c>
      <c r="G318" s="15" t="str">
        <f>VLOOKUP(TDays[[#This Row],[کد روز هفته]],TDaysOfTheWeek[],2,FALSE)</f>
        <v>سه شنبه</v>
      </c>
      <c r="H318" s="15">
        <f>IFERROR(IF(E317&lt;&gt;E318,1,INT(H317)+IF(TDays[[#This Row],[کد روز هفته]]=0,1,0)),1)</f>
        <v>2</v>
      </c>
      <c r="I318">
        <f>-SUMIF(TArticle[تاریخ],TDays[[#This Row],[تاریخ]],TArticle[هزینه])</f>
        <v>0</v>
      </c>
      <c r="J318">
        <f>SUMIF(TArticle[تاریخ],TDays[[#This Row],[تاریخ]],TArticle[درآمد تتا])</f>
        <v>0</v>
      </c>
      <c r="K318">
        <f>SUMIF(TArticle[تاریخ],TDays[[#This Row],[تاریخ]],TArticle[اسنپ])</f>
        <v>0</v>
      </c>
      <c r="L318">
        <f>-SUMIF(TArticle[تاریخ],TDays[[#This Row],[تاریخ]],TArticle[پرداخت بدهی])</f>
        <v>0</v>
      </c>
      <c r="M318">
        <f>SUMIF(TArticle[تاریخ],TDays[[#This Row],[تاریخ]],TArticle[افزایش بدهی])</f>
        <v>0</v>
      </c>
      <c r="N318">
        <f>-SUMIF(TArticle[تاریخ],TDays[[#This Row],[تاریخ]],TArticle[افزایش سرمایه])</f>
        <v>0</v>
      </c>
      <c r="O318">
        <f>SUMIF(TArticle[تاریخ],TDays[[#This Row],[تاریخ]],TArticle[تعداد تراکنش انجام شده])</f>
        <v>0</v>
      </c>
      <c r="P318">
        <f>INT(((TDays[[#This Row],[ماه]]-1)*31+TDays[[#This Row],[روز]]+1)/7)+1</f>
        <v>47</v>
      </c>
      <c r="Q318">
        <f>SUMIF(TArticle[تاریخ],TDays[[#This Row],[تاریخ]],TArticle[تراکنش برنامه ریزی شده])</f>
        <v>0</v>
      </c>
    </row>
    <row r="319" spans="1:17" x14ac:dyDescent="0.25">
      <c r="A319" s="3" t="s">
        <v>512</v>
      </c>
      <c r="B319" t="str">
        <f>RIGHT(TDays[[#This Row],[تاریخ]],2)</f>
        <v>12</v>
      </c>
      <c r="C319" t="str">
        <f>RIGHT(LEFT(TDays[[#This Row],[تاریخ]],7),2)</f>
        <v>11</v>
      </c>
      <c r="D319" t="str">
        <f>LEFT(TDays[[#This Row],[تاریخ]],4)</f>
        <v>1401</v>
      </c>
      <c r="E319" t="str">
        <f>LEFT(TDays[[#This Row],[تاریخ]],7)</f>
        <v>1401-11</v>
      </c>
      <c r="F319">
        <v>4</v>
      </c>
      <c r="G319" s="15" t="str">
        <f>VLOOKUP(TDays[[#This Row],[کد روز هفته]],TDaysOfTheWeek[],2,FALSE)</f>
        <v>چهارشنبه</v>
      </c>
      <c r="H319" s="15">
        <f>IFERROR(IF(E318&lt;&gt;E319,1,INT(H318)+IF(TDays[[#This Row],[کد روز هفته]]=0,1,0)),1)</f>
        <v>2</v>
      </c>
      <c r="I319">
        <f>-SUMIF(TArticle[تاریخ],TDays[[#This Row],[تاریخ]],TArticle[هزینه])</f>
        <v>0</v>
      </c>
      <c r="J319">
        <f>SUMIF(TArticle[تاریخ],TDays[[#This Row],[تاریخ]],TArticle[درآمد تتا])</f>
        <v>0</v>
      </c>
      <c r="K319">
        <f>SUMIF(TArticle[تاریخ],TDays[[#This Row],[تاریخ]],TArticle[اسنپ])</f>
        <v>0</v>
      </c>
      <c r="L319">
        <f>-SUMIF(TArticle[تاریخ],TDays[[#This Row],[تاریخ]],TArticle[پرداخت بدهی])</f>
        <v>0</v>
      </c>
      <c r="M319">
        <f>SUMIF(TArticle[تاریخ],TDays[[#This Row],[تاریخ]],TArticle[افزایش بدهی])</f>
        <v>0</v>
      </c>
      <c r="N319">
        <f>-SUMIF(TArticle[تاریخ],TDays[[#This Row],[تاریخ]],TArticle[افزایش سرمایه])</f>
        <v>0</v>
      </c>
      <c r="O319">
        <f>SUMIF(TArticle[تاریخ],TDays[[#This Row],[تاریخ]],TArticle[تعداد تراکنش انجام شده])</f>
        <v>0</v>
      </c>
      <c r="P319">
        <f>INT(((TDays[[#This Row],[ماه]]-1)*31+TDays[[#This Row],[روز]]+1)/7)+1</f>
        <v>47</v>
      </c>
      <c r="Q319">
        <f>SUMIF(TArticle[تاریخ],TDays[[#This Row],[تاریخ]],TArticle[تراکنش برنامه ریزی شده])</f>
        <v>0</v>
      </c>
    </row>
    <row r="320" spans="1:17" x14ac:dyDescent="0.25">
      <c r="A320" s="3" t="s">
        <v>513</v>
      </c>
      <c r="B320" t="str">
        <f>RIGHT(TDays[[#This Row],[تاریخ]],2)</f>
        <v>13</v>
      </c>
      <c r="C320" t="str">
        <f>RIGHT(LEFT(TDays[[#This Row],[تاریخ]],7),2)</f>
        <v>11</v>
      </c>
      <c r="D320" t="str">
        <f>LEFT(TDays[[#This Row],[تاریخ]],4)</f>
        <v>1401</v>
      </c>
      <c r="E320" t="str">
        <f>LEFT(TDays[[#This Row],[تاریخ]],7)</f>
        <v>1401-11</v>
      </c>
      <c r="F320">
        <v>5</v>
      </c>
      <c r="G320" s="15" t="str">
        <f>VLOOKUP(TDays[[#This Row],[کد روز هفته]],TDaysOfTheWeek[],2,FALSE)</f>
        <v>پنجشنبه</v>
      </c>
      <c r="H320" s="15">
        <f>IFERROR(IF(E319&lt;&gt;E320,1,INT(H319)+IF(TDays[[#This Row],[کد روز هفته]]=0,1,0)),1)</f>
        <v>2</v>
      </c>
      <c r="I320">
        <f>-SUMIF(TArticle[تاریخ],TDays[[#This Row],[تاریخ]],TArticle[هزینه])</f>
        <v>0</v>
      </c>
      <c r="J320">
        <f>SUMIF(TArticle[تاریخ],TDays[[#This Row],[تاریخ]],TArticle[درآمد تتا])</f>
        <v>0</v>
      </c>
      <c r="K320">
        <f>SUMIF(TArticle[تاریخ],TDays[[#This Row],[تاریخ]],TArticle[اسنپ])</f>
        <v>0</v>
      </c>
      <c r="L320">
        <f>-SUMIF(TArticle[تاریخ],TDays[[#This Row],[تاریخ]],TArticle[پرداخت بدهی])</f>
        <v>0</v>
      </c>
      <c r="M320">
        <f>SUMIF(TArticle[تاریخ],TDays[[#This Row],[تاریخ]],TArticle[افزایش بدهی])</f>
        <v>0</v>
      </c>
      <c r="N320">
        <f>-SUMIF(TArticle[تاریخ],TDays[[#This Row],[تاریخ]],TArticle[افزایش سرمایه])</f>
        <v>0</v>
      </c>
      <c r="O320">
        <f>SUMIF(TArticle[تاریخ],TDays[[#This Row],[تاریخ]],TArticle[تعداد تراکنش انجام شده])</f>
        <v>0</v>
      </c>
      <c r="P320">
        <f>INT(((TDays[[#This Row],[ماه]]-1)*31+TDays[[#This Row],[روز]]+1)/7)+1</f>
        <v>47</v>
      </c>
      <c r="Q320">
        <f>SUMIF(TArticle[تاریخ],TDays[[#This Row],[تاریخ]],TArticle[تراکنش برنامه ریزی شده])</f>
        <v>0</v>
      </c>
    </row>
    <row r="321" spans="1:17" x14ac:dyDescent="0.25">
      <c r="A321" s="3" t="s">
        <v>68</v>
      </c>
      <c r="B321" t="str">
        <f>RIGHT(TDays[[#This Row],[تاریخ]],2)</f>
        <v>14</v>
      </c>
      <c r="C321" t="str">
        <f>RIGHT(LEFT(TDays[[#This Row],[تاریخ]],7),2)</f>
        <v>11</v>
      </c>
      <c r="D321" t="str">
        <f>LEFT(TDays[[#This Row],[تاریخ]],4)</f>
        <v>1401</v>
      </c>
      <c r="E321" t="str">
        <f>LEFT(TDays[[#This Row],[تاریخ]],7)</f>
        <v>1401-11</v>
      </c>
      <c r="F321">
        <v>6</v>
      </c>
      <c r="G321" s="15" t="str">
        <f>VLOOKUP(TDays[[#This Row],[کد روز هفته]],TDaysOfTheWeek[],2,FALSE)</f>
        <v>جمعه</v>
      </c>
      <c r="H321" s="15">
        <f>IFERROR(IF(E320&lt;&gt;E321,1,INT(H320)+IF(TDays[[#This Row],[کد روز هفته]]=0,1,0)),1)</f>
        <v>2</v>
      </c>
      <c r="I321">
        <f>-SUMIF(TArticle[تاریخ],TDays[[#This Row],[تاریخ]],TArticle[هزینه])</f>
        <v>0</v>
      </c>
      <c r="J321">
        <f>SUMIF(TArticle[تاریخ],TDays[[#This Row],[تاریخ]],TArticle[درآمد تتا])</f>
        <v>0</v>
      </c>
      <c r="K321">
        <f>SUMIF(TArticle[تاریخ],TDays[[#This Row],[تاریخ]],TArticle[اسنپ])</f>
        <v>0</v>
      </c>
      <c r="L321">
        <f>-SUMIF(TArticle[تاریخ],TDays[[#This Row],[تاریخ]],TArticle[پرداخت بدهی])</f>
        <v>0</v>
      </c>
      <c r="M321">
        <f>SUMIF(TArticle[تاریخ],TDays[[#This Row],[تاریخ]],TArticle[افزایش بدهی])</f>
        <v>0</v>
      </c>
      <c r="N321">
        <f>-SUMIF(TArticle[تاریخ],TDays[[#This Row],[تاریخ]],TArticle[افزایش سرمایه])</f>
        <v>350</v>
      </c>
      <c r="O321">
        <f>SUMIF(TArticle[تاریخ],TDays[[#This Row],[تاریخ]],TArticle[تعداد تراکنش انجام شده])</f>
        <v>1</v>
      </c>
      <c r="P321">
        <f>INT(((TDays[[#This Row],[ماه]]-1)*31+TDays[[#This Row],[روز]]+1)/7)+1</f>
        <v>47</v>
      </c>
      <c r="Q321">
        <f>SUMIF(TArticle[تاریخ],TDays[[#This Row],[تاریخ]],TArticle[تراکنش برنامه ریزی شده])</f>
        <v>0</v>
      </c>
    </row>
    <row r="322" spans="1:17" x14ac:dyDescent="0.25">
      <c r="A322" s="3" t="s">
        <v>514</v>
      </c>
      <c r="B322" t="str">
        <f>RIGHT(TDays[[#This Row],[تاریخ]],2)</f>
        <v>15</v>
      </c>
      <c r="C322" t="str">
        <f>RIGHT(LEFT(TDays[[#This Row],[تاریخ]],7),2)</f>
        <v>11</v>
      </c>
      <c r="D322" t="str">
        <f>LEFT(TDays[[#This Row],[تاریخ]],4)</f>
        <v>1401</v>
      </c>
      <c r="E322" t="str">
        <f>LEFT(TDays[[#This Row],[تاریخ]],7)</f>
        <v>1401-11</v>
      </c>
      <c r="F322">
        <v>0</v>
      </c>
      <c r="G322" s="15" t="str">
        <f>VLOOKUP(TDays[[#This Row],[کد روز هفته]],TDaysOfTheWeek[],2,FALSE)</f>
        <v>شنبه</v>
      </c>
      <c r="H322" s="15">
        <f>IFERROR(IF(E321&lt;&gt;E322,1,INT(H321)+IF(TDays[[#This Row],[کد روز هفته]]=0,1,0)),1)</f>
        <v>3</v>
      </c>
      <c r="I322">
        <f>-SUMIF(TArticle[تاریخ],TDays[[#This Row],[تاریخ]],TArticle[هزینه])</f>
        <v>0</v>
      </c>
      <c r="J322">
        <f>SUMIF(TArticle[تاریخ],TDays[[#This Row],[تاریخ]],TArticle[درآمد تتا])</f>
        <v>0</v>
      </c>
      <c r="K322">
        <f>SUMIF(TArticle[تاریخ],TDays[[#This Row],[تاریخ]],TArticle[اسنپ])</f>
        <v>0</v>
      </c>
      <c r="L322">
        <f>-SUMIF(TArticle[تاریخ],TDays[[#This Row],[تاریخ]],TArticle[پرداخت بدهی])</f>
        <v>0</v>
      </c>
      <c r="M322">
        <f>SUMIF(TArticle[تاریخ],TDays[[#This Row],[تاریخ]],TArticle[افزایش بدهی])</f>
        <v>0</v>
      </c>
      <c r="N322">
        <f>-SUMIF(TArticle[تاریخ],TDays[[#This Row],[تاریخ]],TArticle[افزایش سرمایه])</f>
        <v>0</v>
      </c>
      <c r="O322">
        <f>SUMIF(TArticle[تاریخ],TDays[[#This Row],[تاریخ]],TArticle[تعداد تراکنش انجام شده])</f>
        <v>0</v>
      </c>
      <c r="P322">
        <f>INT(((TDays[[#This Row],[ماه]]-1)*31+TDays[[#This Row],[روز]]+1)/7)+1</f>
        <v>47</v>
      </c>
      <c r="Q322">
        <f>SUMIF(TArticle[تاریخ],TDays[[#This Row],[تاریخ]],TArticle[تراکنش برنامه ریزی شده])</f>
        <v>0</v>
      </c>
    </row>
    <row r="323" spans="1:17" x14ac:dyDescent="0.25">
      <c r="A323" s="3" t="s">
        <v>515</v>
      </c>
      <c r="B323" t="str">
        <f>RIGHT(TDays[[#This Row],[تاریخ]],2)</f>
        <v>16</v>
      </c>
      <c r="C323" t="str">
        <f>RIGHT(LEFT(TDays[[#This Row],[تاریخ]],7),2)</f>
        <v>11</v>
      </c>
      <c r="D323" t="str">
        <f>LEFT(TDays[[#This Row],[تاریخ]],4)</f>
        <v>1401</v>
      </c>
      <c r="E323" t="str">
        <f>LEFT(TDays[[#This Row],[تاریخ]],7)</f>
        <v>1401-11</v>
      </c>
      <c r="F323">
        <v>1</v>
      </c>
      <c r="G323" s="15" t="str">
        <f>VLOOKUP(TDays[[#This Row],[کد روز هفته]],TDaysOfTheWeek[],2,FALSE)</f>
        <v>یکشنبه</v>
      </c>
      <c r="H323" s="15">
        <f>IFERROR(IF(E322&lt;&gt;E323,1,INT(H322)+IF(TDays[[#This Row],[کد روز هفته]]=0,1,0)),1)</f>
        <v>3</v>
      </c>
      <c r="I323">
        <f>-SUMIF(TArticle[تاریخ],TDays[[#This Row],[تاریخ]],TArticle[هزینه])</f>
        <v>0</v>
      </c>
      <c r="J323">
        <f>SUMIF(TArticle[تاریخ],TDays[[#This Row],[تاریخ]],TArticle[درآمد تتا])</f>
        <v>0</v>
      </c>
      <c r="K323">
        <f>SUMIF(TArticle[تاریخ],TDays[[#This Row],[تاریخ]],TArticle[اسنپ])</f>
        <v>0</v>
      </c>
      <c r="L323">
        <f>-SUMIF(TArticle[تاریخ],TDays[[#This Row],[تاریخ]],TArticle[پرداخت بدهی])</f>
        <v>0</v>
      </c>
      <c r="M323">
        <f>SUMIF(TArticle[تاریخ],TDays[[#This Row],[تاریخ]],TArticle[افزایش بدهی])</f>
        <v>0</v>
      </c>
      <c r="N323">
        <f>-SUMIF(TArticle[تاریخ],TDays[[#This Row],[تاریخ]],TArticle[افزایش سرمایه])</f>
        <v>0</v>
      </c>
      <c r="O323">
        <f>SUMIF(TArticle[تاریخ],TDays[[#This Row],[تاریخ]],TArticle[تعداد تراکنش انجام شده])</f>
        <v>0</v>
      </c>
      <c r="P323">
        <f>INT(((TDays[[#This Row],[ماه]]-1)*31+TDays[[#This Row],[روز]]+1)/7)+1</f>
        <v>47</v>
      </c>
      <c r="Q323">
        <f>SUMIF(TArticle[تاریخ],TDays[[#This Row],[تاریخ]],TArticle[تراکنش برنامه ریزی شده])</f>
        <v>0</v>
      </c>
    </row>
    <row r="324" spans="1:17" x14ac:dyDescent="0.25">
      <c r="A324" s="3" t="s">
        <v>516</v>
      </c>
      <c r="B324" t="str">
        <f>RIGHT(TDays[[#This Row],[تاریخ]],2)</f>
        <v>17</v>
      </c>
      <c r="C324" t="str">
        <f>RIGHT(LEFT(TDays[[#This Row],[تاریخ]],7),2)</f>
        <v>11</v>
      </c>
      <c r="D324" t="str">
        <f>LEFT(TDays[[#This Row],[تاریخ]],4)</f>
        <v>1401</v>
      </c>
      <c r="E324" t="str">
        <f>LEFT(TDays[[#This Row],[تاریخ]],7)</f>
        <v>1401-11</v>
      </c>
      <c r="F324">
        <v>2</v>
      </c>
      <c r="G324" s="15" t="str">
        <f>VLOOKUP(TDays[[#This Row],[کد روز هفته]],TDaysOfTheWeek[],2,FALSE)</f>
        <v>دوشنبه</v>
      </c>
      <c r="H324" s="15">
        <f>IFERROR(IF(E323&lt;&gt;E324,1,INT(H323)+IF(TDays[[#This Row],[کد روز هفته]]=0,1,0)),1)</f>
        <v>3</v>
      </c>
      <c r="I324">
        <f>-SUMIF(TArticle[تاریخ],TDays[[#This Row],[تاریخ]],TArticle[هزینه])</f>
        <v>0</v>
      </c>
      <c r="J324">
        <f>SUMIF(TArticle[تاریخ],TDays[[#This Row],[تاریخ]],TArticle[درآمد تتا])</f>
        <v>0</v>
      </c>
      <c r="K324">
        <f>SUMIF(TArticle[تاریخ],TDays[[#This Row],[تاریخ]],TArticle[اسنپ])</f>
        <v>0</v>
      </c>
      <c r="L324">
        <f>-SUMIF(TArticle[تاریخ],TDays[[#This Row],[تاریخ]],TArticle[پرداخت بدهی])</f>
        <v>0</v>
      </c>
      <c r="M324">
        <f>SUMIF(TArticle[تاریخ],TDays[[#This Row],[تاریخ]],TArticle[افزایش بدهی])</f>
        <v>0</v>
      </c>
      <c r="N324">
        <f>-SUMIF(TArticle[تاریخ],TDays[[#This Row],[تاریخ]],TArticle[افزایش سرمایه])</f>
        <v>0</v>
      </c>
      <c r="O324">
        <f>SUMIF(TArticle[تاریخ],TDays[[#This Row],[تاریخ]],TArticle[تعداد تراکنش انجام شده])</f>
        <v>0</v>
      </c>
      <c r="P324">
        <f>INT(((TDays[[#This Row],[ماه]]-1)*31+TDays[[#This Row],[روز]]+1)/7)+1</f>
        <v>47</v>
      </c>
      <c r="Q324">
        <f>SUMIF(TArticle[تاریخ],TDays[[#This Row],[تاریخ]],TArticle[تراکنش برنامه ریزی شده])</f>
        <v>0</v>
      </c>
    </row>
    <row r="325" spans="1:17" x14ac:dyDescent="0.25">
      <c r="A325" s="3" t="s">
        <v>517</v>
      </c>
      <c r="B325" t="str">
        <f>RIGHT(TDays[[#This Row],[تاریخ]],2)</f>
        <v>18</v>
      </c>
      <c r="C325" t="str">
        <f>RIGHT(LEFT(TDays[[#This Row],[تاریخ]],7),2)</f>
        <v>11</v>
      </c>
      <c r="D325" t="str">
        <f>LEFT(TDays[[#This Row],[تاریخ]],4)</f>
        <v>1401</v>
      </c>
      <c r="E325" t="str">
        <f>LEFT(TDays[[#This Row],[تاریخ]],7)</f>
        <v>1401-11</v>
      </c>
      <c r="F325">
        <v>3</v>
      </c>
      <c r="G325" s="15" t="str">
        <f>VLOOKUP(TDays[[#This Row],[کد روز هفته]],TDaysOfTheWeek[],2,FALSE)</f>
        <v>سه شنبه</v>
      </c>
      <c r="H325" s="15">
        <f>IFERROR(IF(E324&lt;&gt;E325,1,INT(H324)+IF(TDays[[#This Row],[کد روز هفته]]=0,1,0)),1)</f>
        <v>3</v>
      </c>
      <c r="I325">
        <f>-SUMIF(TArticle[تاریخ],TDays[[#This Row],[تاریخ]],TArticle[هزینه])</f>
        <v>0</v>
      </c>
      <c r="J325">
        <f>SUMIF(TArticle[تاریخ],TDays[[#This Row],[تاریخ]],TArticle[درآمد تتا])</f>
        <v>0</v>
      </c>
      <c r="K325">
        <f>SUMIF(TArticle[تاریخ],TDays[[#This Row],[تاریخ]],TArticle[اسنپ])</f>
        <v>0</v>
      </c>
      <c r="L325">
        <f>-SUMIF(TArticle[تاریخ],TDays[[#This Row],[تاریخ]],TArticle[پرداخت بدهی])</f>
        <v>0</v>
      </c>
      <c r="M325">
        <f>SUMIF(TArticle[تاریخ],TDays[[#This Row],[تاریخ]],TArticle[افزایش بدهی])</f>
        <v>0</v>
      </c>
      <c r="N325">
        <f>-SUMIF(TArticle[تاریخ],TDays[[#This Row],[تاریخ]],TArticle[افزایش سرمایه])</f>
        <v>0</v>
      </c>
      <c r="O325">
        <f>SUMIF(TArticle[تاریخ],TDays[[#This Row],[تاریخ]],TArticle[تعداد تراکنش انجام شده])</f>
        <v>0</v>
      </c>
      <c r="P325">
        <f>INT(((TDays[[#This Row],[ماه]]-1)*31+TDays[[#This Row],[روز]]+1)/7)+1</f>
        <v>48</v>
      </c>
      <c r="Q325">
        <f>SUMIF(TArticle[تاریخ],TDays[[#This Row],[تاریخ]],TArticle[تراکنش برنامه ریزی شده])</f>
        <v>0</v>
      </c>
    </row>
    <row r="326" spans="1:17" x14ac:dyDescent="0.25">
      <c r="A326" s="3" t="s">
        <v>518</v>
      </c>
      <c r="B326" t="str">
        <f>RIGHT(TDays[[#This Row],[تاریخ]],2)</f>
        <v>19</v>
      </c>
      <c r="C326" t="str">
        <f>RIGHT(LEFT(TDays[[#This Row],[تاریخ]],7),2)</f>
        <v>11</v>
      </c>
      <c r="D326" t="str">
        <f>LEFT(TDays[[#This Row],[تاریخ]],4)</f>
        <v>1401</v>
      </c>
      <c r="E326" t="str">
        <f>LEFT(TDays[[#This Row],[تاریخ]],7)</f>
        <v>1401-11</v>
      </c>
      <c r="F326">
        <v>4</v>
      </c>
      <c r="G326" s="15" t="str">
        <f>VLOOKUP(TDays[[#This Row],[کد روز هفته]],TDaysOfTheWeek[],2,FALSE)</f>
        <v>چهارشنبه</v>
      </c>
      <c r="H326" s="15">
        <f>IFERROR(IF(E325&lt;&gt;E326,1,INT(H325)+IF(TDays[[#This Row],[کد روز هفته]]=0,1,0)),1)</f>
        <v>3</v>
      </c>
      <c r="I326">
        <f>-SUMIF(TArticle[تاریخ],TDays[[#This Row],[تاریخ]],TArticle[هزینه])</f>
        <v>0</v>
      </c>
      <c r="J326">
        <f>SUMIF(TArticle[تاریخ],TDays[[#This Row],[تاریخ]],TArticle[درآمد تتا])</f>
        <v>0</v>
      </c>
      <c r="K326">
        <f>SUMIF(TArticle[تاریخ],TDays[[#This Row],[تاریخ]],TArticle[اسنپ])</f>
        <v>0</v>
      </c>
      <c r="L326">
        <f>-SUMIF(TArticle[تاریخ],TDays[[#This Row],[تاریخ]],TArticle[پرداخت بدهی])</f>
        <v>0</v>
      </c>
      <c r="M326">
        <f>SUMIF(TArticle[تاریخ],TDays[[#This Row],[تاریخ]],TArticle[افزایش بدهی])</f>
        <v>0</v>
      </c>
      <c r="N326">
        <f>-SUMIF(TArticle[تاریخ],TDays[[#This Row],[تاریخ]],TArticle[افزایش سرمایه])</f>
        <v>0</v>
      </c>
      <c r="O326">
        <f>SUMIF(TArticle[تاریخ],TDays[[#This Row],[تاریخ]],TArticle[تعداد تراکنش انجام شده])</f>
        <v>0</v>
      </c>
      <c r="P326">
        <f>INT(((TDays[[#This Row],[ماه]]-1)*31+TDays[[#This Row],[روز]]+1)/7)+1</f>
        <v>48</v>
      </c>
      <c r="Q326">
        <f>SUMIF(TArticle[تاریخ],TDays[[#This Row],[تاریخ]],TArticle[تراکنش برنامه ریزی شده])</f>
        <v>0</v>
      </c>
    </row>
    <row r="327" spans="1:17" x14ac:dyDescent="0.25">
      <c r="A327" s="3" t="s">
        <v>519</v>
      </c>
      <c r="B327" t="str">
        <f>RIGHT(TDays[[#This Row],[تاریخ]],2)</f>
        <v>20</v>
      </c>
      <c r="C327" t="str">
        <f>RIGHT(LEFT(TDays[[#This Row],[تاریخ]],7),2)</f>
        <v>11</v>
      </c>
      <c r="D327" t="str">
        <f>LEFT(TDays[[#This Row],[تاریخ]],4)</f>
        <v>1401</v>
      </c>
      <c r="E327" t="str">
        <f>LEFT(TDays[[#This Row],[تاریخ]],7)</f>
        <v>1401-11</v>
      </c>
      <c r="F327">
        <v>5</v>
      </c>
      <c r="G327" s="15" t="str">
        <f>VLOOKUP(TDays[[#This Row],[کد روز هفته]],TDaysOfTheWeek[],2,FALSE)</f>
        <v>پنجشنبه</v>
      </c>
      <c r="H327" s="15">
        <f>IFERROR(IF(E326&lt;&gt;E327,1,INT(H326)+IF(TDays[[#This Row],[کد روز هفته]]=0,1,0)),1)</f>
        <v>3</v>
      </c>
      <c r="I327">
        <f>-SUMIF(TArticle[تاریخ],TDays[[#This Row],[تاریخ]],TArticle[هزینه])</f>
        <v>0</v>
      </c>
      <c r="J327">
        <f>SUMIF(TArticle[تاریخ],TDays[[#This Row],[تاریخ]],TArticle[درآمد تتا])</f>
        <v>0</v>
      </c>
      <c r="K327">
        <f>SUMIF(TArticle[تاریخ],TDays[[#This Row],[تاریخ]],TArticle[اسنپ])</f>
        <v>0</v>
      </c>
      <c r="L327">
        <f>-SUMIF(TArticle[تاریخ],TDays[[#This Row],[تاریخ]],TArticle[پرداخت بدهی])</f>
        <v>0</v>
      </c>
      <c r="M327">
        <f>SUMIF(TArticle[تاریخ],TDays[[#This Row],[تاریخ]],TArticle[افزایش بدهی])</f>
        <v>0</v>
      </c>
      <c r="N327">
        <f>-SUMIF(TArticle[تاریخ],TDays[[#This Row],[تاریخ]],TArticle[افزایش سرمایه])</f>
        <v>0</v>
      </c>
      <c r="O327">
        <f>SUMIF(TArticle[تاریخ],TDays[[#This Row],[تاریخ]],TArticle[تعداد تراکنش انجام شده])</f>
        <v>1</v>
      </c>
      <c r="P327">
        <f>INT(((TDays[[#This Row],[ماه]]-1)*31+TDays[[#This Row],[روز]]+1)/7)+1</f>
        <v>48</v>
      </c>
      <c r="Q327">
        <f>SUMIF(TArticle[تاریخ],TDays[[#This Row],[تاریخ]],TArticle[تراکنش برنامه ریزی شده])</f>
        <v>0</v>
      </c>
    </row>
    <row r="328" spans="1:17" x14ac:dyDescent="0.25">
      <c r="A328" s="3" t="s">
        <v>520</v>
      </c>
      <c r="B328" t="str">
        <f>RIGHT(TDays[[#This Row],[تاریخ]],2)</f>
        <v>21</v>
      </c>
      <c r="C328" t="str">
        <f>RIGHT(LEFT(TDays[[#This Row],[تاریخ]],7),2)</f>
        <v>11</v>
      </c>
      <c r="D328" t="str">
        <f>LEFT(TDays[[#This Row],[تاریخ]],4)</f>
        <v>1401</v>
      </c>
      <c r="E328" t="str">
        <f>LEFT(TDays[[#This Row],[تاریخ]],7)</f>
        <v>1401-11</v>
      </c>
      <c r="F328">
        <v>6</v>
      </c>
      <c r="G328" s="15" t="str">
        <f>VLOOKUP(TDays[[#This Row],[کد روز هفته]],TDaysOfTheWeek[],2,FALSE)</f>
        <v>جمعه</v>
      </c>
      <c r="H328" s="15">
        <f>IFERROR(IF(E327&lt;&gt;E328,1,INT(H327)+IF(TDays[[#This Row],[کد روز هفته]]=0,1,0)),1)</f>
        <v>3</v>
      </c>
      <c r="I328">
        <f>-SUMIF(TArticle[تاریخ],TDays[[#This Row],[تاریخ]],TArticle[هزینه])</f>
        <v>0</v>
      </c>
      <c r="J328">
        <f>SUMIF(TArticle[تاریخ],TDays[[#This Row],[تاریخ]],TArticle[درآمد تتا])</f>
        <v>0</v>
      </c>
      <c r="K328">
        <f>SUMIF(TArticle[تاریخ],TDays[[#This Row],[تاریخ]],TArticle[اسنپ])</f>
        <v>0</v>
      </c>
      <c r="L328">
        <f>-SUMIF(TArticle[تاریخ],TDays[[#This Row],[تاریخ]],TArticle[پرداخت بدهی])</f>
        <v>0</v>
      </c>
      <c r="M328">
        <f>SUMIF(TArticle[تاریخ],TDays[[#This Row],[تاریخ]],TArticle[افزایش بدهی])</f>
        <v>0</v>
      </c>
      <c r="N328">
        <f>-SUMIF(TArticle[تاریخ],TDays[[#This Row],[تاریخ]],TArticle[افزایش سرمایه])</f>
        <v>0</v>
      </c>
      <c r="O328">
        <f>SUMIF(TArticle[تاریخ],TDays[[#This Row],[تاریخ]],TArticle[تعداد تراکنش انجام شده])</f>
        <v>0</v>
      </c>
      <c r="P328">
        <f>INT(((TDays[[#This Row],[ماه]]-1)*31+TDays[[#This Row],[روز]]+1)/7)+1</f>
        <v>48</v>
      </c>
      <c r="Q328">
        <f>SUMIF(TArticle[تاریخ],TDays[[#This Row],[تاریخ]],TArticle[تراکنش برنامه ریزی شده])</f>
        <v>0</v>
      </c>
    </row>
    <row r="329" spans="1:17" x14ac:dyDescent="0.25">
      <c r="A329" s="3" t="s">
        <v>521</v>
      </c>
      <c r="B329" t="str">
        <f>RIGHT(TDays[[#This Row],[تاریخ]],2)</f>
        <v>22</v>
      </c>
      <c r="C329" t="str">
        <f>RIGHT(LEFT(TDays[[#This Row],[تاریخ]],7),2)</f>
        <v>11</v>
      </c>
      <c r="D329" t="str">
        <f>LEFT(TDays[[#This Row],[تاریخ]],4)</f>
        <v>1401</v>
      </c>
      <c r="E329" t="str">
        <f>LEFT(TDays[[#This Row],[تاریخ]],7)</f>
        <v>1401-11</v>
      </c>
      <c r="F329">
        <v>0</v>
      </c>
      <c r="G329" s="15" t="str">
        <f>VLOOKUP(TDays[[#This Row],[کد روز هفته]],TDaysOfTheWeek[],2,FALSE)</f>
        <v>شنبه</v>
      </c>
      <c r="H329" s="15">
        <f>IFERROR(IF(E328&lt;&gt;E329,1,INT(H328)+IF(TDays[[#This Row],[کد روز هفته]]=0,1,0)),1)</f>
        <v>4</v>
      </c>
      <c r="I329">
        <f>-SUMIF(TArticle[تاریخ],TDays[[#This Row],[تاریخ]],TArticle[هزینه])</f>
        <v>0</v>
      </c>
      <c r="J329">
        <f>SUMIF(TArticle[تاریخ],TDays[[#This Row],[تاریخ]],TArticle[درآمد تتا])</f>
        <v>0</v>
      </c>
      <c r="K329">
        <f>SUMIF(TArticle[تاریخ],TDays[[#This Row],[تاریخ]],TArticle[اسنپ])</f>
        <v>0</v>
      </c>
      <c r="L329">
        <f>-SUMIF(TArticle[تاریخ],TDays[[#This Row],[تاریخ]],TArticle[پرداخت بدهی])</f>
        <v>0</v>
      </c>
      <c r="M329">
        <f>SUMIF(TArticle[تاریخ],TDays[[#This Row],[تاریخ]],TArticle[افزایش بدهی])</f>
        <v>0</v>
      </c>
      <c r="N329">
        <f>-SUMIF(TArticle[تاریخ],TDays[[#This Row],[تاریخ]],TArticle[افزایش سرمایه])</f>
        <v>0</v>
      </c>
      <c r="O329">
        <f>SUMIF(TArticle[تاریخ],TDays[[#This Row],[تاریخ]],TArticle[تعداد تراکنش انجام شده])</f>
        <v>0</v>
      </c>
      <c r="P329">
        <f>INT(((TDays[[#This Row],[ماه]]-1)*31+TDays[[#This Row],[روز]]+1)/7)+1</f>
        <v>48</v>
      </c>
      <c r="Q329">
        <f>SUMIF(TArticle[تاریخ],TDays[[#This Row],[تاریخ]],TArticle[تراکنش برنامه ریزی شده])</f>
        <v>0</v>
      </c>
    </row>
    <row r="330" spans="1:17" x14ac:dyDescent="0.25">
      <c r="A330" s="3" t="s">
        <v>522</v>
      </c>
      <c r="B330" t="str">
        <f>RIGHT(TDays[[#This Row],[تاریخ]],2)</f>
        <v>23</v>
      </c>
      <c r="C330" t="str">
        <f>RIGHT(LEFT(TDays[[#This Row],[تاریخ]],7),2)</f>
        <v>11</v>
      </c>
      <c r="D330" t="str">
        <f>LEFT(TDays[[#This Row],[تاریخ]],4)</f>
        <v>1401</v>
      </c>
      <c r="E330" t="str">
        <f>LEFT(TDays[[#This Row],[تاریخ]],7)</f>
        <v>1401-11</v>
      </c>
      <c r="F330">
        <v>1</v>
      </c>
      <c r="G330" s="15" t="str">
        <f>VLOOKUP(TDays[[#This Row],[کد روز هفته]],TDaysOfTheWeek[],2,FALSE)</f>
        <v>یکشنبه</v>
      </c>
      <c r="H330" s="15">
        <f>IFERROR(IF(E329&lt;&gt;E330,1,INT(H329)+IF(TDays[[#This Row],[کد روز هفته]]=0,1,0)),1)</f>
        <v>4</v>
      </c>
      <c r="I330">
        <f>-SUMIF(TArticle[تاریخ],TDays[[#This Row],[تاریخ]],TArticle[هزینه])</f>
        <v>0</v>
      </c>
      <c r="J330">
        <f>SUMIF(TArticle[تاریخ],TDays[[#This Row],[تاریخ]],TArticle[درآمد تتا])</f>
        <v>0</v>
      </c>
      <c r="K330">
        <f>SUMIF(TArticle[تاریخ],TDays[[#This Row],[تاریخ]],TArticle[اسنپ])</f>
        <v>0</v>
      </c>
      <c r="L330">
        <f>-SUMIF(TArticle[تاریخ],TDays[[#This Row],[تاریخ]],TArticle[پرداخت بدهی])</f>
        <v>0</v>
      </c>
      <c r="M330">
        <f>SUMIF(TArticle[تاریخ],TDays[[#This Row],[تاریخ]],TArticle[افزایش بدهی])</f>
        <v>0</v>
      </c>
      <c r="N330">
        <f>-SUMIF(TArticle[تاریخ],TDays[[#This Row],[تاریخ]],TArticle[افزایش سرمایه])</f>
        <v>0</v>
      </c>
      <c r="O330">
        <f>SUMIF(TArticle[تاریخ],TDays[[#This Row],[تاریخ]],TArticle[تعداد تراکنش انجام شده])</f>
        <v>0</v>
      </c>
      <c r="P330">
        <f>INT(((TDays[[#This Row],[ماه]]-1)*31+TDays[[#This Row],[روز]]+1)/7)+1</f>
        <v>48</v>
      </c>
      <c r="Q330">
        <f>SUMIF(TArticle[تاریخ],TDays[[#This Row],[تاریخ]],TArticle[تراکنش برنامه ریزی شده])</f>
        <v>0</v>
      </c>
    </row>
    <row r="331" spans="1:17" x14ac:dyDescent="0.25">
      <c r="A331" s="3" t="s">
        <v>523</v>
      </c>
      <c r="B331" t="str">
        <f>RIGHT(TDays[[#This Row],[تاریخ]],2)</f>
        <v>24</v>
      </c>
      <c r="C331" t="str">
        <f>RIGHT(LEFT(TDays[[#This Row],[تاریخ]],7),2)</f>
        <v>11</v>
      </c>
      <c r="D331" t="str">
        <f>LEFT(TDays[[#This Row],[تاریخ]],4)</f>
        <v>1401</v>
      </c>
      <c r="E331" t="str">
        <f>LEFT(TDays[[#This Row],[تاریخ]],7)</f>
        <v>1401-11</v>
      </c>
      <c r="F331">
        <v>2</v>
      </c>
      <c r="G331" s="15" t="str">
        <f>VLOOKUP(TDays[[#This Row],[کد روز هفته]],TDaysOfTheWeek[],2,FALSE)</f>
        <v>دوشنبه</v>
      </c>
      <c r="H331" s="15">
        <f>IFERROR(IF(E330&lt;&gt;E331,1,INT(H330)+IF(TDays[[#This Row],[کد روز هفته]]=0,1,0)),1)</f>
        <v>4</v>
      </c>
      <c r="I331">
        <f>-SUMIF(TArticle[تاریخ],TDays[[#This Row],[تاریخ]],TArticle[هزینه])</f>
        <v>0</v>
      </c>
      <c r="J331">
        <f>SUMIF(TArticle[تاریخ],TDays[[#This Row],[تاریخ]],TArticle[درآمد تتا])</f>
        <v>0</v>
      </c>
      <c r="K331">
        <f>SUMIF(TArticle[تاریخ],TDays[[#This Row],[تاریخ]],TArticle[اسنپ])</f>
        <v>0</v>
      </c>
      <c r="L331">
        <f>-SUMIF(TArticle[تاریخ],TDays[[#This Row],[تاریخ]],TArticle[پرداخت بدهی])</f>
        <v>0</v>
      </c>
      <c r="M331">
        <f>SUMIF(TArticle[تاریخ],TDays[[#This Row],[تاریخ]],TArticle[افزایش بدهی])</f>
        <v>0</v>
      </c>
      <c r="N331">
        <f>-SUMIF(TArticle[تاریخ],TDays[[#This Row],[تاریخ]],TArticle[افزایش سرمایه])</f>
        <v>0</v>
      </c>
      <c r="O331">
        <f>SUMIF(TArticle[تاریخ],TDays[[#This Row],[تاریخ]],TArticle[تعداد تراکنش انجام شده])</f>
        <v>0</v>
      </c>
      <c r="P331">
        <f>INT(((TDays[[#This Row],[ماه]]-1)*31+TDays[[#This Row],[روز]]+1)/7)+1</f>
        <v>48</v>
      </c>
      <c r="Q331">
        <f>SUMIF(TArticle[تاریخ],TDays[[#This Row],[تاریخ]],TArticle[تراکنش برنامه ریزی شده])</f>
        <v>0</v>
      </c>
    </row>
    <row r="332" spans="1:17" x14ac:dyDescent="0.25">
      <c r="A332" s="3" t="s">
        <v>524</v>
      </c>
      <c r="B332" t="str">
        <f>RIGHT(TDays[[#This Row],[تاریخ]],2)</f>
        <v>25</v>
      </c>
      <c r="C332" t="str">
        <f>RIGHT(LEFT(TDays[[#This Row],[تاریخ]],7),2)</f>
        <v>11</v>
      </c>
      <c r="D332" t="str">
        <f>LEFT(TDays[[#This Row],[تاریخ]],4)</f>
        <v>1401</v>
      </c>
      <c r="E332" t="str">
        <f>LEFT(TDays[[#This Row],[تاریخ]],7)</f>
        <v>1401-11</v>
      </c>
      <c r="F332">
        <v>3</v>
      </c>
      <c r="G332" s="15" t="str">
        <f>VLOOKUP(TDays[[#This Row],[کد روز هفته]],TDaysOfTheWeek[],2,FALSE)</f>
        <v>سه شنبه</v>
      </c>
      <c r="H332" s="15">
        <f>IFERROR(IF(E331&lt;&gt;E332,1,INT(H331)+IF(TDays[[#This Row],[کد روز هفته]]=0,1,0)),1)</f>
        <v>4</v>
      </c>
      <c r="I332">
        <f>-SUMIF(TArticle[تاریخ],TDays[[#This Row],[تاریخ]],TArticle[هزینه])</f>
        <v>0</v>
      </c>
      <c r="J332">
        <f>SUMIF(TArticle[تاریخ],TDays[[#This Row],[تاریخ]],TArticle[درآمد تتا])</f>
        <v>0</v>
      </c>
      <c r="K332">
        <f>SUMIF(TArticle[تاریخ],TDays[[#This Row],[تاریخ]],TArticle[اسنپ])</f>
        <v>0</v>
      </c>
      <c r="L332">
        <f>-SUMIF(TArticle[تاریخ],TDays[[#This Row],[تاریخ]],TArticle[پرداخت بدهی])</f>
        <v>0</v>
      </c>
      <c r="M332">
        <f>SUMIF(TArticle[تاریخ],TDays[[#This Row],[تاریخ]],TArticle[افزایش بدهی])</f>
        <v>0</v>
      </c>
      <c r="N332">
        <f>-SUMIF(TArticle[تاریخ],TDays[[#This Row],[تاریخ]],TArticle[افزایش سرمایه])</f>
        <v>0</v>
      </c>
      <c r="O332">
        <f>SUMIF(TArticle[تاریخ],TDays[[#This Row],[تاریخ]],TArticle[تعداد تراکنش انجام شده])</f>
        <v>0</v>
      </c>
      <c r="P332">
        <f>INT(((TDays[[#This Row],[ماه]]-1)*31+TDays[[#This Row],[روز]]+1)/7)+1</f>
        <v>49</v>
      </c>
      <c r="Q332">
        <f>SUMIF(TArticle[تاریخ],TDays[[#This Row],[تاریخ]],TArticle[تراکنش برنامه ریزی شده])</f>
        <v>0</v>
      </c>
    </row>
    <row r="333" spans="1:17" x14ac:dyDescent="0.25">
      <c r="A333" s="3" t="s">
        <v>525</v>
      </c>
      <c r="B333" t="str">
        <f>RIGHT(TDays[[#This Row],[تاریخ]],2)</f>
        <v>26</v>
      </c>
      <c r="C333" t="str">
        <f>RIGHT(LEFT(TDays[[#This Row],[تاریخ]],7),2)</f>
        <v>11</v>
      </c>
      <c r="D333" t="str">
        <f>LEFT(TDays[[#This Row],[تاریخ]],4)</f>
        <v>1401</v>
      </c>
      <c r="E333" t="str">
        <f>LEFT(TDays[[#This Row],[تاریخ]],7)</f>
        <v>1401-11</v>
      </c>
      <c r="F333">
        <v>4</v>
      </c>
      <c r="G333" s="15" t="str">
        <f>VLOOKUP(TDays[[#This Row],[کد روز هفته]],TDaysOfTheWeek[],2,FALSE)</f>
        <v>چهارشنبه</v>
      </c>
      <c r="H333" s="15">
        <f>IFERROR(IF(E332&lt;&gt;E333,1,INT(H332)+IF(TDays[[#This Row],[کد روز هفته]]=0,1,0)),1)</f>
        <v>4</v>
      </c>
      <c r="I333">
        <f>-SUMIF(TArticle[تاریخ],TDays[[#This Row],[تاریخ]],TArticle[هزینه])</f>
        <v>0</v>
      </c>
      <c r="J333">
        <f>SUMIF(TArticle[تاریخ],TDays[[#This Row],[تاریخ]],TArticle[درآمد تتا])</f>
        <v>0</v>
      </c>
      <c r="K333">
        <f>SUMIF(TArticle[تاریخ],TDays[[#This Row],[تاریخ]],TArticle[اسنپ])</f>
        <v>0</v>
      </c>
      <c r="L333">
        <f>-SUMIF(TArticle[تاریخ],TDays[[#This Row],[تاریخ]],TArticle[پرداخت بدهی])</f>
        <v>0</v>
      </c>
      <c r="M333">
        <f>SUMIF(TArticle[تاریخ],TDays[[#This Row],[تاریخ]],TArticle[افزایش بدهی])</f>
        <v>0</v>
      </c>
      <c r="N333">
        <f>-SUMIF(TArticle[تاریخ],TDays[[#This Row],[تاریخ]],TArticle[افزایش سرمایه])</f>
        <v>0</v>
      </c>
      <c r="O333">
        <f>SUMIF(TArticle[تاریخ],TDays[[#This Row],[تاریخ]],TArticle[تعداد تراکنش انجام شده])</f>
        <v>1</v>
      </c>
      <c r="P333">
        <f>INT(((TDays[[#This Row],[ماه]]-1)*31+TDays[[#This Row],[روز]]+1)/7)+1</f>
        <v>49</v>
      </c>
      <c r="Q333">
        <f>SUMIF(TArticle[تاریخ],TDays[[#This Row],[تاریخ]],TArticle[تراکنش برنامه ریزی شده])</f>
        <v>0</v>
      </c>
    </row>
    <row r="334" spans="1:17" x14ac:dyDescent="0.25">
      <c r="A334" s="3" t="s">
        <v>526</v>
      </c>
      <c r="B334" t="str">
        <f>RIGHT(TDays[[#This Row],[تاریخ]],2)</f>
        <v>27</v>
      </c>
      <c r="C334" t="str">
        <f>RIGHT(LEFT(TDays[[#This Row],[تاریخ]],7),2)</f>
        <v>11</v>
      </c>
      <c r="D334" t="str">
        <f>LEFT(TDays[[#This Row],[تاریخ]],4)</f>
        <v>1401</v>
      </c>
      <c r="E334" t="str">
        <f>LEFT(TDays[[#This Row],[تاریخ]],7)</f>
        <v>1401-11</v>
      </c>
      <c r="F334">
        <v>5</v>
      </c>
      <c r="G334" s="15" t="str">
        <f>VLOOKUP(TDays[[#This Row],[کد روز هفته]],TDaysOfTheWeek[],2,FALSE)</f>
        <v>پنجشنبه</v>
      </c>
      <c r="H334" s="15">
        <f>IFERROR(IF(E333&lt;&gt;E334,1,INT(H333)+IF(TDays[[#This Row],[کد روز هفته]]=0,1,0)),1)</f>
        <v>4</v>
      </c>
      <c r="I334">
        <f>-SUMIF(TArticle[تاریخ],TDays[[#This Row],[تاریخ]],TArticle[هزینه])</f>
        <v>0</v>
      </c>
      <c r="J334">
        <f>SUMIF(TArticle[تاریخ],TDays[[#This Row],[تاریخ]],TArticle[درآمد تتا])</f>
        <v>0</v>
      </c>
      <c r="K334">
        <f>SUMIF(TArticle[تاریخ],TDays[[#This Row],[تاریخ]],TArticle[اسنپ])</f>
        <v>0</v>
      </c>
      <c r="L334">
        <f>-SUMIF(TArticle[تاریخ],TDays[[#This Row],[تاریخ]],TArticle[پرداخت بدهی])</f>
        <v>0</v>
      </c>
      <c r="M334">
        <f>SUMIF(TArticle[تاریخ],TDays[[#This Row],[تاریخ]],TArticle[افزایش بدهی])</f>
        <v>0</v>
      </c>
      <c r="N334">
        <f>-SUMIF(TArticle[تاریخ],TDays[[#This Row],[تاریخ]],TArticle[افزایش سرمایه])</f>
        <v>0</v>
      </c>
      <c r="O334">
        <f>SUMIF(TArticle[تاریخ],TDays[[#This Row],[تاریخ]],TArticle[تعداد تراکنش انجام شده])</f>
        <v>0</v>
      </c>
      <c r="P334">
        <f>INT(((TDays[[#This Row],[ماه]]-1)*31+TDays[[#This Row],[روز]]+1)/7)+1</f>
        <v>49</v>
      </c>
      <c r="Q334">
        <f>SUMIF(TArticle[تاریخ],TDays[[#This Row],[تاریخ]],TArticle[تراکنش برنامه ریزی شده])</f>
        <v>0</v>
      </c>
    </row>
    <row r="335" spans="1:17" x14ac:dyDescent="0.25">
      <c r="A335" s="3" t="s">
        <v>527</v>
      </c>
      <c r="B335" t="str">
        <f>RIGHT(TDays[[#This Row],[تاریخ]],2)</f>
        <v>28</v>
      </c>
      <c r="C335" t="str">
        <f>RIGHT(LEFT(TDays[[#This Row],[تاریخ]],7),2)</f>
        <v>11</v>
      </c>
      <c r="D335" t="str">
        <f>LEFT(TDays[[#This Row],[تاریخ]],4)</f>
        <v>1401</v>
      </c>
      <c r="E335" t="str">
        <f>LEFT(TDays[[#This Row],[تاریخ]],7)</f>
        <v>1401-11</v>
      </c>
      <c r="F335">
        <v>6</v>
      </c>
      <c r="G335" s="15" t="str">
        <f>VLOOKUP(TDays[[#This Row],[کد روز هفته]],TDaysOfTheWeek[],2,FALSE)</f>
        <v>جمعه</v>
      </c>
      <c r="H335" s="15">
        <f>IFERROR(IF(E334&lt;&gt;E335,1,INT(H334)+IF(TDays[[#This Row],[کد روز هفته]]=0,1,0)),1)</f>
        <v>4</v>
      </c>
      <c r="I335">
        <f>-SUMIF(TArticle[تاریخ],TDays[[#This Row],[تاریخ]],TArticle[هزینه])</f>
        <v>0</v>
      </c>
      <c r="J335">
        <f>SUMIF(TArticle[تاریخ],TDays[[#This Row],[تاریخ]],TArticle[درآمد تتا])</f>
        <v>0</v>
      </c>
      <c r="K335">
        <f>SUMIF(TArticle[تاریخ],TDays[[#This Row],[تاریخ]],TArticle[اسنپ])</f>
        <v>0</v>
      </c>
      <c r="L335">
        <f>-SUMIF(TArticle[تاریخ],TDays[[#This Row],[تاریخ]],TArticle[پرداخت بدهی])</f>
        <v>0</v>
      </c>
      <c r="M335">
        <f>SUMIF(TArticle[تاریخ],TDays[[#This Row],[تاریخ]],TArticle[افزایش بدهی])</f>
        <v>0</v>
      </c>
      <c r="N335">
        <f>-SUMIF(TArticle[تاریخ],TDays[[#This Row],[تاریخ]],TArticle[افزایش سرمایه])</f>
        <v>0</v>
      </c>
      <c r="O335">
        <f>SUMIF(TArticle[تاریخ],TDays[[#This Row],[تاریخ]],TArticle[تعداد تراکنش انجام شده])</f>
        <v>0</v>
      </c>
      <c r="P335">
        <f>INT(((TDays[[#This Row],[ماه]]-1)*31+TDays[[#This Row],[روز]]+1)/7)+1</f>
        <v>49</v>
      </c>
      <c r="Q335">
        <f>SUMIF(TArticle[تاریخ],TDays[[#This Row],[تاریخ]],TArticle[تراکنش برنامه ریزی شده])</f>
        <v>0</v>
      </c>
    </row>
    <row r="336" spans="1:17" x14ac:dyDescent="0.25">
      <c r="A336" s="3" t="s">
        <v>528</v>
      </c>
      <c r="B336" t="str">
        <f>RIGHT(TDays[[#This Row],[تاریخ]],2)</f>
        <v>29</v>
      </c>
      <c r="C336" t="str">
        <f>RIGHT(LEFT(TDays[[#This Row],[تاریخ]],7),2)</f>
        <v>11</v>
      </c>
      <c r="D336" t="str">
        <f>LEFT(TDays[[#This Row],[تاریخ]],4)</f>
        <v>1401</v>
      </c>
      <c r="E336" t="str">
        <f>LEFT(TDays[[#This Row],[تاریخ]],7)</f>
        <v>1401-11</v>
      </c>
      <c r="F336">
        <v>0</v>
      </c>
      <c r="G336" s="15" t="str">
        <f>VLOOKUP(TDays[[#This Row],[کد روز هفته]],TDaysOfTheWeek[],2,FALSE)</f>
        <v>شنبه</v>
      </c>
      <c r="H336" s="15">
        <f>IFERROR(IF(E335&lt;&gt;E336,1,INT(H335)+IF(TDays[[#This Row],[کد روز هفته]]=0,1,0)),1)</f>
        <v>5</v>
      </c>
      <c r="I336">
        <f>-SUMIF(TArticle[تاریخ],TDays[[#This Row],[تاریخ]],TArticle[هزینه])</f>
        <v>13550</v>
      </c>
      <c r="J336">
        <f>SUMIF(TArticle[تاریخ],TDays[[#This Row],[تاریخ]],TArticle[درآمد تتا])</f>
        <v>0</v>
      </c>
      <c r="K336">
        <f>SUMIF(TArticle[تاریخ],TDays[[#This Row],[تاریخ]],TArticle[اسنپ])</f>
        <v>0</v>
      </c>
      <c r="L336">
        <f>-SUMIF(TArticle[تاریخ],TDays[[#This Row],[تاریخ]],TArticle[پرداخت بدهی])</f>
        <v>0</v>
      </c>
      <c r="M336">
        <f>SUMIF(TArticle[تاریخ],TDays[[#This Row],[تاریخ]],TArticle[افزایش بدهی])</f>
        <v>0</v>
      </c>
      <c r="N336">
        <f>-SUMIF(TArticle[تاریخ],TDays[[#This Row],[تاریخ]],TArticle[افزایش سرمایه])</f>
        <v>0</v>
      </c>
      <c r="O336">
        <f>SUMIF(TArticle[تاریخ],TDays[[#This Row],[تاریخ]],TArticle[تعداد تراکنش انجام شده])</f>
        <v>1</v>
      </c>
      <c r="P336">
        <f>INT(((TDays[[#This Row],[ماه]]-1)*31+TDays[[#This Row],[روز]]+1)/7)+1</f>
        <v>49</v>
      </c>
      <c r="Q336">
        <f>SUMIF(TArticle[تاریخ],TDays[[#This Row],[تاریخ]],TArticle[تراکنش برنامه ریزی شده])</f>
        <v>0</v>
      </c>
    </row>
    <row r="337" spans="1:17" x14ac:dyDescent="0.25">
      <c r="A337" s="3" t="s">
        <v>529</v>
      </c>
      <c r="B337" t="str">
        <f>RIGHT(TDays[[#This Row],[تاریخ]],2)</f>
        <v>30</v>
      </c>
      <c r="C337" t="str">
        <f>RIGHT(LEFT(TDays[[#This Row],[تاریخ]],7),2)</f>
        <v>11</v>
      </c>
      <c r="D337" t="str">
        <f>LEFT(TDays[[#This Row],[تاریخ]],4)</f>
        <v>1401</v>
      </c>
      <c r="E337" t="str">
        <f>LEFT(TDays[[#This Row],[تاریخ]],7)</f>
        <v>1401-11</v>
      </c>
      <c r="F337">
        <v>1</v>
      </c>
      <c r="G337" s="15" t="str">
        <f>VLOOKUP(TDays[[#This Row],[کد روز هفته]],TDaysOfTheWeek[],2,FALSE)</f>
        <v>یکشنبه</v>
      </c>
      <c r="H337" s="15">
        <f>IFERROR(IF(E336&lt;&gt;E337,1,INT(H336)+IF(TDays[[#This Row],[کد روز هفته]]=0,1,0)),1)</f>
        <v>5</v>
      </c>
      <c r="I337">
        <f>-SUMIF(TArticle[تاریخ],TDays[[#This Row],[تاریخ]],TArticle[هزینه])</f>
        <v>0</v>
      </c>
      <c r="J337">
        <f>SUMIF(TArticle[تاریخ],TDays[[#This Row],[تاریخ]],TArticle[درآمد تتا])</f>
        <v>0</v>
      </c>
      <c r="K337">
        <f>SUMIF(TArticle[تاریخ],TDays[[#This Row],[تاریخ]],TArticle[اسنپ])</f>
        <v>0</v>
      </c>
      <c r="L337">
        <f>-SUMIF(TArticle[تاریخ],TDays[[#This Row],[تاریخ]],TArticle[پرداخت بدهی])</f>
        <v>0</v>
      </c>
      <c r="M337">
        <f>SUMIF(TArticle[تاریخ],TDays[[#This Row],[تاریخ]],TArticle[افزایش بدهی])</f>
        <v>0</v>
      </c>
      <c r="N337">
        <f>-SUMIF(TArticle[تاریخ],TDays[[#This Row],[تاریخ]],TArticle[افزایش سرمایه])</f>
        <v>0</v>
      </c>
      <c r="O337">
        <f>SUMIF(TArticle[تاریخ],TDays[[#This Row],[تاریخ]],TArticle[تعداد تراکنش انجام شده])</f>
        <v>1</v>
      </c>
      <c r="P337">
        <f>INT(((TDays[[#This Row],[ماه]]-1)*31+TDays[[#This Row],[روز]]+1)/7)+1</f>
        <v>49</v>
      </c>
      <c r="Q337">
        <f>SUMIF(TArticle[تاریخ],TDays[[#This Row],[تاریخ]],TArticle[تراکنش برنامه ریزی شده])</f>
        <v>0</v>
      </c>
    </row>
    <row r="338" spans="1:17" x14ac:dyDescent="0.25">
      <c r="A338" s="3" t="s">
        <v>530</v>
      </c>
      <c r="B338" t="str">
        <f>RIGHT(TDays[[#This Row],[تاریخ]],2)</f>
        <v>01</v>
      </c>
      <c r="C338" t="str">
        <f>RIGHT(LEFT(TDays[[#This Row],[تاریخ]],7),2)</f>
        <v>12</v>
      </c>
      <c r="D338" t="str">
        <f>LEFT(TDays[[#This Row],[تاریخ]],4)</f>
        <v>1401</v>
      </c>
      <c r="E338" t="str">
        <f>LEFT(TDays[[#This Row],[تاریخ]],7)</f>
        <v>1401-12</v>
      </c>
      <c r="F338">
        <v>2</v>
      </c>
      <c r="G338" s="15" t="str">
        <f>VLOOKUP(TDays[[#This Row],[کد روز هفته]],TDaysOfTheWeek[],2,FALSE)</f>
        <v>دوشنبه</v>
      </c>
      <c r="H338" s="15">
        <f>IFERROR(IF(E337&lt;&gt;E338,1,INT(H337)+IF(TDays[[#This Row],[کد روز هفته]]=0,1,0)),1)</f>
        <v>1</v>
      </c>
      <c r="I338">
        <f>-SUMIF(TArticle[تاریخ],TDays[[#This Row],[تاریخ]],TArticle[هزینه])</f>
        <v>482</v>
      </c>
      <c r="J338">
        <f>SUMIF(TArticle[تاریخ],TDays[[#This Row],[تاریخ]],TArticle[درآمد تتا])</f>
        <v>30263</v>
      </c>
      <c r="K338">
        <f>SUMIF(TArticle[تاریخ],TDays[[#This Row],[تاریخ]],TArticle[اسنپ])</f>
        <v>0</v>
      </c>
      <c r="L338">
        <f>-SUMIF(TArticle[تاریخ],TDays[[#This Row],[تاریخ]],TArticle[پرداخت بدهی])</f>
        <v>0</v>
      </c>
      <c r="M338">
        <f>SUMIF(TArticle[تاریخ],TDays[[#This Row],[تاریخ]],TArticle[افزایش بدهی])</f>
        <v>0</v>
      </c>
      <c r="N338">
        <f>-SUMIF(TArticle[تاریخ],TDays[[#This Row],[تاریخ]],TArticle[افزایش سرمایه])</f>
        <v>0</v>
      </c>
      <c r="O338">
        <f>SUMIF(TArticle[تاریخ],TDays[[#This Row],[تاریخ]],TArticle[تعداد تراکنش انجام شده])</f>
        <v>2</v>
      </c>
      <c r="P338">
        <f>INT(((TDays[[#This Row],[ماه]]-1)*31+TDays[[#This Row],[روز]]+1)/7)+1</f>
        <v>50</v>
      </c>
      <c r="Q338">
        <f>SUMIF(TArticle[تاریخ],TDays[[#This Row],[تاریخ]],TArticle[تراکنش برنامه ریزی شده])</f>
        <v>0</v>
      </c>
    </row>
    <row r="339" spans="1:17" x14ac:dyDescent="0.25">
      <c r="A339" s="3" t="s">
        <v>531</v>
      </c>
      <c r="B339" t="str">
        <f>RIGHT(TDays[[#This Row],[تاریخ]],2)</f>
        <v>02</v>
      </c>
      <c r="C339" t="str">
        <f>RIGHT(LEFT(TDays[[#This Row],[تاریخ]],7),2)</f>
        <v>12</v>
      </c>
      <c r="D339" t="str">
        <f>LEFT(TDays[[#This Row],[تاریخ]],4)</f>
        <v>1401</v>
      </c>
      <c r="E339" t="str">
        <f>LEFT(TDays[[#This Row],[تاریخ]],7)</f>
        <v>1401-12</v>
      </c>
      <c r="F339">
        <v>3</v>
      </c>
      <c r="G339" s="15" t="str">
        <f>VLOOKUP(TDays[[#This Row],[کد روز هفته]],TDaysOfTheWeek[],2,FALSE)</f>
        <v>سه شنبه</v>
      </c>
      <c r="H339" s="15">
        <f>IFERROR(IF(E338&lt;&gt;E339,1,INT(H338)+IF(TDays[[#This Row],[کد روز هفته]]=0,1,0)),1)</f>
        <v>1</v>
      </c>
      <c r="I339">
        <f>-SUMIF(TArticle[تاریخ],TDays[[#This Row],[تاریخ]],TArticle[هزینه])</f>
        <v>0</v>
      </c>
      <c r="J339">
        <f>SUMIF(TArticle[تاریخ],TDays[[#This Row],[تاریخ]],TArticle[درآمد تتا])</f>
        <v>0</v>
      </c>
      <c r="K339">
        <f>SUMIF(TArticle[تاریخ],TDays[[#This Row],[تاریخ]],TArticle[اسنپ])</f>
        <v>0</v>
      </c>
      <c r="L339">
        <f>-SUMIF(TArticle[تاریخ],TDays[[#This Row],[تاریخ]],TArticle[پرداخت بدهی])</f>
        <v>9128</v>
      </c>
      <c r="M339">
        <f>SUMIF(TArticle[تاریخ],TDays[[#This Row],[تاریخ]],TArticle[افزایش بدهی])</f>
        <v>0</v>
      </c>
      <c r="N339">
        <f>-SUMIF(TArticle[تاریخ],TDays[[#This Row],[تاریخ]],TArticle[افزایش سرمایه])</f>
        <v>0</v>
      </c>
      <c r="O339">
        <f>SUMIF(TArticle[تاریخ],TDays[[#This Row],[تاریخ]],TArticle[تعداد تراکنش انجام شده])</f>
        <v>7</v>
      </c>
      <c r="P339">
        <f>INT(((TDays[[#This Row],[ماه]]-1)*31+TDays[[#This Row],[روز]]+1)/7)+1</f>
        <v>50</v>
      </c>
      <c r="Q339">
        <f>SUMIF(TArticle[تاریخ],TDays[[#This Row],[تاریخ]],TArticle[تراکنش برنامه ریزی شده])</f>
        <v>0</v>
      </c>
    </row>
    <row r="340" spans="1:17" x14ac:dyDescent="0.25">
      <c r="A340" s="3" t="s">
        <v>532</v>
      </c>
      <c r="B340" t="str">
        <f>RIGHT(TDays[[#This Row],[تاریخ]],2)</f>
        <v>03</v>
      </c>
      <c r="C340" t="str">
        <f>RIGHT(LEFT(TDays[[#This Row],[تاریخ]],7),2)</f>
        <v>12</v>
      </c>
      <c r="D340" t="str">
        <f>LEFT(TDays[[#This Row],[تاریخ]],4)</f>
        <v>1401</v>
      </c>
      <c r="E340" t="str">
        <f>LEFT(TDays[[#This Row],[تاریخ]],7)</f>
        <v>1401-12</v>
      </c>
      <c r="F340">
        <v>4</v>
      </c>
      <c r="G340" s="15" t="str">
        <f>VLOOKUP(TDays[[#This Row],[کد روز هفته]],TDaysOfTheWeek[],2,FALSE)</f>
        <v>چهارشنبه</v>
      </c>
      <c r="H340" s="15">
        <f>IFERROR(IF(E339&lt;&gt;E340,1,INT(H339)+IF(TDays[[#This Row],[کد روز هفته]]=0,1,0)),1)</f>
        <v>1</v>
      </c>
      <c r="I340">
        <f>-SUMIF(TArticle[تاریخ],TDays[[#This Row],[تاریخ]],TArticle[هزینه])</f>
        <v>7702</v>
      </c>
      <c r="J340">
        <f>SUMIF(TArticle[تاریخ],TDays[[#This Row],[تاریخ]],TArticle[درآمد تتا])</f>
        <v>0</v>
      </c>
      <c r="K340">
        <f>SUMIF(TArticle[تاریخ],TDays[[#This Row],[تاریخ]],TArticle[اسنپ])</f>
        <v>0</v>
      </c>
      <c r="L340">
        <f>-SUMIF(TArticle[تاریخ],TDays[[#This Row],[تاریخ]],TArticle[پرداخت بدهی])</f>
        <v>0</v>
      </c>
      <c r="M340">
        <f>SUMIF(TArticle[تاریخ],TDays[[#This Row],[تاریخ]],TArticle[افزایش بدهی])</f>
        <v>67702</v>
      </c>
      <c r="N340">
        <f>-SUMIF(TArticle[تاریخ],TDays[[#This Row],[تاریخ]],TArticle[افزایش سرمایه])</f>
        <v>0</v>
      </c>
      <c r="O340">
        <f>SUMIF(TArticle[تاریخ],TDays[[#This Row],[تاریخ]],TArticle[تعداد تراکنش انجام شده])</f>
        <v>3</v>
      </c>
      <c r="P340">
        <f>INT(((TDays[[#This Row],[ماه]]-1)*31+TDays[[#This Row],[روز]]+1)/7)+1</f>
        <v>50</v>
      </c>
      <c r="Q340">
        <f>SUMIF(TArticle[تاریخ],TDays[[#This Row],[تاریخ]],TArticle[تراکنش برنامه ریزی شده])</f>
        <v>0</v>
      </c>
    </row>
    <row r="341" spans="1:17" x14ac:dyDescent="0.25">
      <c r="A341" s="3" t="s">
        <v>533</v>
      </c>
      <c r="B341" t="str">
        <f>RIGHT(TDays[[#This Row],[تاریخ]],2)</f>
        <v>04</v>
      </c>
      <c r="C341" t="str">
        <f>RIGHT(LEFT(TDays[[#This Row],[تاریخ]],7),2)</f>
        <v>12</v>
      </c>
      <c r="D341" t="str">
        <f>LEFT(TDays[[#This Row],[تاریخ]],4)</f>
        <v>1401</v>
      </c>
      <c r="E341" t="str">
        <f>LEFT(TDays[[#This Row],[تاریخ]],7)</f>
        <v>1401-12</v>
      </c>
      <c r="F341">
        <v>5</v>
      </c>
      <c r="G341" s="15" t="str">
        <f>VLOOKUP(TDays[[#This Row],[کد روز هفته]],TDaysOfTheWeek[],2,FALSE)</f>
        <v>پنجشنبه</v>
      </c>
      <c r="H341" s="15">
        <f>IFERROR(IF(E340&lt;&gt;E341,1,INT(H340)+IF(TDays[[#This Row],[کد روز هفته]]=0,1,0)),1)</f>
        <v>1</v>
      </c>
      <c r="I341">
        <f>-SUMIF(TArticle[تاریخ],TDays[[#This Row],[تاریخ]],TArticle[هزینه])</f>
        <v>702</v>
      </c>
      <c r="J341">
        <f>SUMIF(TArticle[تاریخ],TDays[[#This Row],[تاریخ]],TArticle[درآمد تتا])</f>
        <v>0</v>
      </c>
      <c r="K341">
        <f>SUMIF(TArticle[تاریخ],TDays[[#This Row],[تاریخ]],TArticle[اسنپ])</f>
        <v>0</v>
      </c>
      <c r="L341">
        <f>-SUMIF(TArticle[تاریخ],TDays[[#This Row],[تاریخ]],TArticle[پرداخت بدهی])</f>
        <v>0</v>
      </c>
      <c r="M341">
        <f>SUMIF(TArticle[تاریخ],TDays[[#This Row],[تاریخ]],TArticle[افزایش بدهی])</f>
        <v>12402</v>
      </c>
      <c r="N341">
        <f>-SUMIF(TArticle[تاریخ],TDays[[#This Row],[تاریخ]],TArticle[افزایش سرمایه])</f>
        <v>0</v>
      </c>
      <c r="O341">
        <f>SUMIF(TArticle[تاریخ],TDays[[#This Row],[تاریخ]],TArticle[تعداد تراکنش انجام شده])</f>
        <v>3</v>
      </c>
      <c r="P341">
        <f>INT(((TDays[[#This Row],[ماه]]-1)*31+TDays[[#This Row],[روز]]+1)/7)+1</f>
        <v>50</v>
      </c>
      <c r="Q341">
        <f>SUMIF(TArticle[تاریخ],TDays[[#This Row],[تاریخ]],TArticle[تراکنش برنامه ریزی شده])</f>
        <v>0</v>
      </c>
    </row>
    <row r="342" spans="1:17" x14ac:dyDescent="0.25">
      <c r="A342" s="3" t="s">
        <v>534</v>
      </c>
      <c r="B342" t="str">
        <f>RIGHT(TDays[[#This Row],[تاریخ]],2)</f>
        <v>05</v>
      </c>
      <c r="C342" t="str">
        <f>RIGHT(LEFT(TDays[[#This Row],[تاریخ]],7),2)</f>
        <v>12</v>
      </c>
      <c r="D342" t="str">
        <f>LEFT(TDays[[#This Row],[تاریخ]],4)</f>
        <v>1401</v>
      </c>
      <c r="E342" t="str">
        <f>LEFT(TDays[[#This Row],[تاریخ]],7)</f>
        <v>1401-12</v>
      </c>
      <c r="F342">
        <v>6</v>
      </c>
      <c r="G342" s="15" t="str">
        <f>VLOOKUP(TDays[[#This Row],[کد روز هفته]],TDaysOfTheWeek[],2,FALSE)</f>
        <v>جمعه</v>
      </c>
      <c r="H342" s="15">
        <f>IFERROR(IF(E341&lt;&gt;E342,1,INT(H341)+IF(TDays[[#This Row],[کد روز هفته]]=0,1,0)),1)</f>
        <v>1</v>
      </c>
      <c r="I342">
        <f>-SUMIF(TArticle[تاریخ],TDays[[#This Row],[تاریخ]],TArticle[هزینه])</f>
        <v>0</v>
      </c>
      <c r="J342">
        <f>SUMIF(TArticle[تاریخ],TDays[[#This Row],[تاریخ]],TArticle[درآمد تتا])</f>
        <v>0</v>
      </c>
      <c r="K342">
        <f>SUMIF(TArticle[تاریخ],TDays[[#This Row],[تاریخ]],TArticle[اسنپ])</f>
        <v>0</v>
      </c>
      <c r="L342">
        <f>-SUMIF(TArticle[تاریخ],TDays[[#This Row],[تاریخ]],TArticle[پرداخت بدهی])</f>
        <v>9104</v>
      </c>
      <c r="M342">
        <f>SUMIF(TArticle[تاریخ],TDays[[#This Row],[تاریخ]],TArticle[افزایش بدهی])</f>
        <v>0</v>
      </c>
      <c r="N342">
        <f>-SUMIF(TArticle[تاریخ],TDays[[#This Row],[تاریخ]],TArticle[افزایش سرمایه])</f>
        <v>0</v>
      </c>
      <c r="O342">
        <f>SUMIF(TArticle[تاریخ],TDays[[#This Row],[تاریخ]],TArticle[تعداد تراکنش انجام شده])</f>
        <v>3</v>
      </c>
      <c r="P342">
        <f>INT(((TDays[[#This Row],[ماه]]-1)*31+TDays[[#This Row],[روز]]+1)/7)+1</f>
        <v>50</v>
      </c>
      <c r="Q342">
        <f>SUMIF(TArticle[تاریخ],TDays[[#This Row],[تاریخ]],TArticle[تراکنش برنامه ریزی شده])</f>
        <v>0</v>
      </c>
    </row>
    <row r="343" spans="1:17" x14ac:dyDescent="0.25">
      <c r="A343" s="3" t="s">
        <v>535</v>
      </c>
      <c r="B343" t="str">
        <f>RIGHT(TDays[[#This Row],[تاریخ]],2)</f>
        <v>06</v>
      </c>
      <c r="C343" t="str">
        <f>RIGHT(LEFT(TDays[[#This Row],[تاریخ]],7),2)</f>
        <v>12</v>
      </c>
      <c r="D343" t="str">
        <f>LEFT(TDays[[#This Row],[تاریخ]],4)</f>
        <v>1401</v>
      </c>
      <c r="E343" t="str">
        <f>LEFT(TDays[[#This Row],[تاریخ]],7)</f>
        <v>1401-12</v>
      </c>
      <c r="F343">
        <v>0</v>
      </c>
      <c r="G343" s="15" t="str">
        <f>VLOOKUP(TDays[[#This Row],[کد روز هفته]],TDaysOfTheWeek[],2,FALSE)</f>
        <v>شنبه</v>
      </c>
      <c r="H343" s="15">
        <f>IFERROR(IF(E342&lt;&gt;E343,1,INT(H342)+IF(TDays[[#This Row],[کد روز هفته]]=0,1,0)),1)</f>
        <v>2</v>
      </c>
      <c r="I343">
        <f>-SUMIF(TArticle[تاریخ],TDays[[#This Row],[تاریخ]],TArticle[هزینه])</f>
        <v>91</v>
      </c>
      <c r="J343">
        <f>SUMIF(TArticle[تاریخ],TDays[[#This Row],[تاریخ]],TArticle[درآمد تتا])</f>
        <v>0</v>
      </c>
      <c r="K343">
        <f>SUMIF(TArticle[تاریخ],TDays[[#This Row],[تاریخ]],TArticle[اسنپ])</f>
        <v>0</v>
      </c>
      <c r="L343">
        <f>-SUMIF(TArticle[تاریخ],TDays[[#This Row],[تاریخ]],TArticle[پرداخت بدهی])</f>
        <v>270</v>
      </c>
      <c r="M343">
        <f>SUMIF(TArticle[تاریخ],TDays[[#This Row],[تاریخ]],TArticle[افزایش بدهی])</f>
        <v>0</v>
      </c>
      <c r="N343">
        <f>-SUMIF(TArticle[تاریخ],TDays[[#This Row],[تاریخ]],TArticle[افزایش سرمایه])</f>
        <v>0</v>
      </c>
      <c r="O343">
        <f>SUMIF(TArticle[تاریخ],TDays[[#This Row],[تاریخ]],TArticle[تعداد تراکنش انجام شده])</f>
        <v>2</v>
      </c>
      <c r="P343">
        <f>INT(((TDays[[#This Row],[ماه]]-1)*31+TDays[[#This Row],[روز]]+1)/7)+1</f>
        <v>50</v>
      </c>
      <c r="Q343">
        <f>SUMIF(TArticle[تاریخ],TDays[[#This Row],[تاریخ]],TArticle[تراکنش برنامه ریزی شده])</f>
        <v>0</v>
      </c>
    </row>
    <row r="344" spans="1:17" x14ac:dyDescent="0.25">
      <c r="A344" s="3" t="s">
        <v>536</v>
      </c>
      <c r="B344" t="str">
        <f>RIGHT(TDays[[#This Row],[تاریخ]],2)</f>
        <v>07</v>
      </c>
      <c r="C344" t="str">
        <f>RIGHT(LEFT(TDays[[#This Row],[تاریخ]],7),2)</f>
        <v>12</v>
      </c>
      <c r="D344" t="str">
        <f>LEFT(TDays[[#This Row],[تاریخ]],4)</f>
        <v>1401</v>
      </c>
      <c r="E344" t="str">
        <f>LEFT(TDays[[#This Row],[تاریخ]],7)</f>
        <v>1401-12</v>
      </c>
      <c r="F344">
        <v>1</v>
      </c>
      <c r="G344" s="15" t="str">
        <f>VLOOKUP(TDays[[#This Row],[کد روز هفته]],TDaysOfTheWeek[],2,FALSE)</f>
        <v>یکشنبه</v>
      </c>
      <c r="H344" s="15">
        <f>IFERROR(IF(E343&lt;&gt;E344,1,INT(H343)+IF(TDays[[#This Row],[کد روز هفته]]=0,1,0)),1)</f>
        <v>2</v>
      </c>
      <c r="I344">
        <f>-SUMIF(TArticle[تاریخ],TDays[[#This Row],[تاریخ]],TArticle[هزینه])</f>
        <v>0</v>
      </c>
      <c r="J344">
        <f>SUMIF(TArticle[تاریخ],TDays[[#This Row],[تاریخ]],TArticle[درآمد تتا])</f>
        <v>0</v>
      </c>
      <c r="K344">
        <f>SUMIF(TArticle[تاریخ],TDays[[#This Row],[تاریخ]],TArticle[اسنپ])</f>
        <v>0</v>
      </c>
      <c r="L344">
        <f>-SUMIF(TArticle[تاریخ],TDays[[#This Row],[تاریخ]],TArticle[پرداخت بدهی])</f>
        <v>0</v>
      </c>
      <c r="M344">
        <f>SUMIF(TArticle[تاریخ],TDays[[#This Row],[تاریخ]],TArticle[افزایش بدهی])</f>
        <v>0</v>
      </c>
      <c r="N344">
        <f>-SUMIF(TArticle[تاریخ],TDays[[#This Row],[تاریخ]],TArticle[افزایش سرمایه])</f>
        <v>0</v>
      </c>
      <c r="O344">
        <f>SUMIF(TArticle[تاریخ],TDays[[#This Row],[تاریخ]],TArticle[تعداد تراکنش انجام شده])</f>
        <v>0</v>
      </c>
      <c r="P344">
        <f>INT(((TDays[[#This Row],[ماه]]-1)*31+TDays[[#This Row],[روز]]+1)/7)+1</f>
        <v>50</v>
      </c>
      <c r="Q344">
        <f>SUMIF(TArticle[تاریخ],TDays[[#This Row],[تاریخ]],TArticle[تراکنش برنامه ریزی شده])</f>
        <v>0</v>
      </c>
    </row>
    <row r="345" spans="1:17" x14ac:dyDescent="0.25">
      <c r="A345" s="3" t="s">
        <v>537</v>
      </c>
      <c r="B345" t="str">
        <f>RIGHT(TDays[[#This Row],[تاریخ]],2)</f>
        <v>08</v>
      </c>
      <c r="C345" t="str">
        <f>RIGHT(LEFT(TDays[[#This Row],[تاریخ]],7),2)</f>
        <v>12</v>
      </c>
      <c r="D345" t="str">
        <f>LEFT(TDays[[#This Row],[تاریخ]],4)</f>
        <v>1401</v>
      </c>
      <c r="E345" t="str">
        <f>LEFT(TDays[[#This Row],[تاریخ]],7)</f>
        <v>1401-12</v>
      </c>
      <c r="F345">
        <v>2</v>
      </c>
      <c r="G345" s="15" t="str">
        <f>VLOOKUP(TDays[[#This Row],[کد روز هفته]],TDaysOfTheWeek[],2,FALSE)</f>
        <v>دوشنبه</v>
      </c>
      <c r="H345" s="15">
        <f>IFERROR(IF(E344&lt;&gt;E345,1,INT(H344)+IF(TDays[[#This Row],[کد روز هفته]]=0,1,0)),1)</f>
        <v>2</v>
      </c>
      <c r="I345">
        <f>-SUMIF(TArticle[تاریخ],TDays[[#This Row],[تاریخ]],TArticle[هزینه])</f>
        <v>0</v>
      </c>
      <c r="J345">
        <f>SUMIF(TArticle[تاریخ],TDays[[#This Row],[تاریخ]],TArticle[درآمد تتا])</f>
        <v>0</v>
      </c>
      <c r="K345">
        <f>SUMIF(TArticle[تاریخ],TDays[[#This Row],[تاریخ]],TArticle[اسنپ])</f>
        <v>0</v>
      </c>
      <c r="L345">
        <f>-SUMIF(TArticle[تاریخ],TDays[[#This Row],[تاریخ]],TArticle[پرداخت بدهی])</f>
        <v>0</v>
      </c>
      <c r="M345">
        <f>SUMIF(TArticle[تاریخ],TDays[[#This Row],[تاریخ]],TArticle[افزایش بدهی])</f>
        <v>0</v>
      </c>
      <c r="N345">
        <f>-SUMIF(TArticle[تاریخ],TDays[[#This Row],[تاریخ]],TArticle[افزایش سرمایه])</f>
        <v>0</v>
      </c>
      <c r="O345">
        <f>SUMIF(TArticle[تاریخ],TDays[[#This Row],[تاریخ]],TArticle[تعداد تراکنش انجام شده])</f>
        <v>0</v>
      </c>
      <c r="P345">
        <f>INT(((TDays[[#This Row],[ماه]]-1)*31+TDays[[#This Row],[روز]]+1)/7)+1</f>
        <v>51</v>
      </c>
      <c r="Q345">
        <f>SUMIF(TArticle[تاریخ],TDays[[#This Row],[تاریخ]],TArticle[تراکنش برنامه ریزی شده])</f>
        <v>0</v>
      </c>
    </row>
    <row r="346" spans="1:17" x14ac:dyDescent="0.25">
      <c r="A346" s="3" t="s">
        <v>538</v>
      </c>
      <c r="B346" t="str">
        <f>RIGHT(TDays[[#This Row],[تاریخ]],2)</f>
        <v>09</v>
      </c>
      <c r="C346" t="str">
        <f>RIGHT(LEFT(TDays[[#This Row],[تاریخ]],7),2)</f>
        <v>12</v>
      </c>
      <c r="D346" t="str">
        <f>LEFT(TDays[[#This Row],[تاریخ]],4)</f>
        <v>1401</v>
      </c>
      <c r="E346" t="str">
        <f>LEFT(TDays[[#This Row],[تاریخ]],7)</f>
        <v>1401-12</v>
      </c>
      <c r="F346">
        <v>3</v>
      </c>
      <c r="G346" s="15" t="str">
        <f>VLOOKUP(TDays[[#This Row],[کد روز هفته]],TDaysOfTheWeek[],2,FALSE)</f>
        <v>سه شنبه</v>
      </c>
      <c r="H346" s="15">
        <f>IFERROR(IF(E345&lt;&gt;E346,1,INT(H345)+IF(TDays[[#This Row],[کد روز هفته]]=0,1,0)),1)</f>
        <v>2</v>
      </c>
      <c r="I346">
        <f>-SUMIF(TArticle[تاریخ],TDays[[#This Row],[تاریخ]],TArticle[هزینه])</f>
        <v>0</v>
      </c>
      <c r="J346">
        <f>SUMIF(TArticle[تاریخ],TDays[[#This Row],[تاریخ]],TArticle[درآمد تتا])</f>
        <v>0</v>
      </c>
      <c r="K346">
        <f>SUMIF(TArticle[تاریخ],TDays[[#This Row],[تاریخ]],TArticle[اسنپ])</f>
        <v>0</v>
      </c>
      <c r="L346">
        <f>-SUMIF(TArticle[تاریخ],TDays[[#This Row],[تاریخ]],TArticle[پرداخت بدهی])</f>
        <v>2334</v>
      </c>
      <c r="M346">
        <f>SUMIF(TArticle[تاریخ],TDays[[#This Row],[تاریخ]],TArticle[افزایش بدهی])</f>
        <v>0</v>
      </c>
      <c r="N346">
        <f>-SUMIF(TArticle[تاریخ],TDays[[#This Row],[تاریخ]],TArticle[افزایش سرمایه])</f>
        <v>0</v>
      </c>
      <c r="O346">
        <f>SUMIF(TArticle[تاریخ],TDays[[#This Row],[تاریخ]],TArticle[تعداد تراکنش انجام شده])</f>
        <v>2</v>
      </c>
      <c r="P346">
        <f>INT(((TDays[[#This Row],[ماه]]-1)*31+TDays[[#This Row],[روز]]+1)/7)+1</f>
        <v>51</v>
      </c>
      <c r="Q346">
        <f>SUMIF(TArticle[تاریخ],TDays[[#This Row],[تاریخ]],TArticle[تراکنش برنامه ریزی شده])</f>
        <v>0</v>
      </c>
    </row>
    <row r="347" spans="1:17" x14ac:dyDescent="0.25">
      <c r="A347" s="3" t="s">
        <v>539</v>
      </c>
      <c r="B347" t="str">
        <f>RIGHT(TDays[[#This Row],[تاریخ]],2)</f>
        <v>10</v>
      </c>
      <c r="C347" t="str">
        <f>RIGHT(LEFT(TDays[[#This Row],[تاریخ]],7),2)</f>
        <v>12</v>
      </c>
      <c r="D347" t="str">
        <f>LEFT(TDays[[#This Row],[تاریخ]],4)</f>
        <v>1401</v>
      </c>
      <c r="E347" t="str">
        <f>LEFT(TDays[[#This Row],[تاریخ]],7)</f>
        <v>1401-12</v>
      </c>
      <c r="F347">
        <v>4</v>
      </c>
      <c r="G347" s="15" t="str">
        <f>VLOOKUP(TDays[[#This Row],[کد روز هفته]],TDaysOfTheWeek[],2,FALSE)</f>
        <v>چهارشنبه</v>
      </c>
      <c r="H347" s="15">
        <f>IFERROR(IF(E346&lt;&gt;E347,1,INT(H346)+IF(TDays[[#This Row],[کد روز هفته]]=0,1,0)),1)</f>
        <v>2</v>
      </c>
      <c r="I347">
        <f>-SUMIF(TArticle[تاریخ],TDays[[#This Row],[تاریخ]],TArticle[هزینه])</f>
        <v>20000</v>
      </c>
      <c r="J347">
        <f>SUMIF(TArticle[تاریخ],TDays[[#This Row],[تاریخ]],TArticle[درآمد تتا])</f>
        <v>0</v>
      </c>
      <c r="K347">
        <f>SUMIF(TArticle[تاریخ],TDays[[#This Row],[تاریخ]],TArticle[اسنپ])</f>
        <v>0</v>
      </c>
      <c r="L347">
        <f>-SUMIF(TArticle[تاریخ],TDays[[#This Row],[تاریخ]],TArticle[پرداخت بدهی])</f>
        <v>0</v>
      </c>
      <c r="M347">
        <f>SUMIF(TArticle[تاریخ],TDays[[#This Row],[تاریخ]],TArticle[افزایش بدهی])</f>
        <v>0</v>
      </c>
      <c r="N347">
        <f>-SUMIF(TArticle[تاریخ],TDays[[#This Row],[تاریخ]],TArticle[افزایش سرمایه])</f>
        <v>0</v>
      </c>
      <c r="O347">
        <f>SUMIF(TArticle[تاریخ],TDays[[#This Row],[تاریخ]],TArticle[تعداد تراکنش انجام شده])</f>
        <v>2</v>
      </c>
      <c r="P347">
        <f>INT(((TDays[[#This Row],[ماه]]-1)*31+TDays[[#This Row],[روز]]+1)/7)+1</f>
        <v>51</v>
      </c>
      <c r="Q347">
        <f>SUMIF(TArticle[تاریخ],TDays[[#This Row],[تاریخ]],TArticle[تراکنش برنامه ریزی شده])</f>
        <v>0</v>
      </c>
    </row>
    <row r="348" spans="1:17" x14ac:dyDescent="0.25">
      <c r="A348" s="3" t="s">
        <v>540</v>
      </c>
      <c r="B348" t="str">
        <f>RIGHT(TDays[[#This Row],[تاریخ]],2)</f>
        <v>11</v>
      </c>
      <c r="C348" t="str">
        <f>RIGHT(LEFT(TDays[[#This Row],[تاریخ]],7),2)</f>
        <v>12</v>
      </c>
      <c r="D348" t="str">
        <f>LEFT(TDays[[#This Row],[تاریخ]],4)</f>
        <v>1401</v>
      </c>
      <c r="E348" t="str">
        <f>LEFT(TDays[[#This Row],[تاریخ]],7)</f>
        <v>1401-12</v>
      </c>
      <c r="F348">
        <v>5</v>
      </c>
      <c r="G348" s="15" t="str">
        <f>VLOOKUP(TDays[[#This Row],[کد روز هفته]],TDaysOfTheWeek[],2,FALSE)</f>
        <v>پنجشنبه</v>
      </c>
      <c r="H348" s="15">
        <f>IFERROR(IF(E347&lt;&gt;E348,1,INT(H347)+IF(TDays[[#This Row],[کد روز هفته]]=0,1,0)),1)</f>
        <v>2</v>
      </c>
      <c r="I348">
        <f>-SUMIF(TArticle[تاریخ],TDays[[#This Row],[تاریخ]],TArticle[هزینه])</f>
        <v>0</v>
      </c>
      <c r="J348">
        <f>SUMIF(TArticle[تاریخ],TDays[[#This Row],[تاریخ]],TArticle[درآمد تتا])</f>
        <v>0</v>
      </c>
      <c r="K348">
        <f>SUMIF(TArticle[تاریخ],TDays[[#This Row],[تاریخ]],TArticle[اسنپ])</f>
        <v>0</v>
      </c>
      <c r="L348">
        <f>-SUMIF(TArticle[تاریخ],TDays[[#This Row],[تاریخ]],TArticle[پرداخت بدهی])</f>
        <v>0</v>
      </c>
      <c r="M348">
        <f>SUMIF(TArticle[تاریخ],TDays[[#This Row],[تاریخ]],TArticle[افزایش بدهی])</f>
        <v>0</v>
      </c>
      <c r="N348">
        <f>-SUMIF(TArticle[تاریخ],TDays[[#This Row],[تاریخ]],TArticle[افزایش سرمایه])</f>
        <v>0</v>
      </c>
      <c r="O348">
        <f>SUMIF(TArticle[تاریخ],TDays[[#This Row],[تاریخ]],TArticle[تعداد تراکنش انجام شده])</f>
        <v>0</v>
      </c>
      <c r="P348">
        <f>INT(((TDays[[#This Row],[ماه]]-1)*31+TDays[[#This Row],[روز]]+1)/7)+1</f>
        <v>51</v>
      </c>
      <c r="Q348">
        <f>SUMIF(TArticle[تاریخ],TDays[[#This Row],[تاریخ]],TArticle[تراکنش برنامه ریزی شده])</f>
        <v>0</v>
      </c>
    </row>
    <row r="349" spans="1:17" x14ac:dyDescent="0.25">
      <c r="A349" s="3" t="s">
        <v>541</v>
      </c>
      <c r="B349" t="str">
        <f>RIGHT(TDays[[#This Row],[تاریخ]],2)</f>
        <v>12</v>
      </c>
      <c r="C349" t="str">
        <f>RIGHT(LEFT(TDays[[#This Row],[تاریخ]],7),2)</f>
        <v>12</v>
      </c>
      <c r="D349" t="str">
        <f>LEFT(TDays[[#This Row],[تاریخ]],4)</f>
        <v>1401</v>
      </c>
      <c r="E349" t="str">
        <f>LEFT(TDays[[#This Row],[تاریخ]],7)</f>
        <v>1401-12</v>
      </c>
      <c r="F349">
        <v>6</v>
      </c>
      <c r="G349" s="15" t="str">
        <f>VLOOKUP(TDays[[#This Row],[کد روز هفته]],TDaysOfTheWeek[],2,FALSE)</f>
        <v>جمعه</v>
      </c>
      <c r="H349" s="15">
        <f>IFERROR(IF(E348&lt;&gt;E349,1,INT(H348)+IF(TDays[[#This Row],[کد روز هفته]]=0,1,0)),1)</f>
        <v>2</v>
      </c>
      <c r="I349">
        <f>-SUMIF(TArticle[تاریخ],TDays[[#This Row],[تاریخ]],TArticle[هزینه])</f>
        <v>0</v>
      </c>
      <c r="J349">
        <f>SUMIF(TArticle[تاریخ],TDays[[#This Row],[تاریخ]],TArticle[درآمد تتا])</f>
        <v>0</v>
      </c>
      <c r="K349">
        <f>SUMIF(TArticle[تاریخ],TDays[[#This Row],[تاریخ]],TArticle[اسنپ])</f>
        <v>0</v>
      </c>
      <c r="L349">
        <f>-SUMIF(TArticle[تاریخ],TDays[[#This Row],[تاریخ]],TArticle[پرداخت بدهی])</f>
        <v>0</v>
      </c>
      <c r="M349">
        <f>SUMIF(TArticle[تاریخ],TDays[[#This Row],[تاریخ]],TArticle[افزایش بدهی])</f>
        <v>0</v>
      </c>
      <c r="N349">
        <f>-SUMIF(TArticle[تاریخ],TDays[[#This Row],[تاریخ]],TArticle[افزایش سرمایه])</f>
        <v>0</v>
      </c>
      <c r="O349">
        <f>SUMIF(TArticle[تاریخ],TDays[[#This Row],[تاریخ]],TArticle[تعداد تراکنش انجام شده])</f>
        <v>0</v>
      </c>
      <c r="P349">
        <f>INT(((TDays[[#This Row],[ماه]]-1)*31+TDays[[#This Row],[روز]]+1)/7)+1</f>
        <v>51</v>
      </c>
      <c r="Q349">
        <f>SUMIF(TArticle[تاریخ],TDays[[#This Row],[تاریخ]],TArticle[تراکنش برنامه ریزی شده])</f>
        <v>0</v>
      </c>
    </row>
    <row r="350" spans="1:17" x14ac:dyDescent="0.25">
      <c r="A350" s="3" t="s">
        <v>542</v>
      </c>
      <c r="B350" t="str">
        <f>RIGHT(TDays[[#This Row],[تاریخ]],2)</f>
        <v>13</v>
      </c>
      <c r="C350" t="str">
        <f>RIGHT(LEFT(TDays[[#This Row],[تاریخ]],7),2)</f>
        <v>12</v>
      </c>
      <c r="D350" t="str">
        <f>LEFT(TDays[[#This Row],[تاریخ]],4)</f>
        <v>1401</v>
      </c>
      <c r="E350" t="str">
        <f>LEFT(TDays[[#This Row],[تاریخ]],7)</f>
        <v>1401-12</v>
      </c>
      <c r="F350">
        <v>0</v>
      </c>
      <c r="G350" s="15" t="str">
        <f>VLOOKUP(TDays[[#This Row],[کد روز هفته]],TDaysOfTheWeek[],2,FALSE)</f>
        <v>شنبه</v>
      </c>
      <c r="H350" s="15">
        <f>IFERROR(IF(E349&lt;&gt;E350,1,INT(H349)+IF(TDays[[#This Row],[کد روز هفته]]=0,1,0)),1)</f>
        <v>3</v>
      </c>
      <c r="I350">
        <f>-SUMIF(TArticle[تاریخ],TDays[[#This Row],[تاریخ]],TArticle[هزینه])</f>
        <v>0</v>
      </c>
      <c r="J350">
        <f>SUMIF(TArticle[تاریخ],TDays[[#This Row],[تاریخ]],TArticle[درآمد تتا])</f>
        <v>0</v>
      </c>
      <c r="K350">
        <f>SUMIF(TArticle[تاریخ],TDays[[#This Row],[تاریخ]],TArticle[اسنپ])</f>
        <v>0</v>
      </c>
      <c r="L350">
        <f>-SUMIF(TArticle[تاریخ],TDays[[#This Row],[تاریخ]],TArticle[پرداخت بدهی])</f>
        <v>0</v>
      </c>
      <c r="M350">
        <f>SUMIF(TArticle[تاریخ],TDays[[#This Row],[تاریخ]],TArticle[افزایش بدهی])</f>
        <v>0</v>
      </c>
      <c r="N350">
        <f>-SUMIF(TArticle[تاریخ],TDays[[#This Row],[تاریخ]],TArticle[افزایش سرمایه])</f>
        <v>0</v>
      </c>
      <c r="O350">
        <f>SUMIF(TArticle[تاریخ],TDays[[#This Row],[تاریخ]],TArticle[تعداد تراکنش انجام شده])</f>
        <v>0</v>
      </c>
      <c r="P350">
        <f>INT(((TDays[[#This Row],[ماه]]-1)*31+TDays[[#This Row],[روز]]+1)/7)+1</f>
        <v>51</v>
      </c>
      <c r="Q350">
        <f>SUMIF(TArticle[تاریخ],TDays[[#This Row],[تاریخ]],TArticle[تراکنش برنامه ریزی شده])</f>
        <v>0</v>
      </c>
    </row>
    <row r="351" spans="1:17" x14ac:dyDescent="0.25">
      <c r="A351" s="3" t="s">
        <v>69</v>
      </c>
      <c r="B351" t="str">
        <f>RIGHT(TDays[[#This Row],[تاریخ]],2)</f>
        <v>14</v>
      </c>
      <c r="C351" t="str">
        <f>RIGHT(LEFT(TDays[[#This Row],[تاریخ]],7),2)</f>
        <v>12</v>
      </c>
      <c r="D351" t="str">
        <f>LEFT(TDays[[#This Row],[تاریخ]],4)</f>
        <v>1401</v>
      </c>
      <c r="E351" t="str">
        <f>LEFT(TDays[[#This Row],[تاریخ]],7)</f>
        <v>1401-12</v>
      </c>
      <c r="F351">
        <v>1</v>
      </c>
      <c r="G351" s="15" t="str">
        <f>VLOOKUP(TDays[[#This Row],[کد روز هفته]],TDaysOfTheWeek[],2,FALSE)</f>
        <v>یکشنبه</v>
      </c>
      <c r="H351" s="15">
        <f>IFERROR(IF(E350&lt;&gt;E351,1,INT(H350)+IF(TDays[[#This Row],[کد روز هفته]]=0,1,0)),1)</f>
        <v>3</v>
      </c>
      <c r="I351">
        <f>-SUMIF(TArticle[تاریخ],TDays[[#This Row],[تاریخ]],TArticle[هزینه])</f>
        <v>0</v>
      </c>
      <c r="J351">
        <f>SUMIF(TArticle[تاریخ],TDays[[#This Row],[تاریخ]],TArticle[درآمد تتا])</f>
        <v>0</v>
      </c>
      <c r="K351">
        <f>SUMIF(TArticle[تاریخ],TDays[[#This Row],[تاریخ]],TArticle[اسنپ])</f>
        <v>0</v>
      </c>
      <c r="L351">
        <f>-SUMIF(TArticle[تاریخ],TDays[[#This Row],[تاریخ]],TArticle[پرداخت بدهی])</f>
        <v>0</v>
      </c>
      <c r="M351">
        <f>SUMIF(TArticle[تاریخ],TDays[[#This Row],[تاریخ]],TArticle[افزایش بدهی])</f>
        <v>0</v>
      </c>
      <c r="N351">
        <f>-SUMIF(TArticle[تاریخ],TDays[[#This Row],[تاریخ]],TArticle[افزایش سرمایه])</f>
        <v>350</v>
      </c>
      <c r="O351">
        <f>SUMIF(TArticle[تاریخ],TDays[[#This Row],[تاریخ]],TArticle[تعداد تراکنش انجام شده])</f>
        <v>1</v>
      </c>
      <c r="P351">
        <f>INT(((TDays[[#This Row],[ماه]]-1)*31+TDays[[#This Row],[روز]]+1)/7)+1</f>
        <v>51</v>
      </c>
      <c r="Q351">
        <f>SUMIF(TArticle[تاریخ],TDays[[#This Row],[تاریخ]],TArticle[تراکنش برنامه ریزی شده])</f>
        <v>0</v>
      </c>
    </row>
    <row r="352" spans="1:17" x14ac:dyDescent="0.25">
      <c r="A352" s="3" t="s">
        <v>543</v>
      </c>
      <c r="B352" t="str">
        <f>RIGHT(TDays[[#This Row],[تاریخ]],2)</f>
        <v>15</v>
      </c>
      <c r="C352" t="str">
        <f>RIGHT(LEFT(TDays[[#This Row],[تاریخ]],7),2)</f>
        <v>12</v>
      </c>
      <c r="D352" t="str">
        <f>LEFT(TDays[[#This Row],[تاریخ]],4)</f>
        <v>1401</v>
      </c>
      <c r="E352" t="str">
        <f>LEFT(TDays[[#This Row],[تاریخ]],7)</f>
        <v>1401-12</v>
      </c>
      <c r="F352">
        <v>2</v>
      </c>
      <c r="G352" s="15" t="str">
        <f>VLOOKUP(TDays[[#This Row],[کد روز هفته]],TDaysOfTheWeek[],2,FALSE)</f>
        <v>دوشنبه</v>
      </c>
      <c r="H352" s="15">
        <f>IFERROR(IF(E351&lt;&gt;E352,1,INT(H351)+IF(TDays[[#This Row],[کد روز هفته]]=0,1,0)),1)</f>
        <v>3</v>
      </c>
      <c r="I352">
        <f>-SUMIF(TArticle[تاریخ],TDays[[#This Row],[تاریخ]],TArticle[هزینه])</f>
        <v>0</v>
      </c>
      <c r="J352">
        <f>SUMIF(TArticle[تاریخ],TDays[[#This Row],[تاریخ]],TArticle[درآمد تتا])</f>
        <v>0</v>
      </c>
      <c r="K352">
        <f>SUMIF(TArticle[تاریخ],TDays[[#This Row],[تاریخ]],TArticle[اسنپ])</f>
        <v>0</v>
      </c>
      <c r="L352">
        <f>-SUMIF(TArticle[تاریخ],TDays[[#This Row],[تاریخ]],TArticle[پرداخت بدهی])</f>
        <v>0</v>
      </c>
      <c r="M352">
        <f>SUMIF(TArticle[تاریخ],TDays[[#This Row],[تاریخ]],TArticle[افزایش بدهی])</f>
        <v>0</v>
      </c>
      <c r="N352">
        <f>-SUMIF(TArticle[تاریخ],TDays[[#This Row],[تاریخ]],TArticle[افزایش سرمایه])</f>
        <v>0</v>
      </c>
      <c r="O352">
        <f>SUMIF(TArticle[تاریخ],TDays[[#This Row],[تاریخ]],TArticle[تعداد تراکنش انجام شده])</f>
        <v>0</v>
      </c>
      <c r="P352">
        <f>INT(((TDays[[#This Row],[ماه]]-1)*31+TDays[[#This Row],[روز]]+1)/7)+1</f>
        <v>52</v>
      </c>
      <c r="Q352">
        <f>SUMIF(TArticle[تاریخ],TDays[[#This Row],[تاریخ]],TArticle[تراکنش برنامه ریزی شده])</f>
        <v>0</v>
      </c>
    </row>
    <row r="353" spans="1:17" x14ac:dyDescent="0.25">
      <c r="A353" s="3" t="s">
        <v>544</v>
      </c>
      <c r="B353" t="str">
        <f>RIGHT(TDays[[#This Row],[تاریخ]],2)</f>
        <v>16</v>
      </c>
      <c r="C353" t="str">
        <f>RIGHT(LEFT(TDays[[#This Row],[تاریخ]],7),2)</f>
        <v>12</v>
      </c>
      <c r="D353" t="str">
        <f>LEFT(TDays[[#This Row],[تاریخ]],4)</f>
        <v>1401</v>
      </c>
      <c r="E353" t="str">
        <f>LEFT(TDays[[#This Row],[تاریخ]],7)</f>
        <v>1401-12</v>
      </c>
      <c r="F353">
        <v>3</v>
      </c>
      <c r="G353" s="15" t="str">
        <f>VLOOKUP(TDays[[#This Row],[کد روز هفته]],TDaysOfTheWeek[],2,FALSE)</f>
        <v>سه شنبه</v>
      </c>
      <c r="H353" s="15">
        <f>IFERROR(IF(E352&lt;&gt;E353,1,INT(H352)+IF(TDays[[#This Row],[کد روز هفته]]=0,1,0)),1)</f>
        <v>3</v>
      </c>
      <c r="I353">
        <f>-SUMIF(TArticle[تاریخ],TDays[[#This Row],[تاریخ]],TArticle[هزینه])</f>
        <v>0</v>
      </c>
      <c r="J353">
        <f>SUMIF(TArticle[تاریخ],TDays[[#This Row],[تاریخ]],TArticle[درآمد تتا])</f>
        <v>0</v>
      </c>
      <c r="K353">
        <f>SUMIF(TArticle[تاریخ],TDays[[#This Row],[تاریخ]],TArticle[اسنپ])</f>
        <v>0</v>
      </c>
      <c r="L353">
        <f>-SUMIF(TArticle[تاریخ],TDays[[#This Row],[تاریخ]],TArticle[پرداخت بدهی])</f>
        <v>0</v>
      </c>
      <c r="M353">
        <f>SUMIF(TArticle[تاریخ],TDays[[#This Row],[تاریخ]],TArticle[افزایش بدهی])</f>
        <v>0</v>
      </c>
      <c r="N353">
        <f>-SUMIF(TArticle[تاریخ],TDays[[#This Row],[تاریخ]],TArticle[افزایش سرمایه])</f>
        <v>0</v>
      </c>
      <c r="O353">
        <f>SUMIF(TArticle[تاریخ],TDays[[#This Row],[تاریخ]],TArticle[تعداد تراکنش انجام شده])</f>
        <v>0</v>
      </c>
      <c r="P353">
        <f>INT(((TDays[[#This Row],[ماه]]-1)*31+TDays[[#This Row],[روز]]+1)/7)+1</f>
        <v>52</v>
      </c>
      <c r="Q353">
        <f>SUMIF(TArticle[تاریخ],TDays[[#This Row],[تاریخ]],TArticle[تراکنش برنامه ریزی شده])</f>
        <v>0</v>
      </c>
    </row>
    <row r="354" spans="1:17" x14ac:dyDescent="0.25">
      <c r="A354" s="3" t="s">
        <v>545</v>
      </c>
      <c r="B354" t="str">
        <f>RIGHT(TDays[[#This Row],[تاریخ]],2)</f>
        <v>17</v>
      </c>
      <c r="C354" t="str">
        <f>RIGHT(LEFT(TDays[[#This Row],[تاریخ]],7),2)</f>
        <v>12</v>
      </c>
      <c r="D354" t="str">
        <f>LEFT(TDays[[#This Row],[تاریخ]],4)</f>
        <v>1401</v>
      </c>
      <c r="E354" t="str">
        <f>LEFT(TDays[[#This Row],[تاریخ]],7)</f>
        <v>1401-12</v>
      </c>
      <c r="F354">
        <v>4</v>
      </c>
      <c r="G354" s="15" t="str">
        <f>VLOOKUP(TDays[[#This Row],[کد روز هفته]],TDaysOfTheWeek[],2,FALSE)</f>
        <v>چهارشنبه</v>
      </c>
      <c r="H354" s="15">
        <f>IFERROR(IF(E353&lt;&gt;E354,1,INT(H353)+IF(TDays[[#This Row],[کد روز هفته]]=0,1,0)),1)</f>
        <v>3</v>
      </c>
      <c r="I354">
        <f>-SUMIF(TArticle[تاریخ],TDays[[#This Row],[تاریخ]],TArticle[هزینه])</f>
        <v>55450</v>
      </c>
      <c r="J354">
        <f>SUMIF(TArticle[تاریخ],TDays[[#This Row],[تاریخ]],TArticle[درآمد تتا])</f>
        <v>0</v>
      </c>
      <c r="K354">
        <f>SUMIF(TArticle[تاریخ],TDays[[#This Row],[تاریخ]],TArticle[اسنپ])</f>
        <v>0</v>
      </c>
      <c r="L354">
        <f>-SUMIF(TArticle[تاریخ],TDays[[#This Row],[تاریخ]],TArticle[پرداخت بدهی])</f>
        <v>0</v>
      </c>
      <c r="M354">
        <f>SUMIF(TArticle[تاریخ],TDays[[#This Row],[تاریخ]],TArticle[افزایش بدهی])</f>
        <v>51000</v>
      </c>
      <c r="N354">
        <f>-SUMIF(TArticle[تاریخ],TDays[[#This Row],[تاریخ]],TArticle[افزایش سرمایه])</f>
        <v>0</v>
      </c>
      <c r="O354">
        <f>SUMIF(TArticle[تاریخ],TDays[[#This Row],[تاریخ]],TArticle[تعداد تراکنش انجام شده])</f>
        <v>3</v>
      </c>
      <c r="P354">
        <f>INT(((TDays[[#This Row],[ماه]]-1)*31+TDays[[#This Row],[روز]]+1)/7)+1</f>
        <v>52</v>
      </c>
      <c r="Q354">
        <f>SUMIF(TArticle[تاریخ],TDays[[#This Row],[تاریخ]],TArticle[تراکنش برنامه ریزی شده])</f>
        <v>0</v>
      </c>
    </row>
    <row r="355" spans="1:17" x14ac:dyDescent="0.25">
      <c r="A355" s="3" t="s">
        <v>546</v>
      </c>
      <c r="B355" t="str">
        <f>RIGHT(TDays[[#This Row],[تاریخ]],2)</f>
        <v>18</v>
      </c>
      <c r="C355" t="str">
        <f>RIGHT(LEFT(TDays[[#This Row],[تاریخ]],7),2)</f>
        <v>12</v>
      </c>
      <c r="D355" t="str">
        <f>LEFT(TDays[[#This Row],[تاریخ]],4)</f>
        <v>1401</v>
      </c>
      <c r="E355" t="str">
        <f>LEFT(TDays[[#This Row],[تاریخ]],7)</f>
        <v>1401-12</v>
      </c>
      <c r="F355">
        <v>5</v>
      </c>
      <c r="G355" s="15" t="str">
        <f>VLOOKUP(TDays[[#This Row],[کد روز هفته]],TDaysOfTheWeek[],2,FALSE)</f>
        <v>پنجشنبه</v>
      </c>
      <c r="H355" s="15">
        <f>IFERROR(IF(E354&lt;&gt;E355,1,INT(H354)+IF(TDays[[#This Row],[کد روز هفته]]=0,1,0)),1)</f>
        <v>3</v>
      </c>
      <c r="I355">
        <f>-SUMIF(TArticle[تاریخ],TDays[[#This Row],[تاریخ]],TArticle[هزینه])</f>
        <v>4050</v>
      </c>
      <c r="J355">
        <f>SUMIF(TArticle[تاریخ],TDays[[#This Row],[تاریخ]],TArticle[درآمد تتا])</f>
        <v>0</v>
      </c>
      <c r="K355">
        <f>SUMIF(TArticle[تاریخ],TDays[[#This Row],[تاریخ]],TArticle[اسنپ])</f>
        <v>0</v>
      </c>
      <c r="L355">
        <f>-SUMIF(TArticle[تاریخ],TDays[[#This Row],[تاریخ]],TArticle[پرداخت بدهی])</f>
        <v>0</v>
      </c>
      <c r="M355">
        <f>SUMIF(TArticle[تاریخ],TDays[[#This Row],[تاریخ]],TArticle[افزایش بدهی])</f>
        <v>0</v>
      </c>
      <c r="N355">
        <f>-SUMIF(TArticle[تاریخ],TDays[[#This Row],[تاریخ]],TArticle[افزایش سرمایه])</f>
        <v>0</v>
      </c>
      <c r="O355">
        <f>SUMIF(TArticle[تاریخ],TDays[[#This Row],[تاریخ]],TArticle[تعداد تراکنش انجام شده])</f>
        <v>1</v>
      </c>
      <c r="P355">
        <f>INT(((TDays[[#This Row],[ماه]]-1)*31+TDays[[#This Row],[روز]]+1)/7)+1</f>
        <v>52</v>
      </c>
      <c r="Q355">
        <f>SUMIF(TArticle[تاریخ],TDays[[#This Row],[تاریخ]],TArticle[تراکنش برنامه ریزی شده])</f>
        <v>0</v>
      </c>
    </row>
    <row r="356" spans="1:17" x14ac:dyDescent="0.25">
      <c r="A356" s="3" t="s">
        <v>547</v>
      </c>
      <c r="B356" t="str">
        <f>RIGHT(TDays[[#This Row],[تاریخ]],2)</f>
        <v>19</v>
      </c>
      <c r="C356" t="str">
        <f>RIGHT(LEFT(TDays[[#This Row],[تاریخ]],7),2)</f>
        <v>12</v>
      </c>
      <c r="D356" t="str">
        <f>LEFT(TDays[[#This Row],[تاریخ]],4)</f>
        <v>1401</v>
      </c>
      <c r="E356" t="str">
        <f>LEFT(TDays[[#This Row],[تاریخ]],7)</f>
        <v>1401-12</v>
      </c>
      <c r="F356">
        <v>6</v>
      </c>
      <c r="G356" s="15" t="str">
        <f>VLOOKUP(TDays[[#This Row],[کد روز هفته]],TDaysOfTheWeek[],2,FALSE)</f>
        <v>جمعه</v>
      </c>
      <c r="H356" s="15">
        <f>IFERROR(IF(E355&lt;&gt;E356,1,INT(H355)+IF(TDays[[#This Row],[کد روز هفته]]=0,1,0)),1)</f>
        <v>3</v>
      </c>
      <c r="I356">
        <f>-SUMIF(TArticle[تاریخ],TDays[[#This Row],[تاریخ]],TArticle[هزینه])</f>
        <v>0</v>
      </c>
      <c r="J356">
        <f>SUMIF(TArticle[تاریخ],TDays[[#This Row],[تاریخ]],TArticle[درآمد تتا])</f>
        <v>0</v>
      </c>
      <c r="K356">
        <f>SUMIF(TArticle[تاریخ],TDays[[#This Row],[تاریخ]],TArticle[اسنپ])</f>
        <v>0</v>
      </c>
      <c r="L356">
        <f>-SUMIF(TArticle[تاریخ],TDays[[#This Row],[تاریخ]],TArticle[پرداخت بدهی])</f>
        <v>0</v>
      </c>
      <c r="M356">
        <f>SUMIF(TArticle[تاریخ],TDays[[#This Row],[تاریخ]],TArticle[افزایش بدهی])</f>
        <v>0</v>
      </c>
      <c r="N356">
        <f>-SUMIF(TArticle[تاریخ],TDays[[#This Row],[تاریخ]],TArticle[افزایش سرمایه])</f>
        <v>0</v>
      </c>
      <c r="O356">
        <f>SUMIF(TArticle[تاریخ],TDays[[#This Row],[تاریخ]],TArticle[تعداد تراکنش انجام شده])</f>
        <v>0</v>
      </c>
      <c r="P356">
        <f>INT(((TDays[[#This Row],[ماه]]-1)*31+TDays[[#This Row],[روز]]+1)/7)+1</f>
        <v>52</v>
      </c>
      <c r="Q356">
        <f>SUMIF(TArticle[تاریخ],TDays[[#This Row],[تاریخ]],TArticle[تراکنش برنامه ریزی شده])</f>
        <v>0</v>
      </c>
    </row>
    <row r="357" spans="1:17" x14ac:dyDescent="0.25">
      <c r="A357" s="3" t="s">
        <v>548</v>
      </c>
      <c r="B357" t="str">
        <f>RIGHT(TDays[[#This Row],[تاریخ]],2)</f>
        <v>20</v>
      </c>
      <c r="C357" t="str">
        <f>RIGHT(LEFT(TDays[[#This Row],[تاریخ]],7),2)</f>
        <v>12</v>
      </c>
      <c r="D357" t="str">
        <f>LEFT(TDays[[#This Row],[تاریخ]],4)</f>
        <v>1401</v>
      </c>
      <c r="E357" t="str">
        <f>LEFT(TDays[[#This Row],[تاریخ]],7)</f>
        <v>1401-12</v>
      </c>
      <c r="F357">
        <v>0</v>
      </c>
      <c r="G357" s="15" t="str">
        <f>VLOOKUP(TDays[[#This Row],[کد روز هفته]],TDaysOfTheWeek[],2,FALSE)</f>
        <v>شنبه</v>
      </c>
      <c r="H357" s="15">
        <f>IFERROR(IF(E356&lt;&gt;E357,1,INT(H356)+IF(TDays[[#This Row],[کد روز هفته]]=0,1,0)),1)</f>
        <v>4</v>
      </c>
      <c r="I357">
        <f>-SUMIF(TArticle[تاریخ],TDays[[#This Row],[تاریخ]],TArticle[هزینه])</f>
        <v>46000</v>
      </c>
      <c r="J357">
        <f>SUMIF(TArticle[تاریخ],TDays[[#This Row],[تاریخ]],TArticle[درآمد تتا])</f>
        <v>0</v>
      </c>
      <c r="K357">
        <f>SUMIF(TArticle[تاریخ],TDays[[#This Row],[تاریخ]],TArticle[اسنپ])</f>
        <v>0</v>
      </c>
      <c r="L357">
        <f>-SUMIF(TArticle[تاریخ],TDays[[#This Row],[تاریخ]],TArticle[پرداخت بدهی])</f>
        <v>0</v>
      </c>
      <c r="M357">
        <f>SUMIF(TArticle[تاریخ],TDays[[#This Row],[تاریخ]],TArticle[افزایش بدهی])</f>
        <v>0</v>
      </c>
      <c r="N357">
        <f>-SUMIF(TArticle[تاریخ],TDays[[#This Row],[تاریخ]],TArticle[افزایش سرمایه])</f>
        <v>0</v>
      </c>
      <c r="O357">
        <f>SUMIF(TArticle[تاریخ],TDays[[#This Row],[تاریخ]],TArticle[تعداد تراکنش انجام شده])</f>
        <v>3</v>
      </c>
      <c r="P357">
        <f>INT(((TDays[[#This Row],[ماه]]-1)*31+TDays[[#This Row],[روز]]+1)/7)+1</f>
        <v>52</v>
      </c>
      <c r="Q357">
        <f>SUMIF(TArticle[تاریخ],TDays[[#This Row],[تاریخ]],TArticle[تراکنش برنامه ریزی شده])</f>
        <v>0</v>
      </c>
    </row>
    <row r="358" spans="1:17" x14ac:dyDescent="0.25">
      <c r="A358" s="3" t="s">
        <v>549</v>
      </c>
      <c r="B358" t="str">
        <f>RIGHT(TDays[[#This Row],[تاریخ]],2)</f>
        <v>21</v>
      </c>
      <c r="C358" t="str">
        <f>RIGHT(LEFT(TDays[[#This Row],[تاریخ]],7),2)</f>
        <v>12</v>
      </c>
      <c r="D358" t="str">
        <f>LEFT(TDays[[#This Row],[تاریخ]],4)</f>
        <v>1401</v>
      </c>
      <c r="E358" t="str">
        <f>LEFT(TDays[[#This Row],[تاریخ]],7)</f>
        <v>1401-12</v>
      </c>
      <c r="F358">
        <v>1</v>
      </c>
      <c r="G358" s="15" t="str">
        <f>VLOOKUP(TDays[[#This Row],[کد روز هفته]],TDaysOfTheWeek[],2,FALSE)</f>
        <v>یکشنبه</v>
      </c>
      <c r="H358" s="15">
        <f>IFERROR(IF(E357&lt;&gt;E358,1,INT(H357)+IF(TDays[[#This Row],[کد روز هفته]]=0,1,0)),1)</f>
        <v>4</v>
      </c>
      <c r="I358">
        <f>-SUMIF(TArticle[تاریخ],TDays[[#This Row],[تاریخ]],TArticle[هزینه])</f>
        <v>5500</v>
      </c>
      <c r="J358">
        <f>SUMIF(TArticle[تاریخ],TDays[[#This Row],[تاریخ]],TArticle[درآمد تتا])</f>
        <v>0</v>
      </c>
      <c r="K358">
        <f>SUMIF(TArticle[تاریخ],TDays[[#This Row],[تاریخ]],TArticle[اسنپ])</f>
        <v>0</v>
      </c>
      <c r="L358">
        <f>-SUMIF(TArticle[تاریخ],TDays[[#This Row],[تاریخ]],TArticle[پرداخت بدهی])</f>
        <v>0</v>
      </c>
      <c r="M358">
        <f>SUMIF(TArticle[تاریخ],TDays[[#This Row],[تاریخ]],TArticle[افزایش بدهی])</f>
        <v>0</v>
      </c>
      <c r="N358">
        <f>-SUMIF(TArticle[تاریخ],TDays[[#This Row],[تاریخ]],TArticle[افزایش سرمایه])</f>
        <v>0</v>
      </c>
      <c r="O358">
        <f>SUMIF(TArticle[تاریخ],TDays[[#This Row],[تاریخ]],TArticle[تعداد تراکنش انجام شده])</f>
        <v>4</v>
      </c>
      <c r="P358">
        <f>INT(((TDays[[#This Row],[ماه]]-1)*31+TDays[[#This Row],[روز]]+1)/7)+1</f>
        <v>52</v>
      </c>
      <c r="Q358">
        <f>SUMIF(TArticle[تاریخ],TDays[[#This Row],[تاریخ]],TArticle[تراکنش برنامه ریزی شده])</f>
        <v>0</v>
      </c>
    </row>
    <row r="359" spans="1:17" x14ac:dyDescent="0.25">
      <c r="A359" s="3" t="s">
        <v>550</v>
      </c>
      <c r="B359" t="str">
        <f>RIGHT(TDays[[#This Row],[تاریخ]],2)</f>
        <v>22</v>
      </c>
      <c r="C359" t="str">
        <f>RIGHT(LEFT(TDays[[#This Row],[تاریخ]],7),2)</f>
        <v>12</v>
      </c>
      <c r="D359" t="str">
        <f>LEFT(TDays[[#This Row],[تاریخ]],4)</f>
        <v>1401</v>
      </c>
      <c r="E359" t="str">
        <f>LEFT(TDays[[#This Row],[تاریخ]],7)</f>
        <v>1401-12</v>
      </c>
      <c r="F359">
        <v>2</v>
      </c>
      <c r="G359" s="15" t="str">
        <f>VLOOKUP(TDays[[#This Row],[کد روز هفته]],TDaysOfTheWeek[],2,FALSE)</f>
        <v>دوشنبه</v>
      </c>
      <c r="H359" s="15">
        <f>IFERROR(IF(E358&lt;&gt;E359,1,INT(H358)+IF(TDays[[#This Row],[کد روز هفته]]=0,1,0)),1)</f>
        <v>4</v>
      </c>
      <c r="I359">
        <f>-SUMIF(TArticle[تاریخ],TDays[[#This Row],[تاریخ]],TArticle[هزینه])</f>
        <v>2745</v>
      </c>
      <c r="J359">
        <f>SUMIF(TArticle[تاریخ],TDays[[#This Row],[تاریخ]],TArticle[درآمد تتا])</f>
        <v>0</v>
      </c>
      <c r="K359">
        <f>SUMIF(TArticle[تاریخ],TDays[[#This Row],[تاریخ]],TArticle[اسنپ])</f>
        <v>0</v>
      </c>
      <c r="L359">
        <f>-SUMIF(TArticle[تاریخ],TDays[[#This Row],[تاریخ]],TArticle[پرداخت بدهی])</f>
        <v>0</v>
      </c>
      <c r="M359">
        <f>SUMIF(TArticle[تاریخ],TDays[[#This Row],[تاریخ]],TArticle[افزایش بدهی])</f>
        <v>0</v>
      </c>
      <c r="N359">
        <f>-SUMIF(TArticle[تاریخ],TDays[[#This Row],[تاریخ]],TArticle[افزایش سرمایه])</f>
        <v>0</v>
      </c>
      <c r="O359">
        <f>SUMIF(TArticle[تاریخ],TDays[[#This Row],[تاریخ]],TArticle[تعداد تراکنش انجام شده])</f>
        <v>1</v>
      </c>
      <c r="P359">
        <f>INT(((TDays[[#This Row],[ماه]]-1)*31+TDays[[#This Row],[روز]]+1)/7)+1</f>
        <v>53</v>
      </c>
      <c r="Q359">
        <f>SUMIF(TArticle[تاریخ],TDays[[#This Row],[تاریخ]],TArticle[تراکنش برنامه ریزی شده])</f>
        <v>0</v>
      </c>
    </row>
    <row r="360" spans="1:17" x14ac:dyDescent="0.25">
      <c r="A360" s="3" t="s">
        <v>551</v>
      </c>
      <c r="B360" t="str">
        <f>RIGHT(TDays[[#This Row],[تاریخ]],2)</f>
        <v>23</v>
      </c>
      <c r="C360" t="str">
        <f>RIGHT(LEFT(TDays[[#This Row],[تاریخ]],7),2)</f>
        <v>12</v>
      </c>
      <c r="D360" t="str">
        <f>LEFT(TDays[[#This Row],[تاریخ]],4)</f>
        <v>1401</v>
      </c>
      <c r="E360" t="str">
        <f>LEFT(TDays[[#This Row],[تاریخ]],7)</f>
        <v>1401-12</v>
      </c>
      <c r="F360">
        <v>3</v>
      </c>
      <c r="G360" s="15" t="str">
        <f>VLOOKUP(TDays[[#This Row],[کد روز هفته]],TDaysOfTheWeek[],2,FALSE)</f>
        <v>سه شنبه</v>
      </c>
      <c r="H360" s="15">
        <f>IFERROR(IF(E359&lt;&gt;E360,1,INT(H359)+IF(TDays[[#This Row],[کد روز هفته]]=0,1,0)),1)</f>
        <v>4</v>
      </c>
      <c r="I360">
        <f>-SUMIF(TArticle[تاریخ],TDays[[#This Row],[تاریخ]],TArticle[هزینه])</f>
        <v>0</v>
      </c>
      <c r="J360">
        <f>SUMIF(TArticle[تاریخ],TDays[[#This Row],[تاریخ]],TArticle[درآمد تتا])</f>
        <v>0</v>
      </c>
      <c r="K360">
        <f>SUMIF(TArticle[تاریخ],TDays[[#This Row],[تاریخ]],TArticle[اسنپ])</f>
        <v>0</v>
      </c>
      <c r="L360">
        <f>-SUMIF(TArticle[تاریخ],TDays[[#This Row],[تاریخ]],TArticle[پرداخت بدهی])</f>
        <v>1808</v>
      </c>
      <c r="M360">
        <f>SUMIF(TArticle[تاریخ],TDays[[#This Row],[تاریخ]],TArticle[افزایش بدهی])</f>
        <v>0</v>
      </c>
      <c r="N360">
        <f>-SUMIF(TArticle[تاریخ],TDays[[#This Row],[تاریخ]],TArticle[افزایش سرمایه])</f>
        <v>0</v>
      </c>
      <c r="O360">
        <f>SUMIF(TArticle[تاریخ],TDays[[#This Row],[تاریخ]],TArticle[تعداد تراکنش انجام شده])</f>
        <v>2</v>
      </c>
      <c r="P360">
        <f>INT(((TDays[[#This Row],[ماه]]-1)*31+TDays[[#This Row],[روز]]+1)/7)+1</f>
        <v>53</v>
      </c>
      <c r="Q360">
        <f>SUMIF(TArticle[تاریخ],TDays[[#This Row],[تاریخ]],TArticle[تراکنش برنامه ریزی شده])</f>
        <v>0</v>
      </c>
    </row>
    <row r="361" spans="1:17" x14ac:dyDescent="0.25">
      <c r="A361" s="3" t="s">
        <v>552</v>
      </c>
      <c r="B361" t="str">
        <f>RIGHT(TDays[[#This Row],[تاریخ]],2)</f>
        <v>24</v>
      </c>
      <c r="C361" t="str">
        <f>RIGHT(LEFT(TDays[[#This Row],[تاریخ]],7),2)</f>
        <v>12</v>
      </c>
      <c r="D361" t="str">
        <f>LEFT(TDays[[#This Row],[تاریخ]],4)</f>
        <v>1401</v>
      </c>
      <c r="E361" t="str">
        <f>LEFT(TDays[[#This Row],[تاریخ]],7)</f>
        <v>1401-12</v>
      </c>
      <c r="F361">
        <v>4</v>
      </c>
      <c r="G361" s="15" t="str">
        <f>VLOOKUP(TDays[[#This Row],[کد روز هفته]],TDaysOfTheWeek[],2,FALSE)</f>
        <v>چهارشنبه</v>
      </c>
      <c r="H361" s="15">
        <f>IFERROR(IF(E360&lt;&gt;E361,1,INT(H360)+IF(TDays[[#This Row],[کد روز هفته]]=0,1,0)),1)</f>
        <v>4</v>
      </c>
      <c r="I361">
        <f>-SUMIF(TArticle[تاریخ],TDays[[#This Row],[تاریخ]],TArticle[هزینه])</f>
        <v>19118</v>
      </c>
      <c r="J361">
        <f>SUMIF(TArticle[تاریخ],TDays[[#This Row],[تاریخ]],TArticle[درآمد تتا])</f>
        <v>0</v>
      </c>
      <c r="K361">
        <f>SUMIF(TArticle[تاریخ],TDays[[#This Row],[تاریخ]],TArticle[اسنپ])</f>
        <v>0</v>
      </c>
      <c r="L361">
        <f>-SUMIF(TArticle[تاریخ],TDays[[#This Row],[تاریخ]],TArticle[پرداخت بدهی])</f>
        <v>0</v>
      </c>
      <c r="M361">
        <f>SUMIF(TArticle[تاریخ],TDays[[#This Row],[تاریخ]],TArticle[افزایش بدهی])</f>
        <v>0</v>
      </c>
      <c r="N361">
        <f>-SUMIF(TArticle[تاریخ],TDays[[#This Row],[تاریخ]],TArticle[افزایش سرمایه])</f>
        <v>0</v>
      </c>
      <c r="O361">
        <f>SUMIF(TArticle[تاریخ],TDays[[#This Row],[تاریخ]],TArticle[تعداد تراکنش انجام شده])</f>
        <v>1</v>
      </c>
      <c r="P361">
        <f>INT(((TDays[[#This Row],[ماه]]-1)*31+TDays[[#This Row],[روز]]+1)/7)+1</f>
        <v>53</v>
      </c>
      <c r="Q361">
        <f>SUMIF(TArticle[تاریخ],TDays[[#This Row],[تاریخ]],TArticle[تراکنش برنامه ریزی شده])</f>
        <v>0</v>
      </c>
    </row>
    <row r="362" spans="1:17" x14ac:dyDescent="0.25">
      <c r="A362" s="3" t="s">
        <v>553</v>
      </c>
      <c r="B362" t="str">
        <f>RIGHT(TDays[[#This Row],[تاریخ]],2)</f>
        <v>25</v>
      </c>
      <c r="C362" t="str">
        <f>RIGHT(LEFT(TDays[[#This Row],[تاریخ]],7),2)</f>
        <v>12</v>
      </c>
      <c r="D362" t="str">
        <f>LEFT(TDays[[#This Row],[تاریخ]],4)</f>
        <v>1401</v>
      </c>
      <c r="E362" t="str">
        <f>LEFT(TDays[[#This Row],[تاریخ]],7)</f>
        <v>1401-12</v>
      </c>
      <c r="F362">
        <v>5</v>
      </c>
      <c r="G362" s="15" t="str">
        <f>VLOOKUP(TDays[[#This Row],[کد روز هفته]],TDaysOfTheWeek[],2,FALSE)</f>
        <v>پنجشنبه</v>
      </c>
      <c r="H362" s="15">
        <f>IFERROR(IF(E361&lt;&gt;E362,1,INT(H361)+IF(TDays[[#This Row],[کد روز هفته]]=0,1,0)),1)</f>
        <v>4</v>
      </c>
      <c r="I362">
        <f>-SUMIF(TArticle[تاریخ],TDays[[#This Row],[تاریخ]],TArticle[هزینه])</f>
        <v>0</v>
      </c>
      <c r="J362">
        <f>SUMIF(TArticle[تاریخ],TDays[[#This Row],[تاریخ]],TArticle[درآمد تتا])</f>
        <v>26678</v>
      </c>
      <c r="K362">
        <f>SUMIF(TArticle[تاریخ],TDays[[#This Row],[تاریخ]],TArticle[اسنپ])</f>
        <v>0</v>
      </c>
      <c r="L362">
        <f>-SUMIF(TArticle[تاریخ],TDays[[#This Row],[تاریخ]],TArticle[پرداخت بدهی])</f>
        <v>0</v>
      </c>
      <c r="M362">
        <f>SUMIF(TArticle[تاریخ],TDays[[#This Row],[تاریخ]],TArticle[افزایش بدهی])</f>
        <v>0</v>
      </c>
      <c r="N362">
        <f>-SUMIF(TArticle[تاریخ],TDays[[#This Row],[تاریخ]],TArticle[افزایش سرمایه])</f>
        <v>0</v>
      </c>
      <c r="O362">
        <f>SUMIF(TArticle[تاریخ],TDays[[#This Row],[تاریخ]],TArticle[تعداد تراکنش انجام شده])</f>
        <v>1</v>
      </c>
      <c r="P362">
        <f>INT(((TDays[[#This Row],[ماه]]-1)*31+TDays[[#This Row],[روز]]+1)/7)+1</f>
        <v>53</v>
      </c>
      <c r="Q362">
        <f>SUMIF(TArticle[تاریخ],TDays[[#This Row],[تاریخ]],TArticle[تراکنش برنامه ریزی شده])</f>
        <v>0</v>
      </c>
    </row>
    <row r="363" spans="1:17" x14ac:dyDescent="0.25">
      <c r="A363" s="3" t="s">
        <v>554</v>
      </c>
      <c r="B363" t="str">
        <f>RIGHT(TDays[[#This Row],[تاریخ]],2)</f>
        <v>26</v>
      </c>
      <c r="C363" t="str">
        <f>RIGHT(LEFT(TDays[[#This Row],[تاریخ]],7),2)</f>
        <v>12</v>
      </c>
      <c r="D363" t="str">
        <f>LEFT(TDays[[#This Row],[تاریخ]],4)</f>
        <v>1401</v>
      </c>
      <c r="E363" t="str">
        <f>LEFT(TDays[[#This Row],[تاریخ]],7)</f>
        <v>1401-12</v>
      </c>
      <c r="F363">
        <v>6</v>
      </c>
      <c r="G363" s="15" t="str">
        <f>VLOOKUP(TDays[[#This Row],[کد روز هفته]],TDaysOfTheWeek[],2,FALSE)</f>
        <v>جمعه</v>
      </c>
      <c r="H363" s="15">
        <f>IFERROR(IF(E362&lt;&gt;E363,1,INT(H362)+IF(TDays[[#This Row],[کد روز هفته]]=0,1,0)),1)</f>
        <v>4</v>
      </c>
      <c r="I363">
        <f>-SUMIF(TArticle[تاریخ],TDays[[#This Row],[تاریخ]],TArticle[هزینه])</f>
        <v>0</v>
      </c>
      <c r="J363">
        <f>SUMIF(TArticle[تاریخ],TDays[[#This Row],[تاریخ]],TArticle[درآمد تتا])</f>
        <v>0</v>
      </c>
      <c r="K363">
        <f>SUMIF(TArticle[تاریخ],TDays[[#This Row],[تاریخ]],TArticle[اسنپ])</f>
        <v>0</v>
      </c>
      <c r="L363">
        <f>-SUMIF(TArticle[تاریخ],TDays[[#This Row],[تاریخ]],TArticle[پرداخت بدهی])</f>
        <v>0</v>
      </c>
      <c r="M363">
        <f>SUMIF(TArticle[تاریخ],TDays[[#This Row],[تاریخ]],TArticle[افزایش بدهی])</f>
        <v>0</v>
      </c>
      <c r="N363">
        <f>-SUMIF(TArticle[تاریخ],TDays[[#This Row],[تاریخ]],TArticle[افزایش سرمایه])</f>
        <v>0</v>
      </c>
      <c r="O363">
        <f>SUMIF(TArticle[تاریخ],TDays[[#This Row],[تاریخ]],TArticle[تعداد تراکنش انجام شده])</f>
        <v>0</v>
      </c>
      <c r="P363">
        <f>INT(((TDays[[#This Row],[ماه]]-1)*31+TDays[[#This Row],[روز]]+1)/7)+1</f>
        <v>53</v>
      </c>
      <c r="Q363">
        <f>SUMIF(TArticle[تاریخ],TDays[[#This Row],[تاریخ]],TArticle[تراکنش برنامه ریزی شده])</f>
        <v>0</v>
      </c>
    </row>
    <row r="364" spans="1:17" x14ac:dyDescent="0.25">
      <c r="A364" s="3" t="s">
        <v>555</v>
      </c>
      <c r="B364" t="str">
        <f>RIGHT(TDays[[#This Row],[تاریخ]],2)</f>
        <v>27</v>
      </c>
      <c r="C364" t="str">
        <f>RIGHT(LEFT(TDays[[#This Row],[تاریخ]],7),2)</f>
        <v>12</v>
      </c>
      <c r="D364" t="str">
        <f>LEFT(TDays[[#This Row],[تاریخ]],4)</f>
        <v>1401</v>
      </c>
      <c r="E364" t="str">
        <f>LEFT(TDays[[#This Row],[تاریخ]],7)</f>
        <v>1401-12</v>
      </c>
      <c r="F364">
        <v>0</v>
      </c>
      <c r="G364" s="15" t="str">
        <f>VLOOKUP(TDays[[#This Row],[کد روز هفته]],TDaysOfTheWeek[],2,FALSE)</f>
        <v>شنبه</v>
      </c>
      <c r="H364" s="15">
        <f>IFERROR(IF(E363&lt;&gt;E364,1,INT(H363)+IF(TDays[[#This Row],[کد روز هفته]]=0,1,0)),1)</f>
        <v>5</v>
      </c>
      <c r="I364">
        <f>-SUMIF(TArticle[تاریخ],TDays[[#This Row],[تاریخ]],TArticle[هزینه])</f>
        <v>22691</v>
      </c>
      <c r="J364">
        <f>SUMIF(TArticle[تاریخ],TDays[[#This Row],[تاریخ]],TArticle[درآمد تتا])</f>
        <v>0</v>
      </c>
      <c r="K364">
        <f>SUMIF(TArticle[تاریخ],TDays[[#This Row],[تاریخ]],TArticle[اسنپ])</f>
        <v>0</v>
      </c>
      <c r="L364">
        <f>-SUMIF(TArticle[تاریخ],TDays[[#This Row],[تاریخ]],TArticle[پرداخت بدهی])</f>
        <v>0</v>
      </c>
      <c r="M364">
        <f>SUMIF(TArticle[تاریخ],TDays[[#This Row],[تاریخ]],TArticle[افزایش بدهی])</f>
        <v>0</v>
      </c>
      <c r="N364">
        <f>-SUMIF(TArticle[تاریخ],TDays[[#This Row],[تاریخ]],TArticle[افزایش سرمایه])</f>
        <v>0</v>
      </c>
      <c r="O364">
        <f>SUMIF(TArticle[تاریخ],TDays[[#This Row],[تاریخ]],TArticle[تعداد تراکنش انجام شده])</f>
        <v>2</v>
      </c>
      <c r="P364">
        <f>INT(((TDays[[#This Row],[ماه]]-1)*31+TDays[[#This Row],[روز]]+1)/7)+1</f>
        <v>53</v>
      </c>
      <c r="Q364">
        <f>SUMIF(TArticle[تاریخ],TDays[[#This Row],[تاریخ]],TArticle[تراکنش برنامه ریزی شده])</f>
        <v>0</v>
      </c>
    </row>
    <row r="365" spans="1:17" x14ac:dyDescent="0.25">
      <c r="A365" s="3" t="s">
        <v>556</v>
      </c>
      <c r="B365" t="str">
        <f>RIGHT(TDays[[#This Row],[تاریخ]],2)</f>
        <v>28</v>
      </c>
      <c r="C365" t="str">
        <f>RIGHT(LEFT(TDays[[#This Row],[تاریخ]],7),2)</f>
        <v>12</v>
      </c>
      <c r="D365" t="str">
        <f>LEFT(TDays[[#This Row],[تاریخ]],4)</f>
        <v>1401</v>
      </c>
      <c r="E365" t="str">
        <f>LEFT(TDays[[#This Row],[تاریخ]],7)</f>
        <v>1401-12</v>
      </c>
      <c r="F365">
        <v>1</v>
      </c>
      <c r="G365" s="15" t="str">
        <f>VLOOKUP(TDays[[#This Row],[کد روز هفته]],TDaysOfTheWeek[],2,FALSE)</f>
        <v>یکشنبه</v>
      </c>
      <c r="H365" s="15">
        <f>IFERROR(IF(E364&lt;&gt;E365,1,INT(H364)+IF(TDays[[#This Row],[کد روز هفته]]=0,1,0)),1)</f>
        <v>5</v>
      </c>
      <c r="I365">
        <f>-SUMIF(TArticle[تاریخ],TDays[[#This Row],[تاریخ]],TArticle[هزینه])</f>
        <v>4848</v>
      </c>
      <c r="J365">
        <f>SUMIF(TArticle[تاریخ],TDays[[#This Row],[تاریخ]],TArticle[درآمد تتا])</f>
        <v>0</v>
      </c>
      <c r="K365">
        <f>SUMIF(TArticle[تاریخ],TDays[[#This Row],[تاریخ]],TArticle[اسنپ])</f>
        <v>0</v>
      </c>
      <c r="L365">
        <f>-SUMIF(TArticle[تاریخ],TDays[[#This Row],[تاریخ]],TArticle[پرداخت بدهی])</f>
        <v>0</v>
      </c>
      <c r="M365">
        <f>SUMIF(TArticle[تاریخ],TDays[[#This Row],[تاریخ]],TArticle[افزایش بدهی])</f>
        <v>0</v>
      </c>
      <c r="N365">
        <f>-SUMIF(TArticle[تاریخ],TDays[[#This Row],[تاریخ]],TArticle[افزایش سرمایه])</f>
        <v>0</v>
      </c>
      <c r="O365">
        <f>SUMIF(TArticle[تاریخ],TDays[[#This Row],[تاریخ]],TArticle[تعداد تراکنش انجام شده])</f>
        <v>2</v>
      </c>
      <c r="P365">
        <f>INT(((TDays[[#This Row],[ماه]]-1)*31+TDays[[#This Row],[روز]]+1)/7)+1</f>
        <v>53</v>
      </c>
      <c r="Q365">
        <f>SUMIF(TArticle[تاریخ],TDays[[#This Row],[تاریخ]],TArticle[تراکنش برنامه ریزی شده])</f>
        <v>0</v>
      </c>
    </row>
    <row r="366" spans="1:17" x14ac:dyDescent="0.25">
      <c r="A366" s="3" t="s">
        <v>557</v>
      </c>
      <c r="B366" t="str">
        <f>RIGHT(TDays[[#This Row],[تاریخ]],2)</f>
        <v>29</v>
      </c>
      <c r="C366" t="str">
        <f>RIGHT(LEFT(TDays[[#This Row],[تاریخ]],7),2)</f>
        <v>12</v>
      </c>
      <c r="D366" t="str">
        <f>LEFT(TDays[[#This Row],[تاریخ]],4)</f>
        <v>1401</v>
      </c>
      <c r="E366" t="str">
        <f>LEFT(TDays[[#This Row],[تاریخ]],7)</f>
        <v>1401-12</v>
      </c>
      <c r="F366">
        <v>2</v>
      </c>
      <c r="G366" s="15" t="str">
        <f>VLOOKUP(TDays[[#This Row],[کد روز هفته]],TDaysOfTheWeek[],2,FALSE)</f>
        <v>دوشنبه</v>
      </c>
      <c r="H366" s="15">
        <f>IFERROR(IF(E365&lt;&gt;E366,1,INT(H365)+IF(TDays[[#This Row],[کد روز هفته]]=0,1,0)),1)</f>
        <v>5</v>
      </c>
      <c r="I366">
        <f>-SUMIF(TArticle[تاریخ],TDays[[#This Row],[تاریخ]],TArticle[هزینه])</f>
        <v>2822</v>
      </c>
      <c r="J366">
        <f>SUMIF(TArticle[تاریخ],TDays[[#This Row],[تاریخ]],TArticle[درآمد تتا])</f>
        <v>0</v>
      </c>
      <c r="K366">
        <f>SUMIF(TArticle[تاریخ],TDays[[#This Row],[تاریخ]],TArticle[اسنپ])</f>
        <v>0</v>
      </c>
      <c r="L366">
        <f>-SUMIF(TArticle[تاریخ],TDays[[#This Row],[تاریخ]],TArticle[پرداخت بدهی])</f>
        <v>0</v>
      </c>
      <c r="M366">
        <f>SUMIF(TArticle[تاریخ],TDays[[#This Row],[تاریخ]],TArticle[افزایش بدهی])</f>
        <v>0</v>
      </c>
      <c r="N366">
        <f>-SUMIF(TArticle[تاریخ],TDays[[#This Row],[تاریخ]],TArticle[افزایش سرمایه])</f>
        <v>0</v>
      </c>
      <c r="O366">
        <f>SUMIF(TArticle[تاریخ],TDays[[#This Row],[تاریخ]],TArticle[تعداد تراکنش انجام شده])</f>
        <v>6</v>
      </c>
      <c r="P366">
        <f>INT(((TDays[[#This Row],[ماه]]-1)*31+TDays[[#This Row],[روز]]+1)/7)+1</f>
        <v>54</v>
      </c>
      <c r="Q366">
        <f>SUMIF(TArticle[تاریخ],TDays[[#This Row],[تاریخ]],TArticle[تراکنش برنامه ریزی شده])</f>
        <v>0</v>
      </c>
    </row>
    <row r="367" spans="1:17" x14ac:dyDescent="0.25">
      <c r="A367" s="3" t="s">
        <v>558</v>
      </c>
      <c r="B367" t="str">
        <f>RIGHT(TDays[[#This Row],[تاریخ]],2)</f>
        <v>01</v>
      </c>
      <c r="C367" t="str">
        <f>RIGHT(LEFT(TDays[[#This Row],[تاریخ]],7),2)</f>
        <v>01</v>
      </c>
      <c r="D367" t="str">
        <f>LEFT(TDays[[#This Row],[تاریخ]],4)</f>
        <v>1402</v>
      </c>
      <c r="E367" t="str">
        <f>LEFT(TDays[[#This Row],[تاریخ]],7)</f>
        <v>1402-01</v>
      </c>
      <c r="F367">
        <v>3</v>
      </c>
      <c r="G367" s="15" t="str">
        <f>VLOOKUP(TDays[[#This Row],[کد روز هفته]],TDaysOfTheWeek[],2,FALSE)</f>
        <v>سه شنبه</v>
      </c>
      <c r="H367" s="15">
        <f>IFERROR(IF(E366&lt;&gt;E367,1,INT(H366)+IF(TDays[[#This Row],[کد روز هفته]]=0,1,0)),1)</f>
        <v>1</v>
      </c>
      <c r="I367">
        <f>-SUMIF(TArticle[تاریخ],TDays[[#This Row],[تاریخ]],TArticle[هزینه])</f>
        <v>448</v>
      </c>
      <c r="J367">
        <f>SUMIF(TArticle[تاریخ],TDays[[#This Row],[تاریخ]],TArticle[درآمد تتا])</f>
        <v>0</v>
      </c>
      <c r="K367">
        <f>SUMIF(TArticle[تاریخ],TDays[[#This Row],[تاریخ]],TArticle[اسنپ])</f>
        <v>0</v>
      </c>
      <c r="L367">
        <f>-SUMIF(TArticle[تاریخ],TDays[[#This Row],[تاریخ]],TArticle[پرداخت بدهی])</f>
        <v>0</v>
      </c>
      <c r="M367">
        <f>SUMIF(TArticle[تاریخ],TDays[[#This Row],[تاریخ]],TArticle[افزایش بدهی])</f>
        <v>0</v>
      </c>
      <c r="N367">
        <f>-SUMIF(TArticle[تاریخ],TDays[[#This Row],[تاریخ]],TArticle[افزایش سرمایه])</f>
        <v>0</v>
      </c>
      <c r="O367">
        <f>SUMIF(TArticle[تاریخ],TDays[[#This Row],[تاریخ]],TArticle[تعداد تراکنش انجام شده])</f>
        <v>3</v>
      </c>
      <c r="P367">
        <f>INT(((TDays[[#This Row],[ماه]]-1)*31+TDays[[#This Row],[روز]]+1)/7)+1</f>
        <v>1</v>
      </c>
      <c r="Q367">
        <f>SUMIF(TArticle[تاریخ],TDays[[#This Row],[تاریخ]],TArticle[تراکنش برنامه ریزی شده])</f>
        <v>1</v>
      </c>
    </row>
    <row r="368" spans="1:17" x14ac:dyDescent="0.25">
      <c r="A368" s="3" t="s">
        <v>559</v>
      </c>
      <c r="B368" t="str">
        <f>RIGHT(TDays[[#This Row],[تاریخ]],2)</f>
        <v>02</v>
      </c>
      <c r="C368" t="str">
        <f>RIGHT(LEFT(TDays[[#This Row],[تاریخ]],7),2)</f>
        <v>01</v>
      </c>
      <c r="D368" t="str">
        <f>LEFT(TDays[[#This Row],[تاریخ]],4)</f>
        <v>1402</v>
      </c>
      <c r="E368" t="str">
        <f>LEFT(TDays[[#This Row],[تاریخ]],7)</f>
        <v>1402-01</v>
      </c>
      <c r="F368">
        <v>4</v>
      </c>
      <c r="G368" s="15" t="str">
        <f>VLOOKUP(TDays[[#This Row],[کد روز هفته]],TDaysOfTheWeek[],2,FALSE)</f>
        <v>چهارشنبه</v>
      </c>
      <c r="H368" s="15">
        <f>IFERROR(IF(E367&lt;&gt;E368,1,INT(H367)+IF(TDays[[#This Row],[کد روز هفته]]=0,1,0)),1)</f>
        <v>1</v>
      </c>
      <c r="I368">
        <f>-SUMIF(TArticle[تاریخ],TDays[[#This Row],[تاریخ]],TArticle[هزینه])</f>
        <v>290</v>
      </c>
      <c r="J368">
        <f>SUMIF(TArticle[تاریخ],TDays[[#This Row],[تاریخ]],TArticle[درآمد تتا])</f>
        <v>0</v>
      </c>
      <c r="K368">
        <f>SUMIF(TArticle[تاریخ],TDays[[#This Row],[تاریخ]],TArticle[اسنپ])</f>
        <v>0</v>
      </c>
      <c r="L368">
        <f>-SUMIF(TArticle[تاریخ],TDays[[#This Row],[تاریخ]],TArticle[پرداخت بدهی])</f>
        <v>0</v>
      </c>
      <c r="M368">
        <f>SUMIF(TArticle[تاریخ],TDays[[#This Row],[تاریخ]],TArticle[افزایش بدهی])</f>
        <v>0</v>
      </c>
      <c r="N368">
        <f>-SUMIF(TArticle[تاریخ],TDays[[#This Row],[تاریخ]],TArticle[افزایش سرمایه])</f>
        <v>0</v>
      </c>
      <c r="O368">
        <f>SUMIF(TArticle[تاریخ],TDays[[#This Row],[تاریخ]],TArticle[تعداد تراکنش انجام شده])</f>
        <v>6</v>
      </c>
      <c r="P368">
        <f>INT(((TDays[[#This Row],[ماه]]-1)*31+TDays[[#This Row],[روز]]+1)/7)+1</f>
        <v>1</v>
      </c>
      <c r="Q368">
        <f>SUMIF(TArticle[تاریخ],TDays[[#This Row],[تاریخ]],TArticle[تراکنش برنامه ریزی شده])</f>
        <v>0</v>
      </c>
    </row>
    <row r="369" spans="1:17" x14ac:dyDescent="0.25">
      <c r="A369" s="3" t="s">
        <v>560</v>
      </c>
      <c r="B369" t="str">
        <f>RIGHT(TDays[[#This Row],[تاریخ]],2)</f>
        <v>03</v>
      </c>
      <c r="C369" t="str">
        <f>RIGHT(LEFT(TDays[[#This Row],[تاریخ]],7),2)</f>
        <v>01</v>
      </c>
      <c r="D369" t="str">
        <f>LEFT(TDays[[#This Row],[تاریخ]],4)</f>
        <v>1402</v>
      </c>
      <c r="E369" t="str">
        <f>LEFT(TDays[[#This Row],[تاریخ]],7)</f>
        <v>1402-01</v>
      </c>
      <c r="F369">
        <v>5</v>
      </c>
      <c r="G369" s="15" t="str">
        <f>VLOOKUP(TDays[[#This Row],[کد روز هفته]],TDaysOfTheWeek[],2,FALSE)</f>
        <v>پنجشنبه</v>
      </c>
      <c r="H369" s="15">
        <f>IFERROR(IF(E368&lt;&gt;E369,1,INT(H368)+IF(TDays[[#This Row],[کد روز هفته]]=0,1,0)),1)</f>
        <v>1</v>
      </c>
      <c r="I369">
        <f>-SUMIF(TArticle[تاریخ],TDays[[#This Row],[تاریخ]],TArticle[هزینه])</f>
        <v>662</v>
      </c>
      <c r="J369">
        <f>SUMIF(TArticle[تاریخ],TDays[[#This Row],[تاریخ]],TArticle[درآمد تتا])</f>
        <v>0</v>
      </c>
      <c r="K369">
        <f>SUMIF(TArticle[تاریخ],TDays[[#This Row],[تاریخ]],TArticle[اسنپ])</f>
        <v>0</v>
      </c>
      <c r="L369">
        <f>-SUMIF(TArticle[تاریخ],TDays[[#This Row],[تاریخ]],TArticle[پرداخت بدهی])</f>
        <v>0</v>
      </c>
      <c r="M369">
        <f>SUMIF(TArticle[تاریخ],TDays[[#This Row],[تاریخ]],TArticle[افزایش بدهی])</f>
        <v>0</v>
      </c>
      <c r="N369">
        <f>-SUMIF(TArticle[تاریخ],TDays[[#This Row],[تاریخ]],TArticle[افزایش سرمایه])</f>
        <v>0</v>
      </c>
      <c r="O369">
        <f>SUMIF(TArticle[تاریخ],TDays[[#This Row],[تاریخ]],TArticle[تعداد تراکنش انجام شده])</f>
        <v>3</v>
      </c>
      <c r="P369">
        <f>INT(((TDays[[#This Row],[ماه]]-1)*31+TDays[[#This Row],[روز]]+1)/7)+1</f>
        <v>1</v>
      </c>
      <c r="Q369">
        <f>SUMIF(TArticle[تاریخ],TDays[[#This Row],[تاریخ]],TArticle[تراکنش برنامه ریزی شده])</f>
        <v>0</v>
      </c>
    </row>
    <row r="370" spans="1:17" x14ac:dyDescent="0.25">
      <c r="A370" s="3" t="s">
        <v>561</v>
      </c>
      <c r="B370" t="str">
        <f>RIGHT(TDays[[#This Row],[تاریخ]],2)</f>
        <v>04</v>
      </c>
      <c r="C370" t="str">
        <f>RIGHT(LEFT(TDays[[#This Row],[تاریخ]],7),2)</f>
        <v>01</v>
      </c>
      <c r="D370" t="str">
        <f>LEFT(TDays[[#This Row],[تاریخ]],4)</f>
        <v>1402</v>
      </c>
      <c r="E370" t="str">
        <f>LEFT(TDays[[#This Row],[تاریخ]],7)</f>
        <v>1402-01</v>
      </c>
      <c r="F370">
        <v>6</v>
      </c>
      <c r="G370" s="15" t="str">
        <f>VLOOKUP(TDays[[#This Row],[کد روز هفته]],TDaysOfTheWeek[],2,FALSE)</f>
        <v>جمعه</v>
      </c>
      <c r="H370" s="15">
        <f>IFERROR(IF(E369&lt;&gt;E370,1,INT(H369)+IF(TDays[[#This Row],[کد روز هفته]]=0,1,0)),1)</f>
        <v>1</v>
      </c>
      <c r="I370">
        <f>-SUMIF(TArticle[تاریخ],TDays[[#This Row],[تاریخ]],TArticle[هزینه])</f>
        <v>251</v>
      </c>
      <c r="J370">
        <f>SUMIF(TArticle[تاریخ],TDays[[#This Row],[تاریخ]],TArticle[درآمد تتا])</f>
        <v>0</v>
      </c>
      <c r="K370">
        <f>SUMIF(TArticle[تاریخ],TDays[[#This Row],[تاریخ]],TArticle[اسنپ])</f>
        <v>0</v>
      </c>
      <c r="L370">
        <f>-SUMIF(TArticle[تاریخ],TDays[[#This Row],[تاریخ]],TArticle[پرداخت بدهی])</f>
        <v>0</v>
      </c>
      <c r="M370">
        <f>SUMIF(TArticle[تاریخ],TDays[[#This Row],[تاریخ]],TArticle[افزایش بدهی])</f>
        <v>0</v>
      </c>
      <c r="N370">
        <f>-SUMIF(TArticle[تاریخ],TDays[[#This Row],[تاریخ]],TArticle[افزایش سرمایه])</f>
        <v>0</v>
      </c>
      <c r="O370">
        <f>SUMIF(TArticle[تاریخ],TDays[[#This Row],[تاریخ]],TArticle[تعداد تراکنش انجام شده])</f>
        <v>3</v>
      </c>
      <c r="P370">
        <f>INT(((TDays[[#This Row],[ماه]]-1)*31+TDays[[#This Row],[روز]]+1)/7)+1</f>
        <v>1</v>
      </c>
      <c r="Q370">
        <f>SUMIF(TArticle[تاریخ],TDays[[#This Row],[تاریخ]],TArticle[تراکنش برنامه ریزی شده])</f>
        <v>0</v>
      </c>
    </row>
    <row r="371" spans="1:17" x14ac:dyDescent="0.25">
      <c r="A371" s="3" t="s">
        <v>562</v>
      </c>
      <c r="B371" t="str">
        <f>RIGHT(TDays[[#This Row],[تاریخ]],2)</f>
        <v>05</v>
      </c>
      <c r="C371" t="str">
        <f>RIGHT(LEFT(TDays[[#This Row],[تاریخ]],7),2)</f>
        <v>01</v>
      </c>
      <c r="D371" t="str">
        <f>LEFT(TDays[[#This Row],[تاریخ]],4)</f>
        <v>1402</v>
      </c>
      <c r="E371" t="str">
        <f>LEFT(TDays[[#This Row],[تاریخ]],7)</f>
        <v>1402-01</v>
      </c>
      <c r="F371">
        <v>0</v>
      </c>
      <c r="G371" s="15" t="str">
        <f>VLOOKUP(TDays[[#This Row],[کد روز هفته]],TDaysOfTheWeek[],2,FALSE)</f>
        <v>شنبه</v>
      </c>
      <c r="H371" s="15">
        <f>IFERROR(IF(E370&lt;&gt;E371,1,INT(H370)+IF(TDays[[#This Row],[کد روز هفته]]=0,1,0)),1)</f>
        <v>2</v>
      </c>
      <c r="I371">
        <f>-SUMIF(TArticle[تاریخ],TDays[[#This Row],[تاریخ]],TArticle[هزینه])</f>
        <v>0</v>
      </c>
      <c r="J371">
        <f>SUMIF(TArticle[تاریخ],TDays[[#This Row],[تاریخ]],TArticle[درآمد تتا])</f>
        <v>0</v>
      </c>
      <c r="K371">
        <f>SUMIF(TArticle[تاریخ],TDays[[#This Row],[تاریخ]],TArticle[اسنپ])</f>
        <v>0</v>
      </c>
      <c r="L371">
        <f>-SUMIF(TArticle[تاریخ],TDays[[#This Row],[تاریخ]],TArticle[پرداخت بدهی])</f>
        <v>0</v>
      </c>
      <c r="M371">
        <f>SUMIF(TArticle[تاریخ],TDays[[#This Row],[تاریخ]],TArticle[افزایش بدهی])</f>
        <v>0</v>
      </c>
      <c r="N371">
        <f>-SUMIF(TArticle[تاریخ],TDays[[#This Row],[تاریخ]],TArticle[افزایش سرمایه])</f>
        <v>0</v>
      </c>
      <c r="O371">
        <f>SUMIF(TArticle[تاریخ],TDays[[#This Row],[تاریخ]],TArticle[تعداد تراکنش انجام شده])</f>
        <v>0</v>
      </c>
      <c r="P371">
        <f>INT(((TDays[[#This Row],[ماه]]-1)*31+TDays[[#This Row],[روز]]+1)/7)+1</f>
        <v>1</v>
      </c>
      <c r="Q371">
        <f>SUMIF(TArticle[تاریخ],TDays[[#This Row],[تاریخ]],TArticle[تراکنش برنامه ریزی شده])</f>
        <v>0</v>
      </c>
    </row>
    <row r="372" spans="1:17" x14ac:dyDescent="0.25">
      <c r="A372" s="3" t="s">
        <v>563</v>
      </c>
      <c r="B372" t="str">
        <f>RIGHT(TDays[[#This Row],[تاریخ]],2)</f>
        <v>06</v>
      </c>
      <c r="C372" t="str">
        <f>RIGHT(LEFT(TDays[[#This Row],[تاریخ]],7),2)</f>
        <v>01</v>
      </c>
      <c r="D372" t="str">
        <f>LEFT(TDays[[#This Row],[تاریخ]],4)</f>
        <v>1402</v>
      </c>
      <c r="E372" t="str">
        <f>LEFT(TDays[[#This Row],[تاریخ]],7)</f>
        <v>1402-01</v>
      </c>
      <c r="F372">
        <v>1</v>
      </c>
      <c r="G372" s="15" t="str">
        <f>VLOOKUP(TDays[[#This Row],[کد روز هفته]],TDaysOfTheWeek[],2,FALSE)</f>
        <v>یکشنبه</v>
      </c>
      <c r="H372" s="15">
        <f>IFERROR(IF(E371&lt;&gt;E372,1,INT(H371)+IF(TDays[[#This Row],[کد روز هفته]]=0,1,0)),1)</f>
        <v>2</v>
      </c>
      <c r="I372">
        <f>-SUMIF(TArticle[تاریخ],TDays[[#This Row],[تاریخ]],TArticle[هزینه])</f>
        <v>0</v>
      </c>
      <c r="J372">
        <f>SUMIF(TArticle[تاریخ],TDays[[#This Row],[تاریخ]],TArticle[درآمد تتا])</f>
        <v>0</v>
      </c>
      <c r="K372">
        <f>SUMIF(TArticle[تاریخ],TDays[[#This Row],[تاریخ]],TArticle[اسنپ])</f>
        <v>0</v>
      </c>
      <c r="L372">
        <f>-SUMIF(TArticle[تاریخ],TDays[[#This Row],[تاریخ]],TArticle[پرداخت بدهی])</f>
        <v>0</v>
      </c>
      <c r="M372">
        <f>SUMIF(TArticle[تاریخ],TDays[[#This Row],[تاریخ]],TArticle[افزایش بدهی])</f>
        <v>0</v>
      </c>
      <c r="N372">
        <f>-SUMIF(TArticle[تاریخ],TDays[[#This Row],[تاریخ]],TArticle[افزایش سرمایه])</f>
        <v>0</v>
      </c>
      <c r="O372">
        <f>SUMIF(TArticle[تاریخ],TDays[[#This Row],[تاریخ]],TArticle[تعداد تراکنش انجام شده])</f>
        <v>0</v>
      </c>
      <c r="P372">
        <f>INT(((TDays[[#This Row],[ماه]]-1)*31+TDays[[#This Row],[روز]]+1)/7)+1</f>
        <v>2</v>
      </c>
      <c r="Q372">
        <f>SUMIF(TArticle[تاریخ],TDays[[#This Row],[تاریخ]],TArticle[تراکنش برنامه ریزی شده])</f>
        <v>0</v>
      </c>
    </row>
    <row r="373" spans="1:17" x14ac:dyDescent="0.25">
      <c r="A373" s="3" t="s">
        <v>564</v>
      </c>
      <c r="B373" t="str">
        <f>RIGHT(TDays[[#This Row],[تاریخ]],2)</f>
        <v>07</v>
      </c>
      <c r="C373" t="str">
        <f>RIGHT(LEFT(TDays[[#This Row],[تاریخ]],7),2)</f>
        <v>01</v>
      </c>
      <c r="D373" t="str">
        <f>LEFT(TDays[[#This Row],[تاریخ]],4)</f>
        <v>1402</v>
      </c>
      <c r="E373" t="str">
        <f>LEFT(TDays[[#This Row],[تاریخ]],7)</f>
        <v>1402-01</v>
      </c>
      <c r="F373">
        <v>2</v>
      </c>
      <c r="G373" s="15" t="str">
        <f>VLOOKUP(TDays[[#This Row],[کد روز هفته]],TDaysOfTheWeek[],2,FALSE)</f>
        <v>دوشنبه</v>
      </c>
      <c r="H373" s="15">
        <f>IFERROR(IF(E372&lt;&gt;E373,1,INT(H372)+IF(TDays[[#This Row],[کد روز هفته]]=0,1,0)),1)</f>
        <v>2</v>
      </c>
      <c r="I373">
        <f>-SUMIF(TArticle[تاریخ],TDays[[#This Row],[تاریخ]],TArticle[هزینه])</f>
        <v>0</v>
      </c>
      <c r="J373">
        <f>SUMIF(TArticle[تاریخ],TDays[[#This Row],[تاریخ]],TArticle[درآمد تتا])</f>
        <v>0</v>
      </c>
      <c r="K373">
        <f>SUMIF(TArticle[تاریخ],TDays[[#This Row],[تاریخ]],TArticle[اسنپ])</f>
        <v>0</v>
      </c>
      <c r="L373">
        <f>-SUMIF(TArticle[تاریخ],TDays[[#This Row],[تاریخ]],TArticle[پرداخت بدهی])</f>
        <v>0</v>
      </c>
      <c r="M373">
        <f>SUMIF(TArticle[تاریخ],TDays[[#This Row],[تاریخ]],TArticle[افزایش بدهی])</f>
        <v>0</v>
      </c>
      <c r="N373">
        <f>-SUMIF(TArticle[تاریخ],TDays[[#This Row],[تاریخ]],TArticle[افزایش سرمایه])</f>
        <v>0</v>
      </c>
      <c r="O373">
        <f>SUMIF(TArticle[تاریخ],TDays[[#This Row],[تاریخ]],TArticle[تعداد تراکنش انجام شده])</f>
        <v>0</v>
      </c>
      <c r="P373">
        <f>INT(((TDays[[#This Row],[ماه]]-1)*31+TDays[[#This Row],[روز]]+1)/7)+1</f>
        <v>2</v>
      </c>
      <c r="Q373">
        <f>SUMIF(TArticle[تاریخ],TDays[[#This Row],[تاریخ]],TArticle[تراکنش برنامه ریزی شده])</f>
        <v>0</v>
      </c>
    </row>
    <row r="374" spans="1:17" x14ac:dyDescent="0.25">
      <c r="A374" s="3" t="s">
        <v>565</v>
      </c>
      <c r="B374" t="str">
        <f>RIGHT(TDays[[#This Row],[تاریخ]],2)</f>
        <v>08</v>
      </c>
      <c r="C374" t="str">
        <f>RIGHT(LEFT(TDays[[#This Row],[تاریخ]],7),2)</f>
        <v>01</v>
      </c>
      <c r="D374" t="str">
        <f>LEFT(TDays[[#This Row],[تاریخ]],4)</f>
        <v>1402</v>
      </c>
      <c r="E374" t="str">
        <f>LEFT(TDays[[#This Row],[تاریخ]],7)</f>
        <v>1402-01</v>
      </c>
      <c r="F374">
        <v>3</v>
      </c>
      <c r="G374" s="15" t="str">
        <f>VLOOKUP(TDays[[#This Row],[کد روز هفته]],TDaysOfTheWeek[],2,FALSE)</f>
        <v>سه شنبه</v>
      </c>
      <c r="H374" s="15">
        <f>IFERROR(IF(E373&lt;&gt;E374,1,INT(H373)+IF(TDays[[#This Row],[کد روز هفته]]=0,1,0)),1)</f>
        <v>2</v>
      </c>
      <c r="I374">
        <f>-SUMIF(TArticle[تاریخ],TDays[[#This Row],[تاریخ]],TArticle[هزینه])</f>
        <v>0</v>
      </c>
      <c r="J374">
        <f>SUMIF(TArticle[تاریخ],TDays[[#This Row],[تاریخ]],TArticle[درآمد تتا])</f>
        <v>0</v>
      </c>
      <c r="K374">
        <f>SUMIF(TArticle[تاریخ],TDays[[#This Row],[تاریخ]],TArticle[اسنپ])</f>
        <v>0</v>
      </c>
      <c r="L374">
        <f>-SUMIF(TArticle[تاریخ],TDays[[#This Row],[تاریخ]],TArticle[پرداخت بدهی])</f>
        <v>0</v>
      </c>
      <c r="M374">
        <f>SUMIF(TArticle[تاریخ],TDays[[#This Row],[تاریخ]],TArticle[افزایش بدهی])</f>
        <v>0</v>
      </c>
      <c r="N374">
        <f>-SUMIF(TArticle[تاریخ],TDays[[#This Row],[تاریخ]],TArticle[افزایش سرمایه])</f>
        <v>0</v>
      </c>
      <c r="O374">
        <f>SUMIF(TArticle[تاریخ],TDays[[#This Row],[تاریخ]],TArticle[تعداد تراکنش انجام شده])</f>
        <v>0</v>
      </c>
      <c r="P374">
        <f>INT(((TDays[[#This Row],[ماه]]-1)*31+TDays[[#This Row],[روز]]+1)/7)+1</f>
        <v>2</v>
      </c>
      <c r="Q374">
        <f>SUMIF(TArticle[تاریخ],TDays[[#This Row],[تاریخ]],TArticle[تراکنش برنامه ریزی شده])</f>
        <v>0</v>
      </c>
    </row>
    <row r="375" spans="1:17" x14ac:dyDescent="0.25">
      <c r="A375" s="3" t="s">
        <v>566</v>
      </c>
      <c r="B375" t="str">
        <f>RIGHT(TDays[[#This Row],[تاریخ]],2)</f>
        <v>09</v>
      </c>
      <c r="C375" t="str">
        <f>RIGHT(LEFT(TDays[[#This Row],[تاریخ]],7),2)</f>
        <v>01</v>
      </c>
      <c r="D375" t="str">
        <f>LEFT(TDays[[#This Row],[تاریخ]],4)</f>
        <v>1402</v>
      </c>
      <c r="E375" t="str">
        <f>LEFT(TDays[[#This Row],[تاریخ]],7)</f>
        <v>1402-01</v>
      </c>
      <c r="F375">
        <v>4</v>
      </c>
      <c r="G375" s="15" t="str">
        <f>VLOOKUP(TDays[[#This Row],[کد روز هفته]],TDaysOfTheWeek[],2,FALSE)</f>
        <v>چهارشنبه</v>
      </c>
      <c r="H375" s="15">
        <f>IFERROR(IF(E374&lt;&gt;E375,1,INT(H374)+IF(TDays[[#This Row],[کد روز هفته]]=0,1,0)),1)</f>
        <v>2</v>
      </c>
      <c r="I375">
        <f>-SUMIF(TArticle[تاریخ],TDays[[#This Row],[تاریخ]],TArticle[هزینه])</f>
        <v>0</v>
      </c>
      <c r="J375">
        <f>SUMIF(TArticle[تاریخ],TDays[[#This Row],[تاریخ]],TArticle[درآمد تتا])</f>
        <v>0</v>
      </c>
      <c r="K375">
        <f>SUMIF(TArticle[تاریخ],TDays[[#This Row],[تاریخ]],TArticle[اسنپ])</f>
        <v>0</v>
      </c>
      <c r="L375">
        <f>-SUMIF(TArticle[تاریخ],TDays[[#This Row],[تاریخ]],TArticle[پرداخت بدهی])</f>
        <v>3660</v>
      </c>
      <c r="M375">
        <f>SUMIF(TArticle[تاریخ],TDays[[#This Row],[تاریخ]],TArticle[افزایش بدهی])</f>
        <v>0</v>
      </c>
      <c r="N375">
        <f>-SUMIF(TArticle[تاریخ],TDays[[#This Row],[تاریخ]],TArticle[افزایش سرمایه])</f>
        <v>0</v>
      </c>
      <c r="O375">
        <f>SUMIF(TArticle[تاریخ],TDays[[#This Row],[تاریخ]],TArticle[تعداد تراکنش انجام شده])</f>
        <v>2</v>
      </c>
      <c r="P375">
        <f>INT(((TDays[[#This Row],[ماه]]-1)*31+TDays[[#This Row],[روز]]+1)/7)+1</f>
        <v>2</v>
      </c>
      <c r="Q375">
        <f>SUMIF(TArticle[تاریخ],TDays[[#This Row],[تاریخ]],TArticle[تراکنش برنامه ریزی شده])</f>
        <v>0</v>
      </c>
    </row>
    <row r="376" spans="1:17" x14ac:dyDescent="0.25">
      <c r="A376" s="3" t="s">
        <v>567</v>
      </c>
      <c r="B376" t="str">
        <f>RIGHT(TDays[[#This Row],[تاریخ]],2)</f>
        <v>10</v>
      </c>
      <c r="C376" t="str">
        <f>RIGHT(LEFT(TDays[[#This Row],[تاریخ]],7),2)</f>
        <v>01</v>
      </c>
      <c r="D376" t="str">
        <f>LEFT(TDays[[#This Row],[تاریخ]],4)</f>
        <v>1402</v>
      </c>
      <c r="E376" t="str">
        <f>LEFT(TDays[[#This Row],[تاریخ]],7)</f>
        <v>1402-01</v>
      </c>
      <c r="F376">
        <v>5</v>
      </c>
      <c r="G376" s="15" t="str">
        <f>VLOOKUP(TDays[[#This Row],[کد روز هفته]],TDaysOfTheWeek[],2,FALSE)</f>
        <v>پنجشنبه</v>
      </c>
      <c r="H376" s="15">
        <f>IFERROR(IF(E375&lt;&gt;E376,1,INT(H375)+IF(TDays[[#This Row],[کد روز هفته]]=0,1,0)),1)</f>
        <v>2</v>
      </c>
      <c r="I376">
        <f>-SUMIF(TArticle[تاریخ],TDays[[#This Row],[تاریخ]],TArticle[هزینه])</f>
        <v>0</v>
      </c>
      <c r="J376">
        <f>SUMIF(TArticle[تاریخ],TDays[[#This Row],[تاریخ]],TArticle[درآمد تتا])</f>
        <v>0</v>
      </c>
      <c r="K376">
        <f>SUMIF(TArticle[تاریخ],TDays[[#This Row],[تاریخ]],TArticle[اسنپ])</f>
        <v>0</v>
      </c>
      <c r="L376">
        <f>-SUMIF(TArticle[تاریخ],TDays[[#This Row],[تاریخ]],TArticle[پرداخت بدهی])</f>
        <v>0</v>
      </c>
      <c r="M376">
        <f>SUMIF(TArticle[تاریخ],TDays[[#This Row],[تاریخ]],TArticle[افزایش بدهی])</f>
        <v>0</v>
      </c>
      <c r="N376">
        <f>-SUMIF(TArticle[تاریخ],TDays[[#This Row],[تاریخ]],TArticle[افزایش سرمایه])</f>
        <v>0</v>
      </c>
      <c r="O376">
        <f>SUMIF(TArticle[تاریخ],TDays[[#This Row],[تاریخ]],TArticle[تعداد تراکنش انجام شده])</f>
        <v>0</v>
      </c>
      <c r="P376">
        <f>INT(((TDays[[#This Row],[ماه]]-1)*31+TDays[[#This Row],[روز]]+1)/7)+1</f>
        <v>2</v>
      </c>
      <c r="Q376">
        <f>SUMIF(TArticle[تاریخ],TDays[[#This Row],[تاریخ]],TArticle[تراکنش برنامه ریزی شده])</f>
        <v>1</v>
      </c>
    </row>
    <row r="377" spans="1:17" x14ac:dyDescent="0.25">
      <c r="A377" s="3" t="s">
        <v>568</v>
      </c>
      <c r="B377" t="str">
        <f>RIGHT(TDays[[#This Row],[تاریخ]],2)</f>
        <v>11</v>
      </c>
      <c r="C377" t="str">
        <f>RIGHT(LEFT(TDays[[#This Row],[تاریخ]],7),2)</f>
        <v>01</v>
      </c>
      <c r="D377" t="str">
        <f>LEFT(TDays[[#This Row],[تاریخ]],4)</f>
        <v>1402</v>
      </c>
      <c r="E377" t="str">
        <f>LEFT(TDays[[#This Row],[تاریخ]],7)</f>
        <v>1402-01</v>
      </c>
      <c r="F377">
        <v>6</v>
      </c>
      <c r="G377" s="15" t="str">
        <f>VLOOKUP(TDays[[#This Row],[کد روز هفته]],TDaysOfTheWeek[],2,FALSE)</f>
        <v>جمعه</v>
      </c>
      <c r="H377" s="15">
        <f>IFERROR(IF(E376&lt;&gt;E377,1,INT(H376)+IF(TDays[[#This Row],[کد روز هفته]]=0,1,0)),1)</f>
        <v>2</v>
      </c>
      <c r="I377">
        <f>-SUMIF(TArticle[تاریخ],TDays[[#This Row],[تاریخ]],TArticle[هزینه])</f>
        <v>0</v>
      </c>
      <c r="J377">
        <f>SUMIF(TArticle[تاریخ],TDays[[#This Row],[تاریخ]],TArticle[درآمد تتا])</f>
        <v>0</v>
      </c>
      <c r="K377">
        <f>SUMIF(TArticle[تاریخ],TDays[[#This Row],[تاریخ]],TArticle[اسنپ])</f>
        <v>0</v>
      </c>
      <c r="L377">
        <f>-SUMIF(TArticle[تاریخ],TDays[[#This Row],[تاریخ]],TArticle[پرداخت بدهی])</f>
        <v>0</v>
      </c>
      <c r="M377">
        <f>SUMIF(TArticle[تاریخ],TDays[[#This Row],[تاریخ]],TArticle[افزایش بدهی])</f>
        <v>0</v>
      </c>
      <c r="N377">
        <f>-SUMIF(TArticle[تاریخ],TDays[[#This Row],[تاریخ]],TArticle[افزایش سرمایه])</f>
        <v>0</v>
      </c>
      <c r="O377">
        <f>SUMIF(TArticle[تاریخ],TDays[[#This Row],[تاریخ]],TArticle[تعداد تراکنش انجام شده])</f>
        <v>0</v>
      </c>
      <c r="P377">
        <f>INT(((TDays[[#This Row],[ماه]]-1)*31+TDays[[#This Row],[روز]]+1)/7)+1</f>
        <v>2</v>
      </c>
      <c r="Q377">
        <f>SUMIF(TArticle[تاریخ],TDays[[#This Row],[تاریخ]],TArticle[تراکنش برنامه ریزی شده])</f>
        <v>0</v>
      </c>
    </row>
    <row r="378" spans="1:17" x14ac:dyDescent="0.25">
      <c r="A378" s="3" t="s">
        <v>569</v>
      </c>
      <c r="B378" t="str">
        <f>RIGHT(TDays[[#This Row],[تاریخ]],2)</f>
        <v>12</v>
      </c>
      <c r="C378" t="str">
        <f>RIGHT(LEFT(TDays[[#This Row],[تاریخ]],7),2)</f>
        <v>01</v>
      </c>
      <c r="D378" t="str">
        <f>LEFT(TDays[[#This Row],[تاریخ]],4)</f>
        <v>1402</v>
      </c>
      <c r="E378" t="str">
        <f>LEFT(TDays[[#This Row],[تاریخ]],7)</f>
        <v>1402-01</v>
      </c>
      <c r="F378">
        <v>0</v>
      </c>
      <c r="G378" s="15" t="str">
        <f>VLOOKUP(TDays[[#This Row],[کد روز هفته]],TDaysOfTheWeek[],2,FALSE)</f>
        <v>شنبه</v>
      </c>
      <c r="H378" s="15">
        <f>IFERROR(IF(E377&lt;&gt;E378,1,INT(H377)+IF(TDays[[#This Row],[کد روز هفته]]=0,1,0)),1)</f>
        <v>3</v>
      </c>
      <c r="I378">
        <f>-SUMIF(TArticle[تاریخ],TDays[[#This Row],[تاریخ]],TArticle[هزینه])</f>
        <v>0</v>
      </c>
      <c r="J378">
        <f>SUMIF(TArticle[تاریخ],TDays[[#This Row],[تاریخ]],TArticle[درآمد تتا])</f>
        <v>0</v>
      </c>
      <c r="K378">
        <f>SUMIF(TArticle[تاریخ],TDays[[#This Row],[تاریخ]],TArticle[اسنپ])</f>
        <v>0</v>
      </c>
      <c r="L378">
        <f>-SUMIF(TArticle[تاریخ],TDays[[#This Row],[تاریخ]],TArticle[پرداخت بدهی])</f>
        <v>0</v>
      </c>
      <c r="M378">
        <f>SUMIF(TArticle[تاریخ],TDays[[#This Row],[تاریخ]],TArticle[افزایش بدهی])</f>
        <v>0</v>
      </c>
      <c r="N378">
        <f>-SUMIF(TArticle[تاریخ],TDays[[#This Row],[تاریخ]],TArticle[افزایش سرمایه])</f>
        <v>0</v>
      </c>
      <c r="O378">
        <f>SUMIF(TArticle[تاریخ],TDays[[#This Row],[تاریخ]],TArticle[تعداد تراکنش انجام شده])</f>
        <v>0</v>
      </c>
      <c r="P378">
        <f>INT(((TDays[[#This Row],[ماه]]-1)*31+TDays[[#This Row],[روز]]+1)/7)+1</f>
        <v>2</v>
      </c>
      <c r="Q378">
        <f>SUMIF(TArticle[تاریخ],TDays[[#This Row],[تاریخ]],TArticle[تراکنش برنامه ریزی شده])</f>
        <v>0</v>
      </c>
    </row>
    <row r="379" spans="1:17" x14ac:dyDescent="0.25">
      <c r="A379" s="3" t="s">
        <v>570</v>
      </c>
      <c r="B379" t="str">
        <f>RIGHT(TDays[[#This Row],[تاریخ]],2)</f>
        <v>13</v>
      </c>
      <c r="C379" t="str">
        <f>RIGHT(LEFT(TDays[[#This Row],[تاریخ]],7),2)</f>
        <v>01</v>
      </c>
      <c r="D379" t="str">
        <f>LEFT(TDays[[#This Row],[تاریخ]],4)</f>
        <v>1402</v>
      </c>
      <c r="E379" t="str">
        <f>LEFT(TDays[[#This Row],[تاریخ]],7)</f>
        <v>1402-01</v>
      </c>
      <c r="F379">
        <v>1</v>
      </c>
      <c r="G379" s="15" t="str">
        <f>VLOOKUP(TDays[[#This Row],[کد روز هفته]],TDaysOfTheWeek[],2,FALSE)</f>
        <v>یکشنبه</v>
      </c>
      <c r="H379" s="15">
        <f>IFERROR(IF(E378&lt;&gt;E379,1,INT(H378)+IF(TDays[[#This Row],[کد روز هفته]]=0,1,0)),1)</f>
        <v>3</v>
      </c>
      <c r="I379">
        <f>-SUMIF(TArticle[تاریخ],TDays[[#This Row],[تاریخ]],TArticle[هزینه])</f>
        <v>0</v>
      </c>
      <c r="J379">
        <f>SUMIF(TArticle[تاریخ],TDays[[#This Row],[تاریخ]],TArticle[درآمد تتا])</f>
        <v>0</v>
      </c>
      <c r="K379">
        <f>SUMIF(TArticle[تاریخ],TDays[[#This Row],[تاریخ]],TArticle[اسنپ])</f>
        <v>0</v>
      </c>
      <c r="L379">
        <f>-SUMIF(TArticle[تاریخ],TDays[[#This Row],[تاریخ]],TArticle[پرداخت بدهی])</f>
        <v>0</v>
      </c>
      <c r="M379">
        <f>SUMIF(TArticle[تاریخ],TDays[[#This Row],[تاریخ]],TArticle[افزایش بدهی])</f>
        <v>0</v>
      </c>
      <c r="N379">
        <f>-SUMIF(TArticle[تاریخ],TDays[[#This Row],[تاریخ]],TArticle[افزایش سرمایه])</f>
        <v>0</v>
      </c>
      <c r="O379">
        <f>SUMIF(TArticle[تاریخ],TDays[[#This Row],[تاریخ]],TArticle[تعداد تراکنش انجام شده])</f>
        <v>0</v>
      </c>
      <c r="P379">
        <f>INT(((TDays[[#This Row],[ماه]]-1)*31+TDays[[#This Row],[روز]]+1)/7)+1</f>
        <v>3</v>
      </c>
      <c r="Q379">
        <f>SUMIF(TArticle[تاریخ],TDays[[#This Row],[تاریخ]],TArticle[تراکنش برنامه ریزی شده])</f>
        <v>0</v>
      </c>
    </row>
    <row r="380" spans="1:17" x14ac:dyDescent="0.25">
      <c r="A380" s="3" t="s">
        <v>70</v>
      </c>
      <c r="B380" t="str">
        <f>RIGHT(TDays[[#This Row],[تاریخ]],2)</f>
        <v>14</v>
      </c>
      <c r="C380" t="str">
        <f>RIGHT(LEFT(TDays[[#This Row],[تاریخ]],7),2)</f>
        <v>01</v>
      </c>
      <c r="D380" t="str">
        <f>LEFT(TDays[[#This Row],[تاریخ]],4)</f>
        <v>1402</v>
      </c>
      <c r="E380" t="str">
        <f>LEFT(TDays[[#This Row],[تاریخ]],7)</f>
        <v>1402-01</v>
      </c>
      <c r="F380">
        <v>2</v>
      </c>
      <c r="G380" s="15" t="str">
        <f>VLOOKUP(TDays[[#This Row],[کد روز هفته]],TDaysOfTheWeek[],2,FALSE)</f>
        <v>دوشنبه</v>
      </c>
      <c r="H380" s="15">
        <f>IFERROR(IF(E379&lt;&gt;E380,1,INT(H379)+IF(TDays[[#This Row],[کد روز هفته]]=0,1,0)),1)</f>
        <v>3</v>
      </c>
      <c r="I380">
        <f>-SUMIF(TArticle[تاریخ],TDays[[#This Row],[تاریخ]],TArticle[هزینه])</f>
        <v>0</v>
      </c>
      <c r="J380">
        <f>SUMIF(TArticle[تاریخ],TDays[[#This Row],[تاریخ]],TArticle[درآمد تتا])</f>
        <v>0</v>
      </c>
      <c r="K380">
        <f>SUMIF(TArticle[تاریخ],TDays[[#This Row],[تاریخ]],TArticle[اسنپ])</f>
        <v>0</v>
      </c>
      <c r="L380">
        <f>-SUMIF(TArticle[تاریخ],TDays[[#This Row],[تاریخ]],TArticle[پرداخت بدهی])</f>
        <v>0</v>
      </c>
      <c r="M380">
        <f>SUMIF(TArticle[تاریخ],TDays[[#This Row],[تاریخ]],TArticle[افزایش بدهی])</f>
        <v>0</v>
      </c>
      <c r="N380">
        <f>-SUMIF(TArticle[تاریخ],TDays[[#This Row],[تاریخ]],TArticle[افزایش سرمایه])</f>
        <v>0</v>
      </c>
      <c r="O380">
        <f>SUMIF(TArticle[تاریخ],TDays[[#This Row],[تاریخ]],TArticle[تعداد تراکنش انجام شده])</f>
        <v>0</v>
      </c>
      <c r="P380">
        <f>INT(((TDays[[#This Row],[ماه]]-1)*31+TDays[[#This Row],[روز]]+1)/7)+1</f>
        <v>3</v>
      </c>
      <c r="Q380">
        <f>SUMIF(TArticle[تاریخ],TDays[[#This Row],[تاریخ]],TArticle[تراکنش برنامه ریزی شده])</f>
        <v>1</v>
      </c>
    </row>
    <row r="381" spans="1:17" x14ac:dyDescent="0.25">
      <c r="A381" s="3" t="s">
        <v>571</v>
      </c>
      <c r="B381" t="str">
        <f>RIGHT(TDays[[#This Row],[تاریخ]],2)</f>
        <v>15</v>
      </c>
      <c r="C381" t="str">
        <f>RIGHT(LEFT(TDays[[#This Row],[تاریخ]],7),2)</f>
        <v>01</v>
      </c>
      <c r="D381" t="str">
        <f>LEFT(TDays[[#This Row],[تاریخ]],4)</f>
        <v>1402</v>
      </c>
      <c r="E381" t="str">
        <f>LEFT(TDays[[#This Row],[تاریخ]],7)</f>
        <v>1402-01</v>
      </c>
      <c r="F381">
        <v>3</v>
      </c>
      <c r="G381" s="15" t="str">
        <f>VLOOKUP(TDays[[#This Row],[کد روز هفته]],TDaysOfTheWeek[],2,FALSE)</f>
        <v>سه شنبه</v>
      </c>
      <c r="H381" s="15">
        <f>IFERROR(IF(E380&lt;&gt;E381,1,INT(H380)+IF(TDays[[#This Row],[کد روز هفته]]=0,1,0)),1)</f>
        <v>3</v>
      </c>
      <c r="I381">
        <f>-SUMIF(TArticle[تاریخ],TDays[[#This Row],[تاریخ]],TArticle[هزینه])</f>
        <v>0</v>
      </c>
      <c r="J381">
        <f>SUMIF(TArticle[تاریخ],TDays[[#This Row],[تاریخ]],TArticle[درآمد تتا])</f>
        <v>0</v>
      </c>
      <c r="K381">
        <f>SUMIF(TArticle[تاریخ],TDays[[#This Row],[تاریخ]],TArticle[اسنپ])</f>
        <v>0</v>
      </c>
      <c r="L381">
        <f>-SUMIF(TArticle[تاریخ],TDays[[#This Row],[تاریخ]],TArticle[پرداخت بدهی])</f>
        <v>0</v>
      </c>
      <c r="M381">
        <f>SUMIF(TArticle[تاریخ],TDays[[#This Row],[تاریخ]],TArticle[افزایش بدهی])</f>
        <v>0</v>
      </c>
      <c r="N381">
        <f>-SUMIF(TArticle[تاریخ],TDays[[#This Row],[تاریخ]],TArticle[افزایش سرمایه])</f>
        <v>0</v>
      </c>
      <c r="O381">
        <f>SUMIF(TArticle[تاریخ],TDays[[#This Row],[تاریخ]],TArticle[تعداد تراکنش انجام شده])</f>
        <v>0</v>
      </c>
      <c r="P381">
        <f>INT(((TDays[[#This Row],[ماه]]-1)*31+TDays[[#This Row],[روز]]+1)/7)+1</f>
        <v>3</v>
      </c>
      <c r="Q381">
        <f>SUMIF(TArticle[تاریخ],TDays[[#This Row],[تاریخ]],TArticle[تراکنش برنامه ریزی شده])</f>
        <v>0</v>
      </c>
    </row>
    <row r="382" spans="1:17" x14ac:dyDescent="0.25">
      <c r="A382" s="3" t="s">
        <v>572</v>
      </c>
      <c r="B382" t="str">
        <f>RIGHT(TDays[[#This Row],[تاریخ]],2)</f>
        <v>16</v>
      </c>
      <c r="C382" t="str">
        <f>RIGHT(LEFT(TDays[[#This Row],[تاریخ]],7),2)</f>
        <v>01</v>
      </c>
      <c r="D382" t="str">
        <f>LEFT(TDays[[#This Row],[تاریخ]],4)</f>
        <v>1402</v>
      </c>
      <c r="E382" t="str">
        <f>LEFT(TDays[[#This Row],[تاریخ]],7)</f>
        <v>1402-01</v>
      </c>
      <c r="F382">
        <v>4</v>
      </c>
      <c r="G382" s="15" t="str">
        <f>VLOOKUP(TDays[[#This Row],[کد روز هفته]],TDaysOfTheWeek[],2,FALSE)</f>
        <v>چهارشنبه</v>
      </c>
      <c r="H382" s="15">
        <f>IFERROR(IF(E381&lt;&gt;E382,1,INT(H381)+IF(TDays[[#This Row],[کد روز هفته]]=0,1,0)),1)</f>
        <v>3</v>
      </c>
      <c r="I382">
        <f>-SUMIF(TArticle[تاریخ],TDays[[#This Row],[تاریخ]],TArticle[هزینه])</f>
        <v>0</v>
      </c>
      <c r="J382">
        <f>SUMIF(TArticle[تاریخ],TDays[[#This Row],[تاریخ]],TArticle[درآمد تتا])</f>
        <v>0</v>
      </c>
      <c r="K382">
        <f>SUMIF(TArticle[تاریخ],TDays[[#This Row],[تاریخ]],TArticle[اسنپ])</f>
        <v>0</v>
      </c>
      <c r="L382">
        <f>-SUMIF(TArticle[تاریخ],TDays[[#This Row],[تاریخ]],TArticle[پرداخت بدهی])</f>
        <v>0</v>
      </c>
      <c r="M382">
        <f>SUMIF(TArticle[تاریخ],TDays[[#This Row],[تاریخ]],TArticle[افزایش بدهی])</f>
        <v>0</v>
      </c>
      <c r="N382">
        <f>-SUMIF(TArticle[تاریخ],TDays[[#This Row],[تاریخ]],TArticle[افزایش سرمایه])</f>
        <v>0</v>
      </c>
      <c r="O382">
        <f>SUMIF(TArticle[تاریخ],TDays[[#This Row],[تاریخ]],TArticle[تعداد تراکنش انجام شده])</f>
        <v>0</v>
      </c>
      <c r="P382">
        <f>INT(((TDays[[#This Row],[ماه]]-1)*31+TDays[[#This Row],[روز]]+1)/7)+1</f>
        <v>3</v>
      </c>
      <c r="Q382">
        <f>SUMIF(TArticle[تاریخ],TDays[[#This Row],[تاریخ]],TArticle[تراکنش برنامه ریزی شده])</f>
        <v>0</v>
      </c>
    </row>
    <row r="383" spans="1:17" x14ac:dyDescent="0.25">
      <c r="A383" s="3" t="s">
        <v>573</v>
      </c>
      <c r="B383" t="str">
        <f>RIGHT(TDays[[#This Row],[تاریخ]],2)</f>
        <v>17</v>
      </c>
      <c r="C383" t="str">
        <f>RIGHT(LEFT(TDays[[#This Row],[تاریخ]],7),2)</f>
        <v>01</v>
      </c>
      <c r="D383" t="str">
        <f>LEFT(TDays[[#This Row],[تاریخ]],4)</f>
        <v>1402</v>
      </c>
      <c r="E383" t="str">
        <f>LEFT(TDays[[#This Row],[تاریخ]],7)</f>
        <v>1402-01</v>
      </c>
      <c r="F383">
        <v>5</v>
      </c>
      <c r="G383" s="15" t="str">
        <f>VLOOKUP(TDays[[#This Row],[کد روز هفته]],TDaysOfTheWeek[],2,FALSE)</f>
        <v>پنجشنبه</v>
      </c>
      <c r="H383" s="15">
        <f>IFERROR(IF(E382&lt;&gt;E383,1,INT(H382)+IF(TDays[[#This Row],[کد روز هفته]]=0,1,0)),1)</f>
        <v>3</v>
      </c>
      <c r="I383">
        <f>-SUMIF(TArticle[تاریخ],TDays[[#This Row],[تاریخ]],TArticle[هزینه])</f>
        <v>0</v>
      </c>
      <c r="J383">
        <f>SUMIF(TArticle[تاریخ],TDays[[#This Row],[تاریخ]],TArticle[درآمد تتا])</f>
        <v>0</v>
      </c>
      <c r="K383">
        <f>SUMIF(TArticle[تاریخ],TDays[[#This Row],[تاریخ]],TArticle[اسنپ])</f>
        <v>0</v>
      </c>
      <c r="L383">
        <f>-SUMIF(TArticle[تاریخ],TDays[[#This Row],[تاریخ]],TArticle[پرداخت بدهی])</f>
        <v>0</v>
      </c>
      <c r="M383">
        <f>SUMIF(TArticle[تاریخ],TDays[[#This Row],[تاریخ]],TArticle[افزایش بدهی])</f>
        <v>0</v>
      </c>
      <c r="N383">
        <f>-SUMIF(TArticle[تاریخ],TDays[[#This Row],[تاریخ]],TArticle[افزایش سرمایه])</f>
        <v>0</v>
      </c>
      <c r="O383">
        <f>SUMIF(TArticle[تاریخ],TDays[[#This Row],[تاریخ]],TArticle[تعداد تراکنش انجام شده])</f>
        <v>0</v>
      </c>
      <c r="P383">
        <f>INT(((TDays[[#This Row],[ماه]]-1)*31+TDays[[#This Row],[روز]]+1)/7)+1</f>
        <v>3</v>
      </c>
      <c r="Q383">
        <f>SUMIF(TArticle[تاریخ],TDays[[#This Row],[تاریخ]],TArticle[تراکنش برنامه ریزی شده])</f>
        <v>3</v>
      </c>
    </row>
    <row r="384" spans="1:17" x14ac:dyDescent="0.25">
      <c r="A384" s="3" t="s">
        <v>574</v>
      </c>
      <c r="B384" t="str">
        <f>RIGHT(TDays[[#This Row],[تاریخ]],2)</f>
        <v>18</v>
      </c>
      <c r="C384" t="str">
        <f>RIGHT(LEFT(TDays[[#This Row],[تاریخ]],7),2)</f>
        <v>01</v>
      </c>
      <c r="D384" t="str">
        <f>LEFT(TDays[[#This Row],[تاریخ]],4)</f>
        <v>1402</v>
      </c>
      <c r="E384" t="str">
        <f>LEFT(TDays[[#This Row],[تاریخ]],7)</f>
        <v>1402-01</v>
      </c>
      <c r="F384">
        <v>6</v>
      </c>
      <c r="G384" s="15" t="str">
        <f>VLOOKUP(TDays[[#This Row],[کد روز هفته]],TDaysOfTheWeek[],2,FALSE)</f>
        <v>جمعه</v>
      </c>
      <c r="H384" s="15">
        <f>IFERROR(IF(E383&lt;&gt;E384,1,INT(H383)+IF(TDays[[#This Row],[کد روز هفته]]=0,1,0)),1)</f>
        <v>3</v>
      </c>
      <c r="I384">
        <f>-SUMIF(TArticle[تاریخ],TDays[[#This Row],[تاریخ]],TArticle[هزینه])</f>
        <v>0</v>
      </c>
      <c r="J384">
        <f>SUMIF(TArticle[تاریخ],TDays[[#This Row],[تاریخ]],TArticle[درآمد تتا])</f>
        <v>0</v>
      </c>
      <c r="K384">
        <f>SUMIF(TArticle[تاریخ],TDays[[#This Row],[تاریخ]],TArticle[اسنپ])</f>
        <v>0</v>
      </c>
      <c r="L384">
        <f>-SUMIF(TArticle[تاریخ],TDays[[#This Row],[تاریخ]],TArticle[پرداخت بدهی])</f>
        <v>0</v>
      </c>
      <c r="M384">
        <f>SUMIF(TArticle[تاریخ],TDays[[#This Row],[تاریخ]],TArticle[افزایش بدهی])</f>
        <v>0</v>
      </c>
      <c r="N384">
        <f>-SUMIF(TArticle[تاریخ],TDays[[#This Row],[تاریخ]],TArticle[افزایش سرمایه])</f>
        <v>0</v>
      </c>
      <c r="O384">
        <f>SUMIF(TArticle[تاریخ],TDays[[#This Row],[تاریخ]],TArticle[تعداد تراکنش انجام شده])</f>
        <v>0</v>
      </c>
      <c r="P384">
        <f>INT(((TDays[[#This Row],[ماه]]-1)*31+TDays[[#This Row],[روز]]+1)/7)+1</f>
        <v>3</v>
      </c>
      <c r="Q384">
        <f>SUMIF(TArticle[تاریخ],TDays[[#This Row],[تاریخ]],TArticle[تراکنش برنامه ریزی شده])</f>
        <v>0</v>
      </c>
    </row>
    <row r="385" spans="1:17" x14ac:dyDescent="0.25">
      <c r="A385" s="3" t="s">
        <v>575</v>
      </c>
      <c r="B385" t="str">
        <f>RIGHT(TDays[[#This Row],[تاریخ]],2)</f>
        <v>19</v>
      </c>
      <c r="C385" t="str">
        <f>RIGHT(LEFT(TDays[[#This Row],[تاریخ]],7),2)</f>
        <v>01</v>
      </c>
      <c r="D385" t="str">
        <f>LEFT(TDays[[#This Row],[تاریخ]],4)</f>
        <v>1402</v>
      </c>
      <c r="E385" t="str">
        <f>LEFT(TDays[[#This Row],[تاریخ]],7)</f>
        <v>1402-01</v>
      </c>
      <c r="F385">
        <v>0</v>
      </c>
      <c r="G385" s="15" t="str">
        <f>VLOOKUP(TDays[[#This Row],[کد روز هفته]],TDaysOfTheWeek[],2,FALSE)</f>
        <v>شنبه</v>
      </c>
      <c r="H385" s="15">
        <f>IFERROR(IF(E384&lt;&gt;E385,1,INT(H384)+IF(TDays[[#This Row],[کد روز هفته]]=0,1,0)),1)</f>
        <v>4</v>
      </c>
      <c r="I385">
        <f>-SUMIF(TArticle[تاریخ],TDays[[#This Row],[تاریخ]],TArticle[هزینه])</f>
        <v>0</v>
      </c>
      <c r="J385">
        <f>SUMIF(TArticle[تاریخ],TDays[[#This Row],[تاریخ]],TArticle[درآمد تتا])</f>
        <v>0</v>
      </c>
      <c r="K385">
        <f>SUMIF(TArticle[تاریخ],TDays[[#This Row],[تاریخ]],TArticle[اسنپ])</f>
        <v>0</v>
      </c>
      <c r="L385">
        <f>-SUMIF(TArticle[تاریخ],TDays[[#This Row],[تاریخ]],TArticle[پرداخت بدهی])</f>
        <v>0</v>
      </c>
      <c r="M385">
        <f>SUMIF(TArticle[تاریخ],TDays[[#This Row],[تاریخ]],TArticle[افزایش بدهی])</f>
        <v>0</v>
      </c>
      <c r="N385">
        <f>-SUMIF(TArticle[تاریخ],TDays[[#This Row],[تاریخ]],TArticle[افزایش سرمایه])</f>
        <v>0</v>
      </c>
      <c r="O385">
        <f>SUMIF(TArticle[تاریخ],TDays[[#This Row],[تاریخ]],TArticle[تعداد تراکنش انجام شده])</f>
        <v>0</v>
      </c>
      <c r="P385">
        <f>INT(((TDays[[#This Row],[ماه]]-1)*31+TDays[[#This Row],[روز]]+1)/7)+1</f>
        <v>3</v>
      </c>
      <c r="Q385">
        <f>SUMIF(TArticle[تاریخ],TDays[[#This Row],[تاریخ]],TArticle[تراکنش برنامه ریزی شده])</f>
        <v>1</v>
      </c>
    </row>
    <row r="386" spans="1:17" x14ac:dyDescent="0.25">
      <c r="A386" s="3" t="s">
        <v>576</v>
      </c>
      <c r="B386" t="str">
        <f>RIGHT(TDays[[#This Row],[تاریخ]],2)</f>
        <v>20</v>
      </c>
      <c r="C386" t="str">
        <f>RIGHT(LEFT(TDays[[#This Row],[تاریخ]],7),2)</f>
        <v>01</v>
      </c>
      <c r="D386" t="str">
        <f>LEFT(TDays[[#This Row],[تاریخ]],4)</f>
        <v>1402</v>
      </c>
      <c r="E386" t="str">
        <f>LEFT(TDays[[#This Row],[تاریخ]],7)</f>
        <v>1402-01</v>
      </c>
      <c r="F386">
        <v>1</v>
      </c>
      <c r="G386" s="15" t="str">
        <f>VLOOKUP(TDays[[#This Row],[کد روز هفته]],TDaysOfTheWeek[],2,FALSE)</f>
        <v>یکشنبه</v>
      </c>
      <c r="H386" s="15">
        <f>IFERROR(IF(E385&lt;&gt;E386,1,INT(H385)+IF(TDays[[#This Row],[کد روز هفته]]=0,1,0)),1)</f>
        <v>4</v>
      </c>
      <c r="I386">
        <f>-SUMIF(TArticle[تاریخ],TDays[[#This Row],[تاریخ]],TArticle[هزینه])</f>
        <v>0</v>
      </c>
      <c r="J386">
        <f>SUMIF(TArticle[تاریخ],TDays[[#This Row],[تاریخ]],TArticle[درآمد تتا])</f>
        <v>0</v>
      </c>
      <c r="K386">
        <f>SUMIF(TArticle[تاریخ],TDays[[#This Row],[تاریخ]],TArticle[اسنپ])</f>
        <v>0</v>
      </c>
      <c r="L386">
        <f>-SUMIF(TArticle[تاریخ],TDays[[#This Row],[تاریخ]],TArticle[پرداخت بدهی])</f>
        <v>0</v>
      </c>
      <c r="M386">
        <f>SUMIF(TArticle[تاریخ],TDays[[#This Row],[تاریخ]],TArticle[افزایش بدهی])</f>
        <v>0</v>
      </c>
      <c r="N386">
        <f>-SUMIF(TArticle[تاریخ],TDays[[#This Row],[تاریخ]],TArticle[افزایش سرمایه])</f>
        <v>0</v>
      </c>
      <c r="O386">
        <f>SUMIF(TArticle[تاریخ],TDays[[#This Row],[تاریخ]],TArticle[تعداد تراکنش انجام شده])</f>
        <v>0</v>
      </c>
      <c r="P386">
        <f>INT(((TDays[[#This Row],[ماه]]-1)*31+TDays[[#This Row],[روز]]+1)/7)+1</f>
        <v>4</v>
      </c>
      <c r="Q386">
        <f>SUMIF(TArticle[تاریخ],TDays[[#This Row],[تاریخ]],TArticle[تراکنش برنامه ریزی شده])</f>
        <v>2</v>
      </c>
    </row>
    <row r="387" spans="1:17" x14ac:dyDescent="0.25">
      <c r="A387" s="3" t="s">
        <v>577</v>
      </c>
      <c r="B387" t="str">
        <f>RIGHT(TDays[[#This Row],[تاریخ]],2)</f>
        <v>21</v>
      </c>
      <c r="C387" t="str">
        <f>RIGHT(LEFT(TDays[[#This Row],[تاریخ]],7),2)</f>
        <v>01</v>
      </c>
      <c r="D387" t="str">
        <f>LEFT(TDays[[#This Row],[تاریخ]],4)</f>
        <v>1402</v>
      </c>
      <c r="E387" t="str">
        <f>LEFT(TDays[[#This Row],[تاریخ]],7)</f>
        <v>1402-01</v>
      </c>
      <c r="F387">
        <v>2</v>
      </c>
      <c r="G387" s="15" t="str">
        <f>VLOOKUP(TDays[[#This Row],[کد روز هفته]],TDaysOfTheWeek[],2,FALSE)</f>
        <v>دوشنبه</v>
      </c>
      <c r="H387" s="15">
        <f>IFERROR(IF(E386&lt;&gt;E387,1,INT(H386)+IF(TDays[[#This Row],[کد روز هفته]]=0,1,0)),1)</f>
        <v>4</v>
      </c>
      <c r="I387">
        <f>-SUMIF(TArticle[تاریخ],TDays[[#This Row],[تاریخ]],TArticle[هزینه])</f>
        <v>0</v>
      </c>
      <c r="J387">
        <f>SUMIF(TArticle[تاریخ],TDays[[#This Row],[تاریخ]],TArticle[درآمد تتا])</f>
        <v>0</v>
      </c>
      <c r="K387">
        <f>SUMIF(TArticle[تاریخ],TDays[[#This Row],[تاریخ]],TArticle[اسنپ])</f>
        <v>0</v>
      </c>
      <c r="L387">
        <f>-SUMIF(TArticle[تاریخ],TDays[[#This Row],[تاریخ]],TArticle[پرداخت بدهی])</f>
        <v>0</v>
      </c>
      <c r="M387">
        <f>SUMIF(TArticle[تاریخ],TDays[[#This Row],[تاریخ]],TArticle[افزایش بدهی])</f>
        <v>0</v>
      </c>
      <c r="N387">
        <f>-SUMIF(TArticle[تاریخ],TDays[[#This Row],[تاریخ]],TArticle[افزایش سرمایه])</f>
        <v>0</v>
      </c>
      <c r="O387">
        <f>SUMIF(TArticle[تاریخ],TDays[[#This Row],[تاریخ]],TArticle[تعداد تراکنش انجام شده])</f>
        <v>0</v>
      </c>
      <c r="P387">
        <f>INT(((TDays[[#This Row],[ماه]]-1)*31+TDays[[#This Row],[روز]]+1)/7)+1</f>
        <v>4</v>
      </c>
      <c r="Q387">
        <f>SUMIF(TArticle[تاریخ],TDays[[#This Row],[تاریخ]],TArticle[تراکنش برنامه ریزی شده])</f>
        <v>0</v>
      </c>
    </row>
    <row r="388" spans="1:17" x14ac:dyDescent="0.25">
      <c r="A388" s="3" t="s">
        <v>578</v>
      </c>
      <c r="B388" t="str">
        <f>RIGHT(TDays[[#This Row],[تاریخ]],2)</f>
        <v>22</v>
      </c>
      <c r="C388" t="str">
        <f>RIGHT(LEFT(TDays[[#This Row],[تاریخ]],7),2)</f>
        <v>01</v>
      </c>
      <c r="D388" t="str">
        <f>LEFT(TDays[[#This Row],[تاریخ]],4)</f>
        <v>1402</v>
      </c>
      <c r="E388" t="str">
        <f>LEFT(TDays[[#This Row],[تاریخ]],7)</f>
        <v>1402-01</v>
      </c>
      <c r="F388">
        <v>3</v>
      </c>
      <c r="G388" s="15" t="str">
        <f>VLOOKUP(TDays[[#This Row],[کد روز هفته]],TDaysOfTheWeek[],2,FALSE)</f>
        <v>سه شنبه</v>
      </c>
      <c r="H388" s="15">
        <f>IFERROR(IF(E387&lt;&gt;E388,1,INT(H387)+IF(TDays[[#This Row],[کد روز هفته]]=0,1,0)),1)</f>
        <v>4</v>
      </c>
      <c r="I388">
        <f>-SUMIF(TArticle[تاریخ],TDays[[#This Row],[تاریخ]],TArticle[هزینه])</f>
        <v>0</v>
      </c>
      <c r="J388">
        <f>SUMIF(TArticle[تاریخ],TDays[[#This Row],[تاریخ]],TArticle[درآمد تتا])</f>
        <v>0</v>
      </c>
      <c r="K388">
        <f>SUMIF(TArticle[تاریخ],TDays[[#This Row],[تاریخ]],TArticle[اسنپ])</f>
        <v>0</v>
      </c>
      <c r="L388">
        <f>-SUMIF(TArticle[تاریخ],TDays[[#This Row],[تاریخ]],TArticle[پرداخت بدهی])</f>
        <v>0</v>
      </c>
      <c r="M388">
        <f>SUMIF(TArticle[تاریخ],TDays[[#This Row],[تاریخ]],TArticle[افزایش بدهی])</f>
        <v>0</v>
      </c>
      <c r="N388">
        <f>-SUMIF(TArticle[تاریخ],TDays[[#This Row],[تاریخ]],TArticle[افزایش سرمایه])</f>
        <v>0</v>
      </c>
      <c r="O388">
        <f>SUMIF(TArticle[تاریخ],TDays[[#This Row],[تاریخ]],TArticle[تعداد تراکنش انجام شده])</f>
        <v>0</v>
      </c>
      <c r="P388">
        <f>INT(((TDays[[#This Row],[ماه]]-1)*31+TDays[[#This Row],[روز]]+1)/7)+1</f>
        <v>4</v>
      </c>
      <c r="Q388">
        <f>SUMIF(TArticle[تاریخ],TDays[[#This Row],[تاریخ]],TArticle[تراکنش برنامه ریزی شده])</f>
        <v>0</v>
      </c>
    </row>
    <row r="389" spans="1:17" x14ac:dyDescent="0.25">
      <c r="A389" s="3" t="s">
        <v>579</v>
      </c>
      <c r="B389" t="str">
        <f>RIGHT(TDays[[#This Row],[تاریخ]],2)</f>
        <v>23</v>
      </c>
      <c r="C389" t="str">
        <f>RIGHT(LEFT(TDays[[#This Row],[تاریخ]],7),2)</f>
        <v>01</v>
      </c>
      <c r="D389" t="str">
        <f>LEFT(TDays[[#This Row],[تاریخ]],4)</f>
        <v>1402</v>
      </c>
      <c r="E389" t="str">
        <f>LEFT(TDays[[#This Row],[تاریخ]],7)</f>
        <v>1402-01</v>
      </c>
      <c r="F389">
        <v>4</v>
      </c>
      <c r="G389" s="15" t="str">
        <f>VLOOKUP(TDays[[#This Row],[کد روز هفته]],TDaysOfTheWeek[],2,FALSE)</f>
        <v>چهارشنبه</v>
      </c>
      <c r="H389" s="15">
        <f>IFERROR(IF(E388&lt;&gt;E389,1,INT(H388)+IF(TDays[[#This Row],[کد روز هفته]]=0,1,0)),1)</f>
        <v>4</v>
      </c>
      <c r="I389">
        <f>-SUMIF(TArticle[تاریخ],TDays[[#This Row],[تاریخ]],TArticle[هزینه])</f>
        <v>0</v>
      </c>
      <c r="J389">
        <f>SUMIF(TArticle[تاریخ],TDays[[#This Row],[تاریخ]],TArticle[درآمد تتا])</f>
        <v>0</v>
      </c>
      <c r="K389">
        <f>SUMIF(TArticle[تاریخ],TDays[[#This Row],[تاریخ]],TArticle[اسنپ])</f>
        <v>0</v>
      </c>
      <c r="L389">
        <f>-SUMIF(TArticle[تاریخ],TDays[[#This Row],[تاریخ]],TArticle[پرداخت بدهی])</f>
        <v>0</v>
      </c>
      <c r="M389">
        <f>SUMIF(TArticle[تاریخ],TDays[[#This Row],[تاریخ]],TArticle[افزایش بدهی])</f>
        <v>0</v>
      </c>
      <c r="N389">
        <f>-SUMIF(TArticle[تاریخ],TDays[[#This Row],[تاریخ]],TArticle[افزایش سرمایه])</f>
        <v>0</v>
      </c>
      <c r="O389">
        <f>SUMIF(TArticle[تاریخ],TDays[[#This Row],[تاریخ]],TArticle[تعداد تراکنش انجام شده])</f>
        <v>0</v>
      </c>
      <c r="P389">
        <f>INT(((TDays[[#This Row],[ماه]]-1)*31+TDays[[#This Row],[روز]]+1)/7)+1</f>
        <v>4</v>
      </c>
      <c r="Q389">
        <f>SUMIF(TArticle[تاریخ],TDays[[#This Row],[تاریخ]],TArticle[تراکنش برنامه ریزی شده])</f>
        <v>0</v>
      </c>
    </row>
    <row r="390" spans="1:17" x14ac:dyDescent="0.25">
      <c r="A390" s="3" t="s">
        <v>580</v>
      </c>
      <c r="B390" t="str">
        <f>RIGHT(TDays[[#This Row],[تاریخ]],2)</f>
        <v>24</v>
      </c>
      <c r="C390" t="str">
        <f>RIGHT(LEFT(TDays[[#This Row],[تاریخ]],7),2)</f>
        <v>01</v>
      </c>
      <c r="D390" t="str">
        <f>LEFT(TDays[[#This Row],[تاریخ]],4)</f>
        <v>1402</v>
      </c>
      <c r="E390" t="str">
        <f>LEFT(TDays[[#This Row],[تاریخ]],7)</f>
        <v>1402-01</v>
      </c>
      <c r="F390">
        <v>5</v>
      </c>
      <c r="G390" s="15" t="str">
        <f>VLOOKUP(TDays[[#This Row],[کد روز هفته]],TDaysOfTheWeek[],2,FALSE)</f>
        <v>پنجشنبه</v>
      </c>
      <c r="H390" s="15">
        <f>IFERROR(IF(E389&lt;&gt;E390,1,INT(H389)+IF(TDays[[#This Row],[کد روز هفته]]=0,1,0)),1)</f>
        <v>4</v>
      </c>
      <c r="I390">
        <f>-SUMIF(TArticle[تاریخ],TDays[[#This Row],[تاریخ]],TArticle[هزینه])</f>
        <v>0</v>
      </c>
      <c r="J390">
        <f>SUMIF(TArticle[تاریخ],TDays[[#This Row],[تاریخ]],TArticle[درآمد تتا])</f>
        <v>0</v>
      </c>
      <c r="K390">
        <f>SUMIF(TArticle[تاریخ],TDays[[#This Row],[تاریخ]],TArticle[اسنپ])</f>
        <v>0</v>
      </c>
      <c r="L390">
        <f>-SUMIF(TArticle[تاریخ],TDays[[#This Row],[تاریخ]],TArticle[پرداخت بدهی])</f>
        <v>0</v>
      </c>
      <c r="M390">
        <f>SUMIF(TArticle[تاریخ],TDays[[#This Row],[تاریخ]],TArticle[افزایش بدهی])</f>
        <v>0</v>
      </c>
      <c r="N390">
        <f>-SUMIF(TArticle[تاریخ],TDays[[#This Row],[تاریخ]],TArticle[افزایش سرمایه])</f>
        <v>0</v>
      </c>
      <c r="O390">
        <f>SUMIF(TArticle[تاریخ],TDays[[#This Row],[تاریخ]],TArticle[تعداد تراکنش انجام شده])</f>
        <v>0</v>
      </c>
      <c r="P390">
        <f>INT(((TDays[[#This Row],[ماه]]-1)*31+TDays[[#This Row],[روز]]+1)/7)+1</f>
        <v>4</v>
      </c>
      <c r="Q390">
        <f>SUMIF(TArticle[تاریخ],TDays[[#This Row],[تاریخ]],TArticle[تراکنش برنامه ریزی شده])</f>
        <v>0</v>
      </c>
    </row>
    <row r="391" spans="1:17" x14ac:dyDescent="0.25">
      <c r="A391" s="3" t="s">
        <v>581</v>
      </c>
      <c r="B391" t="str">
        <f>RIGHT(TDays[[#This Row],[تاریخ]],2)</f>
        <v>25</v>
      </c>
      <c r="C391" t="str">
        <f>RIGHT(LEFT(TDays[[#This Row],[تاریخ]],7),2)</f>
        <v>01</v>
      </c>
      <c r="D391" t="str">
        <f>LEFT(TDays[[#This Row],[تاریخ]],4)</f>
        <v>1402</v>
      </c>
      <c r="E391" t="str">
        <f>LEFT(TDays[[#This Row],[تاریخ]],7)</f>
        <v>1402-01</v>
      </c>
      <c r="F391">
        <v>6</v>
      </c>
      <c r="G391" s="15" t="str">
        <f>VLOOKUP(TDays[[#This Row],[کد روز هفته]],TDaysOfTheWeek[],2,FALSE)</f>
        <v>جمعه</v>
      </c>
      <c r="H391" s="15">
        <f>IFERROR(IF(E390&lt;&gt;E391,1,INT(H390)+IF(TDays[[#This Row],[کد روز هفته]]=0,1,0)),1)</f>
        <v>4</v>
      </c>
      <c r="I391">
        <f>-SUMIF(TArticle[تاریخ],TDays[[#This Row],[تاریخ]],TArticle[هزینه])</f>
        <v>0</v>
      </c>
      <c r="J391">
        <f>SUMIF(TArticle[تاریخ],TDays[[#This Row],[تاریخ]],TArticle[درآمد تتا])</f>
        <v>0</v>
      </c>
      <c r="K391">
        <f>SUMIF(TArticle[تاریخ],TDays[[#This Row],[تاریخ]],TArticle[اسنپ])</f>
        <v>0</v>
      </c>
      <c r="L391">
        <f>-SUMIF(TArticle[تاریخ],TDays[[#This Row],[تاریخ]],TArticle[پرداخت بدهی])</f>
        <v>0</v>
      </c>
      <c r="M391">
        <f>SUMIF(TArticle[تاریخ],TDays[[#This Row],[تاریخ]],TArticle[افزایش بدهی])</f>
        <v>0</v>
      </c>
      <c r="N391">
        <f>-SUMIF(TArticle[تاریخ],TDays[[#This Row],[تاریخ]],TArticle[افزایش سرمایه])</f>
        <v>0</v>
      </c>
      <c r="O391">
        <f>SUMIF(TArticle[تاریخ],TDays[[#This Row],[تاریخ]],TArticle[تعداد تراکنش انجام شده])</f>
        <v>0</v>
      </c>
      <c r="P391">
        <f>INT(((TDays[[#This Row],[ماه]]-1)*31+TDays[[#This Row],[روز]]+1)/7)+1</f>
        <v>4</v>
      </c>
      <c r="Q391">
        <f>SUMIF(TArticle[تاریخ],TDays[[#This Row],[تاریخ]],TArticle[تراکنش برنامه ریزی شده])</f>
        <v>0</v>
      </c>
    </row>
    <row r="392" spans="1:17" x14ac:dyDescent="0.25">
      <c r="A392" s="3" t="s">
        <v>582</v>
      </c>
      <c r="B392" t="str">
        <f>RIGHT(TDays[[#This Row],[تاریخ]],2)</f>
        <v>26</v>
      </c>
      <c r="C392" t="str">
        <f>RIGHT(LEFT(TDays[[#This Row],[تاریخ]],7),2)</f>
        <v>01</v>
      </c>
      <c r="D392" t="str">
        <f>LEFT(TDays[[#This Row],[تاریخ]],4)</f>
        <v>1402</v>
      </c>
      <c r="E392" t="str">
        <f>LEFT(TDays[[#This Row],[تاریخ]],7)</f>
        <v>1402-01</v>
      </c>
      <c r="F392">
        <v>0</v>
      </c>
      <c r="G392" s="15" t="str">
        <f>VLOOKUP(TDays[[#This Row],[کد روز هفته]],TDaysOfTheWeek[],2,FALSE)</f>
        <v>شنبه</v>
      </c>
      <c r="H392" s="15">
        <f>IFERROR(IF(E391&lt;&gt;E392,1,INT(H391)+IF(TDays[[#This Row],[کد روز هفته]]=0,1,0)),1)</f>
        <v>5</v>
      </c>
      <c r="I392">
        <f>-SUMIF(TArticle[تاریخ],TDays[[#This Row],[تاریخ]],TArticle[هزینه])</f>
        <v>0</v>
      </c>
      <c r="J392">
        <f>SUMIF(TArticle[تاریخ],TDays[[#This Row],[تاریخ]],TArticle[درآمد تتا])</f>
        <v>0</v>
      </c>
      <c r="K392">
        <f>SUMIF(TArticle[تاریخ],TDays[[#This Row],[تاریخ]],TArticle[اسنپ])</f>
        <v>0</v>
      </c>
      <c r="L392">
        <f>-SUMIF(TArticle[تاریخ],TDays[[#This Row],[تاریخ]],TArticle[پرداخت بدهی])</f>
        <v>0</v>
      </c>
      <c r="M392">
        <f>SUMIF(TArticle[تاریخ],TDays[[#This Row],[تاریخ]],TArticle[افزایش بدهی])</f>
        <v>0</v>
      </c>
      <c r="N392">
        <f>-SUMIF(TArticle[تاریخ],TDays[[#This Row],[تاریخ]],TArticle[افزایش سرمایه])</f>
        <v>0</v>
      </c>
      <c r="O392">
        <f>SUMIF(TArticle[تاریخ],TDays[[#This Row],[تاریخ]],TArticle[تعداد تراکنش انجام شده])</f>
        <v>0</v>
      </c>
      <c r="P392">
        <f>INT(((TDays[[#This Row],[ماه]]-1)*31+TDays[[#This Row],[روز]]+1)/7)+1</f>
        <v>4</v>
      </c>
      <c r="Q392">
        <f>SUMIF(TArticle[تاریخ],TDays[[#This Row],[تاریخ]],TArticle[تراکنش برنامه ریزی شده])</f>
        <v>0</v>
      </c>
    </row>
    <row r="393" spans="1:17" x14ac:dyDescent="0.25">
      <c r="A393" s="3" t="s">
        <v>583</v>
      </c>
      <c r="B393" t="str">
        <f>RIGHT(TDays[[#This Row],[تاریخ]],2)</f>
        <v>27</v>
      </c>
      <c r="C393" t="str">
        <f>RIGHT(LEFT(TDays[[#This Row],[تاریخ]],7),2)</f>
        <v>01</v>
      </c>
      <c r="D393" t="str">
        <f>LEFT(TDays[[#This Row],[تاریخ]],4)</f>
        <v>1402</v>
      </c>
      <c r="E393" t="str">
        <f>LEFT(TDays[[#This Row],[تاریخ]],7)</f>
        <v>1402-01</v>
      </c>
      <c r="F393">
        <v>1</v>
      </c>
      <c r="G393" s="15" t="str">
        <f>VLOOKUP(TDays[[#This Row],[کد روز هفته]],TDaysOfTheWeek[],2,FALSE)</f>
        <v>یکشنبه</v>
      </c>
      <c r="H393" s="15">
        <f>IFERROR(IF(E392&lt;&gt;E393,1,INT(H392)+IF(TDays[[#This Row],[کد روز هفته]]=0,1,0)),1)</f>
        <v>5</v>
      </c>
      <c r="I393">
        <f>-SUMIF(TArticle[تاریخ],TDays[[#This Row],[تاریخ]],TArticle[هزینه])</f>
        <v>0</v>
      </c>
      <c r="J393">
        <f>SUMIF(TArticle[تاریخ],TDays[[#This Row],[تاریخ]],TArticle[درآمد تتا])</f>
        <v>0</v>
      </c>
      <c r="K393">
        <f>SUMIF(TArticle[تاریخ],TDays[[#This Row],[تاریخ]],TArticle[اسنپ])</f>
        <v>0</v>
      </c>
      <c r="L393">
        <f>-SUMIF(TArticle[تاریخ],TDays[[#This Row],[تاریخ]],TArticle[پرداخت بدهی])</f>
        <v>0</v>
      </c>
      <c r="M393">
        <f>SUMIF(TArticle[تاریخ],TDays[[#This Row],[تاریخ]],TArticle[افزایش بدهی])</f>
        <v>0</v>
      </c>
      <c r="N393">
        <f>-SUMIF(TArticle[تاریخ],TDays[[#This Row],[تاریخ]],TArticle[افزایش سرمایه])</f>
        <v>0</v>
      </c>
      <c r="O393">
        <f>SUMIF(TArticle[تاریخ],TDays[[#This Row],[تاریخ]],TArticle[تعداد تراکنش انجام شده])</f>
        <v>0</v>
      </c>
      <c r="P393">
        <f>INT(((TDays[[#This Row],[ماه]]-1)*31+TDays[[#This Row],[روز]]+1)/7)+1</f>
        <v>5</v>
      </c>
      <c r="Q393">
        <f>SUMIF(TArticle[تاریخ],TDays[[#This Row],[تاریخ]],TArticle[تراکنش برنامه ریزی شده])</f>
        <v>0</v>
      </c>
    </row>
    <row r="394" spans="1:17" x14ac:dyDescent="0.25">
      <c r="A394" s="3" t="s">
        <v>584</v>
      </c>
      <c r="B394" t="str">
        <f>RIGHT(TDays[[#This Row],[تاریخ]],2)</f>
        <v>28</v>
      </c>
      <c r="C394" t="str">
        <f>RIGHT(LEFT(TDays[[#This Row],[تاریخ]],7),2)</f>
        <v>01</v>
      </c>
      <c r="D394" t="str">
        <f>LEFT(TDays[[#This Row],[تاریخ]],4)</f>
        <v>1402</v>
      </c>
      <c r="E394" t="str">
        <f>LEFT(TDays[[#This Row],[تاریخ]],7)</f>
        <v>1402-01</v>
      </c>
      <c r="F394">
        <v>2</v>
      </c>
      <c r="G394" s="15" t="str">
        <f>VLOOKUP(TDays[[#This Row],[کد روز هفته]],TDaysOfTheWeek[],2,FALSE)</f>
        <v>دوشنبه</v>
      </c>
      <c r="H394" s="15">
        <f>IFERROR(IF(E393&lt;&gt;E394,1,INT(H393)+IF(TDays[[#This Row],[کد روز هفته]]=0,1,0)),1)</f>
        <v>5</v>
      </c>
      <c r="I394">
        <f>-SUMIF(TArticle[تاریخ],TDays[[#This Row],[تاریخ]],TArticle[هزینه])</f>
        <v>0</v>
      </c>
      <c r="J394">
        <f>SUMIF(TArticle[تاریخ],TDays[[#This Row],[تاریخ]],TArticle[درآمد تتا])</f>
        <v>0</v>
      </c>
      <c r="K394">
        <f>SUMIF(TArticle[تاریخ],TDays[[#This Row],[تاریخ]],TArticle[اسنپ])</f>
        <v>0</v>
      </c>
      <c r="L394">
        <f>-SUMIF(TArticle[تاریخ],TDays[[#This Row],[تاریخ]],TArticle[پرداخت بدهی])</f>
        <v>0</v>
      </c>
      <c r="M394">
        <f>SUMIF(TArticle[تاریخ],TDays[[#This Row],[تاریخ]],TArticle[افزایش بدهی])</f>
        <v>0</v>
      </c>
      <c r="N394">
        <f>-SUMIF(TArticle[تاریخ],TDays[[#This Row],[تاریخ]],TArticle[افزایش سرمایه])</f>
        <v>0</v>
      </c>
      <c r="O394">
        <f>SUMIF(TArticle[تاریخ],TDays[[#This Row],[تاریخ]],TArticle[تعداد تراکنش انجام شده])</f>
        <v>0</v>
      </c>
      <c r="P394">
        <f>INT(((TDays[[#This Row],[ماه]]-1)*31+TDays[[#This Row],[روز]]+1)/7)+1</f>
        <v>5</v>
      </c>
      <c r="Q394">
        <f>SUMIF(TArticle[تاریخ],TDays[[#This Row],[تاریخ]],TArticle[تراکنش برنامه ریزی شده])</f>
        <v>1</v>
      </c>
    </row>
    <row r="395" spans="1:17" x14ac:dyDescent="0.25">
      <c r="A395" s="3" t="s">
        <v>585</v>
      </c>
      <c r="B395" t="str">
        <f>RIGHT(TDays[[#This Row],[تاریخ]],2)</f>
        <v>29</v>
      </c>
      <c r="C395" t="str">
        <f>RIGHT(LEFT(TDays[[#This Row],[تاریخ]],7),2)</f>
        <v>01</v>
      </c>
      <c r="D395" t="str">
        <f>LEFT(TDays[[#This Row],[تاریخ]],4)</f>
        <v>1402</v>
      </c>
      <c r="E395" t="str">
        <f>LEFT(TDays[[#This Row],[تاریخ]],7)</f>
        <v>1402-01</v>
      </c>
      <c r="F395">
        <v>3</v>
      </c>
      <c r="G395" s="15" t="str">
        <f>VLOOKUP(TDays[[#This Row],[کد روز هفته]],TDaysOfTheWeek[],2,FALSE)</f>
        <v>سه شنبه</v>
      </c>
      <c r="H395" s="15">
        <f>IFERROR(IF(E394&lt;&gt;E395,1,INT(H394)+IF(TDays[[#This Row],[کد روز هفته]]=0,1,0)),1)</f>
        <v>5</v>
      </c>
      <c r="I395">
        <f>-SUMIF(TArticle[تاریخ],TDays[[#This Row],[تاریخ]],TArticle[هزینه])</f>
        <v>0</v>
      </c>
      <c r="J395">
        <f>SUMIF(TArticle[تاریخ],TDays[[#This Row],[تاریخ]],TArticle[درآمد تتا])</f>
        <v>0</v>
      </c>
      <c r="K395">
        <f>SUMIF(TArticle[تاریخ],TDays[[#This Row],[تاریخ]],TArticle[اسنپ])</f>
        <v>0</v>
      </c>
      <c r="L395">
        <f>-SUMIF(TArticle[تاریخ],TDays[[#This Row],[تاریخ]],TArticle[پرداخت بدهی])</f>
        <v>0</v>
      </c>
      <c r="M395">
        <f>SUMIF(TArticle[تاریخ],TDays[[#This Row],[تاریخ]],TArticle[افزایش بدهی])</f>
        <v>0</v>
      </c>
      <c r="N395">
        <f>-SUMIF(TArticle[تاریخ],TDays[[#This Row],[تاریخ]],TArticle[افزایش سرمایه])</f>
        <v>0</v>
      </c>
      <c r="O395">
        <f>SUMIF(TArticle[تاریخ],TDays[[#This Row],[تاریخ]],TArticle[تعداد تراکنش انجام شده])</f>
        <v>0</v>
      </c>
      <c r="P395">
        <f>INT(((TDays[[#This Row],[ماه]]-1)*31+TDays[[#This Row],[روز]]+1)/7)+1</f>
        <v>5</v>
      </c>
      <c r="Q395">
        <f>SUMIF(TArticle[تاریخ],TDays[[#This Row],[تاریخ]],TArticle[تراکنش برنامه ریزی شده])</f>
        <v>0</v>
      </c>
    </row>
    <row r="396" spans="1:17" x14ac:dyDescent="0.25">
      <c r="A396" s="3" t="s">
        <v>586</v>
      </c>
      <c r="B396" t="str">
        <f>RIGHT(TDays[[#This Row],[تاریخ]],2)</f>
        <v>30</v>
      </c>
      <c r="C396" t="str">
        <f>RIGHT(LEFT(TDays[[#This Row],[تاریخ]],7),2)</f>
        <v>01</v>
      </c>
      <c r="D396" t="str">
        <f>LEFT(TDays[[#This Row],[تاریخ]],4)</f>
        <v>1402</v>
      </c>
      <c r="E396" t="str">
        <f>LEFT(TDays[[#This Row],[تاریخ]],7)</f>
        <v>1402-01</v>
      </c>
      <c r="F396">
        <v>4</v>
      </c>
      <c r="G396" s="15" t="str">
        <f>VLOOKUP(TDays[[#This Row],[کد روز هفته]],TDaysOfTheWeek[],2,FALSE)</f>
        <v>چهارشنبه</v>
      </c>
      <c r="H396" s="15">
        <f>IFERROR(IF(E395&lt;&gt;E396,1,INT(H395)+IF(TDays[[#This Row],[کد روز هفته]]=0,1,0)),1)</f>
        <v>5</v>
      </c>
      <c r="I396">
        <f>-SUMIF(TArticle[تاریخ],TDays[[#This Row],[تاریخ]],TArticle[هزینه])</f>
        <v>0</v>
      </c>
      <c r="J396">
        <f>SUMIF(TArticle[تاریخ],TDays[[#This Row],[تاریخ]],TArticle[درآمد تتا])</f>
        <v>0</v>
      </c>
      <c r="K396">
        <f>SUMIF(TArticle[تاریخ],TDays[[#This Row],[تاریخ]],TArticle[اسنپ])</f>
        <v>0</v>
      </c>
      <c r="L396">
        <f>-SUMIF(TArticle[تاریخ],TDays[[#This Row],[تاریخ]],TArticle[پرداخت بدهی])</f>
        <v>0</v>
      </c>
      <c r="M396">
        <f>SUMIF(TArticle[تاریخ],TDays[[#This Row],[تاریخ]],TArticle[افزایش بدهی])</f>
        <v>0</v>
      </c>
      <c r="N396">
        <f>-SUMIF(TArticle[تاریخ],TDays[[#This Row],[تاریخ]],TArticle[افزایش سرمایه])</f>
        <v>0</v>
      </c>
      <c r="O396">
        <f>SUMIF(TArticle[تاریخ],TDays[[#This Row],[تاریخ]],TArticle[تعداد تراکنش انجام شده])</f>
        <v>0</v>
      </c>
      <c r="P396">
        <f>INT(((TDays[[#This Row],[ماه]]-1)*31+TDays[[#This Row],[روز]]+1)/7)+1</f>
        <v>5</v>
      </c>
      <c r="Q396">
        <f>SUMIF(TArticle[تاریخ],TDays[[#This Row],[تاریخ]],TArticle[تراکنش برنامه ریزی شده])</f>
        <v>0</v>
      </c>
    </row>
    <row r="397" spans="1:17" x14ac:dyDescent="0.25">
      <c r="A397" s="3" t="s">
        <v>587</v>
      </c>
      <c r="B397" t="str">
        <f>RIGHT(TDays[[#This Row],[تاریخ]],2)</f>
        <v>31</v>
      </c>
      <c r="C397" t="str">
        <f>RIGHT(LEFT(TDays[[#This Row],[تاریخ]],7),2)</f>
        <v>01</v>
      </c>
      <c r="D397" t="str">
        <f>LEFT(TDays[[#This Row],[تاریخ]],4)</f>
        <v>1402</v>
      </c>
      <c r="E397" t="str">
        <f>LEFT(TDays[[#This Row],[تاریخ]],7)</f>
        <v>1402-01</v>
      </c>
      <c r="F397">
        <v>5</v>
      </c>
      <c r="G397" s="15" t="str">
        <f>VLOOKUP(TDays[[#This Row],[کد روز هفته]],TDaysOfTheWeek[],2,FALSE)</f>
        <v>پنجشنبه</v>
      </c>
      <c r="H397" s="15">
        <f>IFERROR(IF(E396&lt;&gt;E397,1,INT(H396)+IF(TDays[[#This Row],[کد روز هفته]]=0,1,0)),1)</f>
        <v>5</v>
      </c>
      <c r="I397">
        <f>-SUMIF(TArticle[تاریخ],TDays[[#This Row],[تاریخ]],TArticle[هزینه])</f>
        <v>0</v>
      </c>
      <c r="J397">
        <f>SUMIF(TArticle[تاریخ],TDays[[#This Row],[تاریخ]],TArticle[درآمد تتا])</f>
        <v>0</v>
      </c>
      <c r="K397">
        <f>SUMIF(TArticle[تاریخ],TDays[[#This Row],[تاریخ]],TArticle[اسنپ])</f>
        <v>0</v>
      </c>
      <c r="L397">
        <f>-SUMIF(TArticle[تاریخ],TDays[[#This Row],[تاریخ]],TArticle[پرداخت بدهی])</f>
        <v>0</v>
      </c>
      <c r="M397">
        <f>SUMIF(TArticle[تاریخ],TDays[[#This Row],[تاریخ]],TArticle[افزایش بدهی])</f>
        <v>0</v>
      </c>
      <c r="N397">
        <f>-SUMIF(TArticle[تاریخ],TDays[[#This Row],[تاریخ]],TArticle[افزایش سرمایه])</f>
        <v>0</v>
      </c>
      <c r="O397">
        <f>SUMIF(TArticle[تاریخ],TDays[[#This Row],[تاریخ]],TArticle[تعداد تراکنش انجام شده])</f>
        <v>0</v>
      </c>
      <c r="P397">
        <f>INT(((TDays[[#This Row],[ماه]]-1)*31+TDays[[#This Row],[روز]]+1)/7)+1</f>
        <v>5</v>
      </c>
      <c r="Q397">
        <f>SUMIF(TArticle[تاریخ],TDays[[#This Row],[تاریخ]],TArticle[تراکنش برنامه ریزی شده])</f>
        <v>0</v>
      </c>
    </row>
    <row r="398" spans="1:17" x14ac:dyDescent="0.25">
      <c r="A398" s="3" t="s">
        <v>588</v>
      </c>
      <c r="B398" t="str">
        <f>RIGHT(TDays[[#This Row],[تاریخ]],2)</f>
        <v>01</v>
      </c>
      <c r="C398" t="str">
        <f>RIGHT(LEFT(TDays[[#This Row],[تاریخ]],7),2)</f>
        <v>02</v>
      </c>
      <c r="D398" t="str">
        <f>LEFT(TDays[[#This Row],[تاریخ]],4)</f>
        <v>1402</v>
      </c>
      <c r="E398" t="str">
        <f>LEFT(TDays[[#This Row],[تاریخ]],7)</f>
        <v>1402-02</v>
      </c>
      <c r="F398">
        <v>6</v>
      </c>
      <c r="G398" s="15" t="str">
        <f>VLOOKUP(TDays[[#This Row],[کد روز هفته]],TDaysOfTheWeek[],2,FALSE)</f>
        <v>جمعه</v>
      </c>
      <c r="H398" s="15">
        <f>IFERROR(IF(E397&lt;&gt;E398,1,INT(H397)+IF(TDays[[#This Row],[کد روز هفته]]=0,1,0)),1)</f>
        <v>1</v>
      </c>
      <c r="I398">
        <f>-SUMIF(TArticle[تاریخ],TDays[[#This Row],[تاریخ]],TArticle[هزینه])</f>
        <v>0</v>
      </c>
      <c r="J398">
        <f>SUMIF(TArticle[تاریخ],TDays[[#This Row],[تاریخ]],TArticle[درآمد تتا])</f>
        <v>0</v>
      </c>
      <c r="K398">
        <f>SUMIF(TArticle[تاریخ],TDays[[#This Row],[تاریخ]],TArticle[اسنپ])</f>
        <v>0</v>
      </c>
      <c r="L398">
        <f>-SUMIF(TArticle[تاریخ],TDays[[#This Row],[تاریخ]],TArticle[پرداخت بدهی])</f>
        <v>0</v>
      </c>
      <c r="M398">
        <f>SUMIF(TArticle[تاریخ],TDays[[#This Row],[تاریخ]],TArticle[افزایش بدهی])</f>
        <v>0</v>
      </c>
      <c r="N398">
        <f>-SUMIF(TArticle[تاریخ],TDays[[#This Row],[تاریخ]],TArticle[افزایش سرمایه])</f>
        <v>0</v>
      </c>
      <c r="O398">
        <f>SUMIF(TArticle[تاریخ],TDays[[#This Row],[تاریخ]],TArticle[تعداد تراکنش انجام شده])</f>
        <v>0</v>
      </c>
      <c r="P398">
        <f>INT(((TDays[[#This Row],[ماه]]-1)*31+TDays[[#This Row],[روز]]+1)/7)+1</f>
        <v>5</v>
      </c>
      <c r="Q398">
        <f>SUMIF(TArticle[تاریخ],TDays[[#This Row],[تاریخ]],TArticle[تراکنش برنامه ریزی شده])</f>
        <v>2</v>
      </c>
    </row>
    <row r="399" spans="1:17" x14ac:dyDescent="0.25">
      <c r="A399" s="3" t="s">
        <v>589</v>
      </c>
      <c r="B399" t="str">
        <f>RIGHT(TDays[[#This Row],[تاریخ]],2)</f>
        <v>02</v>
      </c>
      <c r="C399" t="str">
        <f>RIGHT(LEFT(TDays[[#This Row],[تاریخ]],7),2)</f>
        <v>02</v>
      </c>
      <c r="D399" t="str">
        <f>LEFT(TDays[[#This Row],[تاریخ]],4)</f>
        <v>1402</v>
      </c>
      <c r="E399" t="str">
        <f>LEFT(TDays[[#This Row],[تاریخ]],7)</f>
        <v>1402-02</v>
      </c>
      <c r="F399">
        <v>0</v>
      </c>
      <c r="G399" s="15" t="str">
        <f>VLOOKUP(TDays[[#This Row],[کد روز هفته]],TDaysOfTheWeek[],2,FALSE)</f>
        <v>شنبه</v>
      </c>
      <c r="H399" s="15">
        <f>IFERROR(IF(E398&lt;&gt;E399,1,INT(H398)+IF(TDays[[#This Row],[کد روز هفته]]=0,1,0)),1)</f>
        <v>2</v>
      </c>
      <c r="I399">
        <f>-SUMIF(TArticle[تاریخ],TDays[[#This Row],[تاریخ]],TArticle[هزینه])</f>
        <v>0</v>
      </c>
      <c r="J399">
        <f>SUMIF(TArticle[تاریخ],TDays[[#This Row],[تاریخ]],TArticle[درآمد تتا])</f>
        <v>0</v>
      </c>
      <c r="K399">
        <f>SUMIF(TArticle[تاریخ],TDays[[#This Row],[تاریخ]],TArticle[اسنپ])</f>
        <v>0</v>
      </c>
      <c r="L399">
        <f>-SUMIF(TArticle[تاریخ],TDays[[#This Row],[تاریخ]],TArticle[پرداخت بدهی])</f>
        <v>0</v>
      </c>
      <c r="M399">
        <f>SUMIF(TArticle[تاریخ],TDays[[#This Row],[تاریخ]],TArticle[افزایش بدهی])</f>
        <v>0</v>
      </c>
      <c r="N399">
        <f>-SUMIF(TArticle[تاریخ],TDays[[#This Row],[تاریخ]],TArticle[افزایش سرمایه])</f>
        <v>0</v>
      </c>
      <c r="O399">
        <f>SUMIF(TArticle[تاریخ],TDays[[#This Row],[تاریخ]],TArticle[تعداد تراکنش انجام شده])</f>
        <v>0</v>
      </c>
      <c r="P399">
        <f>INT(((TDays[[#This Row],[ماه]]-1)*31+TDays[[#This Row],[روز]]+1)/7)+1</f>
        <v>5</v>
      </c>
      <c r="Q399">
        <f>SUMIF(TArticle[تاریخ],TDays[[#This Row],[تاریخ]],TArticle[تراکنش برنامه ریزی شده])</f>
        <v>0</v>
      </c>
    </row>
    <row r="400" spans="1:17" x14ac:dyDescent="0.25">
      <c r="A400" s="3" t="s">
        <v>590</v>
      </c>
      <c r="B400" t="str">
        <f>RIGHT(TDays[[#This Row],[تاریخ]],2)</f>
        <v>03</v>
      </c>
      <c r="C400" t="str">
        <f>RIGHT(LEFT(TDays[[#This Row],[تاریخ]],7),2)</f>
        <v>02</v>
      </c>
      <c r="D400" t="str">
        <f>LEFT(TDays[[#This Row],[تاریخ]],4)</f>
        <v>1402</v>
      </c>
      <c r="E400" t="str">
        <f>LEFT(TDays[[#This Row],[تاریخ]],7)</f>
        <v>1402-02</v>
      </c>
      <c r="F400">
        <v>1</v>
      </c>
      <c r="G400" s="15" t="str">
        <f>VLOOKUP(TDays[[#This Row],[کد روز هفته]],TDaysOfTheWeek[],2,FALSE)</f>
        <v>یکشنبه</v>
      </c>
      <c r="H400" s="15">
        <f>IFERROR(IF(E399&lt;&gt;E400,1,INT(H399)+IF(TDays[[#This Row],[کد روز هفته]]=0,1,0)),1)</f>
        <v>2</v>
      </c>
      <c r="I400">
        <f>-SUMIF(TArticle[تاریخ],TDays[[#This Row],[تاریخ]],TArticle[هزینه])</f>
        <v>0</v>
      </c>
      <c r="J400">
        <f>SUMIF(TArticle[تاریخ],TDays[[#This Row],[تاریخ]],TArticle[درآمد تتا])</f>
        <v>0</v>
      </c>
      <c r="K400">
        <f>SUMIF(TArticle[تاریخ],TDays[[#This Row],[تاریخ]],TArticle[اسنپ])</f>
        <v>0</v>
      </c>
      <c r="L400">
        <f>-SUMIF(TArticle[تاریخ],TDays[[#This Row],[تاریخ]],TArticle[پرداخت بدهی])</f>
        <v>0</v>
      </c>
      <c r="M400">
        <f>SUMIF(TArticle[تاریخ],TDays[[#This Row],[تاریخ]],TArticle[افزایش بدهی])</f>
        <v>0</v>
      </c>
      <c r="N400">
        <f>-SUMIF(TArticle[تاریخ],TDays[[#This Row],[تاریخ]],TArticle[افزایش سرمایه])</f>
        <v>0</v>
      </c>
      <c r="O400">
        <f>SUMIF(TArticle[تاریخ],TDays[[#This Row],[تاریخ]],TArticle[تعداد تراکنش انجام شده])</f>
        <v>0</v>
      </c>
      <c r="P400">
        <f>INT(((TDays[[#This Row],[ماه]]-1)*31+TDays[[#This Row],[روز]]+1)/7)+1</f>
        <v>6</v>
      </c>
      <c r="Q400">
        <f>SUMIF(TArticle[تاریخ],TDays[[#This Row],[تاریخ]],TArticle[تراکنش برنامه ریزی شده])</f>
        <v>2</v>
      </c>
    </row>
    <row r="401" spans="1:17" x14ac:dyDescent="0.25">
      <c r="A401" s="3" t="s">
        <v>591</v>
      </c>
      <c r="B401" t="str">
        <f>RIGHT(TDays[[#This Row],[تاریخ]],2)</f>
        <v>04</v>
      </c>
      <c r="C401" t="str">
        <f>RIGHT(LEFT(TDays[[#This Row],[تاریخ]],7),2)</f>
        <v>02</v>
      </c>
      <c r="D401" t="str">
        <f>LEFT(TDays[[#This Row],[تاریخ]],4)</f>
        <v>1402</v>
      </c>
      <c r="E401" t="str">
        <f>LEFT(TDays[[#This Row],[تاریخ]],7)</f>
        <v>1402-02</v>
      </c>
      <c r="F401">
        <v>2</v>
      </c>
      <c r="G401" s="15" t="str">
        <f>VLOOKUP(TDays[[#This Row],[کد روز هفته]],TDaysOfTheWeek[],2,FALSE)</f>
        <v>دوشنبه</v>
      </c>
      <c r="H401" s="15">
        <f>IFERROR(IF(E400&lt;&gt;E401,1,INT(H400)+IF(TDays[[#This Row],[کد روز هفته]]=0,1,0)),1)</f>
        <v>2</v>
      </c>
      <c r="I401">
        <f>-SUMIF(TArticle[تاریخ],TDays[[#This Row],[تاریخ]],TArticle[هزینه])</f>
        <v>0</v>
      </c>
      <c r="J401">
        <f>SUMIF(TArticle[تاریخ],TDays[[#This Row],[تاریخ]],TArticle[درآمد تتا])</f>
        <v>0</v>
      </c>
      <c r="K401">
        <f>SUMIF(TArticle[تاریخ],TDays[[#This Row],[تاریخ]],TArticle[اسنپ])</f>
        <v>0</v>
      </c>
      <c r="L401">
        <f>-SUMIF(TArticle[تاریخ],TDays[[#This Row],[تاریخ]],TArticle[پرداخت بدهی])</f>
        <v>0</v>
      </c>
      <c r="M401">
        <f>SUMIF(TArticle[تاریخ],TDays[[#This Row],[تاریخ]],TArticle[افزایش بدهی])</f>
        <v>0</v>
      </c>
      <c r="N401">
        <f>-SUMIF(TArticle[تاریخ],TDays[[#This Row],[تاریخ]],TArticle[افزایش سرمایه])</f>
        <v>0</v>
      </c>
      <c r="O401">
        <f>SUMIF(TArticle[تاریخ],TDays[[#This Row],[تاریخ]],TArticle[تعداد تراکنش انجام شده])</f>
        <v>0</v>
      </c>
      <c r="P401">
        <f>INT(((TDays[[#This Row],[ماه]]-1)*31+TDays[[#This Row],[روز]]+1)/7)+1</f>
        <v>6</v>
      </c>
      <c r="Q401">
        <f>SUMIF(TArticle[تاریخ],TDays[[#This Row],[تاریخ]],TArticle[تراکنش برنامه ریزی شده])</f>
        <v>2</v>
      </c>
    </row>
    <row r="402" spans="1:17" x14ac:dyDescent="0.25">
      <c r="A402" s="3" t="s">
        <v>592</v>
      </c>
      <c r="B402" t="str">
        <f>RIGHT(TDays[[#This Row],[تاریخ]],2)</f>
        <v>05</v>
      </c>
      <c r="C402" t="str">
        <f>RIGHT(LEFT(TDays[[#This Row],[تاریخ]],7),2)</f>
        <v>02</v>
      </c>
      <c r="D402" t="str">
        <f>LEFT(TDays[[#This Row],[تاریخ]],4)</f>
        <v>1402</v>
      </c>
      <c r="E402" t="str">
        <f>LEFT(TDays[[#This Row],[تاریخ]],7)</f>
        <v>1402-02</v>
      </c>
      <c r="F402">
        <v>3</v>
      </c>
      <c r="G402" s="15" t="str">
        <f>VLOOKUP(TDays[[#This Row],[کد روز هفته]],TDaysOfTheWeek[],2,FALSE)</f>
        <v>سه شنبه</v>
      </c>
      <c r="H402" s="15">
        <f>IFERROR(IF(E401&lt;&gt;E402,1,INT(H401)+IF(TDays[[#This Row],[کد روز هفته]]=0,1,0)),1)</f>
        <v>2</v>
      </c>
      <c r="I402">
        <f>-SUMIF(TArticle[تاریخ],TDays[[#This Row],[تاریخ]],TArticle[هزینه])</f>
        <v>0</v>
      </c>
      <c r="J402">
        <f>SUMIF(TArticle[تاریخ],TDays[[#This Row],[تاریخ]],TArticle[درآمد تتا])</f>
        <v>0</v>
      </c>
      <c r="K402">
        <f>SUMIF(TArticle[تاریخ],TDays[[#This Row],[تاریخ]],TArticle[اسنپ])</f>
        <v>0</v>
      </c>
      <c r="L402">
        <f>-SUMIF(TArticle[تاریخ],TDays[[#This Row],[تاریخ]],TArticle[پرداخت بدهی])</f>
        <v>0</v>
      </c>
      <c r="M402">
        <f>SUMIF(TArticle[تاریخ],TDays[[#This Row],[تاریخ]],TArticle[افزایش بدهی])</f>
        <v>0</v>
      </c>
      <c r="N402">
        <f>-SUMIF(TArticle[تاریخ],TDays[[#This Row],[تاریخ]],TArticle[افزایش سرمایه])</f>
        <v>0</v>
      </c>
      <c r="O402">
        <f>SUMIF(TArticle[تاریخ],TDays[[#This Row],[تاریخ]],TArticle[تعداد تراکنش انجام شده])</f>
        <v>0</v>
      </c>
      <c r="P402">
        <f>INT(((TDays[[#This Row],[ماه]]-1)*31+TDays[[#This Row],[روز]]+1)/7)+1</f>
        <v>6</v>
      </c>
      <c r="Q402">
        <f>SUMIF(TArticle[تاریخ],TDays[[#This Row],[تاریخ]],TArticle[تراکنش برنامه ریزی شده])</f>
        <v>2</v>
      </c>
    </row>
    <row r="403" spans="1:17" x14ac:dyDescent="0.25">
      <c r="A403" s="3" t="s">
        <v>593</v>
      </c>
      <c r="B403" t="str">
        <f>RIGHT(TDays[[#This Row],[تاریخ]],2)</f>
        <v>06</v>
      </c>
      <c r="C403" t="str">
        <f>RIGHT(LEFT(TDays[[#This Row],[تاریخ]],7),2)</f>
        <v>02</v>
      </c>
      <c r="D403" t="str">
        <f>LEFT(TDays[[#This Row],[تاریخ]],4)</f>
        <v>1402</v>
      </c>
      <c r="E403" t="str">
        <f>LEFT(TDays[[#This Row],[تاریخ]],7)</f>
        <v>1402-02</v>
      </c>
      <c r="F403">
        <v>4</v>
      </c>
      <c r="G403" s="15" t="str">
        <f>VLOOKUP(TDays[[#This Row],[کد روز هفته]],TDaysOfTheWeek[],2,FALSE)</f>
        <v>چهارشنبه</v>
      </c>
      <c r="H403" s="15">
        <f>IFERROR(IF(E402&lt;&gt;E403,1,INT(H402)+IF(TDays[[#This Row],[کد روز هفته]]=0,1,0)),1)</f>
        <v>2</v>
      </c>
      <c r="I403">
        <f>-SUMIF(TArticle[تاریخ],TDays[[#This Row],[تاریخ]],TArticle[هزینه])</f>
        <v>0</v>
      </c>
      <c r="J403">
        <f>SUMIF(TArticle[تاریخ],TDays[[#This Row],[تاریخ]],TArticle[درآمد تتا])</f>
        <v>0</v>
      </c>
      <c r="K403">
        <f>SUMIF(TArticle[تاریخ],TDays[[#This Row],[تاریخ]],TArticle[اسنپ])</f>
        <v>0</v>
      </c>
      <c r="L403">
        <f>-SUMIF(TArticle[تاریخ],TDays[[#This Row],[تاریخ]],TArticle[پرداخت بدهی])</f>
        <v>0</v>
      </c>
      <c r="M403">
        <f>SUMIF(TArticle[تاریخ],TDays[[#This Row],[تاریخ]],TArticle[افزایش بدهی])</f>
        <v>0</v>
      </c>
      <c r="N403">
        <f>-SUMIF(TArticle[تاریخ],TDays[[#This Row],[تاریخ]],TArticle[افزایش سرمایه])</f>
        <v>0</v>
      </c>
      <c r="O403">
        <f>SUMIF(TArticle[تاریخ],TDays[[#This Row],[تاریخ]],TArticle[تعداد تراکنش انجام شده])</f>
        <v>0</v>
      </c>
      <c r="P403">
        <f>INT(((TDays[[#This Row],[ماه]]-1)*31+TDays[[#This Row],[روز]]+1)/7)+1</f>
        <v>6</v>
      </c>
      <c r="Q403">
        <f>SUMIF(TArticle[تاریخ],TDays[[#This Row],[تاریخ]],TArticle[تراکنش برنامه ریزی شده])</f>
        <v>0</v>
      </c>
    </row>
    <row r="404" spans="1:17" x14ac:dyDescent="0.25">
      <c r="A404" s="3" t="s">
        <v>594</v>
      </c>
      <c r="B404" t="str">
        <f>RIGHT(TDays[[#This Row],[تاریخ]],2)</f>
        <v>07</v>
      </c>
      <c r="C404" t="str">
        <f>RIGHT(LEFT(TDays[[#This Row],[تاریخ]],7),2)</f>
        <v>02</v>
      </c>
      <c r="D404" t="str">
        <f>LEFT(TDays[[#This Row],[تاریخ]],4)</f>
        <v>1402</v>
      </c>
      <c r="E404" t="str">
        <f>LEFT(TDays[[#This Row],[تاریخ]],7)</f>
        <v>1402-02</v>
      </c>
      <c r="F404">
        <v>5</v>
      </c>
      <c r="G404" s="15" t="str">
        <f>VLOOKUP(TDays[[#This Row],[کد روز هفته]],TDaysOfTheWeek[],2,FALSE)</f>
        <v>پنجشنبه</v>
      </c>
      <c r="H404" s="15">
        <f>IFERROR(IF(E403&lt;&gt;E404,1,INT(H403)+IF(TDays[[#This Row],[کد روز هفته]]=0,1,0)),1)</f>
        <v>2</v>
      </c>
      <c r="I404">
        <f>-SUMIF(TArticle[تاریخ],TDays[[#This Row],[تاریخ]],TArticle[هزینه])</f>
        <v>0</v>
      </c>
      <c r="J404">
        <f>SUMIF(TArticle[تاریخ],TDays[[#This Row],[تاریخ]],TArticle[درآمد تتا])</f>
        <v>0</v>
      </c>
      <c r="K404">
        <f>SUMIF(TArticle[تاریخ],TDays[[#This Row],[تاریخ]],TArticle[اسنپ])</f>
        <v>0</v>
      </c>
      <c r="L404">
        <f>-SUMIF(TArticle[تاریخ],TDays[[#This Row],[تاریخ]],TArticle[پرداخت بدهی])</f>
        <v>0</v>
      </c>
      <c r="M404">
        <f>SUMIF(TArticle[تاریخ],TDays[[#This Row],[تاریخ]],TArticle[افزایش بدهی])</f>
        <v>0</v>
      </c>
      <c r="N404">
        <f>-SUMIF(TArticle[تاریخ],TDays[[#This Row],[تاریخ]],TArticle[افزایش سرمایه])</f>
        <v>0</v>
      </c>
      <c r="O404">
        <f>SUMIF(TArticle[تاریخ],TDays[[#This Row],[تاریخ]],TArticle[تعداد تراکنش انجام شده])</f>
        <v>0</v>
      </c>
      <c r="P404">
        <f>INT(((TDays[[#This Row],[ماه]]-1)*31+TDays[[#This Row],[روز]]+1)/7)+1</f>
        <v>6</v>
      </c>
      <c r="Q404">
        <f>SUMIF(TArticle[تاریخ],TDays[[#This Row],[تاریخ]],TArticle[تراکنش برنامه ریزی شده])</f>
        <v>0</v>
      </c>
    </row>
    <row r="405" spans="1:17" x14ac:dyDescent="0.25">
      <c r="A405" s="3" t="s">
        <v>595</v>
      </c>
      <c r="B405" t="str">
        <f>RIGHT(TDays[[#This Row],[تاریخ]],2)</f>
        <v>08</v>
      </c>
      <c r="C405" t="str">
        <f>RIGHT(LEFT(TDays[[#This Row],[تاریخ]],7),2)</f>
        <v>02</v>
      </c>
      <c r="D405" t="str">
        <f>LEFT(TDays[[#This Row],[تاریخ]],4)</f>
        <v>1402</v>
      </c>
      <c r="E405" t="str">
        <f>LEFT(TDays[[#This Row],[تاریخ]],7)</f>
        <v>1402-02</v>
      </c>
      <c r="F405">
        <v>6</v>
      </c>
      <c r="G405" s="15" t="str">
        <f>VLOOKUP(TDays[[#This Row],[کد روز هفته]],TDaysOfTheWeek[],2,FALSE)</f>
        <v>جمعه</v>
      </c>
      <c r="H405" s="15">
        <f>IFERROR(IF(E404&lt;&gt;E405,1,INT(H404)+IF(TDays[[#This Row],[کد روز هفته]]=0,1,0)),1)</f>
        <v>2</v>
      </c>
      <c r="I405">
        <f>-SUMIF(TArticle[تاریخ],TDays[[#This Row],[تاریخ]],TArticle[هزینه])</f>
        <v>0</v>
      </c>
      <c r="J405">
        <f>SUMIF(TArticle[تاریخ],TDays[[#This Row],[تاریخ]],TArticle[درآمد تتا])</f>
        <v>0</v>
      </c>
      <c r="K405">
        <f>SUMIF(TArticle[تاریخ],TDays[[#This Row],[تاریخ]],TArticle[اسنپ])</f>
        <v>0</v>
      </c>
      <c r="L405">
        <f>-SUMIF(TArticle[تاریخ],TDays[[#This Row],[تاریخ]],TArticle[پرداخت بدهی])</f>
        <v>0</v>
      </c>
      <c r="M405">
        <f>SUMIF(TArticle[تاریخ],TDays[[#This Row],[تاریخ]],TArticle[افزایش بدهی])</f>
        <v>0</v>
      </c>
      <c r="N405">
        <f>-SUMIF(TArticle[تاریخ],TDays[[#This Row],[تاریخ]],TArticle[افزایش سرمایه])</f>
        <v>0</v>
      </c>
      <c r="O405">
        <f>SUMIF(TArticle[تاریخ],TDays[[#This Row],[تاریخ]],TArticle[تعداد تراکنش انجام شده])</f>
        <v>0</v>
      </c>
      <c r="P405">
        <f>INT(((TDays[[#This Row],[ماه]]-1)*31+TDays[[#This Row],[روز]]+1)/7)+1</f>
        <v>6</v>
      </c>
      <c r="Q405">
        <f>SUMIF(TArticle[تاریخ],TDays[[#This Row],[تاریخ]],TArticle[تراکنش برنامه ریزی شده])</f>
        <v>0</v>
      </c>
    </row>
    <row r="406" spans="1:17" x14ac:dyDescent="0.25">
      <c r="A406" s="3" t="s">
        <v>596</v>
      </c>
      <c r="B406" t="str">
        <f>RIGHT(TDays[[#This Row],[تاریخ]],2)</f>
        <v>09</v>
      </c>
      <c r="C406" t="str">
        <f>RIGHT(LEFT(TDays[[#This Row],[تاریخ]],7),2)</f>
        <v>02</v>
      </c>
      <c r="D406" t="str">
        <f>LEFT(TDays[[#This Row],[تاریخ]],4)</f>
        <v>1402</v>
      </c>
      <c r="E406" t="str">
        <f>LEFT(TDays[[#This Row],[تاریخ]],7)</f>
        <v>1402-02</v>
      </c>
      <c r="F406">
        <v>0</v>
      </c>
      <c r="G406" s="15" t="str">
        <f>VLOOKUP(TDays[[#This Row],[کد روز هفته]],TDaysOfTheWeek[],2,FALSE)</f>
        <v>شنبه</v>
      </c>
      <c r="H406" s="15">
        <f>IFERROR(IF(E405&lt;&gt;E406,1,INT(H405)+IF(TDays[[#This Row],[کد روز هفته]]=0,1,0)),1)</f>
        <v>3</v>
      </c>
      <c r="I406">
        <f>-SUMIF(TArticle[تاریخ],TDays[[#This Row],[تاریخ]],TArticle[هزینه])</f>
        <v>0</v>
      </c>
      <c r="J406">
        <f>SUMIF(TArticle[تاریخ],TDays[[#This Row],[تاریخ]],TArticle[درآمد تتا])</f>
        <v>0</v>
      </c>
      <c r="K406">
        <f>SUMIF(TArticle[تاریخ],TDays[[#This Row],[تاریخ]],TArticle[اسنپ])</f>
        <v>0</v>
      </c>
      <c r="L406">
        <f>-SUMIF(TArticle[تاریخ],TDays[[#This Row],[تاریخ]],TArticle[پرداخت بدهی])</f>
        <v>0</v>
      </c>
      <c r="M406">
        <f>SUMIF(TArticle[تاریخ],TDays[[#This Row],[تاریخ]],TArticle[افزایش بدهی])</f>
        <v>0</v>
      </c>
      <c r="N406">
        <f>-SUMIF(TArticle[تاریخ],TDays[[#This Row],[تاریخ]],TArticle[افزایش سرمایه])</f>
        <v>0</v>
      </c>
      <c r="O406">
        <f>SUMIF(TArticle[تاریخ],TDays[[#This Row],[تاریخ]],TArticle[تعداد تراکنش انجام شده])</f>
        <v>0</v>
      </c>
      <c r="P406">
        <f>INT(((TDays[[#This Row],[ماه]]-1)*31+TDays[[#This Row],[روز]]+1)/7)+1</f>
        <v>6</v>
      </c>
      <c r="Q406">
        <f>SUMIF(TArticle[تاریخ],TDays[[#This Row],[تاریخ]],TArticle[تراکنش برنامه ریزی شده])</f>
        <v>1</v>
      </c>
    </row>
    <row r="407" spans="1:17" x14ac:dyDescent="0.25">
      <c r="A407" s="3" t="s">
        <v>597</v>
      </c>
      <c r="B407" t="str">
        <f>RIGHT(TDays[[#This Row],[تاریخ]],2)</f>
        <v>10</v>
      </c>
      <c r="C407" t="str">
        <f>RIGHT(LEFT(TDays[[#This Row],[تاریخ]],7),2)</f>
        <v>02</v>
      </c>
      <c r="D407" t="str">
        <f>LEFT(TDays[[#This Row],[تاریخ]],4)</f>
        <v>1402</v>
      </c>
      <c r="E407" t="str">
        <f>LEFT(TDays[[#This Row],[تاریخ]],7)</f>
        <v>1402-02</v>
      </c>
      <c r="F407">
        <v>1</v>
      </c>
      <c r="G407" s="15" t="str">
        <f>VLOOKUP(TDays[[#This Row],[کد روز هفته]],TDaysOfTheWeek[],2,FALSE)</f>
        <v>یکشنبه</v>
      </c>
      <c r="H407" s="15">
        <f>IFERROR(IF(E406&lt;&gt;E407,1,INT(H406)+IF(TDays[[#This Row],[کد روز هفته]]=0,1,0)),1)</f>
        <v>3</v>
      </c>
      <c r="I407">
        <f>-SUMIF(TArticle[تاریخ],TDays[[#This Row],[تاریخ]],TArticle[هزینه])</f>
        <v>0</v>
      </c>
      <c r="J407">
        <f>SUMIF(TArticle[تاریخ],TDays[[#This Row],[تاریخ]],TArticle[درآمد تتا])</f>
        <v>0</v>
      </c>
      <c r="K407">
        <f>SUMIF(TArticle[تاریخ],TDays[[#This Row],[تاریخ]],TArticle[اسنپ])</f>
        <v>0</v>
      </c>
      <c r="L407">
        <f>-SUMIF(TArticle[تاریخ],TDays[[#This Row],[تاریخ]],TArticle[پرداخت بدهی])</f>
        <v>0</v>
      </c>
      <c r="M407">
        <f>SUMIF(TArticle[تاریخ],TDays[[#This Row],[تاریخ]],TArticle[افزایش بدهی])</f>
        <v>0</v>
      </c>
      <c r="N407">
        <f>-SUMIF(TArticle[تاریخ],TDays[[#This Row],[تاریخ]],TArticle[افزایش سرمایه])</f>
        <v>0</v>
      </c>
      <c r="O407">
        <f>SUMIF(TArticle[تاریخ],TDays[[#This Row],[تاریخ]],TArticle[تعداد تراکنش انجام شده])</f>
        <v>0</v>
      </c>
      <c r="P407">
        <f>INT(((TDays[[#This Row],[ماه]]-1)*31+TDays[[#This Row],[روز]]+1)/7)+1</f>
        <v>7</v>
      </c>
      <c r="Q407">
        <f>SUMIF(TArticle[تاریخ],TDays[[#This Row],[تاریخ]],TArticle[تراکنش برنامه ریزی شده])</f>
        <v>1</v>
      </c>
    </row>
    <row r="408" spans="1:17" x14ac:dyDescent="0.25">
      <c r="A408" s="3" t="s">
        <v>598</v>
      </c>
      <c r="B408" t="str">
        <f>RIGHT(TDays[[#This Row],[تاریخ]],2)</f>
        <v>11</v>
      </c>
      <c r="C408" t="str">
        <f>RIGHT(LEFT(TDays[[#This Row],[تاریخ]],7),2)</f>
        <v>02</v>
      </c>
      <c r="D408" t="str">
        <f>LEFT(TDays[[#This Row],[تاریخ]],4)</f>
        <v>1402</v>
      </c>
      <c r="E408" t="str">
        <f>LEFT(TDays[[#This Row],[تاریخ]],7)</f>
        <v>1402-02</v>
      </c>
      <c r="F408">
        <v>2</v>
      </c>
      <c r="G408" s="15" t="str">
        <f>VLOOKUP(TDays[[#This Row],[کد روز هفته]],TDaysOfTheWeek[],2,FALSE)</f>
        <v>دوشنبه</v>
      </c>
      <c r="H408" s="15">
        <f>IFERROR(IF(E407&lt;&gt;E408,1,INT(H407)+IF(TDays[[#This Row],[کد روز هفته]]=0,1,0)),1)</f>
        <v>3</v>
      </c>
      <c r="I408">
        <f>-SUMIF(TArticle[تاریخ],TDays[[#This Row],[تاریخ]],TArticle[هزینه])</f>
        <v>0</v>
      </c>
      <c r="J408">
        <f>SUMIF(TArticle[تاریخ],TDays[[#This Row],[تاریخ]],TArticle[درآمد تتا])</f>
        <v>0</v>
      </c>
      <c r="K408">
        <f>SUMIF(TArticle[تاریخ],TDays[[#This Row],[تاریخ]],TArticle[اسنپ])</f>
        <v>0</v>
      </c>
      <c r="L408">
        <f>-SUMIF(TArticle[تاریخ],TDays[[#This Row],[تاریخ]],TArticle[پرداخت بدهی])</f>
        <v>0</v>
      </c>
      <c r="M408">
        <f>SUMIF(TArticle[تاریخ],TDays[[#This Row],[تاریخ]],TArticle[افزایش بدهی])</f>
        <v>0</v>
      </c>
      <c r="N408">
        <f>-SUMIF(TArticle[تاریخ],TDays[[#This Row],[تاریخ]],TArticle[افزایش سرمایه])</f>
        <v>0</v>
      </c>
      <c r="O408">
        <f>SUMIF(TArticle[تاریخ],TDays[[#This Row],[تاریخ]],TArticle[تعداد تراکنش انجام شده])</f>
        <v>0</v>
      </c>
      <c r="P408">
        <f>INT(((TDays[[#This Row],[ماه]]-1)*31+TDays[[#This Row],[روز]]+1)/7)+1</f>
        <v>7</v>
      </c>
      <c r="Q408">
        <f>SUMIF(TArticle[تاریخ],TDays[[#This Row],[تاریخ]],TArticle[تراکنش برنامه ریزی شده])</f>
        <v>0</v>
      </c>
    </row>
    <row r="409" spans="1:17" x14ac:dyDescent="0.25">
      <c r="A409" s="3" t="s">
        <v>599</v>
      </c>
      <c r="B409" t="str">
        <f>RIGHT(TDays[[#This Row],[تاریخ]],2)</f>
        <v>12</v>
      </c>
      <c r="C409" t="str">
        <f>RIGHT(LEFT(TDays[[#This Row],[تاریخ]],7),2)</f>
        <v>02</v>
      </c>
      <c r="D409" t="str">
        <f>LEFT(TDays[[#This Row],[تاریخ]],4)</f>
        <v>1402</v>
      </c>
      <c r="E409" t="str">
        <f>LEFT(TDays[[#This Row],[تاریخ]],7)</f>
        <v>1402-02</v>
      </c>
      <c r="F409">
        <v>3</v>
      </c>
      <c r="G409" s="15" t="str">
        <f>VLOOKUP(TDays[[#This Row],[کد روز هفته]],TDaysOfTheWeek[],2,FALSE)</f>
        <v>سه شنبه</v>
      </c>
      <c r="H409" s="15">
        <f>IFERROR(IF(E408&lt;&gt;E409,1,INT(H408)+IF(TDays[[#This Row],[کد روز هفته]]=0,1,0)),1)</f>
        <v>3</v>
      </c>
      <c r="I409">
        <f>-SUMIF(TArticle[تاریخ],TDays[[#This Row],[تاریخ]],TArticle[هزینه])</f>
        <v>0</v>
      </c>
      <c r="J409">
        <f>SUMIF(TArticle[تاریخ],TDays[[#This Row],[تاریخ]],TArticle[درآمد تتا])</f>
        <v>0</v>
      </c>
      <c r="K409">
        <f>SUMIF(TArticle[تاریخ],TDays[[#This Row],[تاریخ]],TArticle[اسنپ])</f>
        <v>0</v>
      </c>
      <c r="L409">
        <f>-SUMIF(TArticle[تاریخ],TDays[[#This Row],[تاریخ]],TArticle[پرداخت بدهی])</f>
        <v>0</v>
      </c>
      <c r="M409">
        <f>SUMIF(TArticle[تاریخ],TDays[[#This Row],[تاریخ]],TArticle[افزایش بدهی])</f>
        <v>0</v>
      </c>
      <c r="N409">
        <f>-SUMIF(TArticle[تاریخ],TDays[[#This Row],[تاریخ]],TArticle[افزایش سرمایه])</f>
        <v>0</v>
      </c>
      <c r="O409">
        <f>SUMIF(TArticle[تاریخ],TDays[[#This Row],[تاریخ]],TArticle[تعداد تراکنش انجام شده])</f>
        <v>0</v>
      </c>
      <c r="P409">
        <f>INT(((TDays[[#This Row],[ماه]]-1)*31+TDays[[#This Row],[روز]]+1)/7)+1</f>
        <v>7</v>
      </c>
      <c r="Q409">
        <f>SUMIF(TArticle[تاریخ],TDays[[#This Row],[تاریخ]],TArticle[تراکنش برنامه ریزی شده])</f>
        <v>0</v>
      </c>
    </row>
    <row r="410" spans="1:17" x14ac:dyDescent="0.25">
      <c r="A410" s="3" t="s">
        <v>600</v>
      </c>
      <c r="B410" t="str">
        <f>RIGHT(TDays[[#This Row],[تاریخ]],2)</f>
        <v>13</v>
      </c>
      <c r="C410" t="str">
        <f>RIGHT(LEFT(TDays[[#This Row],[تاریخ]],7),2)</f>
        <v>02</v>
      </c>
      <c r="D410" t="str">
        <f>LEFT(TDays[[#This Row],[تاریخ]],4)</f>
        <v>1402</v>
      </c>
      <c r="E410" t="str">
        <f>LEFT(TDays[[#This Row],[تاریخ]],7)</f>
        <v>1402-02</v>
      </c>
      <c r="F410">
        <v>4</v>
      </c>
      <c r="G410" s="15" t="str">
        <f>VLOOKUP(TDays[[#This Row],[کد روز هفته]],TDaysOfTheWeek[],2,FALSE)</f>
        <v>چهارشنبه</v>
      </c>
      <c r="H410" s="15">
        <f>IFERROR(IF(E409&lt;&gt;E410,1,INT(H409)+IF(TDays[[#This Row],[کد روز هفته]]=0,1,0)),1)</f>
        <v>3</v>
      </c>
      <c r="I410">
        <f>-SUMIF(TArticle[تاریخ],TDays[[#This Row],[تاریخ]],TArticle[هزینه])</f>
        <v>0</v>
      </c>
      <c r="J410">
        <f>SUMIF(TArticle[تاریخ],TDays[[#This Row],[تاریخ]],TArticle[درآمد تتا])</f>
        <v>0</v>
      </c>
      <c r="K410">
        <f>SUMIF(TArticle[تاریخ],TDays[[#This Row],[تاریخ]],TArticle[اسنپ])</f>
        <v>0</v>
      </c>
      <c r="L410">
        <f>-SUMIF(TArticle[تاریخ],TDays[[#This Row],[تاریخ]],TArticle[پرداخت بدهی])</f>
        <v>0</v>
      </c>
      <c r="M410">
        <f>SUMIF(TArticle[تاریخ],TDays[[#This Row],[تاریخ]],TArticle[افزایش بدهی])</f>
        <v>0</v>
      </c>
      <c r="N410">
        <f>-SUMIF(TArticle[تاریخ],TDays[[#This Row],[تاریخ]],TArticle[افزایش سرمایه])</f>
        <v>0</v>
      </c>
      <c r="O410">
        <f>SUMIF(TArticle[تاریخ],TDays[[#This Row],[تاریخ]],TArticle[تعداد تراکنش انجام شده])</f>
        <v>0</v>
      </c>
      <c r="P410">
        <f>INT(((TDays[[#This Row],[ماه]]-1)*31+TDays[[#This Row],[روز]]+1)/7)+1</f>
        <v>7</v>
      </c>
      <c r="Q410">
        <f>SUMIF(TArticle[تاریخ],TDays[[#This Row],[تاریخ]],TArticle[تراکنش برنامه ریزی شده])</f>
        <v>0</v>
      </c>
    </row>
    <row r="411" spans="1:17" x14ac:dyDescent="0.25">
      <c r="A411" s="3" t="s">
        <v>71</v>
      </c>
      <c r="B411" t="str">
        <f>RIGHT(TDays[[#This Row],[تاریخ]],2)</f>
        <v>14</v>
      </c>
      <c r="C411" t="str">
        <f>RIGHT(LEFT(TDays[[#This Row],[تاریخ]],7),2)</f>
        <v>02</v>
      </c>
      <c r="D411" t="str">
        <f>LEFT(TDays[[#This Row],[تاریخ]],4)</f>
        <v>1402</v>
      </c>
      <c r="E411" t="str">
        <f>LEFT(TDays[[#This Row],[تاریخ]],7)</f>
        <v>1402-02</v>
      </c>
      <c r="F411">
        <v>5</v>
      </c>
      <c r="G411" s="15" t="str">
        <f>VLOOKUP(TDays[[#This Row],[کد روز هفته]],TDaysOfTheWeek[],2,FALSE)</f>
        <v>پنجشنبه</v>
      </c>
      <c r="H411" s="15">
        <f>IFERROR(IF(E410&lt;&gt;E411,1,INT(H410)+IF(TDays[[#This Row],[کد روز هفته]]=0,1,0)),1)</f>
        <v>3</v>
      </c>
      <c r="I411">
        <f>-SUMIF(TArticle[تاریخ],TDays[[#This Row],[تاریخ]],TArticle[هزینه])</f>
        <v>0</v>
      </c>
      <c r="J411">
        <f>SUMIF(TArticle[تاریخ],TDays[[#This Row],[تاریخ]],TArticle[درآمد تتا])</f>
        <v>0</v>
      </c>
      <c r="K411">
        <f>SUMIF(TArticle[تاریخ],TDays[[#This Row],[تاریخ]],TArticle[اسنپ])</f>
        <v>0</v>
      </c>
      <c r="L411">
        <f>-SUMIF(TArticle[تاریخ],TDays[[#This Row],[تاریخ]],TArticle[پرداخت بدهی])</f>
        <v>0</v>
      </c>
      <c r="M411">
        <f>SUMIF(TArticle[تاریخ],TDays[[#This Row],[تاریخ]],TArticle[افزایش بدهی])</f>
        <v>0</v>
      </c>
      <c r="N411">
        <f>-SUMIF(TArticle[تاریخ],TDays[[#This Row],[تاریخ]],TArticle[افزایش سرمایه])</f>
        <v>0</v>
      </c>
      <c r="O411">
        <f>SUMIF(TArticle[تاریخ],TDays[[#This Row],[تاریخ]],TArticle[تعداد تراکنش انجام شده])</f>
        <v>0</v>
      </c>
      <c r="P411">
        <f>INT(((TDays[[#This Row],[ماه]]-1)*31+TDays[[#This Row],[روز]]+1)/7)+1</f>
        <v>7</v>
      </c>
      <c r="Q411">
        <f>SUMIF(TArticle[تاریخ],TDays[[#This Row],[تاریخ]],TArticle[تراکنش برنامه ریزی شده])</f>
        <v>1</v>
      </c>
    </row>
    <row r="412" spans="1:17" x14ac:dyDescent="0.25">
      <c r="A412" s="3" t="s">
        <v>601</v>
      </c>
      <c r="B412" t="str">
        <f>RIGHT(TDays[[#This Row],[تاریخ]],2)</f>
        <v>15</v>
      </c>
      <c r="C412" t="str">
        <f>RIGHT(LEFT(TDays[[#This Row],[تاریخ]],7),2)</f>
        <v>02</v>
      </c>
      <c r="D412" t="str">
        <f>LEFT(TDays[[#This Row],[تاریخ]],4)</f>
        <v>1402</v>
      </c>
      <c r="E412" t="str">
        <f>LEFT(TDays[[#This Row],[تاریخ]],7)</f>
        <v>1402-02</v>
      </c>
      <c r="F412">
        <v>6</v>
      </c>
      <c r="G412" s="15" t="str">
        <f>VLOOKUP(TDays[[#This Row],[کد روز هفته]],TDaysOfTheWeek[],2,FALSE)</f>
        <v>جمعه</v>
      </c>
      <c r="H412" s="15">
        <f>IFERROR(IF(E411&lt;&gt;E412,1,INT(H411)+IF(TDays[[#This Row],[کد روز هفته]]=0,1,0)),1)</f>
        <v>3</v>
      </c>
      <c r="I412">
        <f>-SUMIF(TArticle[تاریخ],TDays[[#This Row],[تاریخ]],TArticle[هزینه])</f>
        <v>0</v>
      </c>
      <c r="J412">
        <f>SUMIF(TArticle[تاریخ],TDays[[#This Row],[تاریخ]],TArticle[درآمد تتا])</f>
        <v>0</v>
      </c>
      <c r="K412">
        <f>SUMIF(TArticle[تاریخ],TDays[[#This Row],[تاریخ]],TArticle[اسنپ])</f>
        <v>0</v>
      </c>
      <c r="L412">
        <f>-SUMIF(TArticle[تاریخ],TDays[[#This Row],[تاریخ]],TArticle[پرداخت بدهی])</f>
        <v>0</v>
      </c>
      <c r="M412">
        <f>SUMIF(TArticle[تاریخ],TDays[[#This Row],[تاریخ]],TArticle[افزایش بدهی])</f>
        <v>0</v>
      </c>
      <c r="N412">
        <f>-SUMIF(TArticle[تاریخ],TDays[[#This Row],[تاریخ]],TArticle[افزایش سرمایه])</f>
        <v>0</v>
      </c>
      <c r="O412">
        <f>SUMIF(TArticle[تاریخ],TDays[[#This Row],[تاریخ]],TArticle[تعداد تراکنش انجام شده])</f>
        <v>0</v>
      </c>
      <c r="P412">
        <f>INT(((TDays[[#This Row],[ماه]]-1)*31+TDays[[#This Row],[روز]]+1)/7)+1</f>
        <v>7</v>
      </c>
      <c r="Q412">
        <f>SUMIF(TArticle[تاریخ],TDays[[#This Row],[تاریخ]],TArticle[تراکنش برنامه ریزی شده])</f>
        <v>0</v>
      </c>
    </row>
    <row r="413" spans="1:17" x14ac:dyDescent="0.25">
      <c r="A413" s="3" t="s">
        <v>602</v>
      </c>
      <c r="B413" t="str">
        <f>RIGHT(TDays[[#This Row],[تاریخ]],2)</f>
        <v>16</v>
      </c>
      <c r="C413" t="str">
        <f>RIGHT(LEFT(TDays[[#This Row],[تاریخ]],7),2)</f>
        <v>02</v>
      </c>
      <c r="D413" t="str">
        <f>LEFT(TDays[[#This Row],[تاریخ]],4)</f>
        <v>1402</v>
      </c>
      <c r="E413" t="str">
        <f>LEFT(TDays[[#This Row],[تاریخ]],7)</f>
        <v>1402-02</v>
      </c>
      <c r="F413">
        <v>0</v>
      </c>
      <c r="G413" s="15" t="str">
        <f>VLOOKUP(TDays[[#This Row],[کد روز هفته]],TDaysOfTheWeek[],2,FALSE)</f>
        <v>شنبه</v>
      </c>
      <c r="H413" s="15">
        <f>IFERROR(IF(E412&lt;&gt;E413,1,INT(H412)+IF(TDays[[#This Row],[کد روز هفته]]=0,1,0)),1)</f>
        <v>4</v>
      </c>
      <c r="I413">
        <f>-SUMIF(TArticle[تاریخ],TDays[[#This Row],[تاریخ]],TArticle[هزینه])</f>
        <v>0</v>
      </c>
      <c r="J413">
        <f>SUMIF(TArticle[تاریخ],TDays[[#This Row],[تاریخ]],TArticle[درآمد تتا])</f>
        <v>0</v>
      </c>
      <c r="K413">
        <f>SUMIF(TArticle[تاریخ],TDays[[#This Row],[تاریخ]],TArticle[اسنپ])</f>
        <v>0</v>
      </c>
      <c r="L413">
        <f>-SUMIF(TArticle[تاریخ],TDays[[#This Row],[تاریخ]],TArticle[پرداخت بدهی])</f>
        <v>0</v>
      </c>
      <c r="M413">
        <f>SUMIF(TArticle[تاریخ],TDays[[#This Row],[تاریخ]],TArticle[افزایش بدهی])</f>
        <v>0</v>
      </c>
      <c r="N413">
        <f>-SUMIF(TArticle[تاریخ],TDays[[#This Row],[تاریخ]],TArticle[افزایش سرمایه])</f>
        <v>0</v>
      </c>
      <c r="O413">
        <f>SUMIF(TArticle[تاریخ],TDays[[#This Row],[تاریخ]],TArticle[تعداد تراکنش انجام شده])</f>
        <v>0</v>
      </c>
      <c r="P413">
        <f>INT(((TDays[[#This Row],[ماه]]-1)*31+TDays[[#This Row],[روز]]+1)/7)+1</f>
        <v>7</v>
      </c>
      <c r="Q413">
        <f>SUMIF(TArticle[تاریخ],TDays[[#This Row],[تاریخ]],TArticle[تراکنش برنامه ریزی شده])</f>
        <v>0</v>
      </c>
    </row>
    <row r="414" spans="1:17" x14ac:dyDescent="0.25">
      <c r="A414" s="3" t="s">
        <v>603</v>
      </c>
      <c r="B414" t="str">
        <f>RIGHT(TDays[[#This Row],[تاریخ]],2)</f>
        <v>17</v>
      </c>
      <c r="C414" t="str">
        <f>RIGHT(LEFT(TDays[[#This Row],[تاریخ]],7),2)</f>
        <v>02</v>
      </c>
      <c r="D414" t="str">
        <f>LEFT(TDays[[#This Row],[تاریخ]],4)</f>
        <v>1402</v>
      </c>
      <c r="E414" t="str">
        <f>LEFT(TDays[[#This Row],[تاریخ]],7)</f>
        <v>1402-02</v>
      </c>
      <c r="F414">
        <v>1</v>
      </c>
      <c r="G414" s="15" t="str">
        <f>VLOOKUP(TDays[[#This Row],[کد روز هفته]],TDaysOfTheWeek[],2,FALSE)</f>
        <v>یکشنبه</v>
      </c>
      <c r="H414" s="15">
        <f>IFERROR(IF(E413&lt;&gt;E414,1,INT(H413)+IF(TDays[[#This Row],[کد روز هفته]]=0,1,0)),1)</f>
        <v>4</v>
      </c>
      <c r="I414">
        <f>-SUMIF(TArticle[تاریخ],TDays[[#This Row],[تاریخ]],TArticle[هزینه])</f>
        <v>0</v>
      </c>
      <c r="J414">
        <f>SUMIF(TArticle[تاریخ],TDays[[#This Row],[تاریخ]],TArticle[درآمد تتا])</f>
        <v>0</v>
      </c>
      <c r="K414">
        <f>SUMIF(TArticle[تاریخ],TDays[[#This Row],[تاریخ]],TArticle[اسنپ])</f>
        <v>0</v>
      </c>
      <c r="L414">
        <f>-SUMIF(TArticle[تاریخ],TDays[[#This Row],[تاریخ]],TArticle[پرداخت بدهی])</f>
        <v>0</v>
      </c>
      <c r="M414">
        <f>SUMIF(TArticle[تاریخ],TDays[[#This Row],[تاریخ]],TArticle[افزایش بدهی])</f>
        <v>0</v>
      </c>
      <c r="N414">
        <f>-SUMIF(TArticle[تاریخ],TDays[[#This Row],[تاریخ]],TArticle[افزایش سرمایه])</f>
        <v>0</v>
      </c>
      <c r="O414">
        <f>SUMIF(TArticle[تاریخ],TDays[[#This Row],[تاریخ]],TArticle[تعداد تراکنش انجام شده])</f>
        <v>0</v>
      </c>
      <c r="P414">
        <f>INT(((TDays[[#This Row],[ماه]]-1)*31+TDays[[#This Row],[روز]]+1)/7)+1</f>
        <v>8</v>
      </c>
      <c r="Q414">
        <f>SUMIF(TArticle[تاریخ],TDays[[#This Row],[تاریخ]],TArticle[تراکنش برنامه ریزی شده])</f>
        <v>1</v>
      </c>
    </row>
    <row r="415" spans="1:17" x14ac:dyDescent="0.25">
      <c r="A415" s="3" t="s">
        <v>604</v>
      </c>
      <c r="B415" t="str">
        <f>RIGHT(TDays[[#This Row],[تاریخ]],2)</f>
        <v>18</v>
      </c>
      <c r="C415" t="str">
        <f>RIGHT(LEFT(TDays[[#This Row],[تاریخ]],7),2)</f>
        <v>02</v>
      </c>
      <c r="D415" t="str">
        <f>LEFT(TDays[[#This Row],[تاریخ]],4)</f>
        <v>1402</v>
      </c>
      <c r="E415" t="str">
        <f>LEFT(TDays[[#This Row],[تاریخ]],7)</f>
        <v>1402-02</v>
      </c>
      <c r="F415">
        <v>2</v>
      </c>
      <c r="G415" s="15" t="str">
        <f>VLOOKUP(TDays[[#This Row],[کد روز هفته]],TDaysOfTheWeek[],2,FALSE)</f>
        <v>دوشنبه</v>
      </c>
      <c r="H415" s="15">
        <f>IFERROR(IF(E414&lt;&gt;E415,1,INT(H414)+IF(TDays[[#This Row],[کد روز هفته]]=0,1,0)),1)</f>
        <v>4</v>
      </c>
      <c r="I415">
        <f>-SUMIF(TArticle[تاریخ],TDays[[#This Row],[تاریخ]],TArticle[هزینه])</f>
        <v>0</v>
      </c>
      <c r="J415">
        <f>SUMIF(TArticle[تاریخ],TDays[[#This Row],[تاریخ]],TArticle[درآمد تتا])</f>
        <v>0</v>
      </c>
      <c r="K415">
        <f>SUMIF(TArticle[تاریخ],TDays[[#This Row],[تاریخ]],TArticle[اسنپ])</f>
        <v>0</v>
      </c>
      <c r="L415">
        <f>-SUMIF(TArticle[تاریخ],TDays[[#This Row],[تاریخ]],TArticle[پرداخت بدهی])</f>
        <v>0</v>
      </c>
      <c r="M415">
        <f>SUMIF(TArticle[تاریخ],TDays[[#This Row],[تاریخ]],TArticle[افزایش بدهی])</f>
        <v>0</v>
      </c>
      <c r="N415">
        <f>-SUMIF(TArticle[تاریخ],TDays[[#This Row],[تاریخ]],TArticle[افزایش سرمایه])</f>
        <v>0</v>
      </c>
      <c r="O415">
        <f>SUMIF(TArticle[تاریخ],TDays[[#This Row],[تاریخ]],TArticle[تعداد تراکنش انجام شده])</f>
        <v>0</v>
      </c>
      <c r="P415">
        <f>INT(((TDays[[#This Row],[ماه]]-1)*31+TDays[[#This Row],[روز]]+1)/7)+1</f>
        <v>8</v>
      </c>
      <c r="Q415">
        <f>SUMIF(TArticle[تاریخ],TDays[[#This Row],[تاریخ]],TArticle[تراکنش برنامه ریزی شده])</f>
        <v>0</v>
      </c>
    </row>
    <row r="416" spans="1:17" x14ac:dyDescent="0.25">
      <c r="A416" s="3" t="s">
        <v>605</v>
      </c>
      <c r="B416" t="str">
        <f>RIGHT(TDays[[#This Row],[تاریخ]],2)</f>
        <v>19</v>
      </c>
      <c r="C416" t="str">
        <f>RIGHT(LEFT(TDays[[#This Row],[تاریخ]],7),2)</f>
        <v>02</v>
      </c>
      <c r="D416" t="str">
        <f>LEFT(TDays[[#This Row],[تاریخ]],4)</f>
        <v>1402</v>
      </c>
      <c r="E416" t="str">
        <f>LEFT(TDays[[#This Row],[تاریخ]],7)</f>
        <v>1402-02</v>
      </c>
      <c r="F416">
        <v>3</v>
      </c>
      <c r="G416" s="15" t="str">
        <f>VLOOKUP(TDays[[#This Row],[کد روز هفته]],TDaysOfTheWeek[],2,FALSE)</f>
        <v>سه شنبه</v>
      </c>
      <c r="H416" s="15">
        <f>IFERROR(IF(E415&lt;&gt;E416,1,INT(H415)+IF(TDays[[#This Row],[کد روز هفته]]=0,1,0)),1)</f>
        <v>4</v>
      </c>
      <c r="I416">
        <f>-SUMIF(TArticle[تاریخ],TDays[[#This Row],[تاریخ]],TArticle[هزینه])</f>
        <v>0</v>
      </c>
      <c r="J416">
        <f>SUMIF(TArticle[تاریخ],TDays[[#This Row],[تاریخ]],TArticle[درآمد تتا])</f>
        <v>0</v>
      </c>
      <c r="K416">
        <f>SUMIF(TArticle[تاریخ],TDays[[#This Row],[تاریخ]],TArticle[اسنپ])</f>
        <v>0</v>
      </c>
      <c r="L416">
        <f>-SUMIF(TArticle[تاریخ],TDays[[#This Row],[تاریخ]],TArticle[پرداخت بدهی])</f>
        <v>0</v>
      </c>
      <c r="M416">
        <f>SUMIF(TArticle[تاریخ],TDays[[#This Row],[تاریخ]],TArticle[افزایش بدهی])</f>
        <v>0</v>
      </c>
      <c r="N416">
        <f>-SUMIF(TArticle[تاریخ],TDays[[#This Row],[تاریخ]],TArticle[افزایش سرمایه])</f>
        <v>0</v>
      </c>
      <c r="O416">
        <f>SUMIF(TArticle[تاریخ],TDays[[#This Row],[تاریخ]],TArticle[تعداد تراکنش انجام شده])</f>
        <v>0</v>
      </c>
      <c r="P416">
        <f>INT(((TDays[[#This Row],[ماه]]-1)*31+TDays[[#This Row],[روز]]+1)/7)+1</f>
        <v>8</v>
      </c>
      <c r="Q416">
        <f>SUMIF(TArticle[تاریخ],TDays[[#This Row],[تاریخ]],TArticle[تراکنش برنامه ریزی شده])</f>
        <v>0</v>
      </c>
    </row>
    <row r="417" spans="1:17" x14ac:dyDescent="0.25">
      <c r="A417" s="3" t="s">
        <v>606</v>
      </c>
      <c r="B417" t="str">
        <f>RIGHT(TDays[[#This Row],[تاریخ]],2)</f>
        <v>20</v>
      </c>
      <c r="C417" t="str">
        <f>RIGHT(LEFT(TDays[[#This Row],[تاریخ]],7),2)</f>
        <v>02</v>
      </c>
      <c r="D417" t="str">
        <f>LEFT(TDays[[#This Row],[تاریخ]],4)</f>
        <v>1402</v>
      </c>
      <c r="E417" t="str">
        <f>LEFT(TDays[[#This Row],[تاریخ]],7)</f>
        <v>1402-02</v>
      </c>
      <c r="F417">
        <v>4</v>
      </c>
      <c r="G417" s="15" t="str">
        <f>VLOOKUP(TDays[[#This Row],[کد روز هفته]],TDaysOfTheWeek[],2,FALSE)</f>
        <v>چهارشنبه</v>
      </c>
      <c r="H417" s="15">
        <f>IFERROR(IF(E416&lt;&gt;E417,1,INT(H416)+IF(TDays[[#This Row],[کد روز هفته]]=0,1,0)),1)</f>
        <v>4</v>
      </c>
      <c r="I417">
        <f>-SUMIF(TArticle[تاریخ],TDays[[#This Row],[تاریخ]],TArticle[هزینه])</f>
        <v>0</v>
      </c>
      <c r="J417">
        <f>SUMIF(TArticle[تاریخ],TDays[[#This Row],[تاریخ]],TArticle[درآمد تتا])</f>
        <v>0</v>
      </c>
      <c r="K417">
        <f>SUMIF(TArticle[تاریخ],TDays[[#This Row],[تاریخ]],TArticle[اسنپ])</f>
        <v>0</v>
      </c>
      <c r="L417">
        <f>-SUMIF(TArticle[تاریخ],TDays[[#This Row],[تاریخ]],TArticle[پرداخت بدهی])</f>
        <v>0</v>
      </c>
      <c r="M417">
        <f>SUMIF(TArticle[تاریخ],TDays[[#This Row],[تاریخ]],TArticle[افزایش بدهی])</f>
        <v>0</v>
      </c>
      <c r="N417">
        <f>-SUMIF(TArticle[تاریخ],TDays[[#This Row],[تاریخ]],TArticle[افزایش سرمایه])</f>
        <v>0</v>
      </c>
      <c r="O417">
        <f>SUMIF(TArticle[تاریخ],TDays[[#This Row],[تاریخ]],TArticle[تعداد تراکنش انجام شده])</f>
        <v>0</v>
      </c>
      <c r="P417">
        <f>INT(((TDays[[#This Row],[ماه]]-1)*31+TDays[[#This Row],[روز]]+1)/7)+1</f>
        <v>8</v>
      </c>
      <c r="Q417">
        <f>SUMIF(TArticle[تاریخ],TDays[[#This Row],[تاریخ]],TArticle[تراکنش برنامه ریزی شده])</f>
        <v>1</v>
      </c>
    </row>
    <row r="418" spans="1:17" x14ac:dyDescent="0.25">
      <c r="A418" s="3" t="s">
        <v>607</v>
      </c>
      <c r="B418" t="str">
        <f>RIGHT(TDays[[#This Row],[تاریخ]],2)</f>
        <v>21</v>
      </c>
      <c r="C418" t="str">
        <f>RIGHT(LEFT(TDays[[#This Row],[تاریخ]],7),2)</f>
        <v>02</v>
      </c>
      <c r="D418" t="str">
        <f>LEFT(TDays[[#This Row],[تاریخ]],4)</f>
        <v>1402</v>
      </c>
      <c r="E418" t="str">
        <f>LEFT(TDays[[#This Row],[تاریخ]],7)</f>
        <v>1402-02</v>
      </c>
      <c r="F418">
        <v>5</v>
      </c>
      <c r="G418" s="15" t="str">
        <f>VLOOKUP(TDays[[#This Row],[کد روز هفته]],TDaysOfTheWeek[],2,FALSE)</f>
        <v>پنجشنبه</v>
      </c>
      <c r="H418" s="15">
        <f>IFERROR(IF(E417&lt;&gt;E418,1,INT(H417)+IF(TDays[[#This Row],[کد روز هفته]]=0,1,0)),1)</f>
        <v>4</v>
      </c>
      <c r="I418">
        <f>-SUMIF(TArticle[تاریخ],TDays[[#This Row],[تاریخ]],TArticle[هزینه])</f>
        <v>0</v>
      </c>
      <c r="J418">
        <f>SUMIF(TArticle[تاریخ],TDays[[#This Row],[تاریخ]],TArticle[درآمد تتا])</f>
        <v>0</v>
      </c>
      <c r="K418">
        <f>SUMIF(TArticle[تاریخ],TDays[[#This Row],[تاریخ]],TArticle[اسنپ])</f>
        <v>0</v>
      </c>
      <c r="L418">
        <f>-SUMIF(TArticle[تاریخ],TDays[[#This Row],[تاریخ]],TArticle[پرداخت بدهی])</f>
        <v>0</v>
      </c>
      <c r="M418">
        <f>SUMIF(TArticle[تاریخ],TDays[[#This Row],[تاریخ]],TArticle[افزایش بدهی])</f>
        <v>0</v>
      </c>
      <c r="N418">
        <f>-SUMIF(TArticle[تاریخ],TDays[[#This Row],[تاریخ]],TArticle[افزایش سرمایه])</f>
        <v>0</v>
      </c>
      <c r="O418">
        <f>SUMIF(TArticle[تاریخ],TDays[[#This Row],[تاریخ]],TArticle[تعداد تراکنش انجام شده])</f>
        <v>0</v>
      </c>
      <c r="P418">
        <f>INT(((TDays[[#This Row],[ماه]]-1)*31+TDays[[#This Row],[روز]]+1)/7)+1</f>
        <v>8</v>
      </c>
      <c r="Q418">
        <f>SUMIF(TArticle[تاریخ],TDays[[#This Row],[تاریخ]],TArticle[تراکنش برنامه ریزی شده])</f>
        <v>0</v>
      </c>
    </row>
    <row r="419" spans="1:17" x14ac:dyDescent="0.25">
      <c r="A419" s="3" t="s">
        <v>608</v>
      </c>
      <c r="B419" t="str">
        <f>RIGHT(TDays[[#This Row],[تاریخ]],2)</f>
        <v>22</v>
      </c>
      <c r="C419" t="str">
        <f>RIGHT(LEFT(TDays[[#This Row],[تاریخ]],7),2)</f>
        <v>02</v>
      </c>
      <c r="D419" t="str">
        <f>LEFT(TDays[[#This Row],[تاریخ]],4)</f>
        <v>1402</v>
      </c>
      <c r="E419" t="str">
        <f>LEFT(TDays[[#This Row],[تاریخ]],7)</f>
        <v>1402-02</v>
      </c>
      <c r="F419">
        <v>6</v>
      </c>
      <c r="G419" s="15" t="str">
        <f>VLOOKUP(TDays[[#This Row],[کد روز هفته]],TDaysOfTheWeek[],2,FALSE)</f>
        <v>جمعه</v>
      </c>
      <c r="H419" s="15">
        <f>IFERROR(IF(E418&lt;&gt;E419,1,INT(H418)+IF(TDays[[#This Row],[کد روز هفته]]=0,1,0)),1)</f>
        <v>4</v>
      </c>
      <c r="I419">
        <f>-SUMIF(TArticle[تاریخ],TDays[[#This Row],[تاریخ]],TArticle[هزینه])</f>
        <v>0</v>
      </c>
      <c r="J419">
        <f>SUMIF(TArticle[تاریخ],TDays[[#This Row],[تاریخ]],TArticle[درآمد تتا])</f>
        <v>0</v>
      </c>
      <c r="K419">
        <f>SUMIF(TArticle[تاریخ],TDays[[#This Row],[تاریخ]],TArticle[اسنپ])</f>
        <v>0</v>
      </c>
      <c r="L419">
        <f>-SUMIF(TArticle[تاریخ],TDays[[#This Row],[تاریخ]],TArticle[پرداخت بدهی])</f>
        <v>0</v>
      </c>
      <c r="M419">
        <f>SUMIF(TArticle[تاریخ],TDays[[#This Row],[تاریخ]],TArticle[افزایش بدهی])</f>
        <v>0</v>
      </c>
      <c r="N419">
        <f>-SUMIF(TArticle[تاریخ],TDays[[#This Row],[تاریخ]],TArticle[افزایش سرمایه])</f>
        <v>0</v>
      </c>
      <c r="O419">
        <f>SUMIF(TArticle[تاریخ],TDays[[#This Row],[تاریخ]],TArticle[تعداد تراکنش انجام شده])</f>
        <v>0</v>
      </c>
      <c r="P419">
        <f>INT(((TDays[[#This Row],[ماه]]-1)*31+TDays[[#This Row],[روز]]+1)/7)+1</f>
        <v>8</v>
      </c>
      <c r="Q419">
        <f>SUMIF(TArticle[تاریخ],TDays[[#This Row],[تاریخ]],TArticle[تراکنش برنامه ریزی شده])</f>
        <v>0</v>
      </c>
    </row>
    <row r="420" spans="1:17" x14ac:dyDescent="0.25">
      <c r="A420" s="3" t="s">
        <v>609</v>
      </c>
      <c r="B420" t="str">
        <f>RIGHT(TDays[[#This Row],[تاریخ]],2)</f>
        <v>23</v>
      </c>
      <c r="C420" t="str">
        <f>RIGHT(LEFT(TDays[[#This Row],[تاریخ]],7),2)</f>
        <v>02</v>
      </c>
      <c r="D420" t="str">
        <f>LEFT(TDays[[#This Row],[تاریخ]],4)</f>
        <v>1402</v>
      </c>
      <c r="E420" t="str">
        <f>LEFT(TDays[[#This Row],[تاریخ]],7)</f>
        <v>1402-02</v>
      </c>
      <c r="F420">
        <v>0</v>
      </c>
      <c r="G420" s="15" t="str">
        <f>VLOOKUP(TDays[[#This Row],[کد روز هفته]],TDaysOfTheWeek[],2,FALSE)</f>
        <v>شنبه</v>
      </c>
      <c r="H420" s="15">
        <f>IFERROR(IF(E419&lt;&gt;E420,1,INT(H419)+IF(TDays[[#This Row],[کد روز هفته]]=0,1,0)),1)</f>
        <v>5</v>
      </c>
      <c r="I420">
        <f>-SUMIF(TArticle[تاریخ],TDays[[#This Row],[تاریخ]],TArticle[هزینه])</f>
        <v>0</v>
      </c>
      <c r="J420">
        <f>SUMIF(TArticle[تاریخ],TDays[[#This Row],[تاریخ]],TArticle[درآمد تتا])</f>
        <v>0</v>
      </c>
      <c r="K420">
        <f>SUMIF(TArticle[تاریخ],TDays[[#This Row],[تاریخ]],TArticle[اسنپ])</f>
        <v>0</v>
      </c>
      <c r="L420">
        <f>-SUMIF(TArticle[تاریخ],TDays[[#This Row],[تاریخ]],TArticle[پرداخت بدهی])</f>
        <v>0</v>
      </c>
      <c r="M420">
        <f>SUMIF(TArticle[تاریخ],TDays[[#This Row],[تاریخ]],TArticle[افزایش بدهی])</f>
        <v>0</v>
      </c>
      <c r="N420">
        <f>-SUMIF(TArticle[تاریخ],TDays[[#This Row],[تاریخ]],TArticle[افزایش سرمایه])</f>
        <v>0</v>
      </c>
      <c r="O420">
        <f>SUMIF(TArticle[تاریخ],TDays[[#This Row],[تاریخ]],TArticle[تعداد تراکنش انجام شده])</f>
        <v>0</v>
      </c>
      <c r="P420">
        <f>INT(((TDays[[#This Row],[ماه]]-1)*31+TDays[[#This Row],[روز]]+1)/7)+1</f>
        <v>8</v>
      </c>
      <c r="Q420">
        <f>SUMIF(TArticle[تاریخ],TDays[[#This Row],[تاریخ]],TArticle[تراکنش برنامه ریزی شده])</f>
        <v>0</v>
      </c>
    </row>
    <row r="421" spans="1:17" x14ac:dyDescent="0.25">
      <c r="A421" s="3" t="s">
        <v>610</v>
      </c>
      <c r="B421" t="str">
        <f>RIGHT(TDays[[#This Row],[تاریخ]],2)</f>
        <v>24</v>
      </c>
      <c r="C421" t="str">
        <f>RIGHT(LEFT(TDays[[#This Row],[تاریخ]],7),2)</f>
        <v>02</v>
      </c>
      <c r="D421" t="str">
        <f>LEFT(TDays[[#This Row],[تاریخ]],4)</f>
        <v>1402</v>
      </c>
      <c r="E421" t="str">
        <f>LEFT(TDays[[#This Row],[تاریخ]],7)</f>
        <v>1402-02</v>
      </c>
      <c r="F421">
        <v>1</v>
      </c>
      <c r="G421" s="15" t="str">
        <f>VLOOKUP(TDays[[#This Row],[کد روز هفته]],TDaysOfTheWeek[],2,FALSE)</f>
        <v>یکشنبه</v>
      </c>
      <c r="H421" s="15">
        <f>IFERROR(IF(E420&lt;&gt;E421,1,INT(H420)+IF(TDays[[#This Row],[کد روز هفته]]=0,1,0)),1)</f>
        <v>5</v>
      </c>
      <c r="I421">
        <f>-SUMIF(TArticle[تاریخ],TDays[[#This Row],[تاریخ]],TArticle[هزینه])</f>
        <v>0</v>
      </c>
      <c r="J421">
        <f>SUMIF(TArticle[تاریخ],TDays[[#This Row],[تاریخ]],TArticle[درآمد تتا])</f>
        <v>0</v>
      </c>
      <c r="K421">
        <f>SUMIF(TArticle[تاریخ],TDays[[#This Row],[تاریخ]],TArticle[اسنپ])</f>
        <v>0</v>
      </c>
      <c r="L421">
        <f>-SUMIF(TArticle[تاریخ],TDays[[#This Row],[تاریخ]],TArticle[پرداخت بدهی])</f>
        <v>0</v>
      </c>
      <c r="M421">
        <f>SUMIF(TArticle[تاریخ],TDays[[#This Row],[تاریخ]],TArticle[افزایش بدهی])</f>
        <v>0</v>
      </c>
      <c r="N421">
        <f>-SUMIF(TArticle[تاریخ],TDays[[#This Row],[تاریخ]],TArticle[افزایش سرمایه])</f>
        <v>0</v>
      </c>
      <c r="O421">
        <f>SUMIF(TArticle[تاریخ],TDays[[#This Row],[تاریخ]],TArticle[تعداد تراکنش انجام شده])</f>
        <v>0</v>
      </c>
      <c r="P421">
        <f>INT(((TDays[[#This Row],[ماه]]-1)*31+TDays[[#This Row],[روز]]+1)/7)+1</f>
        <v>9</v>
      </c>
      <c r="Q421">
        <f>SUMIF(TArticle[تاریخ],TDays[[#This Row],[تاریخ]],TArticle[تراکنش برنامه ریزی شده])</f>
        <v>0</v>
      </c>
    </row>
    <row r="422" spans="1:17" x14ac:dyDescent="0.25">
      <c r="A422" s="3" t="s">
        <v>611</v>
      </c>
      <c r="B422" t="str">
        <f>RIGHT(TDays[[#This Row],[تاریخ]],2)</f>
        <v>25</v>
      </c>
      <c r="C422" t="str">
        <f>RIGHT(LEFT(TDays[[#This Row],[تاریخ]],7),2)</f>
        <v>02</v>
      </c>
      <c r="D422" t="str">
        <f>LEFT(TDays[[#This Row],[تاریخ]],4)</f>
        <v>1402</v>
      </c>
      <c r="E422" t="str">
        <f>LEFT(TDays[[#This Row],[تاریخ]],7)</f>
        <v>1402-02</v>
      </c>
      <c r="F422">
        <v>2</v>
      </c>
      <c r="G422" s="15" t="str">
        <f>VLOOKUP(TDays[[#This Row],[کد روز هفته]],TDaysOfTheWeek[],2,FALSE)</f>
        <v>دوشنبه</v>
      </c>
      <c r="H422" s="15">
        <f>IFERROR(IF(E421&lt;&gt;E422,1,INT(H421)+IF(TDays[[#This Row],[کد روز هفته]]=0,1,0)),1)</f>
        <v>5</v>
      </c>
      <c r="I422">
        <f>-SUMIF(TArticle[تاریخ],TDays[[#This Row],[تاریخ]],TArticle[هزینه])</f>
        <v>0</v>
      </c>
      <c r="J422">
        <f>SUMIF(TArticle[تاریخ],TDays[[#This Row],[تاریخ]],TArticle[درآمد تتا])</f>
        <v>0</v>
      </c>
      <c r="K422">
        <f>SUMIF(TArticle[تاریخ],TDays[[#This Row],[تاریخ]],TArticle[اسنپ])</f>
        <v>0</v>
      </c>
      <c r="L422">
        <f>-SUMIF(TArticle[تاریخ],TDays[[#This Row],[تاریخ]],TArticle[پرداخت بدهی])</f>
        <v>0</v>
      </c>
      <c r="M422">
        <f>SUMIF(TArticle[تاریخ],TDays[[#This Row],[تاریخ]],TArticle[افزایش بدهی])</f>
        <v>0</v>
      </c>
      <c r="N422">
        <f>-SUMIF(TArticle[تاریخ],TDays[[#This Row],[تاریخ]],TArticle[افزایش سرمایه])</f>
        <v>0</v>
      </c>
      <c r="O422">
        <f>SUMIF(TArticle[تاریخ],TDays[[#This Row],[تاریخ]],TArticle[تعداد تراکنش انجام شده])</f>
        <v>0</v>
      </c>
      <c r="P422">
        <f>INT(((TDays[[#This Row],[ماه]]-1)*31+TDays[[#This Row],[روز]]+1)/7)+1</f>
        <v>9</v>
      </c>
      <c r="Q422">
        <f>SUMIF(TArticle[تاریخ],TDays[[#This Row],[تاریخ]],TArticle[تراکنش برنامه ریزی شده])</f>
        <v>0</v>
      </c>
    </row>
    <row r="423" spans="1:17" x14ac:dyDescent="0.25">
      <c r="A423" s="3" t="s">
        <v>612</v>
      </c>
      <c r="B423" t="str">
        <f>RIGHT(TDays[[#This Row],[تاریخ]],2)</f>
        <v>26</v>
      </c>
      <c r="C423" t="str">
        <f>RIGHT(LEFT(TDays[[#This Row],[تاریخ]],7),2)</f>
        <v>02</v>
      </c>
      <c r="D423" t="str">
        <f>LEFT(TDays[[#This Row],[تاریخ]],4)</f>
        <v>1402</v>
      </c>
      <c r="E423" t="str">
        <f>LEFT(TDays[[#This Row],[تاریخ]],7)</f>
        <v>1402-02</v>
      </c>
      <c r="F423">
        <v>3</v>
      </c>
      <c r="G423" s="15" t="str">
        <f>VLOOKUP(TDays[[#This Row],[کد روز هفته]],TDaysOfTheWeek[],2,FALSE)</f>
        <v>سه شنبه</v>
      </c>
      <c r="H423" s="15">
        <f>IFERROR(IF(E422&lt;&gt;E423,1,INT(H422)+IF(TDays[[#This Row],[کد روز هفته]]=0,1,0)),1)</f>
        <v>5</v>
      </c>
      <c r="I423">
        <f>-SUMIF(TArticle[تاریخ],TDays[[#This Row],[تاریخ]],TArticle[هزینه])</f>
        <v>0</v>
      </c>
      <c r="J423">
        <f>SUMIF(TArticle[تاریخ],TDays[[#This Row],[تاریخ]],TArticle[درآمد تتا])</f>
        <v>0</v>
      </c>
      <c r="K423">
        <f>SUMIF(TArticle[تاریخ],TDays[[#This Row],[تاریخ]],TArticle[اسنپ])</f>
        <v>0</v>
      </c>
      <c r="L423">
        <f>-SUMIF(TArticle[تاریخ],TDays[[#This Row],[تاریخ]],TArticle[پرداخت بدهی])</f>
        <v>0</v>
      </c>
      <c r="M423">
        <f>SUMIF(TArticle[تاریخ],TDays[[#This Row],[تاریخ]],TArticle[افزایش بدهی])</f>
        <v>0</v>
      </c>
      <c r="N423">
        <f>-SUMIF(TArticle[تاریخ],TDays[[#This Row],[تاریخ]],TArticle[افزایش سرمایه])</f>
        <v>0</v>
      </c>
      <c r="O423">
        <f>SUMIF(TArticle[تاریخ],TDays[[#This Row],[تاریخ]],TArticle[تعداد تراکنش انجام شده])</f>
        <v>0</v>
      </c>
      <c r="P423">
        <f>INT(((TDays[[#This Row],[ماه]]-1)*31+TDays[[#This Row],[روز]]+1)/7)+1</f>
        <v>9</v>
      </c>
      <c r="Q423">
        <f>SUMIF(TArticle[تاریخ],TDays[[#This Row],[تاریخ]],TArticle[تراکنش برنامه ریزی شده])</f>
        <v>0</v>
      </c>
    </row>
    <row r="424" spans="1:17" x14ac:dyDescent="0.25">
      <c r="A424" s="3" t="s">
        <v>613</v>
      </c>
      <c r="B424" t="str">
        <f>RIGHT(TDays[[#This Row],[تاریخ]],2)</f>
        <v>27</v>
      </c>
      <c r="C424" t="str">
        <f>RIGHT(LEFT(TDays[[#This Row],[تاریخ]],7),2)</f>
        <v>02</v>
      </c>
      <c r="D424" t="str">
        <f>LEFT(TDays[[#This Row],[تاریخ]],4)</f>
        <v>1402</v>
      </c>
      <c r="E424" t="str">
        <f>LEFT(TDays[[#This Row],[تاریخ]],7)</f>
        <v>1402-02</v>
      </c>
      <c r="F424">
        <v>4</v>
      </c>
      <c r="G424" s="15" t="str">
        <f>VLOOKUP(TDays[[#This Row],[کد روز هفته]],TDaysOfTheWeek[],2,FALSE)</f>
        <v>چهارشنبه</v>
      </c>
      <c r="H424" s="15">
        <f>IFERROR(IF(E423&lt;&gt;E424,1,INT(H423)+IF(TDays[[#This Row],[کد روز هفته]]=0,1,0)),1)</f>
        <v>5</v>
      </c>
      <c r="I424">
        <f>-SUMIF(TArticle[تاریخ],TDays[[#This Row],[تاریخ]],TArticle[هزینه])</f>
        <v>0</v>
      </c>
      <c r="J424">
        <f>SUMIF(TArticle[تاریخ],TDays[[#This Row],[تاریخ]],TArticle[درآمد تتا])</f>
        <v>0</v>
      </c>
      <c r="K424">
        <f>SUMIF(TArticle[تاریخ],TDays[[#This Row],[تاریخ]],TArticle[اسنپ])</f>
        <v>0</v>
      </c>
      <c r="L424">
        <f>-SUMIF(TArticle[تاریخ],TDays[[#This Row],[تاریخ]],TArticle[پرداخت بدهی])</f>
        <v>0</v>
      </c>
      <c r="M424">
        <f>SUMIF(TArticle[تاریخ],TDays[[#This Row],[تاریخ]],TArticle[افزایش بدهی])</f>
        <v>0</v>
      </c>
      <c r="N424">
        <f>-SUMIF(TArticle[تاریخ],TDays[[#This Row],[تاریخ]],TArticle[افزایش سرمایه])</f>
        <v>0</v>
      </c>
      <c r="O424">
        <f>SUMIF(TArticle[تاریخ],TDays[[#This Row],[تاریخ]],TArticle[تعداد تراکنش انجام شده])</f>
        <v>0</v>
      </c>
      <c r="P424">
        <f>INT(((TDays[[#This Row],[ماه]]-1)*31+TDays[[#This Row],[روز]]+1)/7)+1</f>
        <v>9</v>
      </c>
      <c r="Q424">
        <f>SUMIF(TArticle[تاریخ],TDays[[#This Row],[تاریخ]],TArticle[تراکنش برنامه ریزی شده])</f>
        <v>0</v>
      </c>
    </row>
    <row r="425" spans="1:17" x14ac:dyDescent="0.25">
      <c r="A425" s="3" t="s">
        <v>614</v>
      </c>
      <c r="B425" t="str">
        <f>RIGHT(TDays[[#This Row],[تاریخ]],2)</f>
        <v>28</v>
      </c>
      <c r="C425" t="str">
        <f>RIGHT(LEFT(TDays[[#This Row],[تاریخ]],7),2)</f>
        <v>02</v>
      </c>
      <c r="D425" t="str">
        <f>LEFT(TDays[[#This Row],[تاریخ]],4)</f>
        <v>1402</v>
      </c>
      <c r="E425" t="str">
        <f>LEFT(TDays[[#This Row],[تاریخ]],7)</f>
        <v>1402-02</v>
      </c>
      <c r="F425">
        <v>5</v>
      </c>
      <c r="G425" s="15" t="str">
        <f>VLOOKUP(TDays[[#This Row],[کد روز هفته]],TDaysOfTheWeek[],2,FALSE)</f>
        <v>پنجشنبه</v>
      </c>
      <c r="H425" s="15">
        <f>IFERROR(IF(E424&lt;&gt;E425,1,INT(H424)+IF(TDays[[#This Row],[کد روز هفته]]=0,1,0)),1)</f>
        <v>5</v>
      </c>
      <c r="I425">
        <f>-SUMIF(TArticle[تاریخ],TDays[[#This Row],[تاریخ]],TArticle[هزینه])</f>
        <v>0</v>
      </c>
      <c r="J425">
        <f>SUMIF(TArticle[تاریخ],TDays[[#This Row],[تاریخ]],TArticle[درآمد تتا])</f>
        <v>0</v>
      </c>
      <c r="K425">
        <f>SUMIF(TArticle[تاریخ],TDays[[#This Row],[تاریخ]],TArticle[اسنپ])</f>
        <v>0</v>
      </c>
      <c r="L425">
        <f>-SUMIF(TArticle[تاریخ],TDays[[#This Row],[تاریخ]],TArticle[پرداخت بدهی])</f>
        <v>0</v>
      </c>
      <c r="M425">
        <f>SUMIF(TArticle[تاریخ],TDays[[#This Row],[تاریخ]],TArticle[افزایش بدهی])</f>
        <v>0</v>
      </c>
      <c r="N425">
        <f>-SUMIF(TArticle[تاریخ],TDays[[#This Row],[تاریخ]],TArticle[افزایش سرمایه])</f>
        <v>0</v>
      </c>
      <c r="O425">
        <f>SUMIF(TArticle[تاریخ],TDays[[#This Row],[تاریخ]],TArticle[تعداد تراکنش انجام شده])</f>
        <v>0</v>
      </c>
      <c r="P425">
        <f>INT(((TDays[[#This Row],[ماه]]-1)*31+TDays[[#This Row],[روز]]+1)/7)+1</f>
        <v>9</v>
      </c>
      <c r="Q425">
        <f>SUMIF(TArticle[تاریخ],TDays[[#This Row],[تاریخ]],TArticle[تراکنش برنامه ریزی شده])</f>
        <v>1</v>
      </c>
    </row>
    <row r="426" spans="1:17" x14ac:dyDescent="0.25">
      <c r="A426" s="3" t="s">
        <v>615</v>
      </c>
      <c r="B426" t="str">
        <f>RIGHT(TDays[[#This Row],[تاریخ]],2)</f>
        <v>29</v>
      </c>
      <c r="C426" t="str">
        <f>RIGHT(LEFT(TDays[[#This Row],[تاریخ]],7),2)</f>
        <v>02</v>
      </c>
      <c r="D426" t="str">
        <f>LEFT(TDays[[#This Row],[تاریخ]],4)</f>
        <v>1402</v>
      </c>
      <c r="E426" t="str">
        <f>LEFT(TDays[[#This Row],[تاریخ]],7)</f>
        <v>1402-02</v>
      </c>
      <c r="F426">
        <v>6</v>
      </c>
      <c r="G426" s="15" t="str">
        <f>VLOOKUP(TDays[[#This Row],[کد روز هفته]],TDaysOfTheWeek[],2,FALSE)</f>
        <v>جمعه</v>
      </c>
      <c r="H426" s="15">
        <f>IFERROR(IF(E425&lt;&gt;E426,1,INT(H425)+IF(TDays[[#This Row],[کد روز هفته]]=0,1,0)),1)</f>
        <v>5</v>
      </c>
      <c r="I426">
        <f>-SUMIF(TArticle[تاریخ],TDays[[#This Row],[تاریخ]],TArticle[هزینه])</f>
        <v>0</v>
      </c>
      <c r="J426">
        <f>SUMIF(TArticle[تاریخ],TDays[[#This Row],[تاریخ]],TArticle[درآمد تتا])</f>
        <v>0</v>
      </c>
      <c r="K426">
        <f>SUMIF(TArticle[تاریخ],TDays[[#This Row],[تاریخ]],TArticle[اسنپ])</f>
        <v>0</v>
      </c>
      <c r="L426">
        <f>-SUMIF(TArticle[تاریخ],TDays[[#This Row],[تاریخ]],TArticle[پرداخت بدهی])</f>
        <v>0</v>
      </c>
      <c r="M426">
        <f>SUMIF(TArticle[تاریخ],TDays[[#This Row],[تاریخ]],TArticle[افزایش بدهی])</f>
        <v>0</v>
      </c>
      <c r="N426">
        <f>-SUMIF(TArticle[تاریخ],TDays[[#This Row],[تاریخ]],TArticle[افزایش سرمایه])</f>
        <v>0</v>
      </c>
      <c r="O426">
        <f>SUMIF(TArticle[تاریخ],TDays[[#This Row],[تاریخ]],TArticle[تعداد تراکنش انجام شده])</f>
        <v>0</v>
      </c>
      <c r="P426">
        <f>INT(((TDays[[#This Row],[ماه]]-1)*31+TDays[[#This Row],[روز]]+1)/7)+1</f>
        <v>9</v>
      </c>
      <c r="Q426">
        <f>SUMIF(TArticle[تاریخ],TDays[[#This Row],[تاریخ]],TArticle[تراکنش برنامه ریزی شده])</f>
        <v>4</v>
      </c>
    </row>
    <row r="427" spans="1:17" x14ac:dyDescent="0.25">
      <c r="A427" s="3" t="s">
        <v>616</v>
      </c>
      <c r="B427" t="str">
        <f>RIGHT(TDays[[#This Row],[تاریخ]],2)</f>
        <v>30</v>
      </c>
      <c r="C427" t="str">
        <f>RIGHT(LEFT(TDays[[#This Row],[تاریخ]],7),2)</f>
        <v>02</v>
      </c>
      <c r="D427" t="str">
        <f>LEFT(TDays[[#This Row],[تاریخ]],4)</f>
        <v>1402</v>
      </c>
      <c r="E427" t="str">
        <f>LEFT(TDays[[#This Row],[تاریخ]],7)</f>
        <v>1402-02</v>
      </c>
      <c r="F427">
        <v>0</v>
      </c>
      <c r="G427" s="15" t="str">
        <f>VLOOKUP(TDays[[#This Row],[کد روز هفته]],TDaysOfTheWeek[],2,FALSE)</f>
        <v>شنبه</v>
      </c>
      <c r="H427" s="15">
        <f>IFERROR(IF(E426&lt;&gt;E427,1,INT(H426)+IF(TDays[[#This Row],[کد روز هفته]]=0,1,0)),1)</f>
        <v>6</v>
      </c>
      <c r="I427">
        <f>-SUMIF(TArticle[تاریخ],TDays[[#This Row],[تاریخ]],TArticle[هزینه])</f>
        <v>0</v>
      </c>
      <c r="J427">
        <f>SUMIF(TArticle[تاریخ],TDays[[#This Row],[تاریخ]],TArticle[درآمد تتا])</f>
        <v>0</v>
      </c>
      <c r="K427">
        <f>SUMIF(TArticle[تاریخ],TDays[[#This Row],[تاریخ]],TArticle[اسنپ])</f>
        <v>0</v>
      </c>
      <c r="L427">
        <f>-SUMIF(TArticle[تاریخ],TDays[[#This Row],[تاریخ]],TArticle[پرداخت بدهی])</f>
        <v>0</v>
      </c>
      <c r="M427">
        <f>SUMIF(TArticle[تاریخ],TDays[[#This Row],[تاریخ]],TArticle[افزایش بدهی])</f>
        <v>0</v>
      </c>
      <c r="N427">
        <f>-SUMIF(TArticle[تاریخ],TDays[[#This Row],[تاریخ]],TArticle[افزایش سرمایه])</f>
        <v>0</v>
      </c>
      <c r="O427">
        <f>SUMIF(TArticle[تاریخ],TDays[[#This Row],[تاریخ]],TArticle[تعداد تراکنش انجام شده])</f>
        <v>0</v>
      </c>
      <c r="P427">
        <f>INT(((TDays[[#This Row],[ماه]]-1)*31+TDays[[#This Row],[روز]]+1)/7)+1</f>
        <v>9</v>
      </c>
      <c r="Q427">
        <f>SUMIF(TArticle[تاریخ],TDays[[#This Row],[تاریخ]],TArticle[تراکنش برنامه ریزی شده])</f>
        <v>0</v>
      </c>
    </row>
    <row r="428" spans="1:17" x14ac:dyDescent="0.25">
      <c r="A428" s="3" t="s">
        <v>617</v>
      </c>
      <c r="B428" t="str">
        <f>RIGHT(TDays[[#This Row],[تاریخ]],2)</f>
        <v>31</v>
      </c>
      <c r="C428" t="str">
        <f>RIGHT(LEFT(TDays[[#This Row],[تاریخ]],7),2)</f>
        <v>02</v>
      </c>
      <c r="D428" t="str">
        <f>LEFT(TDays[[#This Row],[تاریخ]],4)</f>
        <v>1402</v>
      </c>
      <c r="E428" t="str">
        <f>LEFT(TDays[[#This Row],[تاریخ]],7)</f>
        <v>1402-02</v>
      </c>
      <c r="F428">
        <v>1</v>
      </c>
      <c r="G428" s="15" t="str">
        <f>VLOOKUP(TDays[[#This Row],[کد روز هفته]],TDaysOfTheWeek[],2,FALSE)</f>
        <v>یکشنبه</v>
      </c>
      <c r="H428" s="15">
        <f>IFERROR(IF(E427&lt;&gt;E428,1,INT(H427)+IF(TDays[[#This Row],[کد روز هفته]]=0,1,0)),1)</f>
        <v>6</v>
      </c>
      <c r="I428">
        <f>-SUMIF(TArticle[تاریخ],TDays[[#This Row],[تاریخ]],TArticle[هزینه])</f>
        <v>0</v>
      </c>
      <c r="J428">
        <f>SUMIF(TArticle[تاریخ],TDays[[#This Row],[تاریخ]],TArticle[درآمد تتا])</f>
        <v>0</v>
      </c>
      <c r="K428">
        <f>SUMIF(TArticle[تاریخ],TDays[[#This Row],[تاریخ]],TArticle[اسنپ])</f>
        <v>0</v>
      </c>
      <c r="L428">
        <f>-SUMIF(TArticle[تاریخ],TDays[[#This Row],[تاریخ]],TArticle[پرداخت بدهی])</f>
        <v>0</v>
      </c>
      <c r="M428">
        <f>SUMIF(TArticle[تاریخ],TDays[[#This Row],[تاریخ]],TArticle[افزایش بدهی])</f>
        <v>0</v>
      </c>
      <c r="N428">
        <f>-SUMIF(TArticle[تاریخ],TDays[[#This Row],[تاریخ]],TArticle[افزایش سرمایه])</f>
        <v>0</v>
      </c>
      <c r="O428">
        <f>SUMIF(TArticle[تاریخ],TDays[[#This Row],[تاریخ]],TArticle[تعداد تراکنش انجام شده])</f>
        <v>0</v>
      </c>
      <c r="P428">
        <f>INT(((TDays[[#This Row],[ماه]]-1)*31+TDays[[#This Row],[روز]]+1)/7)+1</f>
        <v>10</v>
      </c>
      <c r="Q428">
        <f>SUMIF(TArticle[تاریخ],TDays[[#This Row],[تاریخ]],TArticle[تراکنش برنامه ریزی شده])</f>
        <v>0</v>
      </c>
    </row>
    <row r="429" spans="1:17" x14ac:dyDescent="0.25">
      <c r="A429" s="3" t="s">
        <v>618</v>
      </c>
      <c r="B429" t="str">
        <f>RIGHT(TDays[[#This Row],[تاریخ]],2)</f>
        <v>01</v>
      </c>
      <c r="C429" t="str">
        <f>RIGHT(LEFT(TDays[[#This Row],[تاریخ]],7),2)</f>
        <v>03</v>
      </c>
      <c r="D429" t="str">
        <f>LEFT(TDays[[#This Row],[تاریخ]],4)</f>
        <v>1402</v>
      </c>
      <c r="E429" t="str">
        <f>LEFT(TDays[[#This Row],[تاریخ]],7)</f>
        <v>1402-03</v>
      </c>
      <c r="F429">
        <v>2</v>
      </c>
      <c r="G429" s="15" t="str">
        <f>VLOOKUP(TDays[[#This Row],[کد روز هفته]],TDaysOfTheWeek[],2,FALSE)</f>
        <v>دوشنبه</v>
      </c>
      <c r="H429" s="15">
        <f>IFERROR(IF(E428&lt;&gt;E429,1,INT(H428)+IF(TDays[[#This Row],[کد روز هفته]]=0,1,0)),1)</f>
        <v>1</v>
      </c>
      <c r="I429">
        <f>-SUMIF(TArticle[تاریخ],TDays[[#This Row],[تاریخ]],TArticle[هزینه])</f>
        <v>0</v>
      </c>
      <c r="J429">
        <f>SUMIF(TArticle[تاریخ],TDays[[#This Row],[تاریخ]],TArticle[درآمد تتا])</f>
        <v>0</v>
      </c>
      <c r="K429">
        <f>SUMIF(TArticle[تاریخ],TDays[[#This Row],[تاریخ]],TArticle[اسنپ])</f>
        <v>0</v>
      </c>
      <c r="L429">
        <f>-SUMIF(TArticle[تاریخ],TDays[[#This Row],[تاریخ]],TArticle[پرداخت بدهی])</f>
        <v>0</v>
      </c>
      <c r="M429">
        <f>SUMIF(TArticle[تاریخ],TDays[[#This Row],[تاریخ]],TArticle[افزایش بدهی])</f>
        <v>0</v>
      </c>
      <c r="N429">
        <f>-SUMIF(TArticle[تاریخ],TDays[[#This Row],[تاریخ]],TArticle[افزایش سرمایه])</f>
        <v>0</v>
      </c>
      <c r="O429">
        <f>SUMIF(TArticle[تاریخ],TDays[[#This Row],[تاریخ]],TArticle[تعداد تراکنش انجام شده])</f>
        <v>0</v>
      </c>
      <c r="P429">
        <f>INT(((TDays[[#This Row],[ماه]]-1)*31+TDays[[#This Row],[روز]]+1)/7)+1</f>
        <v>10</v>
      </c>
      <c r="Q429">
        <f>SUMIF(TArticle[تاریخ],TDays[[#This Row],[تاریخ]],TArticle[تراکنش برنامه ریزی شده])</f>
        <v>2</v>
      </c>
    </row>
    <row r="430" spans="1:17" x14ac:dyDescent="0.25">
      <c r="A430" s="3" t="s">
        <v>619</v>
      </c>
      <c r="B430" t="str">
        <f>RIGHT(TDays[[#This Row],[تاریخ]],2)</f>
        <v>02</v>
      </c>
      <c r="C430" t="str">
        <f>RIGHT(LEFT(TDays[[#This Row],[تاریخ]],7),2)</f>
        <v>03</v>
      </c>
      <c r="D430" t="str">
        <f>LEFT(TDays[[#This Row],[تاریخ]],4)</f>
        <v>1402</v>
      </c>
      <c r="E430" t="str">
        <f>LEFT(TDays[[#This Row],[تاریخ]],7)</f>
        <v>1402-03</v>
      </c>
      <c r="F430">
        <v>3</v>
      </c>
      <c r="G430" s="15" t="str">
        <f>VLOOKUP(TDays[[#This Row],[کد روز هفته]],TDaysOfTheWeek[],2,FALSE)</f>
        <v>سه شنبه</v>
      </c>
      <c r="H430" s="15">
        <f>IFERROR(IF(E429&lt;&gt;E430,1,INT(H429)+IF(TDays[[#This Row],[کد روز هفته]]=0,1,0)),1)</f>
        <v>1</v>
      </c>
      <c r="I430">
        <f>-SUMIF(TArticle[تاریخ],TDays[[#This Row],[تاریخ]],TArticle[هزینه])</f>
        <v>0</v>
      </c>
      <c r="J430">
        <f>SUMIF(TArticle[تاریخ],TDays[[#This Row],[تاریخ]],TArticle[درآمد تتا])</f>
        <v>0</v>
      </c>
      <c r="K430">
        <f>SUMIF(TArticle[تاریخ],TDays[[#This Row],[تاریخ]],TArticle[اسنپ])</f>
        <v>0</v>
      </c>
      <c r="L430">
        <f>-SUMIF(TArticle[تاریخ],TDays[[#This Row],[تاریخ]],TArticle[پرداخت بدهی])</f>
        <v>0</v>
      </c>
      <c r="M430">
        <f>SUMIF(TArticle[تاریخ],TDays[[#This Row],[تاریخ]],TArticle[افزایش بدهی])</f>
        <v>0</v>
      </c>
      <c r="N430">
        <f>-SUMIF(TArticle[تاریخ],TDays[[#This Row],[تاریخ]],TArticle[افزایش سرمایه])</f>
        <v>0</v>
      </c>
      <c r="O430">
        <f>SUMIF(TArticle[تاریخ],TDays[[#This Row],[تاریخ]],TArticle[تعداد تراکنش انجام شده])</f>
        <v>0</v>
      </c>
      <c r="P430">
        <f>INT(((TDays[[#This Row],[ماه]]-1)*31+TDays[[#This Row],[روز]]+1)/7)+1</f>
        <v>10</v>
      </c>
      <c r="Q430">
        <f>SUMIF(TArticle[تاریخ],TDays[[#This Row],[تاریخ]],TArticle[تراکنش برنامه ریزی شده])</f>
        <v>0</v>
      </c>
    </row>
    <row r="431" spans="1:17" x14ac:dyDescent="0.25">
      <c r="A431" s="3" t="s">
        <v>620</v>
      </c>
      <c r="B431" t="str">
        <f>RIGHT(TDays[[#This Row],[تاریخ]],2)</f>
        <v>03</v>
      </c>
      <c r="C431" t="str">
        <f>RIGHT(LEFT(TDays[[#This Row],[تاریخ]],7),2)</f>
        <v>03</v>
      </c>
      <c r="D431" t="str">
        <f>LEFT(TDays[[#This Row],[تاریخ]],4)</f>
        <v>1402</v>
      </c>
      <c r="E431" t="str">
        <f>LEFT(TDays[[#This Row],[تاریخ]],7)</f>
        <v>1402-03</v>
      </c>
      <c r="F431">
        <v>4</v>
      </c>
      <c r="G431" s="15" t="str">
        <f>VLOOKUP(TDays[[#This Row],[کد روز هفته]],TDaysOfTheWeek[],2,FALSE)</f>
        <v>چهارشنبه</v>
      </c>
      <c r="H431" s="15">
        <f>IFERROR(IF(E430&lt;&gt;E431,1,INT(H430)+IF(TDays[[#This Row],[کد روز هفته]]=0,1,0)),1)</f>
        <v>1</v>
      </c>
      <c r="I431">
        <f>-SUMIF(TArticle[تاریخ],TDays[[#This Row],[تاریخ]],TArticle[هزینه])</f>
        <v>0</v>
      </c>
      <c r="J431">
        <f>SUMIF(TArticle[تاریخ],TDays[[#This Row],[تاریخ]],TArticle[درآمد تتا])</f>
        <v>0</v>
      </c>
      <c r="K431">
        <f>SUMIF(TArticle[تاریخ],TDays[[#This Row],[تاریخ]],TArticle[اسنپ])</f>
        <v>0</v>
      </c>
      <c r="L431">
        <f>-SUMIF(TArticle[تاریخ],TDays[[#This Row],[تاریخ]],TArticle[پرداخت بدهی])</f>
        <v>0</v>
      </c>
      <c r="M431">
        <f>SUMIF(TArticle[تاریخ],TDays[[#This Row],[تاریخ]],TArticle[افزایش بدهی])</f>
        <v>0</v>
      </c>
      <c r="N431">
        <f>-SUMIF(TArticle[تاریخ],TDays[[#This Row],[تاریخ]],TArticle[افزایش سرمایه])</f>
        <v>0</v>
      </c>
      <c r="O431">
        <f>SUMIF(TArticle[تاریخ],TDays[[#This Row],[تاریخ]],TArticle[تعداد تراکنش انجام شده])</f>
        <v>0</v>
      </c>
      <c r="P431">
        <f>INT(((TDays[[#This Row],[ماه]]-1)*31+TDays[[#This Row],[روز]]+1)/7)+1</f>
        <v>10</v>
      </c>
      <c r="Q431">
        <f>SUMIF(TArticle[تاریخ],TDays[[#This Row],[تاریخ]],TArticle[تراکنش برنامه ریزی شده])</f>
        <v>2</v>
      </c>
    </row>
    <row r="432" spans="1:17" x14ac:dyDescent="0.25">
      <c r="A432" s="3" t="s">
        <v>621</v>
      </c>
      <c r="B432" t="str">
        <f>RIGHT(TDays[[#This Row],[تاریخ]],2)</f>
        <v>04</v>
      </c>
      <c r="C432" t="str">
        <f>RIGHT(LEFT(TDays[[#This Row],[تاریخ]],7),2)</f>
        <v>03</v>
      </c>
      <c r="D432" t="str">
        <f>LEFT(TDays[[#This Row],[تاریخ]],4)</f>
        <v>1402</v>
      </c>
      <c r="E432" t="str">
        <f>LEFT(TDays[[#This Row],[تاریخ]],7)</f>
        <v>1402-03</v>
      </c>
      <c r="F432">
        <v>5</v>
      </c>
      <c r="G432" s="15" t="str">
        <f>VLOOKUP(TDays[[#This Row],[کد روز هفته]],TDaysOfTheWeek[],2,FALSE)</f>
        <v>پنجشنبه</v>
      </c>
      <c r="H432" s="15">
        <f>IFERROR(IF(E431&lt;&gt;E432,1,INT(H431)+IF(TDays[[#This Row],[کد روز هفته]]=0,1,0)),1)</f>
        <v>1</v>
      </c>
      <c r="I432">
        <f>-SUMIF(TArticle[تاریخ],TDays[[#This Row],[تاریخ]],TArticle[هزینه])</f>
        <v>0</v>
      </c>
      <c r="J432">
        <f>SUMIF(TArticle[تاریخ],TDays[[#This Row],[تاریخ]],TArticle[درآمد تتا])</f>
        <v>0</v>
      </c>
      <c r="K432">
        <f>SUMIF(TArticle[تاریخ],TDays[[#This Row],[تاریخ]],TArticle[اسنپ])</f>
        <v>0</v>
      </c>
      <c r="L432">
        <f>-SUMIF(TArticle[تاریخ],TDays[[#This Row],[تاریخ]],TArticle[پرداخت بدهی])</f>
        <v>0</v>
      </c>
      <c r="M432">
        <f>SUMIF(TArticle[تاریخ],TDays[[#This Row],[تاریخ]],TArticle[افزایش بدهی])</f>
        <v>0</v>
      </c>
      <c r="N432">
        <f>-SUMIF(TArticle[تاریخ],TDays[[#This Row],[تاریخ]],TArticle[افزایش سرمایه])</f>
        <v>0</v>
      </c>
      <c r="O432">
        <f>SUMIF(TArticle[تاریخ],TDays[[#This Row],[تاریخ]],TArticle[تعداد تراکنش انجام شده])</f>
        <v>0</v>
      </c>
      <c r="P432">
        <f>INT(((TDays[[#This Row],[ماه]]-1)*31+TDays[[#This Row],[روز]]+1)/7)+1</f>
        <v>10</v>
      </c>
      <c r="Q432">
        <f>SUMIF(TArticle[تاریخ],TDays[[#This Row],[تاریخ]],TArticle[تراکنش برنامه ریزی شده])</f>
        <v>1</v>
      </c>
    </row>
    <row r="433" spans="1:17" x14ac:dyDescent="0.25">
      <c r="A433" s="3" t="s">
        <v>622</v>
      </c>
      <c r="B433" t="str">
        <f>RIGHT(TDays[[#This Row],[تاریخ]],2)</f>
        <v>05</v>
      </c>
      <c r="C433" t="str">
        <f>RIGHT(LEFT(TDays[[#This Row],[تاریخ]],7),2)</f>
        <v>03</v>
      </c>
      <c r="D433" t="str">
        <f>LEFT(TDays[[#This Row],[تاریخ]],4)</f>
        <v>1402</v>
      </c>
      <c r="E433" t="str">
        <f>LEFT(TDays[[#This Row],[تاریخ]],7)</f>
        <v>1402-03</v>
      </c>
      <c r="F433">
        <v>6</v>
      </c>
      <c r="G433" s="15" t="str">
        <f>VLOOKUP(TDays[[#This Row],[کد روز هفته]],TDaysOfTheWeek[],2,FALSE)</f>
        <v>جمعه</v>
      </c>
      <c r="H433" s="15">
        <f>IFERROR(IF(E432&lt;&gt;E433,1,INT(H432)+IF(TDays[[#This Row],[کد روز هفته]]=0,1,0)),1)</f>
        <v>1</v>
      </c>
      <c r="I433">
        <f>-SUMIF(TArticle[تاریخ],TDays[[#This Row],[تاریخ]],TArticle[هزینه])</f>
        <v>0</v>
      </c>
      <c r="J433">
        <f>SUMIF(TArticle[تاریخ],TDays[[#This Row],[تاریخ]],TArticle[درآمد تتا])</f>
        <v>0</v>
      </c>
      <c r="K433">
        <f>SUMIF(TArticle[تاریخ],TDays[[#This Row],[تاریخ]],TArticle[اسنپ])</f>
        <v>0</v>
      </c>
      <c r="L433">
        <f>-SUMIF(TArticle[تاریخ],TDays[[#This Row],[تاریخ]],TArticle[پرداخت بدهی])</f>
        <v>0</v>
      </c>
      <c r="M433">
        <f>SUMIF(TArticle[تاریخ],TDays[[#This Row],[تاریخ]],TArticle[افزایش بدهی])</f>
        <v>0</v>
      </c>
      <c r="N433">
        <f>-SUMIF(TArticle[تاریخ],TDays[[#This Row],[تاریخ]],TArticle[افزایش سرمایه])</f>
        <v>0</v>
      </c>
      <c r="O433">
        <f>SUMIF(TArticle[تاریخ],TDays[[#This Row],[تاریخ]],TArticle[تعداد تراکنش انجام شده])</f>
        <v>0</v>
      </c>
      <c r="P433">
        <f>INT(((TDays[[#This Row],[ماه]]-1)*31+TDays[[#This Row],[روز]]+1)/7)+1</f>
        <v>10</v>
      </c>
      <c r="Q433">
        <f>SUMIF(TArticle[تاریخ],TDays[[#This Row],[تاریخ]],TArticle[تراکنش برنامه ریزی شده])</f>
        <v>1</v>
      </c>
    </row>
    <row r="434" spans="1:17" x14ac:dyDescent="0.25">
      <c r="A434" s="3" t="s">
        <v>623</v>
      </c>
      <c r="B434" t="str">
        <f>RIGHT(TDays[[#This Row],[تاریخ]],2)</f>
        <v>06</v>
      </c>
      <c r="C434" t="str">
        <f>RIGHT(LEFT(TDays[[#This Row],[تاریخ]],7),2)</f>
        <v>03</v>
      </c>
      <c r="D434" t="str">
        <f>LEFT(TDays[[#This Row],[تاریخ]],4)</f>
        <v>1402</v>
      </c>
      <c r="E434" t="str">
        <f>LEFT(TDays[[#This Row],[تاریخ]],7)</f>
        <v>1402-03</v>
      </c>
      <c r="F434">
        <v>0</v>
      </c>
      <c r="G434" s="15" t="str">
        <f>VLOOKUP(TDays[[#This Row],[کد روز هفته]],TDaysOfTheWeek[],2,FALSE)</f>
        <v>شنبه</v>
      </c>
      <c r="H434" s="15">
        <f>IFERROR(IF(E433&lt;&gt;E434,1,INT(H433)+IF(TDays[[#This Row],[کد روز هفته]]=0,1,0)),1)</f>
        <v>2</v>
      </c>
      <c r="I434">
        <f>-SUMIF(TArticle[تاریخ],TDays[[#This Row],[تاریخ]],TArticle[هزینه])</f>
        <v>0</v>
      </c>
      <c r="J434">
        <f>SUMIF(TArticle[تاریخ],TDays[[#This Row],[تاریخ]],TArticle[درآمد تتا])</f>
        <v>0</v>
      </c>
      <c r="K434">
        <f>SUMIF(TArticle[تاریخ],TDays[[#This Row],[تاریخ]],TArticle[اسنپ])</f>
        <v>0</v>
      </c>
      <c r="L434">
        <f>-SUMIF(TArticle[تاریخ],TDays[[#This Row],[تاریخ]],TArticle[پرداخت بدهی])</f>
        <v>0</v>
      </c>
      <c r="M434">
        <f>SUMIF(TArticle[تاریخ],TDays[[#This Row],[تاریخ]],TArticle[افزایش بدهی])</f>
        <v>0</v>
      </c>
      <c r="N434">
        <f>-SUMIF(TArticle[تاریخ],TDays[[#This Row],[تاریخ]],TArticle[افزایش سرمایه])</f>
        <v>0</v>
      </c>
      <c r="O434">
        <f>SUMIF(TArticle[تاریخ],TDays[[#This Row],[تاریخ]],TArticle[تعداد تراکنش انجام شده])</f>
        <v>0</v>
      </c>
      <c r="P434">
        <f>INT(((TDays[[#This Row],[ماه]]-1)*31+TDays[[#This Row],[روز]]+1)/7)+1</f>
        <v>10</v>
      </c>
      <c r="Q434">
        <f>SUMIF(TArticle[تاریخ],TDays[[#This Row],[تاریخ]],TArticle[تراکنش برنامه ریزی شده])</f>
        <v>0</v>
      </c>
    </row>
    <row r="435" spans="1:17" x14ac:dyDescent="0.25">
      <c r="A435" s="3" t="s">
        <v>624</v>
      </c>
      <c r="B435" t="str">
        <f>RIGHT(TDays[[#This Row],[تاریخ]],2)</f>
        <v>07</v>
      </c>
      <c r="C435" t="str">
        <f>RIGHT(LEFT(TDays[[#This Row],[تاریخ]],7),2)</f>
        <v>03</v>
      </c>
      <c r="D435" t="str">
        <f>LEFT(TDays[[#This Row],[تاریخ]],4)</f>
        <v>1402</v>
      </c>
      <c r="E435" t="str">
        <f>LEFT(TDays[[#This Row],[تاریخ]],7)</f>
        <v>1402-03</v>
      </c>
      <c r="F435">
        <v>1</v>
      </c>
      <c r="G435" s="15" t="str">
        <f>VLOOKUP(TDays[[#This Row],[کد روز هفته]],TDaysOfTheWeek[],2,FALSE)</f>
        <v>یکشنبه</v>
      </c>
      <c r="H435" s="15">
        <f>IFERROR(IF(E434&lt;&gt;E435,1,INT(H434)+IF(TDays[[#This Row],[کد روز هفته]]=0,1,0)),1)</f>
        <v>2</v>
      </c>
      <c r="I435">
        <f>-SUMIF(TArticle[تاریخ],TDays[[#This Row],[تاریخ]],TArticle[هزینه])</f>
        <v>0</v>
      </c>
      <c r="J435">
        <f>SUMIF(TArticle[تاریخ],TDays[[#This Row],[تاریخ]],TArticle[درآمد تتا])</f>
        <v>0</v>
      </c>
      <c r="K435">
        <f>SUMIF(TArticle[تاریخ],TDays[[#This Row],[تاریخ]],TArticle[اسنپ])</f>
        <v>0</v>
      </c>
      <c r="L435">
        <f>-SUMIF(TArticle[تاریخ],TDays[[#This Row],[تاریخ]],TArticle[پرداخت بدهی])</f>
        <v>0</v>
      </c>
      <c r="M435">
        <f>SUMIF(TArticle[تاریخ],TDays[[#This Row],[تاریخ]],TArticle[افزایش بدهی])</f>
        <v>0</v>
      </c>
      <c r="N435">
        <f>-SUMIF(TArticle[تاریخ],TDays[[#This Row],[تاریخ]],TArticle[افزایش سرمایه])</f>
        <v>0</v>
      </c>
      <c r="O435">
        <f>SUMIF(TArticle[تاریخ],TDays[[#This Row],[تاریخ]],TArticle[تعداد تراکنش انجام شده])</f>
        <v>0</v>
      </c>
      <c r="P435">
        <f>INT(((TDays[[#This Row],[ماه]]-1)*31+TDays[[#This Row],[روز]]+1)/7)+1</f>
        <v>11</v>
      </c>
      <c r="Q435">
        <f>SUMIF(TArticle[تاریخ],TDays[[#This Row],[تاریخ]],TArticle[تراکنش برنامه ریزی شده])</f>
        <v>0</v>
      </c>
    </row>
    <row r="436" spans="1:17" x14ac:dyDescent="0.25">
      <c r="A436" s="3" t="s">
        <v>625</v>
      </c>
      <c r="B436" t="str">
        <f>RIGHT(TDays[[#This Row],[تاریخ]],2)</f>
        <v>08</v>
      </c>
      <c r="C436" t="str">
        <f>RIGHT(LEFT(TDays[[#This Row],[تاریخ]],7),2)</f>
        <v>03</v>
      </c>
      <c r="D436" t="str">
        <f>LEFT(TDays[[#This Row],[تاریخ]],4)</f>
        <v>1402</v>
      </c>
      <c r="E436" t="str">
        <f>LEFT(TDays[[#This Row],[تاریخ]],7)</f>
        <v>1402-03</v>
      </c>
      <c r="F436">
        <v>2</v>
      </c>
      <c r="G436" s="15" t="str">
        <f>VLOOKUP(TDays[[#This Row],[کد روز هفته]],TDaysOfTheWeek[],2,FALSE)</f>
        <v>دوشنبه</v>
      </c>
      <c r="H436" s="15">
        <f>IFERROR(IF(E435&lt;&gt;E436,1,INT(H435)+IF(TDays[[#This Row],[کد روز هفته]]=0,1,0)),1)</f>
        <v>2</v>
      </c>
      <c r="I436">
        <f>-SUMIF(TArticle[تاریخ],TDays[[#This Row],[تاریخ]],TArticle[هزینه])</f>
        <v>0</v>
      </c>
      <c r="J436">
        <f>SUMIF(TArticle[تاریخ],TDays[[#This Row],[تاریخ]],TArticle[درآمد تتا])</f>
        <v>0</v>
      </c>
      <c r="K436">
        <f>SUMIF(TArticle[تاریخ],TDays[[#This Row],[تاریخ]],TArticle[اسنپ])</f>
        <v>0</v>
      </c>
      <c r="L436">
        <f>-SUMIF(TArticle[تاریخ],TDays[[#This Row],[تاریخ]],TArticle[پرداخت بدهی])</f>
        <v>0</v>
      </c>
      <c r="M436">
        <f>SUMIF(TArticle[تاریخ],TDays[[#This Row],[تاریخ]],TArticle[افزایش بدهی])</f>
        <v>0</v>
      </c>
      <c r="N436">
        <f>-SUMIF(TArticle[تاریخ],TDays[[#This Row],[تاریخ]],TArticle[افزایش سرمایه])</f>
        <v>0</v>
      </c>
      <c r="O436">
        <f>SUMIF(TArticle[تاریخ],TDays[[#This Row],[تاریخ]],TArticle[تعداد تراکنش انجام شده])</f>
        <v>0</v>
      </c>
      <c r="P436">
        <f>INT(((TDays[[#This Row],[ماه]]-1)*31+TDays[[#This Row],[روز]]+1)/7)+1</f>
        <v>11</v>
      </c>
      <c r="Q436">
        <f>SUMIF(TArticle[تاریخ],TDays[[#This Row],[تاریخ]],TArticle[تراکنش برنامه ریزی شده])</f>
        <v>0</v>
      </c>
    </row>
    <row r="437" spans="1:17" x14ac:dyDescent="0.25">
      <c r="A437" s="3" t="s">
        <v>626</v>
      </c>
      <c r="B437" t="str">
        <f>RIGHT(TDays[[#This Row],[تاریخ]],2)</f>
        <v>09</v>
      </c>
      <c r="C437" t="str">
        <f>RIGHT(LEFT(TDays[[#This Row],[تاریخ]],7),2)</f>
        <v>03</v>
      </c>
      <c r="D437" t="str">
        <f>LEFT(TDays[[#This Row],[تاریخ]],4)</f>
        <v>1402</v>
      </c>
      <c r="E437" t="str">
        <f>LEFT(TDays[[#This Row],[تاریخ]],7)</f>
        <v>1402-03</v>
      </c>
      <c r="F437">
        <v>3</v>
      </c>
      <c r="G437" s="15" t="str">
        <f>VLOOKUP(TDays[[#This Row],[کد روز هفته]],TDaysOfTheWeek[],2,FALSE)</f>
        <v>سه شنبه</v>
      </c>
      <c r="H437" s="15">
        <f>IFERROR(IF(E436&lt;&gt;E437,1,INT(H436)+IF(TDays[[#This Row],[کد روز هفته]]=0,1,0)),1)</f>
        <v>2</v>
      </c>
      <c r="I437">
        <f>-SUMIF(TArticle[تاریخ],TDays[[#This Row],[تاریخ]],TArticle[هزینه])</f>
        <v>0</v>
      </c>
      <c r="J437">
        <f>SUMIF(TArticle[تاریخ],TDays[[#This Row],[تاریخ]],TArticle[درآمد تتا])</f>
        <v>0</v>
      </c>
      <c r="K437">
        <f>SUMIF(TArticle[تاریخ],TDays[[#This Row],[تاریخ]],TArticle[اسنپ])</f>
        <v>0</v>
      </c>
      <c r="L437">
        <f>-SUMIF(TArticle[تاریخ],TDays[[#This Row],[تاریخ]],TArticle[پرداخت بدهی])</f>
        <v>0</v>
      </c>
      <c r="M437">
        <f>SUMIF(TArticle[تاریخ],TDays[[#This Row],[تاریخ]],TArticle[افزایش بدهی])</f>
        <v>0</v>
      </c>
      <c r="N437">
        <f>-SUMIF(TArticle[تاریخ],TDays[[#This Row],[تاریخ]],TArticle[افزایش سرمایه])</f>
        <v>0</v>
      </c>
      <c r="O437">
        <f>SUMIF(TArticle[تاریخ],TDays[[#This Row],[تاریخ]],TArticle[تعداد تراکنش انجام شده])</f>
        <v>0</v>
      </c>
      <c r="P437">
        <f>INT(((TDays[[#This Row],[ماه]]-1)*31+TDays[[#This Row],[روز]]+1)/7)+1</f>
        <v>11</v>
      </c>
      <c r="Q437">
        <f>SUMIF(TArticle[تاریخ],TDays[[#This Row],[تاریخ]],TArticle[تراکنش برنامه ریزی شده])</f>
        <v>1</v>
      </c>
    </row>
    <row r="438" spans="1:17" x14ac:dyDescent="0.25">
      <c r="A438" s="3" t="s">
        <v>627</v>
      </c>
      <c r="B438" t="str">
        <f>RIGHT(TDays[[#This Row],[تاریخ]],2)</f>
        <v>10</v>
      </c>
      <c r="C438" t="str">
        <f>RIGHT(LEFT(TDays[[#This Row],[تاریخ]],7),2)</f>
        <v>03</v>
      </c>
      <c r="D438" t="str">
        <f>LEFT(TDays[[#This Row],[تاریخ]],4)</f>
        <v>1402</v>
      </c>
      <c r="E438" t="str">
        <f>LEFT(TDays[[#This Row],[تاریخ]],7)</f>
        <v>1402-03</v>
      </c>
      <c r="F438">
        <v>4</v>
      </c>
      <c r="G438" s="15" t="str">
        <f>VLOOKUP(TDays[[#This Row],[کد روز هفته]],TDaysOfTheWeek[],2,FALSE)</f>
        <v>چهارشنبه</v>
      </c>
      <c r="H438" s="15">
        <f>IFERROR(IF(E437&lt;&gt;E438,1,INT(H437)+IF(TDays[[#This Row],[کد روز هفته]]=0,1,0)),1)</f>
        <v>2</v>
      </c>
      <c r="I438">
        <f>-SUMIF(TArticle[تاریخ],TDays[[#This Row],[تاریخ]],TArticle[هزینه])</f>
        <v>0</v>
      </c>
      <c r="J438">
        <f>SUMIF(TArticle[تاریخ],TDays[[#This Row],[تاریخ]],TArticle[درآمد تتا])</f>
        <v>0</v>
      </c>
      <c r="K438">
        <f>SUMIF(TArticle[تاریخ],TDays[[#This Row],[تاریخ]],TArticle[اسنپ])</f>
        <v>0</v>
      </c>
      <c r="L438">
        <f>-SUMIF(TArticle[تاریخ],TDays[[#This Row],[تاریخ]],TArticle[پرداخت بدهی])</f>
        <v>0</v>
      </c>
      <c r="M438">
        <f>SUMIF(TArticle[تاریخ],TDays[[#This Row],[تاریخ]],TArticle[افزایش بدهی])</f>
        <v>0</v>
      </c>
      <c r="N438">
        <f>-SUMIF(TArticle[تاریخ],TDays[[#This Row],[تاریخ]],TArticle[افزایش سرمایه])</f>
        <v>0</v>
      </c>
      <c r="O438">
        <f>SUMIF(TArticle[تاریخ],TDays[[#This Row],[تاریخ]],TArticle[تعداد تراکنش انجام شده])</f>
        <v>0</v>
      </c>
      <c r="P438">
        <f>INT(((TDays[[#This Row],[ماه]]-1)*31+TDays[[#This Row],[روز]]+1)/7)+1</f>
        <v>11</v>
      </c>
      <c r="Q438">
        <f>SUMIF(TArticle[تاریخ],TDays[[#This Row],[تاریخ]],TArticle[تراکنش برنامه ریزی شده])</f>
        <v>0</v>
      </c>
    </row>
    <row r="439" spans="1:17" x14ac:dyDescent="0.25">
      <c r="A439" s="3" t="s">
        <v>628</v>
      </c>
      <c r="B439" t="str">
        <f>RIGHT(TDays[[#This Row],[تاریخ]],2)</f>
        <v>11</v>
      </c>
      <c r="C439" t="str">
        <f>RIGHT(LEFT(TDays[[#This Row],[تاریخ]],7),2)</f>
        <v>03</v>
      </c>
      <c r="D439" t="str">
        <f>LEFT(TDays[[#This Row],[تاریخ]],4)</f>
        <v>1402</v>
      </c>
      <c r="E439" t="str">
        <f>LEFT(TDays[[#This Row],[تاریخ]],7)</f>
        <v>1402-03</v>
      </c>
      <c r="F439">
        <v>5</v>
      </c>
      <c r="G439" s="15" t="str">
        <f>VLOOKUP(TDays[[#This Row],[کد روز هفته]],TDaysOfTheWeek[],2,FALSE)</f>
        <v>پنجشنبه</v>
      </c>
      <c r="H439" s="15">
        <f>IFERROR(IF(E438&lt;&gt;E439,1,INT(H438)+IF(TDays[[#This Row],[کد روز هفته]]=0,1,0)),1)</f>
        <v>2</v>
      </c>
      <c r="I439">
        <f>-SUMIF(TArticle[تاریخ],TDays[[#This Row],[تاریخ]],TArticle[هزینه])</f>
        <v>0</v>
      </c>
      <c r="J439">
        <f>SUMIF(TArticle[تاریخ],TDays[[#This Row],[تاریخ]],TArticle[درآمد تتا])</f>
        <v>0</v>
      </c>
      <c r="K439">
        <f>SUMIF(TArticle[تاریخ],TDays[[#This Row],[تاریخ]],TArticle[اسنپ])</f>
        <v>0</v>
      </c>
      <c r="L439">
        <f>-SUMIF(TArticle[تاریخ],TDays[[#This Row],[تاریخ]],TArticle[پرداخت بدهی])</f>
        <v>0</v>
      </c>
      <c r="M439">
        <f>SUMIF(TArticle[تاریخ],TDays[[#This Row],[تاریخ]],TArticle[افزایش بدهی])</f>
        <v>0</v>
      </c>
      <c r="N439">
        <f>-SUMIF(TArticle[تاریخ],TDays[[#This Row],[تاریخ]],TArticle[افزایش سرمایه])</f>
        <v>0</v>
      </c>
      <c r="O439">
        <f>SUMIF(TArticle[تاریخ],TDays[[#This Row],[تاریخ]],TArticle[تعداد تراکنش انجام شده])</f>
        <v>0</v>
      </c>
      <c r="P439">
        <f>INT(((TDays[[#This Row],[ماه]]-1)*31+TDays[[#This Row],[روز]]+1)/7)+1</f>
        <v>11</v>
      </c>
      <c r="Q439">
        <f>SUMIF(TArticle[تاریخ],TDays[[#This Row],[تاریخ]],TArticle[تراکنش برنامه ریزی شده])</f>
        <v>0</v>
      </c>
    </row>
    <row r="440" spans="1:17" x14ac:dyDescent="0.25">
      <c r="A440" s="3" t="s">
        <v>629</v>
      </c>
      <c r="B440" t="str">
        <f>RIGHT(TDays[[#This Row],[تاریخ]],2)</f>
        <v>12</v>
      </c>
      <c r="C440" t="str">
        <f>RIGHT(LEFT(TDays[[#This Row],[تاریخ]],7),2)</f>
        <v>03</v>
      </c>
      <c r="D440" t="str">
        <f>LEFT(TDays[[#This Row],[تاریخ]],4)</f>
        <v>1402</v>
      </c>
      <c r="E440" t="str">
        <f>LEFT(TDays[[#This Row],[تاریخ]],7)</f>
        <v>1402-03</v>
      </c>
      <c r="F440">
        <v>6</v>
      </c>
      <c r="G440" s="15" t="str">
        <f>VLOOKUP(TDays[[#This Row],[کد روز هفته]],TDaysOfTheWeek[],2,FALSE)</f>
        <v>جمعه</v>
      </c>
      <c r="H440" s="15">
        <f>IFERROR(IF(E439&lt;&gt;E440,1,INT(H439)+IF(TDays[[#This Row],[کد روز هفته]]=0,1,0)),1)</f>
        <v>2</v>
      </c>
      <c r="I440">
        <f>-SUMIF(TArticle[تاریخ],TDays[[#This Row],[تاریخ]],TArticle[هزینه])</f>
        <v>0</v>
      </c>
      <c r="J440">
        <f>SUMIF(TArticle[تاریخ],TDays[[#This Row],[تاریخ]],TArticle[درآمد تتا])</f>
        <v>0</v>
      </c>
      <c r="K440">
        <f>SUMIF(TArticle[تاریخ],TDays[[#This Row],[تاریخ]],TArticle[اسنپ])</f>
        <v>0</v>
      </c>
      <c r="L440">
        <f>-SUMIF(TArticle[تاریخ],TDays[[#This Row],[تاریخ]],TArticle[پرداخت بدهی])</f>
        <v>0</v>
      </c>
      <c r="M440">
        <f>SUMIF(TArticle[تاریخ],TDays[[#This Row],[تاریخ]],TArticle[افزایش بدهی])</f>
        <v>0</v>
      </c>
      <c r="N440">
        <f>-SUMIF(TArticle[تاریخ],TDays[[#This Row],[تاریخ]],TArticle[افزایش سرمایه])</f>
        <v>0</v>
      </c>
      <c r="O440">
        <f>SUMIF(TArticle[تاریخ],TDays[[#This Row],[تاریخ]],TArticle[تعداد تراکنش انجام شده])</f>
        <v>0</v>
      </c>
      <c r="P440">
        <f>INT(((TDays[[#This Row],[ماه]]-1)*31+TDays[[#This Row],[روز]]+1)/7)+1</f>
        <v>11</v>
      </c>
      <c r="Q440">
        <f>SUMIF(TArticle[تاریخ],TDays[[#This Row],[تاریخ]],TArticle[تراکنش برنامه ریزی شده])</f>
        <v>0</v>
      </c>
    </row>
    <row r="441" spans="1:17" x14ac:dyDescent="0.25">
      <c r="A441" s="3" t="s">
        <v>630</v>
      </c>
      <c r="B441" t="str">
        <f>RIGHT(TDays[[#This Row],[تاریخ]],2)</f>
        <v>13</v>
      </c>
      <c r="C441" t="str">
        <f>RIGHT(LEFT(TDays[[#This Row],[تاریخ]],7),2)</f>
        <v>03</v>
      </c>
      <c r="D441" t="str">
        <f>LEFT(TDays[[#This Row],[تاریخ]],4)</f>
        <v>1402</v>
      </c>
      <c r="E441" t="str">
        <f>LEFT(TDays[[#This Row],[تاریخ]],7)</f>
        <v>1402-03</v>
      </c>
      <c r="F441">
        <v>0</v>
      </c>
      <c r="G441" s="15" t="str">
        <f>VLOOKUP(TDays[[#This Row],[کد روز هفته]],TDaysOfTheWeek[],2,FALSE)</f>
        <v>شنبه</v>
      </c>
      <c r="H441" s="15">
        <f>IFERROR(IF(E440&lt;&gt;E441,1,INT(H440)+IF(TDays[[#This Row],[کد روز هفته]]=0,1,0)),1)</f>
        <v>3</v>
      </c>
      <c r="I441">
        <f>-SUMIF(TArticle[تاریخ],TDays[[#This Row],[تاریخ]],TArticle[هزینه])</f>
        <v>0</v>
      </c>
      <c r="J441">
        <f>SUMIF(TArticle[تاریخ],TDays[[#This Row],[تاریخ]],TArticle[درآمد تتا])</f>
        <v>0</v>
      </c>
      <c r="K441">
        <f>SUMIF(TArticle[تاریخ],TDays[[#This Row],[تاریخ]],TArticle[اسنپ])</f>
        <v>0</v>
      </c>
      <c r="L441">
        <f>-SUMIF(TArticle[تاریخ],TDays[[#This Row],[تاریخ]],TArticle[پرداخت بدهی])</f>
        <v>0</v>
      </c>
      <c r="M441">
        <f>SUMIF(TArticle[تاریخ],TDays[[#This Row],[تاریخ]],TArticle[افزایش بدهی])</f>
        <v>0</v>
      </c>
      <c r="N441">
        <f>-SUMIF(TArticle[تاریخ],TDays[[#This Row],[تاریخ]],TArticle[افزایش سرمایه])</f>
        <v>0</v>
      </c>
      <c r="O441">
        <f>SUMIF(TArticle[تاریخ],TDays[[#This Row],[تاریخ]],TArticle[تعداد تراکنش انجام شده])</f>
        <v>0</v>
      </c>
      <c r="P441">
        <f>INT(((TDays[[#This Row],[ماه]]-1)*31+TDays[[#This Row],[روز]]+1)/7)+1</f>
        <v>11</v>
      </c>
      <c r="Q441">
        <f>SUMIF(TArticle[تاریخ],TDays[[#This Row],[تاریخ]],TArticle[تراکنش برنامه ریزی شده])</f>
        <v>0</v>
      </c>
    </row>
    <row r="442" spans="1:17" x14ac:dyDescent="0.25">
      <c r="A442" s="3" t="s">
        <v>72</v>
      </c>
      <c r="B442" t="str">
        <f>RIGHT(TDays[[#This Row],[تاریخ]],2)</f>
        <v>14</v>
      </c>
      <c r="C442" t="str">
        <f>RIGHT(LEFT(TDays[[#This Row],[تاریخ]],7),2)</f>
        <v>03</v>
      </c>
      <c r="D442" t="str">
        <f>LEFT(TDays[[#This Row],[تاریخ]],4)</f>
        <v>1402</v>
      </c>
      <c r="E442" t="str">
        <f>LEFT(TDays[[#This Row],[تاریخ]],7)</f>
        <v>1402-03</v>
      </c>
      <c r="F442">
        <v>1</v>
      </c>
      <c r="G442" s="15" t="str">
        <f>VLOOKUP(TDays[[#This Row],[کد روز هفته]],TDaysOfTheWeek[],2,FALSE)</f>
        <v>یکشنبه</v>
      </c>
      <c r="H442" s="15">
        <f>IFERROR(IF(E441&lt;&gt;E442,1,INT(H441)+IF(TDays[[#This Row],[کد روز هفته]]=0,1,0)),1)</f>
        <v>3</v>
      </c>
      <c r="I442">
        <f>-SUMIF(TArticle[تاریخ],TDays[[#This Row],[تاریخ]],TArticle[هزینه])</f>
        <v>0</v>
      </c>
      <c r="J442">
        <f>SUMIF(TArticle[تاریخ],TDays[[#This Row],[تاریخ]],TArticle[درآمد تتا])</f>
        <v>0</v>
      </c>
      <c r="K442">
        <f>SUMIF(TArticle[تاریخ],TDays[[#This Row],[تاریخ]],TArticle[اسنپ])</f>
        <v>0</v>
      </c>
      <c r="L442">
        <f>-SUMIF(TArticle[تاریخ],TDays[[#This Row],[تاریخ]],TArticle[پرداخت بدهی])</f>
        <v>0</v>
      </c>
      <c r="M442">
        <f>SUMIF(TArticle[تاریخ],TDays[[#This Row],[تاریخ]],TArticle[افزایش بدهی])</f>
        <v>0</v>
      </c>
      <c r="N442">
        <f>-SUMIF(TArticle[تاریخ],TDays[[#This Row],[تاریخ]],TArticle[افزایش سرمایه])</f>
        <v>0</v>
      </c>
      <c r="O442">
        <f>SUMIF(TArticle[تاریخ],TDays[[#This Row],[تاریخ]],TArticle[تعداد تراکنش انجام شده])</f>
        <v>0</v>
      </c>
      <c r="P442">
        <f>INT(((TDays[[#This Row],[ماه]]-1)*31+TDays[[#This Row],[روز]]+1)/7)+1</f>
        <v>12</v>
      </c>
      <c r="Q442">
        <f>SUMIF(TArticle[تاریخ],TDays[[#This Row],[تاریخ]],TArticle[تراکنش برنامه ریزی شده])</f>
        <v>1</v>
      </c>
    </row>
    <row r="443" spans="1:17" x14ac:dyDescent="0.25">
      <c r="A443" s="3" t="s">
        <v>631</v>
      </c>
      <c r="B443" t="str">
        <f>RIGHT(TDays[[#This Row],[تاریخ]],2)</f>
        <v>15</v>
      </c>
      <c r="C443" t="str">
        <f>RIGHT(LEFT(TDays[[#This Row],[تاریخ]],7),2)</f>
        <v>03</v>
      </c>
      <c r="D443" t="str">
        <f>LEFT(TDays[[#This Row],[تاریخ]],4)</f>
        <v>1402</v>
      </c>
      <c r="E443" t="str">
        <f>LEFT(TDays[[#This Row],[تاریخ]],7)</f>
        <v>1402-03</v>
      </c>
      <c r="F443">
        <v>2</v>
      </c>
      <c r="G443" s="15" t="str">
        <f>VLOOKUP(TDays[[#This Row],[کد روز هفته]],TDaysOfTheWeek[],2,FALSE)</f>
        <v>دوشنبه</v>
      </c>
      <c r="H443" s="15">
        <f>IFERROR(IF(E442&lt;&gt;E443,1,INT(H442)+IF(TDays[[#This Row],[کد روز هفته]]=0,1,0)),1)</f>
        <v>3</v>
      </c>
      <c r="I443">
        <f>-SUMIF(TArticle[تاریخ],TDays[[#This Row],[تاریخ]],TArticle[هزینه])</f>
        <v>0</v>
      </c>
      <c r="J443">
        <f>SUMIF(TArticle[تاریخ],TDays[[#This Row],[تاریخ]],TArticle[درآمد تتا])</f>
        <v>0</v>
      </c>
      <c r="K443">
        <f>SUMIF(TArticle[تاریخ],TDays[[#This Row],[تاریخ]],TArticle[اسنپ])</f>
        <v>0</v>
      </c>
      <c r="L443">
        <f>-SUMIF(TArticle[تاریخ],TDays[[#This Row],[تاریخ]],TArticle[پرداخت بدهی])</f>
        <v>0</v>
      </c>
      <c r="M443">
        <f>SUMIF(TArticle[تاریخ],TDays[[#This Row],[تاریخ]],TArticle[افزایش بدهی])</f>
        <v>0</v>
      </c>
      <c r="N443">
        <f>-SUMIF(TArticle[تاریخ],TDays[[#This Row],[تاریخ]],TArticle[افزایش سرمایه])</f>
        <v>0</v>
      </c>
      <c r="O443">
        <f>SUMIF(TArticle[تاریخ],TDays[[#This Row],[تاریخ]],TArticle[تعداد تراکنش انجام شده])</f>
        <v>0</v>
      </c>
      <c r="P443">
        <f>INT(((TDays[[#This Row],[ماه]]-1)*31+TDays[[#This Row],[روز]]+1)/7)+1</f>
        <v>12</v>
      </c>
      <c r="Q443">
        <f>SUMIF(TArticle[تاریخ],TDays[[#This Row],[تاریخ]],TArticle[تراکنش برنامه ریزی شده])</f>
        <v>0</v>
      </c>
    </row>
    <row r="444" spans="1:17" x14ac:dyDescent="0.25">
      <c r="A444" s="3" t="s">
        <v>632</v>
      </c>
      <c r="B444" t="str">
        <f>RIGHT(TDays[[#This Row],[تاریخ]],2)</f>
        <v>16</v>
      </c>
      <c r="C444" t="str">
        <f>RIGHT(LEFT(TDays[[#This Row],[تاریخ]],7),2)</f>
        <v>03</v>
      </c>
      <c r="D444" t="str">
        <f>LEFT(TDays[[#This Row],[تاریخ]],4)</f>
        <v>1402</v>
      </c>
      <c r="E444" t="str">
        <f>LEFT(TDays[[#This Row],[تاریخ]],7)</f>
        <v>1402-03</v>
      </c>
      <c r="F444">
        <v>3</v>
      </c>
      <c r="G444" s="15" t="str">
        <f>VLOOKUP(TDays[[#This Row],[کد روز هفته]],TDaysOfTheWeek[],2,FALSE)</f>
        <v>سه شنبه</v>
      </c>
      <c r="H444" s="15">
        <f>IFERROR(IF(E443&lt;&gt;E444,1,INT(H443)+IF(TDays[[#This Row],[کد روز هفته]]=0,1,0)),1)</f>
        <v>3</v>
      </c>
      <c r="I444">
        <f>-SUMIF(TArticle[تاریخ],TDays[[#This Row],[تاریخ]],TArticle[هزینه])</f>
        <v>0</v>
      </c>
      <c r="J444">
        <f>SUMIF(TArticle[تاریخ],TDays[[#This Row],[تاریخ]],TArticle[درآمد تتا])</f>
        <v>0</v>
      </c>
      <c r="K444">
        <f>SUMIF(TArticle[تاریخ],TDays[[#This Row],[تاریخ]],TArticle[اسنپ])</f>
        <v>0</v>
      </c>
      <c r="L444">
        <f>-SUMIF(TArticle[تاریخ],TDays[[#This Row],[تاریخ]],TArticle[پرداخت بدهی])</f>
        <v>0</v>
      </c>
      <c r="M444">
        <f>SUMIF(TArticle[تاریخ],TDays[[#This Row],[تاریخ]],TArticle[افزایش بدهی])</f>
        <v>0</v>
      </c>
      <c r="N444">
        <f>-SUMIF(TArticle[تاریخ],TDays[[#This Row],[تاریخ]],TArticle[افزایش سرمایه])</f>
        <v>0</v>
      </c>
      <c r="O444">
        <f>SUMIF(TArticle[تاریخ],TDays[[#This Row],[تاریخ]],TArticle[تعداد تراکنش انجام شده])</f>
        <v>0</v>
      </c>
      <c r="P444">
        <f>INT(((TDays[[#This Row],[ماه]]-1)*31+TDays[[#This Row],[روز]]+1)/7)+1</f>
        <v>12</v>
      </c>
      <c r="Q444">
        <f>SUMIF(TArticle[تاریخ],TDays[[#This Row],[تاریخ]],TArticle[تراکنش برنامه ریزی شده])</f>
        <v>0</v>
      </c>
    </row>
    <row r="445" spans="1:17" x14ac:dyDescent="0.25">
      <c r="A445" s="3" t="s">
        <v>633</v>
      </c>
      <c r="B445" t="str">
        <f>RIGHT(TDays[[#This Row],[تاریخ]],2)</f>
        <v>17</v>
      </c>
      <c r="C445" t="str">
        <f>RIGHT(LEFT(TDays[[#This Row],[تاریخ]],7),2)</f>
        <v>03</v>
      </c>
      <c r="D445" t="str">
        <f>LEFT(TDays[[#This Row],[تاریخ]],4)</f>
        <v>1402</v>
      </c>
      <c r="E445" t="str">
        <f>LEFT(TDays[[#This Row],[تاریخ]],7)</f>
        <v>1402-03</v>
      </c>
      <c r="F445">
        <v>4</v>
      </c>
      <c r="G445" s="15" t="str">
        <f>VLOOKUP(TDays[[#This Row],[کد روز هفته]],TDaysOfTheWeek[],2,FALSE)</f>
        <v>چهارشنبه</v>
      </c>
      <c r="H445" s="15">
        <f>IFERROR(IF(E444&lt;&gt;E445,1,INT(H444)+IF(TDays[[#This Row],[کد روز هفته]]=0,1,0)),1)</f>
        <v>3</v>
      </c>
      <c r="I445">
        <f>-SUMIF(TArticle[تاریخ],TDays[[#This Row],[تاریخ]],TArticle[هزینه])</f>
        <v>0</v>
      </c>
      <c r="J445">
        <f>SUMIF(TArticle[تاریخ],TDays[[#This Row],[تاریخ]],TArticle[درآمد تتا])</f>
        <v>0</v>
      </c>
      <c r="K445">
        <f>SUMIF(TArticle[تاریخ],TDays[[#This Row],[تاریخ]],TArticle[اسنپ])</f>
        <v>0</v>
      </c>
      <c r="L445">
        <f>-SUMIF(TArticle[تاریخ],TDays[[#This Row],[تاریخ]],TArticle[پرداخت بدهی])</f>
        <v>0</v>
      </c>
      <c r="M445">
        <f>SUMIF(TArticle[تاریخ],TDays[[#This Row],[تاریخ]],TArticle[افزایش بدهی])</f>
        <v>0</v>
      </c>
      <c r="N445">
        <f>-SUMIF(TArticle[تاریخ],TDays[[#This Row],[تاریخ]],TArticle[افزایش سرمایه])</f>
        <v>0</v>
      </c>
      <c r="O445">
        <f>SUMIF(TArticle[تاریخ],TDays[[#This Row],[تاریخ]],TArticle[تعداد تراکنش انجام شده])</f>
        <v>0</v>
      </c>
      <c r="P445">
        <f>INT(((TDays[[#This Row],[ماه]]-1)*31+TDays[[#This Row],[روز]]+1)/7)+1</f>
        <v>12</v>
      </c>
      <c r="Q445">
        <f>SUMIF(TArticle[تاریخ],TDays[[#This Row],[تاریخ]],TArticle[تراکنش برنامه ریزی شده])</f>
        <v>1</v>
      </c>
    </row>
    <row r="446" spans="1:17" x14ac:dyDescent="0.25">
      <c r="A446" s="3" t="s">
        <v>634</v>
      </c>
      <c r="B446" t="str">
        <f>RIGHT(TDays[[#This Row],[تاریخ]],2)</f>
        <v>18</v>
      </c>
      <c r="C446" t="str">
        <f>RIGHT(LEFT(TDays[[#This Row],[تاریخ]],7),2)</f>
        <v>03</v>
      </c>
      <c r="D446" t="str">
        <f>LEFT(TDays[[#This Row],[تاریخ]],4)</f>
        <v>1402</v>
      </c>
      <c r="E446" t="str">
        <f>LEFT(TDays[[#This Row],[تاریخ]],7)</f>
        <v>1402-03</v>
      </c>
      <c r="F446">
        <v>5</v>
      </c>
      <c r="G446" s="15" t="str">
        <f>VLOOKUP(TDays[[#This Row],[کد روز هفته]],TDaysOfTheWeek[],2,FALSE)</f>
        <v>پنجشنبه</v>
      </c>
      <c r="H446" s="15">
        <f>IFERROR(IF(E445&lt;&gt;E446,1,INT(H445)+IF(TDays[[#This Row],[کد روز هفته]]=0,1,0)),1)</f>
        <v>3</v>
      </c>
      <c r="I446">
        <f>-SUMIF(TArticle[تاریخ],TDays[[#This Row],[تاریخ]],TArticle[هزینه])</f>
        <v>0</v>
      </c>
      <c r="J446">
        <f>SUMIF(TArticle[تاریخ],TDays[[#This Row],[تاریخ]],TArticle[درآمد تتا])</f>
        <v>0</v>
      </c>
      <c r="K446">
        <f>SUMIF(TArticle[تاریخ],TDays[[#This Row],[تاریخ]],TArticle[اسنپ])</f>
        <v>0</v>
      </c>
      <c r="L446">
        <f>-SUMIF(TArticle[تاریخ],TDays[[#This Row],[تاریخ]],TArticle[پرداخت بدهی])</f>
        <v>0</v>
      </c>
      <c r="M446">
        <f>SUMIF(TArticle[تاریخ],TDays[[#This Row],[تاریخ]],TArticle[افزایش بدهی])</f>
        <v>0</v>
      </c>
      <c r="N446">
        <f>-SUMIF(TArticle[تاریخ],TDays[[#This Row],[تاریخ]],TArticle[افزایش سرمایه])</f>
        <v>0</v>
      </c>
      <c r="O446">
        <f>SUMIF(TArticle[تاریخ],TDays[[#This Row],[تاریخ]],TArticle[تعداد تراکنش انجام شده])</f>
        <v>0</v>
      </c>
      <c r="P446">
        <f>INT(((TDays[[#This Row],[ماه]]-1)*31+TDays[[#This Row],[روز]]+1)/7)+1</f>
        <v>12</v>
      </c>
      <c r="Q446">
        <f>SUMIF(TArticle[تاریخ],TDays[[#This Row],[تاریخ]],TArticle[تراکنش برنامه ریزی شده])</f>
        <v>0</v>
      </c>
    </row>
    <row r="447" spans="1:17" x14ac:dyDescent="0.25">
      <c r="A447" s="3" t="s">
        <v>635</v>
      </c>
      <c r="B447" t="str">
        <f>RIGHT(TDays[[#This Row],[تاریخ]],2)</f>
        <v>19</v>
      </c>
      <c r="C447" t="str">
        <f>RIGHT(LEFT(TDays[[#This Row],[تاریخ]],7),2)</f>
        <v>03</v>
      </c>
      <c r="D447" t="str">
        <f>LEFT(TDays[[#This Row],[تاریخ]],4)</f>
        <v>1402</v>
      </c>
      <c r="E447" t="str">
        <f>LEFT(TDays[[#This Row],[تاریخ]],7)</f>
        <v>1402-03</v>
      </c>
      <c r="F447">
        <v>6</v>
      </c>
      <c r="G447" s="15" t="str">
        <f>VLOOKUP(TDays[[#This Row],[کد روز هفته]],TDaysOfTheWeek[],2,FALSE)</f>
        <v>جمعه</v>
      </c>
      <c r="H447" s="15">
        <f>IFERROR(IF(E446&lt;&gt;E447,1,INT(H446)+IF(TDays[[#This Row],[کد روز هفته]]=0,1,0)),1)</f>
        <v>3</v>
      </c>
      <c r="I447">
        <f>-SUMIF(TArticle[تاریخ],TDays[[#This Row],[تاریخ]],TArticle[هزینه])</f>
        <v>0</v>
      </c>
      <c r="J447">
        <f>SUMIF(TArticle[تاریخ],TDays[[#This Row],[تاریخ]],TArticle[درآمد تتا])</f>
        <v>0</v>
      </c>
      <c r="K447">
        <f>SUMIF(TArticle[تاریخ],TDays[[#This Row],[تاریخ]],TArticle[اسنپ])</f>
        <v>0</v>
      </c>
      <c r="L447">
        <f>-SUMIF(TArticle[تاریخ],TDays[[#This Row],[تاریخ]],TArticle[پرداخت بدهی])</f>
        <v>0</v>
      </c>
      <c r="M447">
        <f>SUMIF(TArticle[تاریخ],TDays[[#This Row],[تاریخ]],TArticle[افزایش بدهی])</f>
        <v>0</v>
      </c>
      <c r="N447">
        <f>-SUMIF(TArticle[تاریخ],TDays[[#This Row],[تاریخ]],TArticle[افزایش سرمایه])</f>
        <v>0</v>
      </c>
      <c r="O447">
        <f>SUMIF(TArticle[تاریخ],TDays[[#This Row],[تاریخ]],TArticle[تعداد تراکنش انجام شده])</f>
        <v>0</v>
      </c>
      <c r="P447">
        <f>INT(((TDays[[#This Row],[ماه]]-1)*31+TDays[[#This Row],[روز]]+1)/7)+1</f>
        <v>12</v>
      </c>
      <c r="Q447">
        <f>SUMIF(TArticle[تاریخ],TDays[[#This Row],[تاریخ]],TArticle[تراکنش برنامه ریزی شده])</f>
        <v>0</v>
      </c>
    </row>
    <row r="448" spans="1:17" x14ac:dyDescent="0.25">
      <c r="A448" s="3" t="s">
        <v>636</v>
      </c>
      <c r="B448" t="str">
        <f>RIGHT(TDays[[#This Row],[تاریخ]],2)</f>
        <v>20</v>
      </c>
      <c r="C448" t="str">
        <f>RIGHT(LEFT(TDays[[#This Row],[تاریخ]],7),2)</f>
        <v>03</v>
      </c>
      <c r="D448" t="str">
        <f>LEFT(TDays[[#This Row],[تاریخ]],4)</f>
        <v>1402</v>
      </c>
      <c r="E448" t="str">
        <f>LEFT(TDays[[#This Row],[تاریخ]],7)</f>
        <v>1402-03</v>
      </c>
      <c r="F448">
        <v>0</v>
      </c>
      <c r="G448" s="15" t="str">
        <f>VLOOKUP(TDays[[#This Row],[کد روز هفته]],TDaysOfTheWeek[],2,FALSE)</f>
        <v>شنبه</v>
      </c>
      <c r="H448" s="15">
        <f>IFERROR(IF(E447&lt;&gt;E448,1,INT(H447)+IF(TDays[[#This Row],[کد روز هفته]]=0,1,0)),1)</f>
        <v>4</v>
      </c>
      <c r="I448">
        <f>-SUMIF(TArticle[تاریخ],TDays[[#This Row],[تاریخ]],TArticle[هزینه])</f>
        <v>0</v>
      </c>
      <c r="J448">
        <f>SUMIF(TArticle[تاریخ],TDays[[#This Row],[تاریخ]],TArticle[درآمد تتا])</f>
        <v>0</v>
      </c>
      <c r="K448">
        <f>SUMIF(TArticle[تاریخ],TDays[[#This Row],[تاریخ]],TArticle[اسنپ])</f>
        <v>0</v>
      </c>
      <c r="L448">
        <f>-SUMIF(TArticle[تاریخ],TDays[[#This Row],[تاریخ]],TArticle[پرداخت بدهی])</f>
        <v>0</v>
      </c>
      <c r="M448">
        <f>SUMIF(TArticle[تاریخ],TDays[[#This Row],[تاریخ]],TArticle[افزایش بدهی])</f>
        <v>0</v>
      </c>
      <c r="N448">
        <f>-SUMIF(TArticle[تاریخ],TDays[[#This Row],[تاریخ]],TArticle[افزایش سرمایه])</f>
        <v>0</v>
      </c>
      <c r="O448">
        <f>SUMIF(TArticle[تاریخ],TDays[[#This Row],[تاریخ]],TArticle[تعداد تراکنش انجام شده])</f>
        <v>0</v>
      </c>
      <c r="P448">
        <f>INT(((TDays[[#This Row],[ماه]]-1)*31+TDays[[#This Row],[روز]]+1)/7)+1</f>
        <v>12</v>
      </c>
      <c r="Q448">
        <f>SUMIF(TArticle[تاریخ],TDays[[#This Row],[تاریخ]],TArticle[تراکنش برنامه ریزی شده])</f>
        <v>1</v>
      </c>
    </row>
    <row r="449" spans="1:17" x14ac:dyDescent="0.25">
      <c r="A449" s="3" t="s">
        <v>637</v>
      </c>
      <c r="B449" t="str">
        <f>RIGHT(TDays[[#This Row],[تاریخ]],2)</f>
        <v>21</v>
      </c>
      <c r="C449" t="str">
        <f>RIGHT(LEFT(TDays[[#This Row],[تاریخ]],7),2)</f>
        <v>03</v>
      </c>
      <c r="D449" t="str">
        <f>LEFT(TDays[[#This Row],[تاریخ]],4)</f>
        <v>1402</v>
      </c>
      <c r="E449" t="str">
        <f>LEFT(TDays[[#This Row],[تاریخ]],7)</f>
        <v>1402-03</v>
      </c>
      <c r="F449">
        <v>1</v>
      </c>
      <c r="G449" s="15" t="str">
        <f>VLOOKUP(TDays[[#This Row],[کد روز هفته]],TDaysOfTheWeek[],2,FALSE)</f>
        <v>یکشنبه</v>
      </c>
      <c r="H449" s="15">
        <f>IFERROR(IF(E448&lt;&gt;E449,1,INT(H448)+IF(TDays[[#This Row],[کد روز هفته]]=0,1,0)),1)</f>
        <v>4</v>
      </c>
      <c r="I449">
        <f>-SUMIF(TArticle[تاریخ],TDays[[#This Row],[تاریخ]],TArticle[هزینه])</f>
        <v>0</v>
      </c>
      <c r="J449">
        <f>SUMIF(TArticle[تاریخ],TDays[[#This Row],[تاریخ]],TArticle[درآمد تتا])</f>
        <v>0</v>
      </c>
      <c r="K449">
        <f>SUMIF(TArticle[تاریخ],TDays[[#This Row],[تاریخ]],TArticle[اسنپ])</f>
        <v>0</v>
      </c>
      <c r="L449">
        <f>-SUMIF(TArticle[تاریخ],TDays[[#This Row],[تاریخ]],TArticle[پرداخت بدهی])</f>
        <v>0</v>
      </c>
      <c r="M449">
        <f>SUMIF(TArticle[تاریخ],TDays[[#This Row],[تاریخ]],TArticle[افزایش بدهی])</f>
        <v>0</v>
      </c>
      <c r="N449">
        <f>-SUMIF(TArticle[تاریخ],TDays[[#This Row],[تاریخ]],TArticle[افزایش سرمایه])</f>
        <v>0</v>
      </c>
      <c r="O449">
        <f>SUMIF(TArticle[تاریخ],TDays[[#This Row],[تاریخ]],TArticle[تعداد تراکنش انجام شده])</f>
        <v>0</v>
      </c>
      <c r="P449">
        <f>INT(((TDays[[#This Row],[ماه]]-1)*31+TDays[[#This Row],[روز]]+1)/7)+1</f>
        <v>13</v>
      </c>
      <c r="Q449">
        <f>SUMIF(TArticle[تاریخ],TDays[[#This Row],[تاریخ]],TArticle[تراکنش برنامه ریزی شده])</f>
        <v>0</v>
      </c>
    </row>
    <row r="450" spans="1:17" x14ac:dyDescent="0.25">
      <c r="A450" s="3" t="s">
        <v>638</v>
      </c>
      <c r="B450" t="str">
        <f>RIGHT(TDays[[#This Row],[تاریخ]],2)</f>
        <v>22</v>
      </c>
      <c r="C450" t="str">
        <f>RIGHT(LEFT(TDays[[#This Row],[تاریخ]],7),2)</f>
        <v>03</v>
      </c>
      <c r="D450" t="str">
        <f>LEFT(TDays[[#This Row],[تاریخ]],4)</f>
        <v>1402</v>
      </c>
      <c r="E450" t="str">
        <f>LEFT(TDays[[#This Row],[تاریخ]],7)</f>
        <v>1402-03</v>
      </c>
      <c r="F450">
        <v>2</v>
      </c>
      <c r="G450" s="15" t="str">
        <f>VLOOKUP(TDays[[#This Row],[کد روز هفته]],TDaysOfTheWeek[],2,FALSE)</f>
        <v>دوشنبه</v>
      </c>
      <c r="H450" s="15">
        <f>IFERROR(IF(E449&lt;&gt;E450,1,INT(H449)+IF(TDays[[#This Row],[کد روز هفته]]=0,1,0)),1)</f>
        <v>4</v>
      </c>
      <c r="I450">
        <f>-SUMIF(TArticle[تاریخ],TDays[[#This Row],[تاریخ]],TArticle[هزینه])</f>
        <v>0</v>
      </c>
      <c r="J450">
        <f>SUMIF(TArticle[تاریخ],TDays[[#This Row],[تاریخ]],TArticle[درآمد تتا])</f>
        <v>0</v>
      </c>
      <c r="K450">
        <f>SUMIF(TArticle[تاریخ],TDays[[#This Row],[تاریخ]],TArticle[اسنپ])</f>
        <v>0</v>
      </c>
      <c r="L450">
        <f>-SUMIF(TArticle[تاریخ],TDays[[#This Row],[تاریخ]],TArticle[پرداخت بدهی])</f>
        <v>0</v>
      </c>
      <c r="M450">
        <f>SUMIF(TArticle[تاریخ],TDays[[#This Row],[تاریخ]],TArticle[افزایش بدهی])</f>
        <v>0</v>
      </c>
      <c r="N450">
        <f>-SUMIF(TArticle[تاریخ],TDays[[#This Row],[تاریخ]],TArticle[افزایش سرمایه])</f>
        <v>0</v>
      </c>
      <c r="O450">
        <f>SUMIF(TArticle[تاریخ],TDays[[#This Row],[تاریخ]],TArticle[تعداد تراکنش انجام شده])</f>
        <v>0</v>
      </c>
      <c r="P450">
        <f>INT(((TDays[[#This Row],[ماه]]-1)*31+TDays[[#This Row],[روز]]+1)/7)+1</f>
        <v>13</v>
      </c>
      <c r="Q450">
        <f>SUMIF(TArticle[تاریخ],TDays[[#This Row],[تاریخ]],TArticle[تراکنش برنامه ریزی شده])</f>
        <v>0</v>
      </c>
    </row>
    <row r="451" spans="1:17" x14ac:dyDescent="0.25">
      <c r="A451" s="3" t="s">
        <v>639</v>
      </c>
      <c r="B451" t="str">
        <f>RIGHT(TDays[[#This Row],[تاریخ]],2)</f>
        <v>23</v>
      </c>
      <c r="C451" t="str">
        <f>RIGHT(LEFT(TDays[[#This Row],[تاریخ]],7),2)</f>
        <v>03</v>
      </c>
      <c r="D451" t="str">
        <f>LEFT(TDays[[#This Row],[تاریخ]],4)</f>
        <v>1402</v>
      </c>
      <c r="E451" t="str">
        <f>LEFT(TDays[[#This Row],[تاریخ]],7)</f>
        <v>1402-03</v>
      </c>
      <c r="F451">
        <v>3</v>
      </c>
      <c r="G451" s="15" t="str">
        <f>VLOOKUP(TDays[[#This Row],[کد روز هفته]],TDaysOfTheWeek[],2,FALSE)</f>
        <v>سه شنبه</v>
      </c>
      <c r="H451" s="15">
        <f>IFERROR(IF(E450&lt;&gt;E451,1,INT(H450)+IF(TDays[[#This Row],[کد روز هفته]]=0,1,0)),1)</f>
        <v>4</v>
      </c>
      <c r="I451">
        <f>-SUMIF(TArticle[تاریخ],TDays[[#This Row],[تاریخ]],TArticle[هزینه])</f>
        <v>0</v>
      </c>
      <c r="J451">
        <f>SUMIF(TArticle[تاریخ],TDays[[#This Row],[تاریخ]],TArticle[درآمد تتا])</f>
        <v>0</v>
      </c>
      <c r="K451">
        <f>SUMIF(TArticle[تاریخ],TDays[[#This Row],[تاریخ]],TArticle[اسنپ])</f>
        <v>0</v>
      </c>
      <c r="L451">
        <f>-SUMIF(TArticle[تاریخ],TDays[[#This Row],[تاریخ]],TArticle[پرداخت بدهی])</f>
        <v>0</v>
      </c>
      <c r="M451">
        <f>SUMIF(TArticle[تاریخ],TDays[[#This Row],[تاریخ]],TArticle[افزایش بدهی])</f>
        <v>0</v>
      </c>
      <c r="N451">
        <f>-SUMIF(TArticle[تاریخ],TDays[[#This Row],[تاریخ]],TArticle[افزایش سرمایه])</f>
        <v>0</v>
      </c>
      <c r="O451">
        <f>SUMIF(TArticle[تاریخ],TDays[[#This Row],[تاریخ]],TArticle[تعداد تراکنش انجام شده])</f>
        <v>0</v>
      </c>
      <c r="P451">
        <f>INT(((TDays[[#This Row],[ماه]]-1)*31+TDays[[#This Row],[روز]]+1)/7)+1</f>
        <v>13</v>
      </c>
      <c r="Q451">
        <f>SUMIF(TArticle[تاریخ],TDays[[#This Row],[تاریخ]],TArticle[تراکنش برنامه ریزی شده])</f>
        <v>0</v>
      </c>
    </row>
    <row r="452" spans="1:17" x14ac:dyDescent="0.25">
      <c r="A452" s="3" t="s">
        <v>640</v>
      </c>
      <c r="B452" t="str">
        <f>RIGHT(TDays[[#This Row],[تاریخ]],2)</f>
        <v>24</v>
      </c>
      <c r="C452" t="str">
        <f>RIGHT(LEFT(TDays[[#This Row],[تاریخ]],7),2)</f>
        <v>03</v>
      </c>
      <c r="D452" t="str">
        <f>LEFT(TDays[[#This Row],[تاریخ]],4)</f>
        <v>1402</v>
      </c>
      <c r="E452" t="str">
        <f>LEFT(TDays[[#This Row],[تاریخ]],7)</f>
        <v>1402-03</v>
      </c>
      <c r="F452">
        <v>4</v>
      </c>
      <c r="G452" s="15" t="str">
        <f>VLOOKUP(TDays[[#This Row],[کد روز هفته]],TDaysOfTheWeek[],2,FALSE)</f>
        <v>چهارشنبه</v>
      </c>
      <c r="H452" s="15">
        <f>IFERROR(IF(E451&lt;&gt;E452,1,INT(H451)+IF(TDays[[#This Row],[کد روز هفته]]=0,1,0)),1)</f>
        <v>4</v>
      </c>
      <c r="I452">
        <f>-SUMIF(TArticle[تاریخ],TDays[[#This Row],[تاریخ]],TArticle[هزینه])</f>
        <v>0</v>
      </c>
      <c r="J452">
        <f>SUMIF(TArticle[تاریخ],TDays[[#This Row],[تاریخ]],TArticle[درآمد تتا])</f>
        <v>0</v>
      </c>
      <c r="K452">
        <f>SUMIF(TArticle[تاریخ],TDays[[#This Row],[تاریخ]],TArticle[اسنپ])</f>
        <v>0</v>
      </c>
      <c r="L452">
        <f>-SUMIF(TArticle[تاریخ],TDays[[#This Row],[تاریخ]],TArticle[پرداخت بدهی])</f>
        <v>0</v>
      </c>
      <c r="M452">
        <f>SUMIF(TArticle[تاریخ],TDays[[#This Row],[تاریخ]],TArticle[افزایش بدهی])</f>
        <v>0</v>
      </c>
      <c r="N452">
        <f>-SUMIF(TArticle[تاریخ],TDays[[#This Row],[تاریخ]],TArticle[افزایش سرمایه])</f>
        <v>0</v>
      </c>
      <c r="O452">
        <f>SUMIF(TArticle[تاریخ],TDays[[#This Row],[تاریخ]],TArticle[تعداد تراکنش انجام شده])</f>
        <v>0</v>
      </c>
      <c r="P452">
        <f>INT(((TDays[[#This Row],[ماه]]-1)*31+TDays[[#This Row],[روز]]+1)/7)+1</f>
        <v>13</v>
      </c>
      <c r="Q452">
        <f>SUMIF(TArticle[تاریخ],TDays[[#This Row],[تاریخ]],TArticle[تراکنش برنامه ریزی شده])</f>
        <v>0</v>
      </c>
    </row>
    <row r="453" spans="1:17" x14ac:dyDescent="0.25">
      <c r="A453" s="3" t="s">
        <v>641</v>
      </c>
      <c r="B453" t="str">
        <f>RIGHT(TDays[[#This Row],[تاریخ]],2)</f>
        <v>25</v>
      </c>
      <c r="C453" t="str">
        <f>RIGHT(LEFT(TDays[[#This Row],[تاریخ]],7),2)</f>
        <v>03</v>
      </c>
      <c r="D453" t="str">
        <f>LEFT(TDays[[#This Row],[تاریخ]],4)</f>
        <v>1402</v>
      </c>
      <c r="E453" t="str">
        <f>LEFT(TDays[[#This Row],[تاریخ]],7)</f>
        <v>1402-03</v>
      </c>
      <c r="F453">
        <v>5</v>
      </c>
      <c r="G453" s="15" t="str">
        <f>VLOOKUP(TDays[[#This Row],[کد روز هفته]],TDaysOfTheWeek[],2,FALSE)</f>
        <v>پنجشنبه</v>
      </c>
      <c r="H453" s="15">
        <f>IFERROR(IF(E452&lt;&gt;E453,1,INT(H452)+IF(TDays[[#This Row],[کد روز هفته]]=0,1,0)),1)</f>
        <v>4</v>
      </c>
      <c r="I453">
        <f>-SUMIF(TArticle[تاریخ],TDays[[#This Row],[تاریخ]],TArticle[هزینه])</f>
        <v>0</v>
      </c>
      <c r="J453">
        <f>SUMIF(TArticle[تاریخ],TDays[[#This Row],[تاریخ]],TArticle[درآمد تتا])</f>
        <v>0</v>
      </c>
      <c r="K453">
        <f>SUMIF(TArticle[تاریخ],TDays[[#This Row],[تاریخ]],TArticle[اسنپ])</f>
        <v>0</v>
      </c>
      <c r="L453">
        <f>-SUMIF(TArticle[تاریخ],TDays[[#This Row],[تاریخ]],TArticle[پرداخت بدهی])</f>
        <v>0</v>
      </c>
      <c r="M453">
        <f>SUMIF(TArticle[تاریخ],TDays[[#This Row],[تاریخ]],TArticle[افزایش بدهی])</f>
        <v>0</v>
      </c>
      <c r="N453">
        <f>-SUMIF(TArticle[تاریخ],TDays[[#This Row],[تاریخ]],TArticle[افزایش سرمایه])</f>
        <v>0</v>
      </c>
      <c r="O453">
        <f>SUMIF(TArticle[تاریخ],TDays[[#This Row],[تاریخ]],TArticle[تعداد تراکنش انجام شده])</f>
        <v>0</v>
      </c>
      <c r="P453">
        <f>INT(((TDays[[#This Row],[ماه]]-1)*31+TDays[[#This Row],[روز]]+1)/7)+1</f>
        <v>13</v>
      </c>
      <c r="Q453">
        <f>SUMIF(TArticle[تاریخ],TDays[[#This Row],[تاریخ]],TArticle[تراکنش برنامه ریزی شده])</f>
        <v>0</v>
      </c>
    </row>
    <row r="454" spans="1:17" x14ac:dyDescent="0.25">
      <c r="A454" s="3" t="s">
        <v>642</v>
      </c>
      <c r="B454" t="str">
        <f>RIGHT(TDays[[#This Row],[تاریخ]],2)</f>
        <v>26</v>
      </c>
      <c r="C454" t="str">
        <f>RIGHT(LEFT(TDays[[#This Row],[تاریخ]],7),2)</f>
        <v>03</v>
      </c>
      <c r="D454" t="str">
        <f>LEFT(TDays[[#This Row],[تاریخ]],4)</f>
        <v>1402</v>
      </c>
      <c r="E454" t="str">
        <f>LEFT(TDays[[#This Row],[تاریخ]],7)</f>
        <v>1402-03</v>
      </c>
      <c r="F454">
        <v>6</v>
      </c>
      <c r="G454" s="15" t="str">
        <f>VLOOKUP(TDays[[#This Row],[کد روز هفته]],TDaysOfTheWeek[],2,FALSE)</f>
        <v>جمعه</v>
      </c>
      <c r="H454" s="15">
        <f>IFERROR(IF(E453&lt;&gt;E454,1,INT(H453)+IF(TDays[[#This Row],[کد روز هفته]]=0,1,0)),1)</f>
        <v>4</v>
      </c>
      <c r="I454">
        <f>-SUMIF(TArticle[تاریخ],TDays[[#This Row],[تاریخ]],TArticle[هزینه])</f>
        <v>0</v>
      </c>
      <c r="J454">
        <f>SUMIF(TArticle[تاریخ],TDays[[#This Row],[تاریخ]],TArticle[درآمد تتا])</f>
        <v>0</v>
      </c>
      <c r="K454">
        <f>SUMIF(TArticle[تاریخ],TDays[[#This Row],[تاریخ]],TArticle[اسنپ])</f>
        <v>0</v>
      </c>
      <c r="L454">
        <f>-SUMIF(TArticle[تاریخ],TDays[[#This Row],[تاریخ]],TArticle[پرداخت بدهی])</f>
        <v>0</v>
      </c>
      <c r="M454">
        <f>SUMIF(TArticle[تاریخ],TDays[[#This Row],[تاریخ]],TArticle[افزایش بدهی])</f>
        <v>0</v>
      </c>
      <c r="N454">
        <f>-SUMIF(TArticle[تاریخ],TDays[[#This Row],[تاریخ]],TArticle[افزایش سرمایه])</f>
        <v>0</v>
      </c>
      <c r="O454">
        <f>SUMIF(TArticle[تاریخ],TDays[[#This Row],[تاریخ]],TArticle[تعداد تراکنش انجام شده])</f>
        <v>0</v>
      </c>
      <c r="P454">
        <f>INT(((TDays[[#This Row],[ماه]]-1)*31+TDays[[#This Row],[روز]]+1)/7)+1</f>
        <v>13</v>
      </c>
      <c r="Q454">
        <f>SUMIF(TArticle[تاریخ],TDays[[#This Row],[تاریخ]],TArticle[تراکنش برنامه ریزی شده])</f>
        <v>0</v>
      </c>
    </row>
    <row r="455" spans="1:17" x14ac:dyDescent="0.25">
      <c r="A455" s="3" t="s">
        <v>643</v>
      </c>
      <c r="B455" t="str">
        <f>RIGHT(TDays[[#This Row],[تاریخ]],2)</f>
        <v>27</v>
      </c>
      <c r="C455" t="str">
        <f>RIGHT(LEFT(TDays[[#This Row],[تاریخ]],7),2)</f>
        <v>03</v>
      </c>
      <c r="D455" t="str">
        <f>LEFT(TDays[[#This Row],[تاریخ]],4)</f>
        <v>1402</v>
      </c>
      <c r="E455" t="str">
        <f>LEFT(TDays[[#This Row],[تاریخ]],7)</f>
        <v>1402-03</v>
      </c>
      <c r="F455">
        <v>0</v>
      </c>
      <c r="G455" s="15" t="str">
        <f>VLOOKUP(TDays[[#This Row],[کد روز هفته]],TDaysOfTheWeek[],2,FALSE)</f>
        <v>شنبه</v>
      </c>
      <c r="H455" s="15">
        <f>IFERROR(IF(E454&lt;&gt;E455,1,INT(H454)+IF(TDays[[#This Row],[کد روز هفته]]=0,1,0)),1)</f>
        <v>5</v>
      </c>
      <c r="I455">
        <f>-SUMIF(TArticle[تاریخ],TDays[[#This Row],[تاریخ]],TArticle[هزینه])</f>
        <v>0</v>
      </c>
      <c r="J455">
        <f>SUMIF(TArticle[تاریخ],TDays[[#This Row],[تاریخ]],TArticle[درآمد تتا])</f>
        <v>0</v>
      </c>
      <c r="K455">
        <f>SUMIF(TArticle[تاریخ],TDays[[#This Row],[تاریخ]],TArticle[اسنپ])</f>
        <v>0</v>
      </c>
      <c r="L455">
        <f>-SUMIF(TArticle[تاریخ],TDays[[#This Row],[تاریخ]],TArticle[پرداخت بدهی])</f>
        <v>0</v>
      </c>
      <c r="M455">
        <f>SUMIF(TArticle[تاریخ],TDays[[#This Row],[تاریخ]],TArticle[افزایش بدهی])</f>
        <v>0</v>
      </c>
      <c r="N455">
        <f>-SUMIF(TArticle[تاریخ],TDays[[#This Row],[تاریخ]],TArticle[افزایش سرمایه])</f>
        <v>0</v>
      </c>
      <c r="O455">
        <f>SUMIF(TArticle[تاریخ],TDays[[#This Row],[تاریخ]],TArticle[تعداد تراکنش انجام شده])</f>
        <v>0</v>
      </c>
      <c r="P455">
        <f>INT(((TDays[[#This Row],[ماه]]-1)*31+TDays[[#This Row],[روز]]+1)/7)+1</f>
        <v>13</v>
      </c>
      <c r="Q455">
        <f>SUMIF(TArticle[تاریخ],TDays[[#This Row],[تاریخ]],TArticle[تراکنش برنامه ریزی شده])</f>
        <v>0</v>
      </c>
    </row>
    <row r="456" spans="1:17" x14ac:dyDescent="0.25">
      <c r="A456" s="3" t="s">
        <v>644</v>
      </c>
      <c r="B456" t="str">
        <f>RIGHT(TDays[[#This Row],[تاریخ]],2)</f>
        <v>28</v>
      </c>
      <c r="C456" t="str">
        <f>RIGHT(LEFT(TDays[[#This Row],[تاریخ]],7),2)</f>
        <v>03</v>
      </c>
      <c r="D456" t="str">
        <f>LEFT(TDays[[#This Row],[تاریخ]],4)</f>
        <v>1402</v>
      </c>
      <c r="E456" t="str">
        <f>LEFT(TDays[[#This Row],[تاریخ]],7)</f>
        <v>1402-03</v>
      </c>
      <c r="F456">
        <v>1</v>
      </c>
      <c r="G456" s="15" t="str">
        <f>VLOOKUP(TDays[[#This Row],[کد روز هفته]],TDaysOfTheWeek[],2,FALSE)</f>
        <v>یکشنبه</v>
      </c>
      <c r="H456" s="15">
        <f>IFERROR(IF(E455&lt;&gt;E456,1,INT(H455)+IF(TDays[[#This Row],[کد روز هفته]]=0,1,0)),1)</f>
        <v>5</v>
      </c>
      <c r="I456">
        <f>-SUMIF(TArticle[تاریخ],TDays[[#This Row],[تاریخ]],TArticle[هزینه])</f>
        <v>0</v>
      </c>
      <c r="J456">
        <f>SUMIF(TArticle[تاریخ],TDays[[#This Row],[تاریخ]],TArticle[درآمد تتا])</f>
        <v>0</v>
      </c>
      <c r="K456">
        <f>SUMIF(TArticle[تاریخ],TDays[[#This Row],[تاریخ]],TArticle[اسنپ])</f>
        <v>0</v>
      </c>
      <c r="L456">
        <f>-SUMIF(TArticle[تاریخ],TDays[[#This Row],[تاریخ]],TArticle[پرداخت بدهی])</f>
        <v>0</v>
      </c>
      <c r="M456">
        <f>SUMIF(TArticle[تاریخ],TDays[[#This Row],[تاریخ]],TArticle[افزایش بدهی])</f>
        <v>0</v>
      </c>
      <c r="N456">
        <f>-SUMIF(TArticle[تاریخ],TDays[[#This Row],[تاریخ]],TArticle[افزایش سرمایه])</f>
        <v>0</v>
      </c>
      <c r="O456">
        <f>SUMIF(TArticle[تاریخ],TDays[[#This Row],[تاریخ]],TArticle[تعداد تراکنش انجام شده])</f>
        <v>0</v>
      </c>
      <c r="P456">
        <f>INT(((TDays[[#This Row],[ماه]]-1)*31+TDays[[#This Row],[روز]]+1)/7)+1</f>
        <v>14</v>
      </c>
      <c r="Q456">
        <f>SUMIF(TArticle[تاریخ],TDays[[#This Row],[تاریخ]],TArticle[تراکنش برنامه ریزی شده])</f>
        <v>1</v>
      </c>
    </row>
    <row r="457" spans="1:17" x14ac:dyDescent="0.25">
      <c r="A457" s="3" t="s">
        <v>645</v>
      </c>
      <c r="B457" t="str">
        <f>RIGHT(TDays[[#This Row],[تاریخ]],2)</f>
        <v>29</v>
      </c>
      <c r="C457" t="str">
        <f>RIGHT(LEFT(TDays[[#This Row],[تاریخ]],7),2)</f>
        <v>03</v>
      </c>
      <c r="D457" t="str">
        <f>LEFT(TDays[[#This Row],[تاریخ]],4)</f>
        <v>1402</v>
      </c>
      <c r="E457" t="str">
        <f>LEFT(TDays[[#This Row],[تاریخ]],7)</f>
        <v>1402-03</v>
      </c>
      <c r="F457">
        <v>2</v>
      </c>
      <c r="G457" s="15" t="str">
        <f>VLOOKUP(TDays[[#This Row],[کد روز هفته]],TDaysOfTheWeek[],2,FALSE)</f>
        <v>دوشنبه</v>
      </c>
      <c r="H457" s="15">
        <f>IFERROR(IF(E456&lt;&gt;E457,1,INT(H456)+IF(TDays[[#This Row],[کد روز هفته]]=0,1,0)),1)</f>
        <v>5</v>
      </c>
      <c r="I457">
        <f>-SUMIF(TArticle[تاریخ],TDays[[#This Row],[تاریخ]],TArticle[هزینه])</f>
        <v>0</v>
      </c>
      <c r="J457">
        <f>SUMIF(TArticle[تاریخ],TDays[[#This Row],[تاریخ]],TArticle[درآمد تتا])</f>
        <v>0</v>
      </c>
      <c r="K457">
        <f>SUMIF(TArticle[تاریخ],TDays[[#This Row],[تاریخ]],TArticle[اسنپ])</f>
        <v>0</v>
      </c>
      <c r="L457">
        <f>-SUMIF(TArticle[تاریخ],TDays[[#This Row],[تاریخ]],TArticle[پرداخت بدهی])</f>
        <v>0</v>
      </c>
      <c r="M457">
        <f>SUMIF(TArticle[تاریخ],TDays[[#This Row],[تاریخ]],TArticle[افزایش بدهی])</f>
        <v>0</v>
      </c>
      <c r="N457">
        <f>-SUMIF(TArticle[تاریخ],TDays[[#This Row],[تاریخ]],TArticle[افزایش سرمایه])</f>
        <v>0</v>
      </c>
      <c r="O457">
        <f>SUMIF(TArticle[تاریخ],TDays[[#This Row],[تاریخ]],TArticle[تعداد تراکنش انجام شده])</f>
        <v>0</v>
      </c>
      <c r="P457">
        <f>INT(((TDays[[#This Row],[ماه]]-1)*31+TDays[[#This Row],[روز]]+1)/7)+1</f>
        <v>14</v>
      </c>
      <c r="Q457">
        <f>SUMIF(TArticle[تاریخ],TDays[[#This Row],[تاریخ]],TArticle[تراکنش برنامه ریزی شده])</f>
        <v>0</v>
      </c>
    </row>
    <row r="458" spans="1:17" x14ac:dyDescent="0.25">
      <c r="A458" s="3" t="s">
        <v>646</v>
      </c>
      <c r="B458" t="str">
        <f>RIGHT(TDays[[#This Row],[تاریخ]],2)</f>
        <v>30</v>
      </c>
      <c r="C458" t="str">
        <f>RIGHT(LEFT(TDays[[#This Row],[تاریخ]],7),2)</f>
        <v>03</v>
      </c>
      <c r="D458" t="str">
        <f>LEFT(TDays[[#This Row],[تاریخ]],4)</f>
        <v>1402</v>
      </c>
      <c r="E458" t="str">
        <f>LEFT(TDays[[#This Row],[تاریخ]],7)</f>
        <v>1402-03</v>
      </c>
      <c r="F458">
        <v>3</v>
      </c>
      <c r="G458" s="15" t="str">
        <f>VLOOKUP(TDays[[#This Row],[کد روز هفته]],TDaysOfTheWeek[],2,FALSE)</f>
        <v>سه شنبه</v>
      </c>
      <c r="H458" s="15">
        <f>IFERROR(IF(E457&lt;&gt;E458,1,INT(H457)+IF(TDays[[#This Row],[کد روز هفته]]=0,1,0)),1)</f>
        <v>5</v>
      </c>
      <c r="I458">
        <f>-SUMIF(TArticle[تاریخ],TDays[[#This Row],[تاریخ]],TArticle[هزینه])</f>
        <v>0</v>
      </c>
      <c r="J458">
        <f>SUMIF(TArticle[تاریخ],TDays[[#This Row],[تاریخ]],TArticle[درآمد تتا])</f>
        <v>0</v>
      </c>
      <c r="K458">
        <f>SUMIF(TArticle[تاریخ],TDays[[#This Row],[تاریخ]],TArticle[اسنپ])</f>
        <v>0</v>
      </c>
      <c r="L458">
        <f>-SUMIF(TArticle[تاریخ],TDays[[#This Row],[تاریخ]],TArticle[پرداخت بدهی])</f>
        <v>0</v>
      </c>
      <c r="M458">
        <f>SUMIF(TArticle[تاریخ],TDays[[#This Row],[تاریخ]],TArticle[افزایش بدهی])</f>
        <v>0</v>
      </c>
      <c r="N458">
        <f>-SUMIF(TArticle[تاریخ],TDays[[#This Row],[تاریخ]],TArticle[افزایش سرمایه])</f>
        <v>0</v>
      </c>
      <c r="O458">
        <f>SUMIF(TArticle[تاریخ],TDays[[#This Row],[تاریخ]],TArticle[تعداد تراکنش انجام شده])</f>
        <v>0</v>
      </c>
      <c r="P458">
        <f>INT(((TDays[[#This Row],[ماه]]-1)*31+TDays[[#This Row],[روز]]+1)/7)+1</f>
        <v>14</v>
      </c>
      <c r="Q458">
        <f>SUMIF(TArticle[تاریخ],TDays[[#This Row],[تاریخ]],TArticle[تراکنش برنامه ریزی شده])</f>
        <v>0</v>
      </c>
    </row>
    <row r="459" spans="1:17" x14ac:dyDescent="0.25">
      <c r="A459" s="3" t="s">
        <v>647</v>
      </c>
      <c r="B459" t="str">
        <f>RIGHT(TDays[[#This Row],[تاریخ]],2)</f>
        <v>31</v>
      </c>
      <c r="C459" t="str">
        <f>RIGHT(LEFT(TDays[[#This Row],[تاریخ]],7),2)</f>
        <v>03</v>
      </c>
      <c r="D459" t="str">
        <f>LEFT(TDays[[#This Row],[تاریخ]],4)</f>
        <v>1402</v>
      </c>
      <c r="E459" t="str">
        <f>LEFT(TDays[[#This Row],[تاریخ]],7)</f>
        <v>1402-03</v>
      </c>
      <c r="F459">
        <v>4</v>
      </c>
      <c r="G459" s="15" t="str">
        <f>VLOOKUP(TDays[[#This Row],[کد روز هفته]],TDaysOfTheWeek[],2,FALSE)</f>
        <v>چهارشنبه</v>
      </c>
      <c r="H459" s="15">
        <f>IFERROR(IF(E458&lt;&gt;E459,1,INT(H458)+IF(TDays[[#This Row],[کد روز هفته]]=0,1,0)),1)</f>
        <v>5</v>
      </c>
      <c r="I459">
        <f>-SUMIF(TArticle[تاریخ],TDays[[#This Row],[تاریخ]],TArticle[هزینه])</f>
        <v>0</v>
      </c>
      <c r="J459">
        <f>SUMIF(TArticle[تاریخ],TDays[[#This Row],[تاریخ]],TArticle[درآمد تتا])</f>
        <v>0</v>
      </c>
      <c r="K459">
        <f>SUMIF(TArticle[تاریخ],TDays[[#This Row],[تاریخ]],TArticle[اسنپ])</f>
        <v>0</v>
      </c>
      <c r="L459">
        <f>-SUMIF(TArticle[تاریخ],TDays[[#This Row],[تاریخ]],TArticle[پرداخت بدهی])</f>
        <v>0</v>
      </c>
      <c r="M459">
        <f>SUMIF(TArticle[تاریخ],TDays[[#This Row],[تاریخ]],TArticle[افزایش بدهی])</f>
        <v>0</v>
      </c>
      <c r="N459">
        <f>-SUMIF(TArticle[تاریخ],TDays[[#This Row],[تاریخ]],TArticle[افزایش سرمایه])</f>
        <v>0</v>
      </c>
      <c r="O459">
        <f>SUMIF(TArticle[تاریخ],TDays[[#This Row],[تاریخ]],TArticle[تعداد تراکنش انجام شده])</f>
        <v>0</v>
      </c>
      <c r="P459">
        <f>INT(((TDays[[#This Row],[ماه]]-1)*31+TDays[[#This Row],[روز]]+1)/7)+1</f>
        <v>14</v>
      </c>
      <c r="Q459">
        <f>SUMIF(TArticle[تاریخ],TDays[[#This Row],[تاریخ]],TArticle[تراکنش برنامه ریزی شده])</f>
        <v>0</v>
      </c>
    </row>
    <row r="460" spans="1:17" x14ac:dyDescent="0.25">
      <c r="A460" s="3" t="s">
        <v>648</v>
      </c>
      <c r="B460" t="str">
        <f>RIGHT(TDays[[#This Row],[تاریخ]],2)</f>
        <v>01</v>
      </c>
      <c r="C460" t="str">
        <f>RIGHT(LEFT(TDays[[#This Row],[تاریخ]],7),2)</f>
        <v>04</v>
      </c>
      <c r="D460" t="str">
        <f>LEFT(TDays[[#This Row],[تاریخ]],4)</f>
        <v>1402</v>
      </c>
      <c r="E460" t="str">
        <f>LEFT(TDays[[#This Row],[تاریخ]],7)</f>
        <v>1402-04</v>
      </c>
      <c r="F460">
        <v>5</v>
      </c>
      <c r="G460" s="15" t="str">
        <f>VLOOKUP(TDays[[#This Row],[کد روز هفته]],TDaysOfTheWeek[],2,FALSE)</f>
        <v>پنجشنبه</v>
      </c>
      <c r="H460" s="15">
        <f>IFERROR(IF(E459&lt;&gt;E460,1,INT(H459)+IF(TDays[[#This Row],[کد روز هفته]]=0,1,0)),1)</f>
        <v>1</v>
      </c>
      <c r="I460">
        <f>-SUMIF(TArticle[تاریخ],TDays[[#This Row],[تاریخ]],TArticle[هزینه])</f>
        <v>0</v>
      </c>
      <c r="J460">
        <f>SUMIF(TArticle[تاریخ],TDays[[#This Row],[تاریخ]],TArticle[درآمد تتا])</f>
        <v>0</v>
      </c>
      <c r="K460">
        <f>SUMIF(TArticle[تاریخ],TDays[[#This Row],[تاریخ]],TArticle[اسنپ])</f>
        <v>0</v>
      </c>
      <c r="L460">
        <f>-SUMIF(TArticle[تاریخ],TDays[[#This Row],[تاریخ]],TArticle[پرداخت بدهی])</f>
        <v>0</v>
      </c>
      <c r="M460">
        <f>SUMIF(TArticle[تاریخ],TDays[[#This Row],[تاریخ]],TArticle[افزایش بدهی])</f>
        <v>0</v>
      </c>
      <c r="N460">
        <f>-SUMIF(TArticle[تاریخ],TDays[[#This Row],[تاریخ]],TArticle[افزایش سرمایه])</f>
        <v>0</v>
      </c>
      <c r="O460">
        <f>SUMIF(TArticle[تاریخ],TDays[[#This Row],[تاریخ]],TArticle[تعداد تراکنش انجام شده])</f>
        <v>0</v>
      </c>
      <c r="P460">
        <f>INT(((TDays[[#This Row],[ماه]]-1)*31+TDays[[#This Row],[روز]]+1)/7)+1</f>
        <v>14</v>
      </c>
      <c r="Q460">
        <f>SUMIF(TArticle[تاریخ],TDays[[#This Row],[تاریخ]],TArticle[تراکنش برنامه ریزی شده])</f>
        <v>2</v>
      </c>
    </row>
    <row r="461" spans="1:17" x14ac:dyDescent="0.25">
      <c r="A461" s="3" t="s">
        <v>649</v>
      </c>
      <c r="B461" t="str">
        <f>RIGHT(TDays[[#This Row],[تاریخ]],2)</f>
        <v>02</v>
      </c>
      <c r="C461" t="str">
        <f>RIGHT(LEFT(TDays[[#This Row],[تاریخ]],7),2)</f>
        <v>04</v>
      </c>
      <c r="D461" t="str">
        <f>LEFT(TDays[[#This Row],[تاریخ]],4)</f>
        <v>1402</v>
      </c>
      <c r="E461" t="str">
        <f>LEFT(TDays[[#This Row],[تاریخ]],7)</f>
        <v>1402-04</v>
      </c>
      <c r="F461">
        <v>6</v>
      </c>
      <c r="G461" s="15" t="str">
        <f>VLOOKUP(TDays[[#This Row],[کد روز هفته]],TDaysOfTheWeek[],2,FALSE)</f>
        <v>جمعه</v>
      </c>
      <c r="H461" s="15">
        <f>IFERROR(IF(E460&lt;&gt;E461,1,INT(H460)+IF(TDays[[#This Row],[کد روز هفته]]=0,1,0)),1)</f>
        <v>1</v>
      </c>
      <c r="I461">
        <f>-SUMIF(TArticle[تاریخ],TDays[[#This Row],[تاریخ]],TArticle[هزینه])</f>
        <v>0</v>
      </c>
      <c r="J461">
        <f>SUMIF(TArticle[تاریخ],TDays[[#This Row],[تاریخ]],TArticle[درآمد تتا])</f>
        <v>0</v>
      </c>
      <c r="K461">
        <f>SUMIF(TArticle[تاریخ],TDays[[#This Row],[تاریخ]],TArticle[اسنپ])</f>
        <v>0</v>
      </c>
      <c r="L461">
        <f>-SUMIF(TArticle[تاریخ],TDays[[#This Row],[تاریخ]],TArticle[پرداخت بدهی])</f>
        <v>0</v>
      </c>
      <c r="M461">
        <f>SUMIF(TArticle[تاریخ],TDays[[#This Row],[تاریخ]],TArticle[افزایش بدهی])</f>
        <v>0</v>
      </c>
      <c r="N461">
        <f>-SUMIF(TArticle[تاریخ],TDays[[#This Row],[تاریخ]],TArticle[افزایش سرمایه])</f>
        <v>0</v>
      </c>
      <c r="O461">
        <f>SUMIF(TArticle[تاریخ],TDays[[#This Row],[تاریخ]],TArticle[تعداد تراکنش انجام شده])</f>
        <v>0</v>
      </c>
      <c r="P461">
        <f>INT(((TDays[[#This Row],[ماه]]-1)*31+TDays[[#This Row],[روز]]+1)/7)+1</f>
        <v>14</v>
      </c>
      <c r="Q461">
        <f>SUMIF(TArticle[تاریخ],TDays[[#This Row],[تاریخ]],TArticle[تراکنش برنامه ریزی شده])</f>
        <v>0</v>
      </c>
    </row>
    <row r="462" spans="1:17" x14ac:dyDescent="0.25">
      <c r="A462" s="3" t="s">
        <v>650</v>
      </c>
      <c r="B462" t="str">
        <f>RIGHT(TDays[[#This Row],[تاریخ]],2)</f>
        <v>03</v>
      </c>
      <c r="C462" t="str">
        <f>RIGHT(LEFT(TDays[[#This Row],[تاریخ]],7),2)</f>
        <v>04</v>
      </c>
      <c r="D462" t="str">
        <f>LEFT(TDays[[#This Row],[تاریخ]],4)</f>
        <v>1402</v>
      </c>
      <c r="E462" t="str">
        <f>LEFT(TDays[[#This Row],[تاریخ]],7)</f>
        <v>1402-04</v>
      </c>
      <c r="F462">
        <v>0</v>
      </c>
      <c r="G462" s="15" t="str">
        <f>VLOOKUP(TDays[[#This Row],[کد روز هفته]],TDaysOfTheWeek[],2,FALSE)</f>
        <v>شنبه</v>
      </c>
      <c r="H462" s="15">
        <f>IFERROR(IF(E461&lt;&gt;E462,1,INT(H461)+IF(TDays[[#This Row],[کد روز هفته]]=0,1,0)),1)</f>
        <v>2</v>
      </c>
      <c r="I462">
        <f>-SUMIF(TArticle[تاریخ],TDays[[#This Row],[تاریخ]],TArticle[هزینه])</f>
        <v>0</v>
      </c>
      <c r="J462">
        <f>SUMIF(TArticle[تاریخ],TDays[[#This Row],[تاریخ]],TArticle[درآمد تتا])</f>
        <v>0</v>
      </c>
      <c r="K462">
        <f>SUMIF(TArticle[تاریخ],TDays[[#This Row],[تاریخ]],TArticle[اسنپ])</f>
        <v>0</v>
      </c>
      <c r="L462">
        <f>-SUMIF(TArticle[تاریخ],TDays[[#This Row],[تاریخ]],TArticle[پرداخت بدهی])</f>
        <v>0</v>
      </c>
      <c r="M462">
        <f>SUMIF(TArticle[تاریخ],TDays[[#This Row],[تاریخ]],TArticle[افزایش بدهی])</f>
        <v>0</v>
      </c>
      <c r="N462">
        <f>-SUMIF(TArticle[تاریخ],TDays[[#This Row],[تاریخ]],TArticle[افزایش سرمایه])</f>
        <v>0</v>
      </c>
      <c r="O462">
        <f>SUMIF(TArticle[تاریخ],TDays[[#This Row],[تاریخ]],TArticle[تعداد تراکنش انجام شده])</f>
        <v>0</v>
      </c>
      <c r="P462">
        <f>INT(((TDays[[#This Row],[ماه]]-1)*31+TDays[[#This Row],[روز]]+1)/7)+1</f>
        <v>14</v>
      </c>
      <c r="Q462">
        <f>SUMIF(TArticle[تاریخ],TDays[[#This Row],[تاریخ]],TArticle[تراکنش برنامه ریزی شده])</f>
        <v>2</v>
      </c>
    </row>
    <row r="463" spans="1:17" x14ac:dyDescent="0.25">
      <c r="A463" s="3" t="s">
        <v>651</v>
      </c>
      <c r="B463" t="str">
        <f>RIGHT(TDays[[#This Row],[تاریخ]],2)</f>
        <v>04</v>
      </c>
      <c r="C463" t="str">
        <f>RIGHT(LEFT(TDays[[#This Row],[تاریخ]],7),2)</f>
        <v>04</v>
      </c>
      <c r="D463" t="str">
        <f>LEFT(TDays[[#This Row],[تاریخ]],4)</f>
        <v>1402</v>
      </c>
      <c r="E463" t="str">
        <f>LEFT(TDays[[#This Row],[تاریخ]],7)</f>
        <v>1402-04</v>
      </c>
      <c r="F463">
        <v>1</v>
      </c>
      <c r="G463" s="15" t="str">
        <f>VLOOKUP(TDays[[#This Row],[کد روز هفته]],TDaysOfTheWeek[],2,FALSE)</f>
        <v>یکشنبه</v>
      </c>
      <c r="H463" s="15">
        <f>IFERROR(IF(E462&lt;&gt;E463,1,INT(H462)+IF(TDays[[#This Row],[کد روز هفته]]=0,1,0)),1)</f>
        <v>2</v>
      </c>
      <c r="I463">
        <f>-SUMIF(TArticle[تاریخ],TDays[[#This Row],[تاریخ]],TArticle[هزینه])</f>
        <v>0</v>
      </c>
      <c r="J463">
        <f>SUMIF(TArticle[تاریخ],TDays[[#This Row],[تاریخ]],TArticle[درآمد تتا])</f>
        <v>0</v>
      </c>
      <c r="K463">
        <f>SUMIF(TArticle[تاریخ],TDays[[#This Row],[تاریخ]],TArticle[اسنپ])</f>
        <v>0</v>
      </c>
      <c r="L463">
        <f>-SUMIF(TArticle[تاریخ],TDays[[#This Row],[تاریخ]],TArticle[پرداخت بدهی])</f>
        <v>0</v>
      </c>
      <c r="M463">
        <f>SUMIF(TArticle[تاریخ],TDays[[#This Row],[تاریخ]],TArticle[افزایش بدهی])</f>
        <v>0</v>
      </c>
      <c r="N463">
        <f>-SUMIF(TArticle[تاریخ],TDays[[#This Row],[تاریخ]],TArticle[افزایش سرمایه])</f>
        <v>0</v>
      </c>
      <c r="O463">
        <f>SUMIF(TArticle[تاریخ],TDays[[#This Row],[تاریخ]],TArticle[تعداد تراکنش انجام شده])</f>
        <v>0</v>
      </c>
      <c r="P463">
        <f>INT(((TDays[[#This Row],[ماه]]-1)*31+TDays[[#This Row],[روز]]+1)/7)+1</f>
        <v>15</v>
      </c>
      <c r="Q463">
        <f>SUMIF(TArticle[تاریخ],TDays[[#This Row],[تاریخ]],TArticle[تراکنش برنامه ریزی شده])</f>
        <v>1</v>
      </c>
    </row>
    <row r="464" spans="1:17" x14ac:dyDescent="0.25">
      <c r="A464" s="3" t="s">
        <v>652</v>
      </c>
      <c r="B464" t="str">
        <f>RIGHT(TDays[[#This Row],[تاریخ]],2)</f>
        <v>05</v>
      </c>
      <c r="C464" t="str">
        <f>RIGHT(LEFT(TDays[[#This Row],[تاریخ]],7),2)</f>
        <v>04</v>
      </c>
      <c r="D464" t="str">
        <f>LEFT(TDays[[#This Row],[تاریخ]],4)</f>
        <v>1402</v>
      </c>
      <c r="E464" t="str">
        <f>LEFT(TDays[[#This Row],[تاریخ]],7)</f>
        <v>1402-04</v>
      </c>
      <c r="F464">
        <v>2</v>
      </c>
      <c r="G464" s="15" t="str">
        <f>VLOOKUP(TDays[[#This Row],[کد روز هفته]],TDaysOfTheWeek[],2,FALSE)</f>
        <v>دوشنبه</v>
      </c>
      <c r="H464" s="15">
        <f>IFERROR(IF(E463&lt;&gt;E464,1,INT(H463)+IF(TDays[[#This Row],[کد روز هفته]]=0,1,0)),1)</f>
        <v>2</v>
      </c>
      <c r="I464">
        <f>-SUMIF(TArticle[تاریخ],TDays[[#This Row],[تاریخ]],TArticle[هزینه])</f>
        <v>0</v>
      </c>
      <c r="J464">
        <f>SUMIF(TArticle[تاریخ],TDays[[#This Row],[تاریخ]],TArticle[درآمد تتا])</f>
        <v>0</v>
      </c>
      <c r="K464">
        <f>SUMIF(TArticle[تاریخ],TDays[[#This Row],[تاریخ]],TArticle[اسنپ])</f>
        <v>0</v>
      </c>
      <c r="L464">
        <f>-SUMIF(TArticle[تاریخ],TDays[[#This Row],[تاریخ]],TArticle[پرداخت بدهی])</f>
        <v>0</v>
      </c>
      <c r="M464">
        <f>SUMIF(TArticle[تاریخ],TDays[[#This Row],[تاریخ]],TArticle[افزایش بدهی])</f>
        <v>0</v>
      </c>
      <c r="N464">
        <f>-SUMIF(TArticle[تاریخ],TDays[[#This Row],[تاریخ]],TArticle[افزایش سرمایه])</f>
        <v>0</v>
      </c>
      <c r="O464">
        <f>SUMIF(TArticle[تاریخ],TDays[[#This Row],[تاریخ]],TArticle[تعداد تراکنش انجام شده])</f>
        <v>0</v>
      </c>
      <c r="P464">
        <f>INT(((TDays[[#This Row],[ماه]]-1)*31+TDays[[#This Row],[روز]]+1)/7)+1</f>
        <v>15</v>
      </c>
      <c r="Q464">
        <f>SUMIF(TArticle[تاریخ],TDays[[#This Row],[تاریخ]],TArticle[تراکنش برنامه ریزی شده])</f>
        <v>1</v>
      </c>
    </row>
    <row r="465" spans="1:17" x14ac:dyDescent="0.25">
      <c r="A465" s="3" t="s">
        <v>653</v>
      </c>
      <c r="B465" t="str">
        <f>RIGHT(TDays[[#This Row],[تاریخ]],2)</f>
        <v>06</v>
      </c>
      <c r="C465" t="str">
        <f>RIGHT(LEFT(TDays[[#This Row],[تاریخ]],7),2)</f>
        <v>04</v>
      </c>
      <c r="D465" t="str">
        <f>LEFT(TDays[[#This Row],[تاریخ]],4)</f>
        <v>1402</v>
      </c>
      <c r="E465" t="str">
        <f>LEFT(TDays[[#This Row],[تاریخ]],7)</f>
        <v>1402-04</v>
      </c>
      <c r="F465">
        <v>3</v>
      </c>
      <c r="G465" s="15" t="str">
        <f>VLOOKUP(TDays[[#This Row],[کد روز هفته]],TDaysOfTheWeek[],2,FALSE)</f>
        <v>سه شنبه</v>
      </c>
      <c r="H465" s="15">
        <f>IFERROR(IF(E464&lt;&gt;E465,1,INT(H464)+IF(TDays[[#This Row],[کد روز هفته]]=0,1,0)),1)</f>
        <v>2</v>
      </c>
      <c r="I465">
        <f>-SUMIF(TArticle[تاریخ],TDays[[#This Row],[تاریخ]],TArticle[هزینه])</f>
        <v>0</v>
      </c>
      <c r="J465">
        <f>SUMIF(TArticle[تاریخ],TDays[[#This Row],[تاریخ]],TArticle[درآمد تتا])</f>
        <v>0</v>
      </c>
      <c r="K465">
        <f>SUMIF(TArticle[تاریخ],TDays[[#This Row],[تاریخ]],TArticle[اسنپ])</f>
        <v>0</v>
      </c>
      <c r="L465">
        <f>-SUMIF(TArticle[تاریخ],TDays[[#This Row],[تاریخ]],TArticle[پرداخت بدهی])</f>
        <v>0</v>
      </c>
      <c r="M465">
        <f>SUMIF(TArticle[تاریخ],TDays[[#This Row],[تاریخ]],TArticle[افزایش بدهی])</f>
        <v>0</v>
      </c>
      <c r="N465">
        <f>-SUMIF(TArticle[تاریخ],TDays[[#This Row],[تاریخ]],TArticle[افزایش سرمایه])</f>
        <v>0</v>
      </c>
      <c r="O465">
        <f>SUMIF(TArticle[تاریخ],TDays[[#This Row],[تاریخ]],TArticle[تعداد تراکنش انجام شده])</f>
        <v>0</v>
      </c>
      <c r="P465">
        <f>INT(((TDays[[#This Row],[ماه]]-1)*31+TDays[[#This Row],[روز]]+1)/7)+1</f>
        <v>15</v>
      </c>
      <c r="Q465">
        <f>SUMIF(TArticle[تاریخ],TDays[[#This Row],[تاریخ]],TArticle[تراکنش برنامه ریزی شده])</f>
        <v>0</v>
      </c>
    </row>
    <row r="466" spans="1:17" x14ac:dyDescent="0.25">
      <c r="A466" s="3" t="s">
        <v>654</v>
      </c>
      <c r="B466" t="str">
        <f>RIGHT(TDays[[#This Row],[تاریخ]],2)</f>
        <v>07</v>
      </c>
      <c r="C466" t="str">
        <f>RIGHT(LEFT(TDays[[#This Row],[تاریخ]],7),2)</f>
        <v>04</v>
      </c>
      <c r="D466" t="str">
        <f>LEFT(TDays[[#This Row],[تاریخ]],4)</f>
        <v>1402</v>
      </c>
      <c r="E466" t="str">
        <f>LEFT(TDays[[#This Row],[تاریخ]],7)</f>
        <v>1402-04</v>
      </c>
      <c r="F466">
        <v>4</v>
      </c>
      <c r="G466" s="15" t="str">
        <f>VLOOKUP(TDays[[#This Row],[کد روز هفته]],TDaysOfTheWeek[],2,FALSE)</f>
        <v>چهارشنبه</v>
      </c>
      <c r="H466" s="15">
        <f>IFERROR(IF(E465&lt;&gt;E466,1,INT(H465)+IF(TDays[[#This Row],[کد روز هفته]]=0,1,0)),1)</f>
        <v>2</v>
      </c>
      <c r="I466">
        <f>-SUMIF(TArticle[تاریخ],TDays[[#This Row],[تاریخ]],TArticle[هزینه])</f>
        <v>0</v>
      </c>
      <c r="J466">
        <f>SUMIF(TArticle[تاریخ],TDays[[#This Row],[تاریخ]],TArticle[درآمد تتا])</f>
        <v>0</v>
      </c>
      <c r="K466">
        <f>SUMIF(TArticle[تاریخ],TDays[[#This Row],[تاریخ]],TArticle[اسنپ])</f>
        <v>0</v>
      </c>
      <c r="L466">
        <f>-SUMIF(TArticle[تاریخ],TDays[[#This Row],[تاریخ]],TArticle[پرداخت بدهی])</f>
        <v>0</v>
      </c>
      <c r="M466">
        <f>SUMIF(TArticle[تاریخ],TDays[[#This Row],[تاریخ]],TArticle[افزایش بدهی])</f>
        <v>0</v>
      </c>
      <c r="N466">
        <f>-SUMIF(TArticle[تاریخ],TDays[[#This Row],[تاریخ]],TArticle[افزایش سرمایه])</f>
        <v>0</v>
      </c>
      <c r="O466">
        <f>SUMIF(TArticle[تاریخ],TDays[[#This Row],[تاریخ]],TArticle[تعداد تراکنش انجام شده])</f>
        <v>0</v>
      </c>
      <c r="P466">
        <f>INT(((TDays[[#This Row],[ماه]]-1)*31+TDays[[#This Row],[روز]]+1)/7)+1</f>
        <v>15</v>
      </c>
      <c r="Q466">
        <f>SUMIF(TArticle[تاریخ],TDays[[#This Row],[تاریخ]],TArticle[تراکنش برنامه ریزی شده])</f>
        <v>0</v>
      </c>
    </row>
    <row r="467" spans="1:17" x14ac:dyDescent="0.25">
      <c r="A467" s="3" t="s">
        <v>655</v>
      </c>
      <c r="B467" t="str">
        <f>RIGHT(TDays[[#This Row],[تاریخ]],2)</f>
        <v>08</v>
      </c>
      <c r="C467" t="str">
        <f>RIGHT(LEFT(TDays[[#This Row],[تاریخ]],7),2)</f>
        <v>04</v>
      </c>
      <c r="D467" t="str">
        <f>LEFT(TDays[[#This Row],[تاریخ]],4)</f>
        <v>1402</v>
      </c>
      <c r="E467" t="str">
        <f>LEFT(TDays[[#This Row],[تاریخ]],7)</f>
        <v>1402-04</v>
      </c>
      <c r="F467">
        <v>5</v>
      </c>
      <c r="G467" s="15" t="str">
        <f>VLOOKUP(TDays[[#This Row],[کد روز هفته]],TDaysOfTheWeek[],2,FALSE)</f>
        <v>پنجشنبه</v>
      </c>
      <c r="H467" s="15">
        <f>IFERROR(IF(E466&lt;&gt;E467,1,INT(H466)+IF(TDays[[#This Row],[کد روز هفته]]=0,1,0)),1)</f>
        <v>2</v>
      </c>
      <c r="I467">
        <f>-SUMIF(TArticle[تاریخ],TDays[[#This Row],[تاریخ]],TArticle[هزینه])</f>
        <v>0</v>
      </c>
      <c r="J467">
        <f>SUMIF(TArticle[تاریخ],TDays[[#This Row],[تاریخ]],TArticle[درآمد تتا])</f>
        <v>0</v>
      </c>
      <c r="K467">
        <f>SUMIF(TArticle[تاریخ],TDays[[#This Row],[تاریخ]],TArticle[اسنپ])</f>
        <v>0</v>
      </c>
      <c r="L467">
        <f>-SUMIF(TArticle[تاریخ],TDays[[#This Row],[تاریخ]],TArticle[پرداخت بدهی])</f>
        <v>0</v>
      </c>
      <c r="M467">
        <f>SUMIF(TArticle[تاریخ],TDays[[#This Row],[تاریخ]],TArticle[افزایش بدهی])</f>
        <v>0</v>
      </c>
      <c r="N467">
        <f>-SUMIF(TArticle[تاریخ],TDays[[#This Row],[تاریخ]],TArticle[افزایش سرمایه])</f>
        <v>0</v>
      </c>
      <c r="O467">
        <f>SUMIF(TArticle[تاریخ],TDays[[#This Row],[تاریخ]],TArticle[تعداد تراکنش انجام شده])</f>
        <v>0</v>
      </c>
      <c r="P467">
        <f>INT(((TDays[[#This Row],[ماه]]-1)*31+TDays[[#This Row],[روز]]+1)/7)+1</f>
        <v>15</v>
      </c>
      <c r="Q467">
        <f>SUMIF(TArticle[تاریخ],TDays[[#This Row],[تاریخ]],TArticle[تراکنش برنامه ریزی شده])</f>
        <v>0</v>
      </c>
    </row>
    <row r="468" spans="1:17" x14ac:dyDescent="0.25">
      <c r="A468" s="3" t="s">
        <v>656</v>
      </c>
      <c r="B468" t="str">
        <f>RIGHT(TDays[[#This Row],[تاریخ]],2)</f>
        <v>09</v>
      </c>
      <c r="C468" t="str">
        <f>RIGHT(LEFT(TDays[[#This Row],[تاریخ]],7),2)</f>
        <v>04</v>
      </c>
      <c r="D468" t="str">
        <f>LEFT(TDays[[#This Row],[تاریخ]],4)</f>
        <v>1402</v>
      </c>
      <c r="E468" t="str">
        <f>LEFT(TDays[[#This Row],[تاریخ]],7)</f>
        <v>1402-04</v>
      </c>
      <c r="F468">
        <v>6</v>
      </c>
      <c r="G468" s="15" t="str">
        <f>VLOOKUP(TDays[[#This Row],[کد روز هفته]],TDaysOfTheWeek[],2,FALSE)</f>
        <v>جمعه</v>
      </c>
      <c r="H468" s="15">
        <f>IFERROR(IF(E467&lt;&gt;E468,1,INT(H467)+IF(TDays[[#This Row],[کد روز هفته]]=0,1,0)),1)</f>
        <v>2</v>
      </c>
      <c r="I468">
        <f>-SUMIF(TArticle[تاریخ],TDays[[#This Row],[تاریخ]],TArticle[هزینه])</f>
        <v>0</v>
      </c>
      <c r="J468">
        <f>SUMIF(TArticle[تاریخ],TDays[[#This Row],[تاریخ]],TArticle[درآمد تتا])</f>
        <v>0</v>
      </c>
      <c r="K468">
        <f>SUMIF(TArticle[تاریخ],TDays[[#This Row],[تاریخ]],TArticle[اسنپ])</f>
        <v>0</v>
      </c>
      <c r="L468">
        <f>-SUMIF(TArticle[تاریخ],TDays[[#This Row],[تاریخ]],TArticle[پرداخت بدهی])</f>
        <v>0</v>
      </c>
      <c r="M468">
        <f>SUMIF(TArticle[تاریخ],TDays[[#This Row],[تاریخ]],TArticle[افزایش بدهی])</f>
        <v>0</v>
      </c>
      <c r="N468">
        <f>-SUMIF(TArticle[تاریخ],TDays[[#This Row],[تاریخ]],TArticle[افزایش سرمایه])</f>
        <v>0</v>
      </c>
      <c r="O468">
        <f>SUMIF(TArticle[تاریخ],TDays[[#This Row],[تاریخ]],TArticle[تعداد تراکنش انجام شده])</f>
        <v>0</v>
      </c>
      <c r="P468">
        <f>INT(((TDays[[#This Row],[ماه]]-1)*31+TDays[[#This Row],[روز]]+1)/7)+1</f>
        <v>15</v>
      </c>
      <c r="Q468">
        <f>SUMIF(TArticle[تاریخ],TDays[[#This Row],[تاریخ]],TArticle[تراکنش برنامه ریزی شده])</f>
        <v>1</v>
      </c>
    </row>
    <row r="469" spans="1:17" x14ac:dyDescent="0.25">
      <c r="A469" s="3" t="s">
        <v>657</v>
      </c>
      <c r="B469" t="str">
        <f>RIGHT(TDays[[#This Row],[تاریخ]],2)</f>
        <v>10</v>
      </c>
      <c r="C469" t="str">
        <f>RIGHT(LEFT(TDays[[#This Row],[تاریخ]],7),2)</f>
        <v>04</v>
      </c>
      <c r="D469" t="str">
        <f>LEFT(TDays[[#This Row],[تاریخ]],4)</f>
        <v>1402</v>
      </c>
      <c r="E469" t="str">
        <f>LEFT(TDays[[#This Row],[تاریخ]],7)</f>
        <v>1402-04</v>
      </c>
      <c r="F469">
        <v>0</v>
      </c>
      <c r="G469" s="15" t="str">
        <f>VLOOKUP(TDays[[#This Row],[کد روز هفته]],TDaysOfTheWeek[],2,FALSE)</f>
        <v>شنبه</v>
      </c>
      <c r="H469" s="15">
        <f>IFERROR(IF(E468&lt;&gt;E469,1,INT(H468)+IF(TDays[[#This Row],[کد روز هفته]]=0,1,0)),1)</f>
        <v>3</v>
      </c>
      <c r="I469">
        <f>-SUMIF(TArticle[تاریخ],TDays[[#This Row],[تاریخ]],TArticle[هزینه])</f>
        <v>0</v>
      </c>
      <c r="J469">
        <f>SUMIF(TArticle[تاریخ],TDays[[#This Row],[تاریخ]],TArticle[درآمد تتا])</f>
        <v>0</v>
      </c>
      <c r="K469">
        <f>SUMIF(TArticle[تاریخ],TDays[[#This Row],[تاریخ]],TArticle[اسنپ])</f>
        <v>0</v>
      </c>
      <c r="L469">
        <f>-SUMIF(TArticle[تاریخ],TDays[[#This Row],[تاریخ]],TArticle[پرداخت بدهی])</f>
        <v>0</v>
      </c>
      <c r="M469">
        <f>SUMIF(TArticle[تاریخ],TDays[[#This Row],[تاریخ]],TArticle[افزایش بدهی])</f>
        <v>0</v>
      </c>
      <c r="N469">
        <f>-SUMIF(TArticle[تاریخ],TDays[[#This Row],[تاریخ]],TArticle[افزایش سرمایه])</f>
        <v>0</v>
      </c>
      <c r="O469">
        <f>SUMIF(TArticle[تاریخ],TDays[[#This Row],[تاریخ]],TArticle[تعداد تراکنش انجام شده])</f>
        <v>0</v>
      </c>
      <c r="P469">
        <f>INT(((TDays[[#This Row],[ماه]]-1)*31+TDays[[#This Row],[روز]]+1)/7)+1</f>
        <v>15</v>
      </c>
      <c r="Q469">
        <f>SUMIF(TArticle[تاریخ],TDays[[#This Row],[تاریخ]],TArticle[تراکنش برنامه ریزی شده])</f>
        <v>0</v>
      </c>
    </row>
    <row r="470" spans="1:17" x14ac:dyDescent="0.25">
      <c r="A470" s="3" t="s">
        <v>658</v>
      </c>
      <c r="B470" t="str">
        <f>RIGHT(TDays[[#This Row],[تاریخ]],2)</f>
        <v>11</v>
      </c>
      <c r="C470" t="str">
        <f>RIGHT(LEFT(TDays[[#This Row],[تاریخ]],7),2)</f>
        <v>04</v>
      </c>
      <c r="D470" t="str">
        <f>LEFT(TDays[[#This Row],[تاریخ]],4)</f>
        <v>1402</v>
      </c>
      <c r="E470" t="str">
        <f>LEFT(TDays[[#This Row],[تاریخ]],7)</f>
        <v>1402-04</v>
      </c>
      <c r="F470">
        <v>1</v>
      </c>
      <c r="G470" s="15" t="str">
        <f>VLOOKUP(TDays[[#This Row],[کد روز هفته]],TDaysOfTheWeek[],2,FALSE)</f>
        <v>یکشنبه</v>
      </c>
      <c r="H470" s="15">
        <f>IFERROR(IF(E469&lt;&gt;E470,1,INT(H469)+IF(TDays[[#This Row],[کد روز هفته]]=0,1,0)),1)</f>
        <v>3</v>
      </c>
      <c r="I470">
        <f>-SUMIF(TArticle[تاریخ],TDays[[#This Row],[تاریخ]],TArticle[هزینه])</f>
        <v>0</v>
      </c>
      <c r="J470">
        <f>SUMIF(TArticle[تاریخ],TDays[[#This Row],[تاریخ]],TArticle[درآمد تتا])</f>
        <v>0</v>
      </c>
      <c r="K470">
        <f>SUMIF(TArticle[تاریخ],TDays[[#This Row],[تاریخ]],TArticle[اسنپ])</f>
        <v>0</v>
      </c>
      <c r="L470">
        <f>-SUMIF(TArticle[تاریخ],TDays[[#This Row],[تاریخ]],TArticle[پرداخت بدهی])</f>
        <v>0</v>
      </c>
      <c r="M470">
        <f>SUMIF(TArticle[تاریخ],TDays[[#This Row],[تاریخ]],TArticle[افزایش بدهی])</f>
        <v>0</v>
      </c>
      <c r="N470">
        <f>-SUMIF(TArticle[تاریخ],TDays[[#This Row],[تاریخ]],TArticle[افزایش سرمایه])</f>
        <v>0</v>
      </c>
      <c r="O470">
        <f>SUMIF(TArticle[تاریخ],TDays[[#This Row],[تاریخ]],TArticle[تعداد تراکنش انجام شده])</f>
        <v>0</v>
      </c>
      <c r="P470">
        <f>INT(((TDays[[#This Row],[ماه]]-1)*31+TDays[[#This Row],[روز]]+1)/7)+1</f>
        <v>16</v>
      </c>
      <c r="Q470">
        <f>SUMIF(TArticle[تاریخ],TDays[[#This Row],[تاریخ]],TArticle[تراکنش برنامه ریزی شده])</f>
        <v>0</v>
      </c>
    </row>
    <row r="471" spans="1:17" x14ac:dyDescent="0.25">
      <c r="A471" s="3" t="s">
        <v>659</v>
      </c>
      <c r="B471" t="str">
        <f>RIGHT(TDays[[#This Row],[تاریخ]],2)</f>
        <v>12</v>
      </c>
      <c r="C471" t="str">
        <f>RIGHT(LEFT(TDays[[#This Row],[تاریخ]],7),2)</f>
        <v>04</v>
      </c>
      <c r="D471" t="str">
        <f>LEFT(TDays[[#This Row],[تاریخ]],4)</f>
        <v>1402</v>
      </c>
      <c r="E471" t="str">
        <f>LEFT(TDays[[#This Row],[تاریخ]],7)</f>
        <v>1402-04</v>
      </c>
      <c r="F471">
        <v>2</v>
      </c>
      <c r="G471" s="15" t="str">
        <f>VLOOKUP(TDays[[#This Row],[کد روز هفته]],TDaysOfTheWeek[],2,FALSE)</f>
        <v>دوشنبه</v>
      </c>
      <c r="H471" s="15">
        <f>IFERROR(IF(E470&lt;&gt;E471,1,INT(H470)+IF(TDays[[#This Row],[کد روز هفته]]=0,1,0)),1)</f>
        <v>3</v>
      </c>
      <c r="I471">
        <f>-SUMIF(TArticle[تاریخ],TDays[[#This Row],[تاریخ]],TArticle[هزینه])</f>
        <v>0</v>
      </c>
      <c r="J471">
        <f>SUMIF(TArticle[تاریخ],TDays[[#This Row],[تاریخ]],TArticle[درآمد تتا])</f>
        <v>0</v>
      </c>
      <c r="K471">
        <f>SUMIF(TArticle[تاریخ],TDays[[#This Row],[تاریخ]],TArticle[اسنپ])</f>
        <v>0</v>
      </c>
      <c r="L471">
        <f>-SUMIF(TArticle[تاریخ],TDays[[#This Row],[تاریخ]],TArticle[پرداخت بدهی])</f>
        <v>0</v>
      </c>
      <c r="M471">
        <f>SUMIF(TArticle[تاریخ],TDays[[#This Row],[تاریخ]],TArticle[افزایش بدهی])</f>
        <v>0</v>
      </c>
      <c r="N471">
        <f>-SUMIF(TArticle[تاریخ],TDays[[#This Row],[تاریخ]],TArticle[افزایش سرمایه])</f>
        <v>0</v>
      </c>
      <c r="O471">
        <f>SUMIF(TArticle[تاریخ],TDays[[#This Row],[تاریخ]],TArticle[تعداد تراکنش انجام شده])</f>
        <v>0</v>
      </c>
      <c r="P471">
        <f>INT(((TDays[[#This Row],[ماه]]-1)*31+TDays[[#This Row],[روز]]+1)/7)+1</f>
        <v>16</v>
      </c>
      <c r="Q471">
        <f>SUMIF(TArticle[تاریخ],TDays[[#This Row],[تاریخ]],TArticle[تراکنش برنامه ریزی شده])</f>
        <v>0</v>
      </c>
    </row>
    <row r="472" spans="1:17" x14ac:dyDescent="0.25">
      <c r="A472" s="3" t="s">
        <v>660</v>
      </c>
      <c r="B472" t="str">
        <f>RIGHT(TDays[[#This Row],[تاریخ]],2)</f>
        <v>13</v>
      </c>
      <c r="C472" t="str">
        <f>RIGHT(LEFT(TDays[[#This Row],[تاریخ]],7),2)</f>
        <v>04</v>
      </c>
      <c r="D472" t="str">
        <f>LEFT(TDays[[#This Row],[تاریخ]],4)</f>
        <v>1402</v>
      </c>
      <c r="E472" t="str">
        <f>LEFT(TDays[[#This Row],[تاریخ]],7)</f>
        <v>1402-04</v>
      </c>
      <c r="F472">
        <v>3</v>
      </c>
      <c r="G472" s="15" t="str">
        <f>VLOOKUP(TDays[[#This Row],[کد روز هفته]],TDaysOfTheWeek[],2,FALSE)</f>
        <v>سه شنبه</v>
      </c>
      <c r="H472" s="15">
        <f>IFERROR(IF(E471&lt;&gt;E472,1,INT(H471)+IF(TDays[[#This Row],[کد روز هفته]]=0,1,0)),1)</f>
        <v>3</v>
      </c>
      <c r="I472">
        <f>-SUMIF(TArticle[تاریخ],TDays[[#This Row],[تاریخ]],TArticle[هزینه])</f>
        <v>0</v>
      </c>
      <c r="J472">
        <f>SUMIF(TArticle[تاریخ],TDays[[#This Row],[تاریخ]],TArticle[درآمد تتا])</f>
        <v>0</v>
      </c>
      <c r="K472">
        <f>SUMIF(TArticle[تاریخ],TDays[[#This Row],[تاریخ]],TArticle[اسنپ])</f>
        <v>0</v>
      </c>
      <c r="L472">
        <f>-SUMIF(TArticle[تاریخ],TDays[[#This Row],[تاریخ]],TArticle[پرداخت بدهی])</f>
        <v>0</v>
      </c>
      <c r="M472">
        <f>SUMIF(TArticle[تاریخ],TDays[[#This Row],[تاریخ]],TArticle[افزایش بدهی])</f>
        <v>0</v>
      </c>
      <c r="N472">
        <f>-SUMIF(TArticle[تاریخ],TDays[[#This Row],[تاریخ]],TArticle[افزایش سرمایه])</f>
        <v>0</v>
      </c>
      <c r="O472">
        <f>SUMIF(TArticle[تاریخ],TDays[[#This Row],[تاریخ]],TArticle[تعداد تراکنش انجام شده])</f>
        <v>0</v>
      </c>
      <c r="P472">
        <f>INT(((TDays[[#This Row],[ماه]]-1)*31+TDays[[#This Row],[روز]]+1)/7)+1</f>
        <v>16</v>
      </c>
      <c r="Q472">
        <f>SUMIF(TArticle[تاریخ],TDays[[#This Row],[تاریخ]],TArticle[تراکنش برنامه ریزی شده])</f>
        <v>0</v>
      </c>
    </row>
    <row r="473" spans="1:17" x14ac:dyDescent="0.25">
      <c r="A473" s="3" t="s">
        <v>73</v>
      </c>
      <c r="B473" t="str">
        <f>RIGHT(TDays[[#This Row],[تاریخ]],2)</f>
        <v>14</v>
      </c>
      <c r="C473" t="str">
        <f>RIGHT(LEFT(TDays[[#This Row],[تاریخ]],7),2)</f>
        <v>04</v>
      </c>
      <c r="D473" t="str">
        <f>LEFT(TDays[[#This Row],[تاریخ]],4)</f>
        <v>1402</v>
      </c>
      <c r="E473" t="str">
        <f>LEFT(TDays[[#This Row],[تاریخ]],7)</f>
        <v>1402-04</v>
      </c>
      <c r="F473">
        <v>4</v>
      </c>
      <c r="G473" s="15" t="str">
        <f>VLOOKUP(TDays[[#This Row],[کد روز هفته]],TDaysOfTheWeek[],2,FALSE)</f>
        <v>چهارشنبه</v>
      </c>
      <c r="H473" s="15">
        <f>IFERROR(IF(E472&lt;&gt;E473,1,INT(H472)+IF(TDays[[#This Row],[کد روز هفته]]=0,1,0)),1)</f>
        <v>3</v>
      </c>
      <c r="I473">
        <f>-SUMIF(TArticle[تاریخ],TDays[[#This Row],[تاریخ]],TArticle[هزینه])</f>
        <v>0</v>
      </c>
      <c r="J473">
        <f>SUMIF(TArticle[تاریخ],TDays[[#This Row],[تاریخ]],TArticle[درآمد تتا])</f>
        <v>0</v>
      </c>
      <c r="K473">
        <f>SUMIF(TArticle[تاریخ],TDays[[#This Row],[تاریخ]],TArticle[اسنپ])</f>
        <v>0</v>
      </c>
      <c r="L473">
        <f>-SUMIF(TArticle[تاریخ],TDays[[#This Row],[تاریخ]],TArticle[پرداخت بدهی])</f>
        <v>0</v>
      </c>
      <c r="M473">
        <f>SUMIF(TArticle[تاریخ],TDays[[#This Row],[تاریخ]],TArticle[افزایش بدهی])</f>
        <v>0</v>
      </c>
      <c r="N473">
        <f>-SUMIF(TArticle[تاریخ],TDays[[#This Row],[تاریخ]],TArticle[افزایش سرمایه])</f>
        <v>0</v>
      </c>
      <c r="O473">
        <f>SUMIF(TArticle[تاریخ],TDays[[#This Row],[تاریخ]],TArticle[تعداد تراکنش انجام شده])</f>
        <v>0</v>
      </c>
      <c r="P473">
        <f>INT(((TDays[[#This Row],[ماه]]-1)*31+TDays[[#This Row],[روز]]+1)/7)+1</f>
        <v>16</v>
      </c>
      <c r="Q473">
        <f>SUMIF(TArticle[تاریخ],TDays[[#This Row],[تاریخ]],TArticle[تراکنش برنامه ریزی شده])</f>
        <v>1</v>
      </c>
    </row>
    <row r="474" spans="1:17" x14ac:dyDescent="0.25">
      <c r="A474" s="3" t="s">
        <v>661</v>
      </c>
      <c r="B474" t="str">
        <f>RIGHT(TDays[[#This Row],[تاریخ]],2)</f>
        <v>15</v>
      </c>
      <c r="C474" t="str">
        <f>RIGHT(LEFT(TDays[[#This Row],[تاریخ]],7),2)</f>
        <v>04</v>
      </c>
      <c r="D474" t="str">
        <f>LEFT(TDays[[#This Row],[تاریخ]],4)</f>
        <v>1402</v>
      </c>
      <c r="E474" t="str">
        <f>LEFT(TDays[[#This Row],[تاریخ]],7)</f>
        <v>1402-04</v>
      </c>
      <c r="F474">
        <v>5</v>
      </c>
      <c r="G474" s="15" t="str">
        <f>VLOOKUP(TDays[[#This Row],[کد روز هفته]],TDaysOfTheWeek[],2,FALSE)</f>
        <v>پنجشنبه</v>
      </c>
      <c r="H474" s="15">
        <f>IFERROR(IF(E473&lt;&gt;E474,1,INT(H473)+IF(TDays[[#This Row],[کد روز هفته]]=0,1,0)),1)</f>
        <v>3</v>
      </c>
      <c r="I474">
        <f>-SUMIF(TArticle[تاریخ],TDays[[#This Row],[تاریخ]],TArticle[هزینه])</f>
        <v>0</v>
      </c>
      <c r="J474">
        <f>SUMIF(TArticle[تاریخ],TDays[[#This Row],[تاریخ]],TArticle[درآمد تتا])</f>
        <v>0</v>
      </c>
      <c r="K474">
        <f>SUMIF(TArticle[تاریخ],TDays[[#This Row],[تاریخ]],TArticle[اسنپ])</f>
        <v>0</v>
      </c>
      <c r="L474">
        <f>-SUMIF(TArticle[تاریخ],TDays[[#This Row],[تاریخ]],TArticle[پرداخت بدهی])</f>
        <v>0</v>
      </c>
      <c r="M474">
        <f>SUMIF(TArticle[تاریخ],TDays[[#This Row],[تاریخ]],TArticle[افزایش بدهی])</f>
        <v>0</v>
      </c>
      <c r="N474">
        <f>-SUMIF(TArticle[تاریخ],TDays[[#This Row],[تاریخ]],TArticle[افزایش سرمایه])</f>
        <v>0</v>
      </c>
      <c r="O474">
        <f>SUMIF(TArticle[تاریخ],TDays[[#This Row],[تاریخ]],TArticle[تعداد تراکنش انجام شده])</f>
        <v>0</v>
      </c>
      <c r="P474">
        <f>INT(((TDays[[#This Row],[ماه]]-1)*31+TDays[[#This Row],[روز]]+1)/7)+1</f>
        <v>16</v>
      </c>
      <c r="Q474">
        <f>SUMIF(TArticle[تاریخ],TDays[[#This Row],[تاریخ]],TArticle[تراکنش برنامه ریزی شده])</f>
        <v>0</v>
      </c>
    </row>
    <row r="475" spans="1:17" x14ac:dyDescent="0.25">
      <c r="A475" s="3" t="s">
        <v>662</v>
      </c>
      <c r="B475" t="str">
        <f>RIGHT(TDays[[#This Row],[تاریخ]],2)</f>
        <v>16</v>
      </c>
      <c r="C475" t="str">
        <f>RIGHT(LEFT(TDays[[#This Row],[تاریخ]],7),2)</f>
        <v>04</v>
      </c>
      <c r="D475" t="str">
        <f>LEFT(TDays[[#This Row],[تاریخ]],4)</f>
        <v>1402</v>
      </c>
      <c r="E475" t="str">
        <f>LEFT(TDays[[#This Row],[تاریخ]],7)</f>
        <v>1402-04</v>
      </c>
      <c r="F475">
        <v>6</v>
      </c>
      <c r="G475" s="15" t="str">
        <f>VLOOKUP(TDays[[#This Row],[کد روز هفته]],TDaysOfTheWeek[],2,FALSE)</f>
        <v>جمعه</v>
      </c>
      <c r="H475" s="15">
        <f>IFERROR(IF(E474&lt;&gt;E475,1,INT(H474)+IF(TDays[[#This Row],[کد روز هفته]]=0,1,0)),1)</f>
        <v>3</v>
      </c>
      <c r="I475">
        <f>-SUMIF(TArticle[تاریخ],TDays[[#This Row],[تاریخ]],TArticle[هزینه])</f>
        <v>0</v>
      </c>
      <c r="J475">
        <f>SUMIF(TArticle[تاریخ],TDays[[#This Row],[تاریخ]],TArticle[درآمد تتا])</f>
        <v>0</v>
      </c>
      <c r="K475">
        <f>SUMIF(TArticle[تاریخ],TDays[[#This Row],[تاریخ]],TArticle[اسنپ])</f>
        <v>0</v>
      </c>
      <c r="L475">
        <f>-SUMIF(TArticle[تاریخ],TDays[[#This Row],[تاریخ]],TArticle[پرداخت بدهی])</f>
        <v>0</v>
      </c>
      <c r="M475">
        <f>SUMIF(TArticle[تاریخ],TDays[[#This Row],[تاریخ]],TArticle[افزایش بدهی])</f>
        <v>0</v>
      </c>
      <c r="N475">
        <f>-SUMIF(TArticle[تاریخ],TDays[[#This Row],[تاریخ]],TArticle[افزایش سرمایه])</f>
        <v>0</v>
      </c>
      <c r="O475">
        <f>SUMIF(TArticle[تاریخ],TDays[[#This Row],[تاریخ]],TArticle[تعداد تراکنش انجام شده])</f>
        <v>0</v>
      </c>
      <c r="P475">
        <f>INT(((TDays[[#This Row],[ماه]]-1)*31+TDays[[#This Row],[روز]]+1)/7)+1</f>
        <v>16</v>
      </c>
      <c r="Q475">
        <f>SUMIF(TArticle[تاریخ],TDays[[#This Row],[تاریخ]],TArticle[تراکنش برنامه ریزی شده])</f>
        <v>0</v>
      </c>
    </row>
    <row r="476" spans="1:17" x14ac:dyDescent="0.25">
      <c r="A476" s="3" t="s">
        <v>663</v>
      </c>
      <c r="B476" t="str">
        <f>RIGHT(TDays[[#This Row],[تاریخ]],2)</f>
        <v>17</v>
      </c>
      <c r="C476" t="str">
        <f>RIGHT(LEFT(TDays[[#This Row],[تاریخ]],7),2)</f>
        <v>04</v>
      </c>
      <c r="D476" t="str">
        <f>LEFT(TDays[[#This Row],[تاریخ]],4)</f>
        <v>1402</v>
      </c>
      <c r="E476" t="str">
        <f>LEFT(TDays[[#This Row],[تاریخ]],7)</f>
        <v>1402-04</v>
      </c>
      <c r="F476">
        <v>0</v>
      </c>
      <c r="G476" s="15" t="str">
        <f>VLOOKUP(TDays[[#This Row],[کد روز هفته]],TDaysOfTheWeek[],2,FALSE)</f>
        <v>شنبه</v>
      </c>
      <c r="H476" s="15">
        <f>IFERROR(IF(E475&lt;&gt;E476,1,INT(H475)+IF(TDays[[#This Row],[کد روز هفته]]=0,1,0)),1)</f>
        <v>4</v>
      </c>
      <c r="I476">
        <f>-SUMIF(TArticle[تاریخ],TDays[[#This Row],[تاریخ]],TArticle[هزینه])</f>
        <v>0</v>
      </c>
      <c r="J476">
        <f>SUMIF(TArticle[تاریخ],TDays[[#This Row],[تاریخ]],TArticle[درآمد تتا])</f>
        <v>0</v>
      </c>
      <c r="K476">
        <f>SUMIF(TArticle[تاریخ],TDays[[#This Row],[تاریخ]],TArticle[اسنپ])</f>
        <v>0</v>
      </c>
      <c r="L476">
        <f>-SUMIF(TArticle[تاریخ],TDays[[#This Row],[تاریخ]],TArticle[پرداخت بدهی])</f>
        <v>0</v>
      </c>
      <c r="M476">
        <f>SUMIF(TArticle[تاریخ],TDays[[#This Row],[تاریخ]],TArticle[افزایش بدهی])</f>
        <v>0</v>
      </c>
      <c r="N476">
        <f>-SUMIF(TArticle[تاریخ],TDays[[#This Row],[تاریخ]],TArticle[افزایش سرمایه])</f>
        <v>0</v>
      </c>
      <c r="O476">
        <f>SUMIF(TArticle[تاریخ],TDays[[#This Row],[تاریخ]],TArticle[تعداد تراکنش انجام شده])</f>
        <v>0</v>
      </c>
      <c r="P476">
        <f>INT(((TDays[[#This Row],[ماه]]-1)*31+TDays[[#This Row],[روز]]+1)/7)+1</f>
        <v>16</v>
      </c>
      <c r="Q476">
        <f>SUMIF(TArticle[تاریخ],TDays[[#This Row],[تاریخ]],TArticle[تراکنش برنامه ریزی شده])</f>
        <v>1</v>
      </c>
    </row>
    <row r="477" spans="1:17" x14ac:dyDescent="0.25">
      <c r="A477" s="3" t="s">
        <v>664</v>
      </c>
      <c r="B477" t="str">
        <f>RIGHT(TDays[[#This Row],[تاریخ]],2)</f>
        <v>18</v>
      </c>
      <c r="C477" t="str">
        <f>RIGHT(LEFT(TDays[[#This Row],[تاریخ]],7),2)</f>
        <v>04</v>
      </c>
      <c r="D477" t="str">
        <f>LEFT(TDays[[#This Row],[تاریخ]],4)</f>
        <v>1402</v>
      </c>
      <c r="E477" t="str">
        <f>LEFT(TDays[[#This Row],[تاریخ]],7)</f>
        <v>1402-04</v>
      </c>
      <c r="F477">
        <v>1</v>
      </c>
      <c r="G477" s="15" t="str">
        <f>VLOOKUP(TDays[[#This Row],[کد روز هفته]],TDaysOfTheWeek[],2,FALSE)</f>
        <v>یکشنبه</v>
      </c>
      <c r="H477" s="15">
        <f>IFERROR(IF(E476&lt;&gt;E477,1,INT(H476)+IF(TDays[[#This Row],[کد روز هفته]]=0,1,0)),1)</f>
        <v>4</v>
      </c>
      <c r="I477">
        <f>-SUMIF(TArticle[تاریخ],TDays[[#This Row],[تاریخ]],TArticle[هزینه])</f>
        <v>0</v>
      </c>
      <c r="J477">
        <f>SUMIF(TArticle[تاریخ],TDays[[#This Row],[تاریخ]],TArticle[درآمد تتا])</f>
        <v>0</v>
      </c>
      <c r="K477">
        <f>SUMIF(TArticle[تاریخ],TDays[[#This Row],[تاریخ]],TArticle[اسنپ])</f>
        <v>0</v>
      </c>
      <c r="L477">
        <f>-SUMIF(TArticle[تاریخ],TDays[[#This Row],[تاریخ]],TArticle[پرداخت بدهی])</f>
        <v>0</v>
      </c>
      <c r="M477">
        <f>SUMIF(TArticle[تاریخ],TDays[[#This Row],[تاریخ]],TArticle[افزایش بدهی])</f>
        <v>0</v>
      </c>
      <c r="N477">
        <f>-SUMIF(TArticle[تاریخ],TDays[[#This Row],[تاریخ]],TArticle[افزایش سرمایه])</f>
        <v>0</v>
      </c>
      <c r="O477">
        <f>SUMIF(TArticle[تاریخ],TDays[[#This Row],[تاریخ]],TArticle[تعداد تراکنش انجام شده])</f>
        <v>0</v>
      </c>
      <c r="P477">
        <f>INT(((TDays[[#This Row],[ماه]]-1)*31+TDays[[#This Row],[روز]]+1)/7)+1</f>
        <v>17</v>
      </c>
      <c r="Q477">
        <f>SUMIF(TArticle[تاریخ],TDays[[#This Row],[تاریخ]],TArticle[تراکنش برنامه ریزی شده])</f>
        <v>0</v>
      </c>
    </row>
    <row r="478" spans="1:17" x14ac:dyDescent="0.25">
      <c r="A478" s="3" t="s">
        <v>665</v>
      </c>
      <c r="B478" t="str">
        <f>RIGHT(TDays[[#This Row],[تاریخ]],2)</f>
        <v>19</v>
      </c>
      <c r="C478" t="str">
        <f>RIGHT(LEFT(TDays[[#This Row],[تاریخ]],7),2)</f>
        <v>04</v>
      </c>
      <c r="D478" t="str">
        <f>LEFT(TDays[[#This Row],[تاریخ]],4)</f>
        <v>1402</v>
      </c>
      <c r="E478" t="str">
        <f>LEFT(TDays[[#This Row],[تاریخ]],7)</f>
        <v>1402-04</v>
      </c>
      <c r="F478">
        <v>2</v>
      </c>
      <c r="G478" s="15" t="str">
        <f>VLOOKUP(TDays[[#This Row],[کد روز هفته]],TDaysOfTheWeek[],2,FALSE)</f>
        <v>دوشنبه</v>
      </c>
      <c r="H478" s="15">
        <f>IFERROR(IF(E477&lt;&gt;E478,1,INT(H477)+IF(TDays[[#This Row],[کد روز هفته]]=0,1,0)),1)</f>
        <v>4</v>
      </c>
      <c r="I478">
        <f>-SUMIF(TArticle[تاریخ],TDays[[#This Row],[تاریخ]],TArticle[هزینه])</f>
        <v>0</v>
      </c>
      <c r="J478">
        <f>SUMIF(TArticle[تاریخ],TDays[[#This Row],[تاریخ]],TArticle[درآمد تتا])</f>
        <v>0</v>
      </c>
      <c r="K478">
        <f>SUMIF(TArticle[تاریخ],TDays[[#This Row],[تاریخ]],TArticle[اسنپ])</f>
        <v>0</v>
      </c>
      <c r="L478">
        <f>-SUMIF(TArticle[تاریخ],TDays[[#This Row],[تاریخ]],TArticle[پرداخت بدهی])</f>
        <v>0</v>
      </c>
      <c r="M478">
        <f>SUMIF(TArticle[تاریخ],TDays[[#This Row],[تاریخ]],TArticle[افزایش بدهی])</f>
        <v>0</v>
      </c>
      <c r="N478">
        <f>-SUMIF(TArticle[تاریخ],TDays[[#This Row],[تاریخ]],TArticle[افزایش سرمایه])</f>
        <v>0</v>
      </c>
      <c r="O478">
        <f>SUMIF(TArticle[تاریخ],TDays[[#This Row],[تاریخ]],TArticle[تعداد تراکنش انجام شده])</f>
        <v>0</v>
      </c>
      <c r="P478">
        <f>INT(((TDays[[#This Row],[ماه]]-1)*31+TDays[[#This Row],[روز]]+1)/7)+1</f>
        <v>17</v>
      </c>
      <c r="Q478">
        <f>SUMIF(TArticle[تاریخ],TDays[[#This Row],[تاریخ]],TArticle[تراکنش برنامه ریزی شده])</f>
        <v>0</v>
      </c>
    </row>
    <row r="479" spans="1:17" x14ac:dyDescent="0.25">
      <c r="A479" s="3" t="s">
        <v>666</v>
      </c>
      <c r="B479" t="str">
        <f>RIGHT(TDays[[#This Row],[تاریخ]],2)</f>
        <v>20</v>
      </c>
      <c r="C479" t="str">
        <f>RIGHT(LEFT(TDays[[#This Row],[تاریخ]],7),2)</f>
        <v>04</v>
      </c>
      <c r="D479" t="str">
        <f>LEFT(TDays[[#This Row],[تاریخ]],4)</f>
        <v>1402</v>
      </c>
      <c r="E479" t="str">
        <f>LEFT(TDays[[#This Row],[تاریخ]],7)</f>
        <v>1402-04</v>
      </c>
      <c r="F479">
        <v>3</v>
      </c>
      <c r="G479" s="15" t="str">
        <f>VLOOKUP(TDays[[#This Row],[کد روز هفته]],TDaysOfTheWeek[],2,FALSE)</f>
        <v>سه شنبه</v>
      </c>
      <c r="H479" s="15">
        <f>IFERROR(IF(E478&lt;&gt;E479,1,INT(H478)+IF(TDays[[#This Row],[کد روز هفته]]=0,1,0)),1)</f>
        <v>4</v>
      </c>
      <c r="I479">
        <f>-SUMIF(TArticle[تاریخ],TDays[[#This Row],[تاریخ]],TArticle[هزینه])</f>
        <v>0</v>
      </c>
      <c r="J479">
        <f>SUMIF(TArticle[تاریخ],TDays[[#This Row],[تاریخ]],TArticle[درآمد تتا])</f>
        <v>0</v>
      </c>
      <c r="K479">
        <f>SUMIF(TArticle[تاریخ],TDays[[#This Row],[تاریخ]],TArticle[اسنپ])</f>
        <v>0</v>
      </c>
      <c r="L479">
        <f>-SUMIF(TArticle[تاریخ],TDays[[#This Row],[تاریخ]],TArticle[پرداخت بدهی])</f>
        <v>0</v>
      </c>
      <c r="M479">
        <f>SUMIF(TArticle[تاریخ],TDays[[#This Row],[تاریخ]],TArticle[افزایش بدهی])</f>
        <v>0</v>
      </c>
      <c r="N479">
        <f>-SUMIF(TArticle[تاریخ],TDays[[#This Row],[تاریخ]],TArticle[افزایش سرمایه])</f>
        <v>0</v>
      </c>
      <c r="O479">
        <f>SUMIF(TArticle[تاریخ],TDays[[#This Row],[تاریخ]],TArticle[تعداد تراکنش انجام شده])</f>
        <v>0</v>
      </c>
      <c r="P479">
        <f>INT(((TDays[[#This Row],[ماه]]-1)*31+TDays[[#This Row],[روز]]+1)/7)+1</f>
        <v>17</v>
      </c>
      <c r="Q479">
        <f>SUMIF(TArticle[تاریخ],TDays[[#This Row],[تاریخ]],TArticle[تراکنش برنامه ریزی شده])</f>
        <v>1</v>
      </c>
    </row>
    <row r="480" spans="1:17" x14ac:dyDescent="0.25">
      <c r="A480" s="3" t="s">
        <v>667</v>
      </c>
      <c r="B480" t="str">
        <f>RIGHT(TDays[[#This Row],[تاریخ]],2)</f>
        <v>21</v>
      </c>
      <c r="C480" t="str">
        <f>RIGHT(LEFT(TDays[[#This Row],[تاریخ]],7),2)</f>
        <v>04</v>
      </c>
      <c r="D480" t="str">
        <f>LEFT(TDays[[#This Row],[تاریخ]],4)</f>
        <v>1402</v>
      </c>
      <c r="E480" t="str">
        <f>LEFT(TDays[[#This Row],[تاریخ]],7)</f>
        <v>1402-04</v>
      </c>
      <c r="F480">
        <v>4</v>
      </c>
      <c r="G480" s="15" t="str">
        <f>VLOOKUP(TDays[[#This Row],[کد روز هفته]],TDaysOfTheWeek[],2,FALSE)</f>
        <v>چهارشنبه</v>
      </c>
      <c r="H480" s="15">
        <f>IFERROR(IF(E479&lt;&gt;E480,1,INT(H479)+IF(TDays[[#This Row],[کد روز هفته]]=0,1,0)),1)</f>
        <v>4</v>
      </c>
      <c r="I480">
        <f>-SUMIF(TArticle[تاریخ],TDays[[#This Row],[تاریخ]],TArticle[هزینه])</f>
        <v>0</v>
      </c>
      <c r="J480">
        <f>SUMIF(TArticle[تاریخ],TDays[[#This Row],[تاریخ]],TArticle[درآمد تتا])</f>
        <v>0</v>
      </c>
      <c r="K480">
        <f>SUMIF(TArticle[تاریخ],TDays[[#This Row],[تاریخ]],TArticle[اسنپ])</f>
        <v>0</v>
      </c>
      <c r="L480">
        <f>-SUMIF(TArticle[تاریخ],TDays[[#This Row],[تاریخ]],TArticle[پرداخت بدهی])</f>
        <v>0</v>
      </c>
      <c r="M480">
        <f>SUMIF(TArticle[تاریخ],TDays[[#This Row],[تاریخ]],TArticle[افزایش بدهی])</f>
        <v>0</v>
      </c>
      <c r="N480">
        <f>-SUMIF(TArticle[تاریخ],TDays[[#This Row],[تاریخ]],TArticle[افزایش سرمایه])</f>
        <v>0</v>
      </c>
      <c r="O480">
        <f>SUMIF(TArticle[تاریخ],TDays[[#This Row],[تاریخ]],TArticle[تعداد تراکنش انجام شده])</f>
        <v>0</v>
      </c>
      <c r="P480">
        <f>INT(((TDays[[#This Row],[ماه]]-1)*31+TDays[[#This Row],[روز]]+1)/7)+1</f>
        <v>17</v>
      </c>
      <c r="Q480">
        <f>SUMIF(TArticle[تاریخ],TDays[[#This Row],[تاریخ]],TArticle[تراکنش برنامه ریزی شده])</f>
        <v>0</v>
      </c>
    </row>
    <row r="481" spans="1:17" x14ac:dyDescent="0.25">
      <c r="A481" s="3" t="s">
        <v>668</v>
      </c>
      <c r="B481" t="str">
        <f>RIGHT(TDays[[#This Row],[تاریخ]],2)</f>
        <v>22</v>
      </c>
      <c r="C481" t="str">
        <f>RIGHT(LEFT(TDays[[#This Row],[تاریخ]],7),2)</f>
        <v>04</v>
      </c>
      <c r="D481" t="str">
        <f>LEFT(TDays[[#This Row],[تاریخ]],4)</f>
        <v>1402</v>
      </c>
      <c r="E481" t="str">
        <f>LEFT(TDays[[#This Row],[تاریخ]],7)</f>
        <v>1402-04</v>
      </c>
      <c r="F481">
        <v>5</v>
      </c>
      <c r="G481" s="15" t="str">
        <f>VLOOKUP(TDays[[#This Row],[کد روز هفته]],TDaysOfTheWeek[],2,FALSE)</f>
        <v>پنجشنبه</v>
      </c>
      <c r="H481" s="15">
        <f>IFERROR(IF(E480&lt;&gt;E481,1,INT(H480)+IF(TDays[[#This Row],[کد روز هفته]]=0,1,0)),1)</f>
        <v>4</v>
      </c>
      <c r="I481">
        <f>-SUMIF(TArticle[تاریخ],TDays[[#This Row],[تاریخ]],TArticle[هزینه])</f>
        <v>0</v>
      </c>
      <c r="J481">
        <f>SUMIF(TArticle[تاریخ],TDays[[#This Row],[تاریخ]],TArticle[درآمد تتا])</f>
        <v>0</v>
      </c>
      <c r="K481">
        <f>SUMIF(TArticle[تاریخ],TDays[[#This Row],[تاریخ]],TArticle[اسنپ])</f>
        <v>0</v>
      </c>
      <c r="L481">
        <f>-SUMIF(TArticle[تاریخ],TDays[[#This Row],[تاریخ]],TArticle[پرداخت بدهی])</f>
        <v>0</v>
      </c>
      <c r="M481">
        <f>SUMIF(TArticle[تاریخ],TDays[[#This Row],[تاریخ]],TArticle[افزایش بدهی])</f>
        <v>0</v>
      </c>
      <c r="N481">
        <f>-SUMIF(TArticle[تاریخ],TDays[[#This Row],[تاریخ]],TArticle[افزایش سرمایه])</f>
        <v>0</v>
      </c>
      <c r="O481">
        <f>SUMIF(TArticle[تاریخ],TDays[[#This Row],[تاریخ]],TArticle[تعداد تراکنش انجام شده])</f>
        <v>0</v>
      </c>
      <c r="P481">
        <f>INT(((TDays[[#This Row],[ماه]]-1)*31+TDays[[#This Row],[روز]]+1)/7)+1</f>
        <v>17</v>
      </c>
      <c r="Q481">
        <f>SUMIF(TArticle[تاریخ],TDays[[#This Row],[تاریخ]],TArticle[تراکنش برنامه ریزی شده])</f>
        <v>0</v>
      </c>
    </row>
    <row r="482" spans="1:17" x14ac:dyDescent="0.25">
      <c r="A482" s="3" t="s">
        <v>669</v>
      </c>
      <c r="B482" t="str">
        <f>RIGHT(TDays[[#This Row],[تاریخ]],2)</f>
        <v>23</v>
      </c>
      <c r="C482" t="str">
        <f>RIGHT(LEFT(TDays[[#This Row],[تاریخ]],7),2)</f>
        <v>04</v>
      </c>
      <c r="D482" t="str">
        <f>LEFT(TDays[[#This Row],[تاریخ]],4)</f>
        <v>1402</v>
      </c>
      <c r="E482" t="str">
        <f>LEFT(TDays[[#This Row],[تاریخ]],7)</f>
        <v>1402-04</v>
      </c>
      <c r="F482">
        <v>6</v>
      </c>
      <c r="G482" s="15" t="str">
        <f>VLOOKUP(TDays[[#This Row],[کد روز هفته]],TDaysOfTheWeek[],2,FALSE)</f>
        <v>جمعه</v>
      </c>
      <c r="H482" s="15">
        <f>IFERROR(IF(E481&lt;&gt;E482,1,INT(H481)+IF(TDays[[#This Row],[کد روز هفته]]=0,1,0)),1)</f>
        <v>4</v>
      </c>
      <c r="I482">
        <f>-SUMIF(TArticle[تاریخ],TDays[[#This Row],[تاریخ]],TArticle[هزینه])</f>
        <v>0</v>
      </c>
      <c r="J482">
        <f>SUMIF(TArticle[تاریخ],TDays[[#This Row],[تاریخ]],TArticle[درآمد تتا])</f>
        <v>0</v>
      </c>
      <c r="K482">
        <f>SUMIF(TArticle[تاریخ],TDays[[#This Row],[تاریخ]],TArticle[اسنپ])</f>
        <v>0</v>
      </c>
      <c r="L482">
        <f>-SUMIF(TArticle[تاریخ],TDays[[#This Row],[تاریخ]],TArticle[پرداخت بدهی])</f>
        <v>0</v>
      </c>
      <c r="M482">
        <f>SUMIF(TArticle[تاریخ],TDays[[#This Row],[تاریخ]],TArticle[افزایش بدهی])</f>
        <v>0</v>
      </c>
      <c r="N482">
        <f>-SUMIF(TArticle[تاریخ],TDays[[#This Row],[تاریخ]],TArticle[افزایش سرمایه])</f>
        <v>0</v>
      </c>
      <c r="O482">
        <f>SUMIF(TArticle[تاریخ],TDays[[#This Row],[تاریخ]],TArticle[تعداد تراکنش انجام شده])</f>
        <v>0</v>
      </c>
      <c r="P482">
        <f>INT(((TDays[[#This Row],[ماه]]-1)*31+TDays[[#This Row],[روز]]+1)/7)+1</f>
        <v>17</v>
      </c>
      <c r="Q482">
        <f>SUMIF(TArticle[تاریخ],TDays[[#This Row],[تاریخ]],TArticle[تراکنش برنامه ریزی شده])</f>
        <v>0</v>
      </c>
    </row>
    <row r="483" spans="1:17" x14ac:dyDescent="0.25">
      <c r="A483" s="3" t="s">
        <v>670</v>
      </c>
      <c r="B483" t="str">
        <f>RIGHT(TDays[[#This Row],[تاریخ]],2)</f>
        <v>24</v>
      </c>
      <c r="C483" t="str">
        <f>RIGHT(LEFT(TDays[[#This Row],[تاریخ]],7),2)</f>
        <v>04</v>
      </c>
      <c r="D483" t="str">
        <f>LEFT(TDays[[#This Row],[تاریخ]],4)</f>
        <v>1402</v>
      </c>
      <c r="E483" t="str">
        <f>LEFT(TDays[[#This Row],[تاریخ]],7)</f>
        <v>1402-04</v>
      </c>
      <c r="F483">
        <v>0</v>
      </c>
      <c r="G483" s="15" t="str">
        <f>VLOOKUP(TDays[[#This Row],[کد روز هفته]],TDaysOfTheWeek[],2,FALSE)</f>
        <v>شنبه</v>
      </c>
      <c r="H483" s="15">
        <f>IFERROR(IF(E482&lt;&gt;E483,1,INT(H482)+IF(TDays[[#This Row],[کد روز هفته]]=0,1,0)),1)</f>
        <v>5</v>
      </c>
      <c r="I483">
        <f>-SUMIF(TArticle[تاریخ],TDays[[#This Row],[تاریخ]],TArticle[هزینه])</f>
        <v>0</v>
      </c>
      <c r="J483">
        <f>SUMIF(TArticle[تاریخ],TDays[[#This Row],[تاریخ]],TArticle[درآمد تتا])</f>
        <v>0</v>
      </c>
      <c r="K483">
        <f>SUMIF(TArticle[تاریخ],TDays[[#This Row],[تاریخ]],TArticle[اسنپ])</f>
        <v>0</v>
      </c>
      <c r="L483">
        <f>-SUMIF(TArticle[تاریخ],TDays[[#This Row],[تاریخ]],TArticle[پرداخت بدهی])</f>
        <v>0</v>
      </c>
      <c r="M483">
        <f>SUMIF(TArticle[تاریخ],TDays[[#This Row],[تاریخ]],TArticle[افزایش بدهی])</f>
        <v>0</v>
      </c>
      <c r="N483">
        <f>-SUMIF(TArticle[تاریخ],TDays[[#This Row],[تاریخ]],TArticle[افزایش سرمایه])</f>
        <v>0</v>
      </c>
      <c r="O483">
        <f>SUMIF(TArticle[تاریخ],TDays[[#This Row],[تاریخ]],TArticle[تعداد تراکنش انجام شده])</f>
        <v>0</v>
      </c>
      <c r="P483">
        <f>INT(((TDays[[#This Row],[ماه]]-1)*31+TDays[[#This Row],[روز]]+1)/7)+1</f>
        <v>17</v>
      </c>
      <c r="Q483">
        <f>SUMIF(TArticle[تاریخ],TDays[[#This Row],[تاریخ]],TArticle[تراکنش برنامه ریزی شده])</f>
        <v>0</v>
      </c>
    </row>
    <row r="484" spans="1:17" x14ac:dyDescent="0.25">
      <c r="A484" s="3" t="s">
        <v>671</v>
      </c>
      <c r="B484" t="str">
        <f>RIGHT(TDays[[#This Row],[تاریخ]],2)</f>
        <v>25</v>
      </c>
      <c r="C484" t="str">
        <f>RIGHT(LEFT(TDays[[#This Row],[تاریخ]],7),2)</f>
        <v>04</v>
      </c>
      <c r="D484" t="str">
        <f>LEFT(TDays[[#This Row],[تاریخ]],4)</f>
        <v>1402</v>
      </c>
      <c r="E484" t="str">
        <f>LEFT(TDays[[#This Row],[تاریخ]],7)</f>
        <v>1402-04</v>
      </c>
      <c r="F484">
        <v>1</v>
      </c>
      <c r="G484" s="15" t="str">
        <f>VLOOKUP(TDays[[#This Row],[کد روز هفته]],TDaysOfTheWeek[],2,FALSE)</f>
        <v>یکشنبه</v>
      </c>
      <c r="H484" s="15">
        <f>IFERROR(IF(E483&lt;&gt;E484,1,INT(H483)+IF(TDays[[#This Row],[کد روز هفته]]=0,1,0)),1)</f>
        <v>5</v>
      </c>
      <c r="I484">
        <f>-SUMIF(TArticle[تاریخ],TDays[[#This Row],[تاریخ]],TArticle[هزینه])</f>
        <v>0</v>
      </c>
      <c r="J484">
        <f>SUMIF(TArticle[تاریخ],TDays[[#This Row],[تاریخ]],TArticle[درآمد تتا])</f>
        <v>0</v>
      </c>
      <c r="K484">
        <f>SUMIF(TArticle[تاریخ],TDays[[#This Row],[تاریخ]],TArticle[اسنپ])</f>
        <v>0</v>
      </c>
      <c r="L484">
        <f>-SUMIF(TArticle[تاریخ],TDays[[#This Row],[تاریخ]],TArticle[پرداخت بدهی])</f>
        <v>0</v>
      </c>
      <c r="M484">
        <f>SUMIF(TArticle[تاریخ],TDays[[#This Row],[تاریخ]],TArticle[افزایش بدهی])</f>
        <v>0</v>
      </c>
      <c r="N484">
        <f>-SUMIF(TArticle[تاریخ],TDays[[#This Row],[تاریخ]],TArticle[افزایش سرمایه])</f>
        <v>0</v>
      </c>
      <c r="O484">
        <f>SUMIF(TArticle[تاریخ],TDays[[#This Row],[تاریخ]],TArticle[تعداد تراکنش انجام شده])</f>
        <v>0</v>
      </c>
      <c r="P484">
        <f>INT(((TDays[[#This Row],[ماه]]-1)*31+TDays[[#This Row],[روز]]+1)/7)+1</f>
        <v>18</v>
      </c>
      <c r="Q484">
        <f>SUMIF(TArticle[تاریخ],TDays[[#This Row],[تاریخ]],TArticle[تراکنش برنامه ریزی شده])</f>
        <v>0</v>
      </c>
    </row>
    <row r="485" spans="1:17" x14ac:dyDescent="0.25">
      <c r="A485" s="3" t="s">
        <v>672</v>
      </c>
      <c r="B485" t="str">
        <f>RIGHT(TDays[[#This Row],[تاریخ]],2)</f>
        <v>26</v>
      </c>
      <c r="C485" t="str">
        <f>RIGHT(LEFT(TDays[[#This Row],[تاریخ]],7),2)</f>
        <v>04</v>
      </c>
      <c r="D485" t="str">
        <f>LEFT(TDays[[#This Row],[تاریخ]],4)</f>
        <v>1402</v>
      </c>
      <c r="E485" t="str">
        <f>LEFT(TDays[[#This Row],[تاریخ]],7)</f>
        <v>1402-04</v>
      </c>
      <c r="F485">
        <v>2</v>
      </c>
      <c r="G485" s="15" t="str">
        <f>VLOOKUP(TDays[[#This Row],[کد روز هفته]],TDaysOfTheWeek[],2,FALSE)</f>
        <v>دوشنبه</v>
      </c>
      <c r="H485" s="15">
        <f>IFERROR(IF(E484&lt;&gt;E485,1,INT(H484)+IF(TDays[[#This Row],[کد روز هفته]]=0,1,0)),1)</f>
        <v>5</v>
      </c>
      <c r="I485">
        <f>-SUMIF(TArticle[تاریخ],TDays[[#This Row],[تاریخ]],TArticle[هزینه])</f>
        <v>0</v>
      </c>
      <c r="J485">
        <f>SUMIF(TArticle[تاریخ],TDays[[#This Row],[تاریخ]],TArticle[درآمد تتا])</f>
        <v>0</v>
      </c>
      <c r="K485">
        <f>SUMIF(TArticle[تاریخ],TDays[[#This Row],[تاریخ]],TArticle[اسنپ])</f>
        <v>0</v>
      </c>
      <c r="L485">
        <f>-SUMIF(TArticle[تاریخ],TDays[[#This Row],[تاریخ]],TArticle[پرداخت بدهی])</f>
        <v>0</v>
      </c>
      <c r="M485">
        <f>SUMIF(TArticle[تاریخ],TDays[[#This Row],[تاریخ]],TArticle[افزایش بدهی])</f>
        <v>0</v>
      </c>
      <c r="N485">
        <f>-SUMIF(TArticle[تاریخ],TDays[[#This Row],[تاریخ]],TArticle[افزایش سرمایه])</f>
        <v>0</v>
      </c>
      <c r="O485">
        <f>SUMIF(TArticle[تاریخ],TDays[[#This Row],[تاریخ]],TArticle[تعداد تراکنش انجام شده])</f>
        <v>0</v>
      </c>
      <c r="P485">
        <f>INT(((TDays[[#This Row],[ماه]]-1)*31+TDays[[#This Row],[روز]]+1)/7)+1</f>
        <v>18</v>
      </c>
      <c r="Q485">
        <f>SUMIF(TArticle[تاریخ],TDays[[#This Row],[تاریخ]],TArticle[تراکنش برنامه ریزی شده])</f>
        <v>0</v>
      </c>
    </row>
    <row r="486" spans="1:17" x14ac:dyDescent="0.25">
      <c r="A486" s="3" t="s">
        <v>673</v>
      </c>
      <c r="B486" t="str">
        <f>RIGHT(TDays[[#This Row],[تاریخ]],2)</f>
        <v>27</v>
      </c>
      <c r="C486" t="str">
        <f>RIGHT(LEFT(TDays[[#This Row],[تاریخ]],7),2)</f>
        <v>04</v>
      </c>
      <c r="D486" t="str">
        <f>LEFT(TDays[[#This Row],[تاریخ]],4)</f>
        <v>1402</v>
      </c>
      <c r="E486" t="str">
        <f>LEFT(TDays[[#This Row],[تاریخ]],7)</f>
        <v>1402-04</v>
      </c>
      <c r="F486">
        <v>3</v>
      </c>
      <c r="G486" s="15" t="str">
        <f>VLOOKUP(TDays[[#This Row],[کد روز هفته]],TDaysOfTheWeek[],2,FALSE)</f>
        <v>سه شنبه</v>
      </c>
      <c r="H486" s="15">
        <f>IFERROR(IF(E485&lt;&gt;E486,1,INT(H485)+IF(TDays[[#This Row],[کد روز هفته]]=0,1,0)),1)</f>
        <v>5</v>
      </c>
      <c r="I486">
        <f>-SUMIF(TArticle[تاریخ],TDays[[#This Row],[تاریخ]],TArticle[هزینه])</f>
        <v>0</v>
      </c>
      <c r="J486">
        <f>SUMIF(TArticle[تاریخ],TDays[[#This Row],[تاریخ]],TArticle[درآمد تتا])</f>
        <v>0</v>
      </c>
      <c r="K486">
        <f>SUMIF(TArticle[تاریخ],TDays[[#This Row],[تاریخ]],TArticle[اسنپ])</f>
        <v>0</v>
      </c>
      <c r="L486">
        <f>-SUMIF(TArticle[تاریخ],TDays[[#This Row],[تاریخ]],TArticle[پرداخت بدهی])</f>
        <v>0</v>
      </c>
      <c r="M486">
        <f>SUMIF(TArticle[تاریخ],TDays[[#This Row],[تاریخ]],TArticle[افزایش بدهی])</f>
        <v>0</v>
      </c>
      <c r="N486">
        <f>-SUMIF(TArticle[تاریخ],TDays[[#This Row],[تاریخ]],TArticle[افزایش سرمایه])</f>
        <v>0</v>
      </c>
      <c r="O486">
        <f>SUMIF(TArticle[تاریخ],TDays[[#This Row],[تاریخ]],TArticle[تعداد تراکنش انجام شده])</f>
        <v>0</v>
      </c>
      <c r="P486">
        <f>INT(((TDays[[#This Row],[ماه]]-1)*31+TDays[[#This Row],[روز]]+1)/7)+1</f>
        <v>18</v>
      </c>
      <c r="Q486">
        <f>SUMIF(TArticle[تاریخ],TDays[[#This Row],[تاریخ]],TArticle[تراکنش برنامه ریزی شده])</f>
        <v>0</v>
      </c>
    </row>
    <row r="487" spans="1:17" x14ac:dyDescent="0.25">
      <c r="A487" s="3" t="s">
        <v>674</v>
      </c>
      <c r="B487" t="str">
        <f>RIGHT(TDays[[#This Row],[تاریخ]],2)</f>
        <v>28</v>
      </c>
      <c r="C487" t="str">
        <f>RIGHT(LEFT(TDays[[#This Row],[تاریخ]],7),2)</f>
        <v>04</v>
      </c>
      <c r="D487" t="str">
        <f>LEFT(TDays[[#This Row],[تاریخ]],4)</f>
        <v>1402</v>
      </c>
      <c r="E487" t="str">
        <f>LEFT(TDays[[#This Row],[تاریخ]],7)</f>
        <v>1402-04</v>
      </c>
      <c r="F487">
        <v>4</v>
      </c>
      <c r="G487" s="15" t="str">
        <f>VLOOKUP(TDays[[#This Row],[کد روز هفته]],TDaysOfTheWeek[],2,FALSE)</f>
        <v>چهارشنبه</v>
      </c>
      <c r="H487" s="15">
        <f>IFERROR(IF(E486&lt;&gt;E487,1,INT(H486)+IF(TDays[[#This Row],[کد روز هفته]]=0,1,0)),1)</f>
        <v>5</v>
      </c>
      <c r="I487">
        <f>-SUMIF(TArticle[تاریخ],TDays[[#This Row],[تاریخ]],TArticle[هزینه])</f>
        <v>0</v>
      </c>
      <c r="J487">
        <f>SUMIF(TArticle[تاریخ],TDays[[#This Row],[تاریخ]],TArticle[درآمد تتا])</f>
        <v>0</v>
      </c>
      <c r="K487">
        <f>SUMIF(TArticle[تاریخ],TDays[[#This Row],[تاریخ]],TArticle[اسنپ])</f>
        <v>0</v>
      </c>
      <c r="L487">
        <f>-SUMIF(TArticle[تاریخ],TDays[[#This Row],[تاریخ]],TArticle[پرداخت بدهی])</f>
        <v>0</v>
      </c>
      <c r="M487">
        <f>SUMIF(TArticle[تاریخ],TDays[[#This Row],[تاریخ]],TArticle[افزایش بدهی])</f>
        <v>0</v>
      </c>
      <c r="N487">
        <f>-SUMIF(TArticle[تاریخ],TDays[[#This Row],[تاریخ]],TArticle[افزایش سرمایه])</f>
        <v>0</v>
      </c>
      <c r="O487">
        <f>SUMIF(TArticle[تاریخ],TDays[[#This Row],[تاریخ]],TArticle[تعداد تراکنش انجام شده])</f>
        <v>0</v>
      </c>
      <c r="P487">
        <f>INT(((TDays[[#This Row],[ماه]]-1)*31+TDays[[#This Row],[روز]]+1)/7)+1</f>
        <v>18</v>
      </c>
      <c r="Q487">
        <f>SUMIF(TArticle[تاریخ],TDays[[#This Row],[تاریخ]],TArticle[تراکنش برنامه ریزی شده])</f>
        <v>1</v>
      </c>
    </row>
    <row r="488" spans="1:17" x14ac:dyDescent="0.25">
      <c r="A488" s="3" t="s">
        <v>675</v>
      </c>
      <c r="B488" t="str">
        <f>RIGHT(TDays[[#This Row],[تاریخ]],2)</f>
        <v>29</v>
      </c>
      <c r="C488" t="str">
        <f>RIGHT(LEFT(TDays[[#This Row],[تاریخ]],7),2)</f>
        <v>04</v>
      </c>
      <c r="D488" t="str">
        <f>LEFT(TDays[[#This Row],[تاریخ]],4)</f>
        <v>1402</v>
      </c>
      <c r="E488" t="str">
        <f>LEFT(TDays[[#This Row],[تاریخ]],7)</f>
        <v>1402-04</v>
      </c>
      <c r="F488">
        <v>5</v>
      </c>
      <c r="G488" s="15" t="str">
        <f>VLOOKUP(TDays[[#This Row],[کد روز هفته]],TDaysOfTheWeek[],2,FALSE)</f>
        <v>پنجشنبه</v>
      </c>
      <c r="H488" s="15">
        <f>IFERROR(IF(E487&lt;&gt;E488,1,INT(H487)+IF(TDays[[#This Row],[کد روز هفته]]=0,1,0)),1)</f>
        <v>5</v>
      </c>
      <c r="I488">
        <f>-SUMIF(TArticle[تاریخ],TDays[[#This Row],[تاریخ]],TArticle[هزینه])</f>
        <v>0</v>
      </c>
      <c r="J488">
        <f>SUMIF(TArticle[تاریخ],TDays[[#This Row],[تاریخ]],TArticle[درآمد تتا])</f>
        <v>0</v>
      </c>
      <c r="K488">
        <f>SUMIF(TArticle[تاریخ],TDays[[#This Row],[تاریخ]],TArticle[اسنپ])</f>
        <v>0</v>
      </c>
      <c r="L488">
        <f>-SUMIF(TArticle[تاریخ],TDays[[#This Row],[تاریخ]],TArticle[پرداخت بدهی])</f>
        <v>0</v>
      </c>
      <c r="M488">
        <f>SUMIF(TArticle[تاریخ],TDays[[#This Row],[تاریخ]],TArticle[افزایش بدهی])</f>
        <v>0</v>
      </c>
      <c r="N488">
        <f>-SUMIF(TArticle[تاریخ],TDays[[#This Row],[تاریخ]],TArticle[افزایش سرمایه])</f>
        <v>0</v>
      </c>
      <c r="O488">
        <f>SUMIF(TArticle[تاریخ],TDays[[#This Row],[تاریخ]],TArticle[تعداد تراکنش انجام شده])</f>
        <v>0</v>
      </c>
      <c r="P488">
        <f>INT(((TDays[[#This Row],[ماه]]-1)*31+TDays[[#This Row],[روز]]+1)/7)+1</f>
        <v>18</v>
      </c>
      <c r="Q488">
        <f>SUMIF(TArticle[تاریخ],TDays[[#This Row],[تاریخ]],TArticle[تراکنش برنامه ریزی شده])</f>
        <v>0</v>
      </c>
    </row>
    <row r="489" spans="1:17" x14ac:dyDescent="0.25">
      <c r="A489" s="3" t="s">
        <v>676</v>
      </c>
      <c r="B489" t="str">
        <f>RIGHT(TDays[[#This Row],[تاریخ]],2)</f>
        <v>30</v>
      </c>
      <c r="C489" t="str">
        <f>RIGHT(LEFT(TDays[[#This Row],[تاریخ]],7),2)</f>
        <v>04</v>
      </c>
      <c r="D489" t="str">
        <f>LEFT(TDays[[#This Row],[تاریخ]],4)</f>
        <v>1402</v>
      </c>
      <c r="E489" t="str">
        <f>LEFT(TDays[[#This Row],[تاریخ]],7)</f>
        <v>1402-04</v>
      </c>
      <c r="F489">
        <v>6</v>
      </c>
      <c r="G489" s="15" t="str">
        <f>VLOOKUP(TDays[[#This Row],[کد روز هفته]],TDaysOfTheWeek[],2,FALSE)</f>
        <v>جمعه</v>
      </c>
      <c r="H489" s="15">
        <f>IFERROR(IF(E488&lt;&gt;E489,1,INT(H488)+IF(TDays[[#This Row],[کد روز هفته]]=0,1,0)),1)</f>
        <v>5</v>
      </c>
      <c r="I489">
        <f>-SUMIF(TArticle[تاریخ],TDays[[#This Row],[تاریخ]],TArticle[هزینه])</f>
        <v>0</v>
      </c>
      <c r="J489">
        <f>SUMIF(TArticle[تاریخ],TDays[[#This Row],[تاریخ]],TArticle[درآمد تتا])</f>
        <v>0</v>
      </c>
      <c r="K489">
        <f>SUMIF(TArticle[تاریخ],TDays[[#This Row],[تاریخ]],TArticle[اسنپ])</f>
        <v>0</v>
      </c>
      <c r="L489">
        <f>-SUMIF(TArticle[تاریخ],TDays[[#This Row],[تاریخ]],TArticle[پرداخت بدهی])</f>
        <v>0</v>
      </c>
      <c r="M489">
        <f>SUMIF(TArticle[تاریخ],TDays[[#This Row],[تاریخ]],TArticle[افزایش بدهی])</f>
        <v>0</v>
      </c>
      <c r="N489">
        <f>-SUMIF(TArticle[تاریخ],TDays[[#This Row],[تاریخ]],TArticle[افزایش سرمایه])</f>
        <v>0</v>
      </c>
      <c r="O489">
        <f>SUMIF(TArticle[تاریخ],TDays[[#This Row],[تاریخ]],TArticle[تعداد تراکنش انجام شده])</f>
        <v>0</v>
      </c>
      <c r="P489">
        <f>INT(((TDays[[#This Row],[ماه]]-1)*31+TDays[[#This Row],[روز]]+1)/7)+1</f>
        <v>18</v>
      </c>
      <c r="Q489">
        <f>SUMIF(TArticle[تاریخ],TDays[[#This Row],[تاریخ]],TArticle[تراکنش برنامه ریزی شده])</f>
        <v>0</v>
      </c>
    </row>
    <row r="490" spans="1:17" x14ac:dyDescent="0.25">
      <c r="A490" s="3" t="s">
        <v>677</v>
      </c>
      <c r="B490" t="str">
        <f>RIGHT(TDays[[#This Row],[تاریخ]],2)</f>
        <v>31</v>
      </c>
      <c r="C490" t="str">
        <f>RIGHT(LEFT(TDays[[#This Row],[تاریخ]],7),2)</f>
        <v>04</v>
      </c>
      <c r="D490" t="str">
        <f>LEFT(TDays[[#This Row],[تاریخ]],4)</f>
        <v>1402</v>
      </c>
      <c r="E490" t="str">
        <f>LEFT(TDays[[#This Row],[تاریخ]],7)</f>
        <v>1402-04</v>
      </c>
      <c r="F490">
        <v>0</v>
      </c>
      <c r="G490" s="15" t="str">
        <f>VLOOKUP(TDays[[#This Row],[کد روز هفته]],TDaysOfTheWeek[],2,FALSE)</f>
        <v>شنبه</v>
      </c>
      <c r="H490" s="15">
        <f>IFERROR(IF(E489&lt;&gt;E490,1,INT(H489)+IF(TDays[[#This Row],[کد روز هفته]]=0,1,0)),1)</f>
        <v>6</v>
      </c>
      <c r="I490">
        <f>-SUMIF(TArticle[تاریخ],TDays[[#This Row],[تاریخ]],TArticle[هزینه])</f>
        <v>0</v>
      </c>
      <c r="J490">
        <f>SUMIF(TArticle[تاریخ],TDays[[#This Row],[تاریخ]],TArticle[درآمد تتا])</f>
        <v>0</v>
      </c>
      <c r="K490">
        <f>SUMIF(TArticle[تاریخ],TDays[[#This Row],[تاریخ]],TArticle[اسنپ])</f>
        <v>0</v>
      </c>
      <c r="L490">
        <f>-SUMIF(TArticle[تاریخ],TDays[[#This Row],[تاریخ]],TArticle[پرداخت بدهی])</f>
        <v>0</v>
      </c>
      <c r="M490">
        <f>SUMIF(TArticle[تاریخ],TDays[[#This Row],[تاریخ]],TArticle[افزایش بدهی])</f>
        <v>0</v>
      </c>
      <c r="N490">
        <f>-SUMIF(TArticle[تاریخ],TDays[[#This Row],[تاریخ]],TArticle[افزایش سرمایه])</f>
        <v>0</v>
      </c>
      <c r="O490">
        <f>SUMIF(TArticle[تاریخ],TDays[[#This Row],[تاریخ]],TArticle[تعداد تراکنش انجام شده])</f>
        <v>0</v>
      </c>
      <c r="P490">
        <f>INT(((TDays[[#This Row],[ماه]]-1)*31+TDays[[#This Row],[روز]]+1)/7)+1</f>
        <v>18</v>
      </c>
      <c r="Q490">
        <f>SUMIF(TArticle[تاریخ],TDays[[#This Row],[تاریخ]],TArticle[تراکنش برنامه ریزی شده])</f>
        <v>0</v>
      </c>
    </row>
    <row r="491" spans="1:17" x14ac:dyDescent="0.25">
      <c r="A491" s="3" t="s">
        <v>678</v>
      </c>
      <c r="B491" t="str">
        <f>RIGHT(TDays[[#This Row],[تاریخ]],2)</f>
        <v>01</v>
      </c>
      <c r="C491" t="str">
        <f>RIGHT(LEFT(TDays[[#This Row],[تاریخ]],7),2)</f>
        <v>05</v>
      </c>
      <c r="D491" t="str">
        <f>LEFT(TDays[[#This Row],[تاریخ]],4)</f>
        <v>1402</v>
      </c>
      <c r="E491" t="str">
        <f>LEFT(TDays[[#This Row],[تاریخ]],7)</f>
        <v>1402-05</v>
      </c>
      <c r="F491">
        <v>1</v>
      </c>
      <c r="G491" s="15" t="str">
        <f>VLOOKUP(TDays[[#This Row],[کد روز هفته]],TDaysOfTheWeek[],2,FALSE)</f>
        <v>یکشنبه</v>
      </c>
      <c r="H491" s="15">
        <f>IFERROR(IF(E490&lt;&gt;E491,1,INT(H490)+IF(TDays[[#This Row],[کد روز هفته]]=0,1,0)),1)</f>
        <v>1</v>
      </c>
      <c r="I491">
        <f>-SUMIF(TArticle[تاریخ],TDays[[#This Row],[تاریخ]],TArticle[هزینه])</f>
        <v>0</v>
      </c>
      <c r="J491">
        <f>SUMIF(TArticle[تاریخ],TDays[[#This Row],[تاریخ]],TArticle[درآمد تتا])</f>
        <v>0</v>
      </c>
      <c r="K491">
        <f>SUMIF(TArticle[تاریخ],TDays[[#This Row],[تاریخ]],TArticle[اسنپ])</f>
        <v>0</v>
      </c>
      <c r="L491">
        <f>-SUMIF(TArticle[تاریخ],TDays[[#This Row],[تاریخ]],TArticle[پرداخت بدهی])</f>
        <v>0</v>
      </c>
      <c r="M491">
        <f>SUMIF(TArticle[تاریخ],TDays[[#This Row],[تاریخ]],TArticle[افزایش بدهی])</f>
        <v>0</v>
      </c>
      <c r="N491">
        <f>-SUMIF(TArticle[تاریخ],TDays[[#This Row],[تاریخ]],TArticle[افزایش سرمایه])</f>
        <v>0</v>
      </c>
      <c r="O491">
        <f>SUMIF(TArticle[تاریخ],TDays[[#This Row],[تاریخ]],TArticle[تعداد تراکنش انجام شده])</f>
        <v>0</v>
      </c>
      <c r="P491">
        <f>INT(((TDays[[#This Row],[ماه]]-1)*31+TDays[[#This Row],[روز]]+1)/7)+1</f>
        <v>19</v>
      </c>
      <c r="Q491">
        <f>SUMIF(TArticle[تاریخ],TDays[[#This Row],[تاریخ]],TArticle[تراکنش برنامه ریزی شده])</f>
        <v>2</v>
      </c>
    </row>
    <row r="492" spans="1:17" x14ac:dyDescent="0.25">
      <c r="A492" s="3" t="s">
        <v>679</v>
      </c>
      <c r="B492" t="str">
        <f>RIGHT(TDays[[#This Row],[تاریخ]],2)</f>
        <v>02</v>
      </c>
      <c r="C492" t="str">
        <f>RIGHT(LEFT(TDays[[#This Row],[تاریخ]],7),2)</f>
        <v>05</v>
      </c>
      <c r="D492" t="str">
        <f>LEFT(TDays[[#This Row],[تاریخ]],4)</f>
        <v>1402</v>
      </c>
      <c r="E492" t="str">
        <f>LEFT(TDays[[#This Row],[تاریخ]],7)</f>
        <v>1402-05</v>
      </c>
      <c r="F492">
        <v>2</v>
      </c>
      <c r="G492" s="15" t="str">
        <f>VLOOKUP(TDays[[#This Row],[کد روز هفته]],TDaysOfTheWeek[],2,FALSE)</f>
        <v>دوشنبه</v>
      </c>
      <c r="H492" s="15">
        <f>IFERROR(IF(E491&lt;&gt;E492,1,INT(H491)+IF(TDays[[#This Row],[کد روز هفته]]=0,1,0)),1)</f>
        <v>1</v>
      </c>
      <c r="I492">
        <f>-SUMIF(TArticle[تاریخ],TDays[[#This Row],[تاریخ]],TArticle[هزینه])</f>
        <v>0</v>
      </c>
      <c r="J492">
        <f>SUMIF(TArticle[تاریخ],TDays[[#This Row],[تاریخ]],TArticle[درآمد تتا])</f>
        <v>0</v>
      </c>
      <c r="K492">
        <f>SUMIF(TArticle[تاریخ],TDays[[#This Row],[تاریخ]],TArticle[اسنپ])</f>
        <v>0</v>
      </c>
      <c r="L492">
        <f>-SUMIF(TArticle[تاریخ],TDays[[#This Row],[تاریخ]],TArticle[پرداخت بدهی])</f>
        <v>0</v>
      </c>
      <c r="M492">
        <f>SUMIF(TArticle[تاریخ],TDays[[#This Row],[تاریخ]],TArticle[افزایش بدهی])</f>
        <v>0</v>
      </c>
      <c r="N492">
        <f>-SUMIF(TArticle[تاریخ],TDays[[#This Row],[تاریخ]],TArticle[افزایش سرمایه])</f>
        <v>0</v>
      </c>
      <c r="O492">
        <f>SUMIF(TArticle[تاریخ],TDays[[#This Row],[تاریخ]],TArticle[تعداد تراکنش انجام شده])</f>
        <v>0</v>
      </c>
      <c r="P492">
        <f>INT(((TDays[[#This Row],[ماه]]-1)*31+TDays[[#This Row],[روز]]+1)/7)+1</f>
        <v>19</v>
      </c>
      <c r="Q492">
        <f>SUMIF(TArticle[تاریخ],TDays[[#This Row],[تاریخ]],TArticle[تراکنش برنامه ریزی شده])</f>
        <v>0</v>
      </c>
    </row>
    <row r="493" spans="1:17" x14ac:dyDescent="0.25">
      <c r="A493" s="3" t="s">
        <v>680</v>
      </c>
      <c r="B493" t="str">
        <f>RIGHT(TDays[[#This Row],[تاریخ]],2)</f>
        <v>03</v>
      </c>
      <c r="C493" t="str">
        <f>RIGHT(LEFT(TDays[[#This Row],[تاریخ]],7),2)</f>
        <v>05</v>
      </c>
      <c r="D493" t="str">
        <f>LEFT(TDays[[#This Row],[تاریخ]],4)</f>
        <v>1402</v>
      </c>
      <c r="E493" t="str">
        <f>LEFT(TDays[[#This Row],[تاریخ]],7)</f>
        <v>1402-05</v>
      </c>
      <c r="F493">
        <v>3</v>
      </c>
      <c r="G493" s="15" t="str">
        <f>VLOOKUP(TDays[[#This Row],[کد روز هفته]],TDaysOfTheWeek[],2,FALSE)</f>
        <v>سه شنبه</v>
      </c>
      <c r="H493" s="15">
        <f>IFERROR(IF(E492&lt;&gt;E493,1,INT(H492)+IF(TDays[[#This Row],[کد روز هفته]]=0,1,0)),1)</f>
        <v>1</v>
      </c>
      <c r="I493">
        <f>-SUMIF(TArticle[تاریخ],TDays[[#This Row],[تاریخ]],TArticle[هزینه])</f>
        <v>0</v>
      </c>
      <c r="J493">
        <f>SUMIF(TArticle[تاریخ],TDays[[#This Row],[تاریخ]],TArticle[درآمد تتا])</f>
        <v>0</v>
      </c>
      <c r="K493">
        <f>SUMIF(TArticle[تاریخ],TDays[[#This Row],[تاریخ]],TArticle[اسنپ])</f>
        <v>0</v>
      </c>
      <c r="L493">
        <f>-SUMIF(TArticle[تاریخ],TDays[[#This Row],[تاریخ]],TArticle[پرداخت بدهی])</f>
        <v>0</v>
      </c>
      <c r="M493">
        <f>SUMIF(TArticle[تاریخ],TDays[[#This Row],[تاریخ]],TArticle[افزایش بدهی])</f>
        <v>0</v>
      </c>
      <c r="N493">
        <f>-SUMIF(TArticle[تاریخ],TDays[[#This Row],[تاریخ]],TArticle[افزایش سرمایه])</f>
        <v>0</v>
      </c>
      <c r="O493">
        <f>SUMIF(TArticle[تاریخ],TDays[[#This Row],[تاریخ]],TArticle[تعداد تراکنش انجام شده])</f>
        <v>0</v>
      </c>
      <c r="P493">
        <f>INT(((TDays[[#This Row],[ماه]]-1)*31+TDays[[#This Row],[روز]]+1)/7)+1</f>
        <v>19</v>
      </c>
      <c r="Q493">
        <f>SUMIF(TArticle[تاریخ],TDays[[#This Row],[تاریخ]],TArticle[تراکنش برنامه ریزی شده])</f>
        <v>2</v>
      </c>
    </row>
    <row r="494" spans="1:17" x14ac:dyDescent="0.25">
      <c r="A494" s="3" t="s">
        <v>681</v>
      </c>
      <c r="B494" t="str">
        <f>RIGHT(TDays[[#This Row],[تاریخ]],2)</f>
        <v>04</v>
      </c>
      <c r="C494" t="str">
        <f>RIGHT(LEFT(TDays[[#This Row],[تاریخ]],7),2)</f>
        <v>05</v>
      </c>
      <c r="D494" t="str">
        <f>LEFT(TDays[[#This Row],[تاریخ]],4)</f>
        <v>1402</v>
      </c>
      <c r="E494" t="str">
        <f>LEFT(TDays[[#This Row],[تاریخ]],7)</f>
        <v>1402-05</v>
      </c>
      <c r="F494">
        <v>4</v>
      </c>
      <c r="G494" s="15" t="str">
        <f>VLOOKUP(TDays[[#This Row],[کد روز هفته]],TDaysOfTheWeek[],2,FALSE)</f>
        <v>چهارشنبه</v>
      </c>
      <c r="H494" s="15">
        <f>IFERROR(IF(E493&lt;&gt;E494,1,INT(H493)+IF(TDays[[#This Row],[کد روز هفته]]=0,1,0)),1)</f>
        <v>1</v>
      </c>
      <c r="I494">
        <f>-SUMIF(TArticle[تاریخ],TDays[[#This Row],[تاریخ]],TArticle[هزینه])</f>
        <v>0</v>
      </c>
      <c r="J494">
        <f>SUMIF(TArticle[تاریخ],TDays[[#This Row],[تاریخ]],TArticle[درآمد تتا])</f>
        <v>0</v>
      </c>
      <c r="K494">
        <f>SUMIF(TArticle[تاریخ],TDays[[#This Row],[تاریخ]],TArticle[اسنپ])</f>
        <v>0</v>
      </c>
      <c r="L494">
        <f>-SUMIF(TArticle[تاریخ],TDays[[#This Row],[تاریخ]],TArticle[پرداخت بدهی])</f>
        <v>0</v>
      </c>
      <c r="M494">
        <f>SUMIF(TArticle[تاریخ],TDays[[#This Row],[تاریخ]],TArticle[افزایش بدهی])</f>
        <v>0</v>
      </c>
      <c r="N494">
        <f>-SUMIF(TArticle[تاریخ],TDays[[#This Row],[تاریخ]],TArticle[افزایش سرمایه])</f>
        <v>0</v>
      </c>
      <c r="O494">
        <f>SUMIF(TArticle[تاریخ],TDays[[#This Row],[تاریخ]],TArticle[تعداد تراکنش انجام شده])</f>
        <v>0</v>
      </c>
      <c r="P494">
        <f>INT(((TDays[[#This Row],[ماه]]-1)*31+TDays[[#This Row],[روز]]+1)/7)+1</f>
        <v>19</v>
      </c>
      <c r="Q494">
        <f>SUMIF(TArticle[تاریخ],TDays[[#This Row],[تاریخ]],TArticle[تراکنش برنامه ریزی شده])</f>
        <v>1</v>
      </c>
    </row>
    <row r="495" spans="1:17" x14ac:dyDescent="0.25">
      <c r="A495" s="3" t="s">
        <v>682</v>
      </c>
      <c r="B495" t="str">
        <f>RIGHT(TDays[[#This Row],[تاریخ]],2)</f>
        <v>05</v>
      </c>
      <c r="C495" t="str">
        <f>RIGHT(LEFT(TDays[[#This Row],[تاریخ]],7),2)</f>
        <v>05</v>
      </c>
      <c r="D495" t="str">
        <f>LEFT(TDays[[#This Row],[تاریخ]],4)</f>
        <v>1402</v>
      </c>
      <c r="E495" t="str">
        <f>LEFT(TDays[[#This Row],[تاریخ]],7)</f>
        <v>1402-05</v>
      </c>
      <c r="F495">
        <v>5</v>
      </c>
      <c r="G495" s="15" t="str">
        <f>VLOOKUP(TDays[[#This Row],[کد روز هفته]],TDaysOfTheWeek[],2,FALSE)</f>
        <v>پنجشنبه</v>
      </c>
      <c r="H495" s="15">
        <f>IFERROR(IF(E494&lt;&gt;E495,1,INT(H494)+IF(TDays[[#This Row],[کد روز هفته]]=0,1,0)),1)</f>
        <v>1</v>
      </c>
      <c r="I495">
        <f>-SUMIF(TArticle[تاریخ],TDays[[#This Row],[تاریخ]],TArticle[هزینه])</f>
        <v>0</v>
      </c>
      <c r="J495">
        <f>SUMIF(TArticle[تاریخ],TDays[[#This Row],[تاریخ]],TArticle[درآمد تتا])</f>
        <v>0</v>
      </c>
      <c r="K495">
        <f>SUMIF(TArticle[تاریخ],TDays[[#This Row],[تاریخ]],TArticle[اسنپ])</f>
        <v>0</v>
      </c>
      <c r="L495">
        <f>-SUMIF(TArticle[تاریخ],TDays[[#This Row],[تاریخ]],TArticle[پرداخت بدهی])</f>
        <v>0</v>
      </c>
      <c r="M495">
        <f>SUMIF(TArticle[تاریخ],TDays[[#This Row],[تاریخ]],TArticle[افزایش بدهی])</f>
        <v>0</v>
      </c>
      <c r="N495">
        <f>-SUMIF(TArticle[تاریخ],TDays[[#This Row],[تاریخ]],TArticle[افزایش سرمایه])</f>
        <v>0</v>
      </c>
      <c r="O495">
        <f>SUMIF(TArticle[تاریخ],TDays[[#This Row],[تاریخ]],TArticle[تعداد تراکنش انجام شده])</f>
        <v>0</v>
      </c>
      <c r="P495">
        <f>INT(((TDays[[#This Row],[ماه]]-1)*31+TDays[[#This Row],[روز]]+1)/7)+1</f>
        <v>19</v>
      </c>
      <c r="Q495">
        <f>SUMIF(TArticle[تاریخ],TDays[[#This Row],[تاریخ]],TArticle[تراکنش برنامه ریزی شده])</f>
        <v>1</v>
      </c>
    </row>
    <row r="496" spans="1:17" x14ac:dyDescent="0.25">
      <c r="A496" s="3" t="s">
        <v>683</v>
      </c>
      <c r="B496" t="str">
        <f>RIGHT(TDays[[#This Row],[تاریخ]],2)</f>
        <v>06</v>
      </c>
      <c r="C496" t="str">
        <f>RIGHT(LEFT(TDays[[#This Row],[تاریخ]],7),2)</f>
        <v>05</v>
      </c>
      <c r="D496" t="str">
        <f>LEFT(TDays[[#This Row],[تاریخ]],4)</f>
        <v>1402</v>
      </c>
      <c r="E496" t="str">
        <f>LEFT(TDays[[#This Row],[تاریخ]],7)</f>
        <v>1402-05</v>
      </c>
      <c r="F496">
        <v>6</v>
      </c>
      <c r="G496" s="15" t="str">
        <f>VLOOKUP(TDays[[#This Row],[کد روز هفته]],TDaysOfTheWeek[],2,FALSE)</f>
        <v>جمعه</v>
      </c>
      <c r="H496" s="15">
        <f>IFERROR(IF(E495&lt;&gt;E496,1,INT(H495)+IF(TDays[[#This Row],[کد روز هفته]]=0,1,0)),1)</f>
        <v>1</v>
      </c>
      <c r="I496">
        <f>-SUMIF(TArticle[تاریخ],TDays[[#This Row],[تاریخ]],TArticle[هزینه])</f>
        <v>0</v>
      </c>
      <c r="J496">
        <f>SUMIF(TArticle[تاریخ],TDays[[#This Row],[تاریخ]],TArticle[درآمد تتا])</f>
        <v>0</v>
      </c>
      <c r="K496">
        <f>SUMIF(TArticle[تاریخ],TDays[[#This Row],[تاریخ]],TArticle[اسنپ])</f>
        <v>0</v>
      </c>
      <c r="L496">
        <f>-SUMIF(TArticle[تاریخ],TDays[[#This Row],[تاریخ]],TArticle[پرداخت بدهی])</f>
        <v>0</v>
      </c>
      <c r="M496">
        <f>SUMIF(TArticle[تاریخ],TDays[[#This Row],[تاریخ]],TArticle[افزایش بدهی])</f>
        <v>0</v>
      </c>
      <c r="N496">
        <f>-SUMIF(TArticle[تاریخ],TDays[[#This Row],[تاریخ]],TArticle[افزایش سرمایه])</f>
        <v>0</v>
      </c>
      <c r="O496">
        <f>SUMIF(TArticle[تاریخ],TDays[[#This Row],[تاریخ]],TArticle[تعداد تراکنش انجام شده])</f>
        <v>0</v>
      </c>
      <c r="P496">
        <f>INT(((TDays[[#This Row],[ماه]]-1)*31+TDays[[#This Row],[روز]]+1)/7)+1</f>
        <v>19</v>
      </c>
      <c r="Q496">
        <f>SUMIF(TArticle[تاریخ],TDays[[#This Row],[تاریخ]],TArticle[تراکنش برنامه ریزی شده])</f>
        <v>0</v>
      </c>
    </row>
    <row r="497" spans="1:17" x14ac:dyDescent="0.25">
      <c r="A497" s="3" t="s">
        <v>684</v>
      </c>
      <c r="B497" t="str">
        <f>RIGHT(TDays[[#This Row],[تاریخ]],2)</f>
        <v>07</v>
      </c>
      <c r="C497" t="str">
        <f>RIGHT(LEFT(TDays[[#This Row],[تاریخ]],7),2)</f>
        <v>05</v>
      </c>
      <c r="D497" t="str">
        <f>LEFT(TDays[[#This Row],[تاریخ]],4)</f>
        <v>1402</v>
      </c>
      <c r="E497" t="str">
        <f>LEFT(TDays[[#This Row],[تاریخ]],7)</f>
        <v>1402-05</v>
      </c>
      <c r="F497">
        <v>0</v>
      </c>
      <c r="G497" s="15" t="str">
        <f>VLOOKUP(TDays[[#This Row],[کد روز هفته]],TDaysOfTheWeek[],2,FALSE)</f>
        <v>شنبه</v>
      </c>
      <c r="H497" s="15">
        <f>IFERROR(IF(E496&lt;&gt;E497,1,INT(H496)+IF(TDays[[#This Row],[کد روز هفته]]=0,1,0)),1)</f>
        <v>2</v>
      </c>
      <c r="I497">
        <f>-SUMIF(TArticle[تاریخ],TDays[[#This Row],[تاریخ]],TArticle[هزینه])</f>
        <v>0</v>
      </c>
      <c r="J497">
        <f>SUMIF(TArticle[تاریخ],TDays[[#This Row],[تاریخ]],TArticle[درآمد تتا])</f>
        <v>0</v>
      </c>
      <c r="K497">
        <f>SUMIF(TArticle[تاریخ],TDays[[#This Row],[تاریخ]],TArticle[اسنپ])</f>
        <v>0</v>
      </c>
      <c r="L497">
        <f>-SUMIF(TArticle[تاریخ],TDays[[#This Row],[تاریخ]],TArticle[پرداخت بدهی])</f>
        <v>0</v>
      </c>
      <c r="M497">
        <f>SUMIF(TArticle[تاریخ],TDays[[#This Row],[تاریخ]],TArticle[افزایش بدهی])</f>
        <v>0</v>
      </c>
      <c r="N497">
        <f>-SUMIF(TArticle[تاریخ],TDays[[#This Row],[تاریخ]],TArticle[افزایش سرمایه])</f>
        <v>0</v>
      </c>
      <c r="O497">
        <f>SUMIF(TArticle[تاریخ],TDays[[#This Row],[تاریخ]],TArticle[تعداد تراکنش انجام شده])</f>
        <v>0</v>
      </c>
      <c r="P497">
        <f>INT(((TDays[[#This Row],[ماه]]-1)*31+TDays[[#This Row],[روز]]+1)/7)+1</f>
        <v>19</v>
      </c>
      <c r="Q497">
        <f>SUMIF(TArticle[تاریخ],TDays[[#This Row],[تاریخ]],TArticle[تراکنش برنامه ریزی شده])</f>
        <v>0</v>
      </c>
    </row>
    <row r="498" spans="1:17" x14ac:dyDescent="0.25">
      <c r="A498" s="3" t="s">
        <v>685</v>
      </c>
      <c r="B498" t="str">
        <f>RIGHT(TDays[[#This Row],[تاریخ]],2)</f>
        <v>08</v>
      </c>
      <c r="C498" t="str">
        <f>RIGHT(LEFT(TDays[[#This Row],[تاریخ]],7),2)</f>
        <v>05</v>
      </c>
      <c r="D498" t="str">
        <f>LEFT(TDays[[#This Row],[تاریخ]],4)</f>
        <v>1402</v>
      </c>
      <c r="E498" t="str">
        <f>LEFT(TDays[[#This Row],[تاریخ]],7)</f>
        <v>1402-05</v>
      </c>
      <c r="F498">
        <v>1</v>
      </c>
      <c r="G498" s="15" t="str">
        <f>VLOOKUP(TDays[[#This Row],[کد روز هفته]],TDaysOfTheWeek[],2,FALSE)</f>
        <v>یکشنبه</v>
      </c>
      <c r="H498" s="15">
        <f>IFERROR(IF(E497&lt;&gt;E498,1,INT(H497)+IF(TDays[[#This Row],[کد روز هفته]]=0,1,0)),1)</f>
        <v>2</v>
      </c>
      <c r="I498">
        <f>-SUMIF(TArticle[تاریخ],TDays[[#This Row],[تاریخ]],TArticle[هزینه])</f>
        <v>0</v>
      </c>
      <c r="J498">
        <f>SUMIF(TArticle[تاریخ],TDays[[#This Row],[تاریخ]],TArticle[درآمد تتا])</f>
        <v>0</v>
      </c>
      <c r="K498">
        <f>SUMIF(TArticle[تاریخ],TDays[[#This Row],[تاریخ]],TArticle[اسنپ])</f>
        <v>0</v>
      </c>
      <c r="L498">
        <f>-SUMIF(TArticle[تاریخ],TDays[[#This Row],[تاریخ]],TArticle[پرداخت بدهی])</f>
        <v>0</v>
      </c>
      <c r="M498">
        <f>SUMIF(TArticle[تاریخ],TDays[[#This Row],[تاریخ]],TArticle[افزایش بدهی])</f>
        <v>0</v>
      </c>
      <c r="N498">
        <f>-SUMIF(TArticle[تاریخ],TDays[[#This Row],[تاریخ]],TArticle[افزایش سرمایه])</f>
        <v>0</v>
      </c>
      <c r="O498">
        <f>SUMIF(TArticle[تاریخ],TDays[[#This Row],[تاریخ]],TArticle[تعداد تراکنش انجام شده])</f>
        <v>0</v>
      </c>
      <c r="P498">
        <f>INT(((TDays[[#This Row],[ماه]]-1)*31+TDays[[#This Row],[روز]]+1)/7)+1</f>
        <v>20</v>
      </c>
      <c r="Q498">
        <f>SUMIF(TArticle[تاریخ],TDays[[#This Row],[تاریخ]],TArticle[تراکنش برنامه ریزی شده])</f>
        <v>0</v>
      </c>
    </row>
    <row r="499" spans="1:17" x14ac:dyDescent="0.25">
      <c r="A499" s="3" t="s">
        <v>686</v>
      </c>
      <c r="B499" t="str">
        <f>RIGHT(TDays[[#This Row],[تاریخ]],2)</f>
        <v>09</v>
      </c>
      <c r="C499" t="str">
        <f>RIGHT(LEFT(TDays[[#This Row],[تاریخ]],7),2)</f>
        <v>05</v>
      </c>
      <c r="D499" t="str">
        <f>LEFT(TDays[[#This Row],[تاریخ]],4)</f>
        <v>1402</v>
      </c>
      <c r="E499" t="str">
        <f>LEFT(TDays[[#This Row],[تاریخ]],7)</f>
        <v>1402-05</v>
      </c>
      <c r="F499">
        <v>2</v>
      </c>
      <c r="G499" s="15" t="str">
        <f>VLOOKUP(TDays[[#This Row],[کد روز هفته]],TDaysOfTheWeek[],2,FALSE)</f>
        <v>دوشنبه</v>
      </c>
      <c r="H499" s="15">
        <f>IFERROR(IF(E498&lt;&gt;E499,1,INT(H498)+IF(TDays[[#This Row],[کد روز هفته]]=0,1,0)),1)</f>
        <v>2</v>
      </c>
      <c r="I499">
        <f>-SUMIF(TArticle[تاریخ],TDays[[#This Row],[تاریخ]],TArticle[هزینه])</f>
        <v>0</v>
      </c>
      <c r="J499">
        <f>SUMIF(TArticle[تاریخ],TDays[[#This Row],[تاریخ]],TArticle[درآمد تتا])</f>
        <v>0</v>
      </c>
      <c r="K499">
        <f>SUMIF(TArticle[تاریخ],TDays[[#This Row],[تاریخ]],TArticle[اسنپ])</f>
        <v>0</v>
      </c>
      <c r="L499">
        <f>-SUMIF(TArticle[تاریخ],TDays[[#This Row],[تاریخ]],TArticle[پرداخت بدهی])</f>
        <v>0</v>
      </c>
      <c r="M499">
        <f>SUMIF(TArticle[تاریخ],TDays[[#This Row],[تاریخ]],TArticle[افزایش بدهی])</f>
        <v>0</v>
      </c>
      <c r="N499">
        <f>-SUMIF(TArticle[تاریخ],TDays[[#This Row],[تاریخ]],TArticle[افزایش سرمایه])</f>
        <v>0</v>
      </c>
      <c r="O499">
        <f>SUMIF(TArticle[تاریخ],TDays[[#This Row],[تاریخ]],TArticle[تعداد تراکنش انجام شده])</f>
        <v>0</v>
      </c>
      <c r="P499">
        <f>INT(((TDays[[#This Row],[ماه]]-1)*31+TDays[[#This Row],[روز]]+1)/7)+1</f>
        <v>20</v>
      </c>
      <c r="Q499">
        <f>SUMIF(TArticle[تاریخ],TDays[[#This Row],[تاریخ]],TArticle[تراکنش برنامه ریزی شده])</f>
        <v>1</v>
      </c>
    </row>
    <row r="500" spans="1:17" x14ac:dyDescent="0.25">
      <c r="A500" s="3" t="s">
        <v>687</v>
      </c>
      <c r="B500" t="str">
        <f>RIGHT(TDays[[#This Row],[تاریخ]],2)</f>
        <v>10</v>
      </c>
      <c r="C500" t="str">
        <f>RIGHT(LEFT(TDays[[#This Row],[تاریخ]],7),2)</f>
        <v>05</v>
      </c>
      <c r="D500" t="str">
        <f>LEFT(TDays[[#This Row],[تاریخ]],4)</f>
        <v>1402</v>
      </c>
      <c r="E500" t="str">
        <f>LEFT(TDays[[#This Row],[تاریخ]],7)</f>
        <v>1402-05</v>
      </c>
      <c r="F500">
        <v>3</v>
      </c>
      <c r="G500" s="15" t="str">
        <f>VLOOKUP(TDays[[#This Row],[کد روز هفته]],TDaysOfTheWeek[],2,FALSE)</f>
        <v>سه شنبه</v>
      </c>
      <c r="H500" s="15">
        <f>IFERROR(IF(E499&lt;&gt;E500,1,INT(H499)+IF(TDays[[#This Row],[کد روز هفته]]=0,1,0)),1)</f>
        <v>2</v>
      </c>
      <c r="I500">
        <f>-SUMIF(TArticle[تاریخ],TDays[[#This Row],[تاریخ]],TArticle[هزینه])</f>
        <v>0</v>
      </c>
      <c r="J500">
        <f>SUMIF(TArticle[تاریخ],TDays[[#This Row],[تاریخ]],TArticle[درآمد تتا])</f>
        <v>0</v>
      </c>
      <c r="K500">
        <f>SUMIF(TArticle[تاریخ],TDays[[#This Row],[تاریخ]],TArticle[اسنپ])</f>
        <v>0</v>
      </c>
      <c r="L500">
        <f>-SUMIF(TArticle[تاریخ],TDays[[#This Row],[تاریخ]],TArticle[پرداخت بدهی])</f>
        <v>0</v>
      </c>
      <c r="M500">
        <f>SUMIF(TArticle[تاریخ],TDays[[#This Row],[تاریخ]],TArticle[افزایش بدهی])</f>
        <v>0</v>
      </c>
      <c r="N500">
        <f>-SUMIF(TArticle[تاریخ],TDays[[#This Row],[تاریخ]],TArticle[افزایش سرمایه])</f>
        <v>0</v>
      </c>
      <c r="O500">
        <f>SUMIF(TArticle[تاریخ],TDays[[#This Row],[تاریخ]],TArticle[تعداد تراکنش انجام شده])</f>
        <v>0</v>
      </c>
      <c r="P500">
        <f>INT(((TDays[[#This Row],[ماه]]-1)*31+TDays[[#This Row],[روز]]+1)/7)+1</f>
        <v>20</v>
      </c>
      <c r="Q500">
        <f>SUMIF(TArticle[تاریخ],TDays[[#This Row],[تاریخ]],TArticle[تراکنش برنامه ریزی شده])</f>
        <v>0</v>
      </c>
    </row>
    <row r="501" spans="1:17" x14ac:dyDescent="0.25">
      <c r="A501" s="3" t="s">
        <v>688</v>
      </c>
      <c r="B501" t="str">
        <f>RIGHT(TDays[[#This Row],[تاریخ]],2)</f>
        <v>11</v>
      </c>
      <c r="C501" t="str">
        <f>RIGHT(LEFT(TDays[[#This Row],[تاریخ]],7),2)</f>
        <v>05</v>
      </c>
      <c r="D501" t="str">
        <f>LEFT(TDays[[#This Row],[تاریخ]],4)</f>
        <v>1402</v>
      </c>
      <c r="E501" t="str">
        <f>LEFT(TDays[[#This Row],[تاریخ]],7)</f>
        <v>1402-05</v>
      </c>
      <c r="F501">
        <v>4</v>
      </c>
      <c r="G501" s="15" t="str">
        <f>VLOOKUP(TDays[[#This Row],[کد روز هفته]],TDaysOfTheWeek[],2,FALSE)</f>
        <v>چهارشنبه</v>
      </c>
      <c r="H501" s="15">
        <f>IFERROR(IF(E500&lt;&gt;E501,1,INT(H500)+IF(TDays[[#This Row],[کد روز هفته]]=0,1,0)),1)</f>
        <v>2</v>
      </c>
      <c r="I501">
        <f>-SUMIF(TArticle[تاریخ],TDays[[#This Row],[تاریخ]],TArticle[هزینه])</f>
        <v>0</v>
      </c>
      <c r="J501">
        <f>SUMIF(TArticle[تاریخ],TDays[[#This Row],[تاریخ]],TArticle[درآمد تتا])</f>
        <v>0</v>
      </c>
      <c r="K501">
        <f>SUMIF(TArticle[تاریخ],TDays[[#This Row],[تاریخ]],TArticle[اسنپ])</f>
        <v>0</v>
      </c>
      <c r="L501">
        <f>-SUMIF(TArticle[تاریخ],TDays[[#This Row],[تاریخ]],TArticle[پرداخت بدهی])</f>
        <v>0</v>
      </c>
      <c r="M501">
        <f>SUMIF(TArticle[تاریخ],TDays[[#This Row],[تاریخ]],TArticle[افزایش بدهی])</f>
        <v>0</v>
      </c>
      <c r="N501">
        <f>-SUMIF(TArticle[تاریخ],TDays[[#This Row],[تاریخ]],TArticle[افزایش سرمایه])</f>
        <v>0</v>
      </c>
      <c r="O501">
        <f>SUMIF(TArticle[تاریخ],TDays[[#This Row],[تاریخ]],TArticle[تعداد تراکنش انجام شده])</f>
        <v>0</v>
      </c>
      <c r="P501">
        <f>INT(((TDays[[#This Row],[ماه]]-1)*31+TDays[[#This Row],[روز]]+1)/7)+1</f>
        <v>20</v>
      </c>
      <c r="Q501">
        <f>SUMIF(TArticle[تاریخ],TDays[[#This Row],[تاریخ]],TArticle[تراکنش برنامه ریزی شده])</f>
        <v>0</v>
      </c>
    </row>
    <row r="502" spans="1:17" x14ac:dyDescent="0.25">
      <c r="A502" s="3" t="s">
        <v>689</v>
      </c>
      <c r="B502" t="str">
        <f>RIGHT(TDays[[#This Row],[تاریخ]],2)</f>
        <v>12</v>
      </c>
      <c r="C502" t="str">
        <f>RIGHT(LEFT(TDays[[#This Row],[تاریخ]],7),2)</f>
        <v>05</v>
      </c>
      <c r="D502" t="str">
        <f>LEFT(TDays[[#This Row],[تاریخ]],4)</f>
        <v>1402</v>
      </c>
      <c r="E502" t="str">
        <f>LEFT(TDays[[#This Row],[تاریخ]],7)</f>
        <v>1402-05</v>
      </c>
      <c r="F502">
        <v>5</v>
      </c>
      <c r="G502" s="15" t="str">
        <f>VLOOKUP(TDays[[#This Row],[کد روز هفته]],TDaysOfTheWeek[],2,FALSE)</f>
        <v>پنجشنبه</v>
      </c>
      <c r="H502" s="15">
        <f>IFERROR(IF(E501&lt;&gt;E502,1,INT(H501)+IF(TDays[[#This Row],[کد روز هفته]]=0,1,0)),1)</f>
        <v>2</v>
      </c>
      <c r="I502">
        <f>-SUMIF(TArticle[تاریخ],TDays[[#This Row],[تاریخ]],TArticle[هزینه])</f>
        <v>0</v>
      </c>
      <c r="J502">
        <f>SUMIF(TArticle[تاریخ],TDays[[#This Row],[تاریخ]],TArticle[درآمد تتا])</f>
        <v>0</v>
      </c>
      <c r="K502">
        <f>SUMIF(TArticle[تاریخ],TDays[[#This Row],[تاریخ]],TArticle[اسنپ])</f>
        <v>0</v>
      </c>
      <c r="L502">
        <f>-SUMIF(TArticle[تاریخ],TDays[[#This Row],[تاریخ]],TArticle[پرداخت بدهی])</f>
        <v>0</v>
      </c>
      <c r="M502">
        <f>SUMIF(TArticle[تاریخ],TDays[[#This Row],[تاریخ]],TArticle[افزایش بدهی])</f>
        <v>0</v>
      </c>
      <c r="N502">
        <f>-SUMIF(TArticle[تاریخ],TDays[[#This Row],[تاریخ]],TArticle[افزایش سرمایه])</f>
        <v>0</v>
      </c>
      <c r="O502">
        <f>SUMIF(TArticle[تاریخ],TDays[[#This Row],[تاریخ]],TArticle[تعداد تراکنش انجام شده])</f>
        <v>0</v>
      </c>
      <c r="P502">
        <f>INT(((TDays[[#This Row],[ماه]]-1)*31+TDays[[#This Row],[روز]]+1)/7)+1</f>
        <v>20</v>
      </c>
      <c r="Q502">
        <f>SUMIF(TArticle[تاریخ],TDays[[#This Row],[تاریخ]],TArticle[تراکنش برنامه ریزی شده])</f>
        <v>0</v>
      </c>
    </row>
    <row r="503" spans="1:17" x14ac:dyDescent="0.25">
      <c r="A503" s="3" t="s">
        <v>690</v>
      </c>
      <c r="B503" t="str">
        <f>RIGHT(TDays[[#This Row],[تاریخ]],2)</f>
        <v>13</v>
      </c>
      <c r="C503" t="str">
        <f>RIGHT(LEFT(TDays[[#This Row],[تاریخ]],7),2)</f>
        <v>05</v>
      </c>
      <c r="D503" t="str">
        <f>LEFT(TDays[[#This Row],[تاریخ]],4)</f>
        <v>1402</v>
      </c>
      <c r="E503" t="str">
        <f>LEFT(TDays[[#This Row],[تاریخ]],7)</f>
        <v>1402-05</v>
      </c>
      <c r="F503">
        <v>6</v>
      </c>
      <c r="G503" s="15" t="str">
        <f>VLOOKUP(TDays[[#This Row],[کد روز هفته]],TDaysOfTheWeek[],2,FALSE)</f>
        <v>جمعه</v>
      </c>
      <c r="H503" s="15">
        <f>IFERROR(IF(E502&lt;&gt;E503,1,INT(H502)+IF(TDays[[#This Row],[کد روز هفته]]=0,1,0)),1)</f>
        <v>2</v>
      </c>
      <c r="I503">
        <f>-SUMIF(TArticle[تاریخ],TDays[[#This Row],[تاریخ]],TArticle[هزینه])</f>
        <v>0</v>
      </c>
      <c r="J503">
        <f>SUMIF(TArticle[تاریخ],TDays[[#This Row],[تاریخ]],TArticle[درآمد تتا])</f>
        <v>0</v>
      </c>
      <c r="K503">
        <f>SUMIF(TArticle[تاریخ],TDays[[#This Row],[تاریخ]],TArticle[اسنپ])</f>
        <v>0</v>
      </c>
      <c r="L503">
        <f>-SUMIF(TArticle[تاریخ],TDays[[#This Row],[تاریخ]],TArticle[پرداخت بدهی])</f>
        <v>0</v>
      </c>
      <c r="M503">
        <f>SUMIF(TArticle[تاریخ],TDays[[#This Row],[تاریخ]],TArticle[افزایش بدهی])</f>
        <v>0</v>
      </c>
      <c r="N503">
        <f>-SUMIF(TArticle[تاریخ],TDays[[#This Row],[تاریخ]],TArticle[افزایش سرمایه])</f>
        <v>0</v>
      </c>
      <c r="O503">
        <f>SUMIF(TArticle[تاریخ],TDays[[#This Row],[تاریخ]],TArticle[تعداد تراکنش انجام شده])</f>
        <v>0</v>
      </c>
      <c r="P503">
        <f>INT(((TDays[[#This Row],[ماه]]-1)*31+TDays[[#This Row],[روز]]+1)/7)+1</f>
        <v>20</v>
      </c>
      <c r="Q503">
        <f>SUMIF(TArticle[تاریخ],TDays[[#This Row],[تاریخ]],TArticle[تراکنش برنامه ریزی شده])</f>
        <v>0</v>
      </c>
    </row>
    <row r="504" spans="1:17" x14ac:dyDescent="0.25">
      <c r="A504" s="3" t="s">
        <v>74</v>
      </c>
      <c r="B504" t="str">
        <f>RIGHT(TDays[[#This Row],[تاریخ]],2)</f>
        <v>14</v>
      </c>
      <c r="C504" t="str">
        <f>RIGHT(LEFT(TDays[[#This Row],[تاریخ]],7),2)</f>
        <v>05</v>
      </c>
      <c r="D504" t="str">
        <f>LEFT(TDays[[#This Row],[تاریخ]],4)</f>
        <v>1402</v>
      </c>
      <c r="E504" t="str">
        <f>LEFT(TDays[[#This Row],[تاریخ]],7)</f>
        <v>1402-05</v>
      </c>
      <c r="F504">
        <v>0</v>
      </c>
      <c r="G504" s="15" t="str">
        <f>VLOOKUP(TDays[[#This Row],[کد روز هفته]],TDaysOfTheWeek[],2,FALSE)</f>
        <v>شنبه</v>
      </c>
      <c r="H504" s="15">
        <f>IFERROR(IF(E503&lt;&gt;E504,1,INT(H503)+IF(TDays[[#This Row],[کد روز هفته]]=0,1,0)),1)</f>
        <v>3</v>
      </c>
      <c r="I504">
        <f>-SUMIF(TArticle[تاریخ],TDays[[#This Row],[تاریخ]],TArticle[هزینه])</f>
        <v>0</v>
      </c>
      <c r="J504">
        <f>SUMIF(TArticle[تاریخ],TDays[[#This Row],[تاریخ]],TArticle[درآمد تتا])</f>
        <v>0</v>
      </c>
      <c r="K504">
        <f>SUMIF(TArticle[تاریخ],TDays[[#This Row],[تاریخ]],TArticle[اسنپ])</f>
        <v>0</v>
      </c>
      <c r="L504">
        <f>-SUMIF(TArticle[تاریخ],TDays[[#This Row],[تاریخ]],TArticle[پرداخت بدهی])</f>
        <v>0</v>
      </c>
      <c r="M504">
        <f>SUMIF(TArticle[تاریخ],TDays[[#This Row],[تاریخ]],TArticle[افزایش بدهی])</f>
        <v>0</v>
      </c>
      <c r="N504">
        <f>-SUMIF(TArticle[تاریخ],TDays[[#This Row],[تاریخ]],TArticle[افزایش سرمایه])</f>
        <v>0</v>
      </c>
      <c r="O504">
        <f>SUMIF(TArticle[تاریخ],TDays[[#This Row],[تاریخ]],TArticle[تعداد تراکنش انجام شده])</f>
        <v>0</v>
      </c>
      <c r="P504">
        <f>INT(((TDays[[#This Row],[ماه]]-1)*31+TDays[[#This Row],[روز]]+1)/7)+1</f>
        <v>20</v>
      </c>
      <c r="Q504">
        <f>SUMIF(TArticle[تاریخ],TDays[[#This Row],[تاریخ]],TArticle[تراکنش برنامه ریزی شده])</f>
        <v>1</v>
      </c>
    </row>
    <row r="505" spans="1:17" x14ac:dyDescent="0.25">
      <c r="A505" s="3" t="s">
        <v>691</v>
      </c>
      <c r="B505" t="str">
        <f>RIGHT(TDays[[#This Row],[تاریخ]],2)</f>
        <v>15</v>
      </c>
      <c r="C505" t="str">
        <f>RIGHT(LEFT(TDays[[#This Row],[تاریخ]],7),2)</f>
        <v>05</v>
      </c>
      <c r="D505" t="str">
        <f>LEFT(TDays[[#This Row],[تاریخ]],4)</f>
        <v>1402</v>
      </c>
      <c r="E505" t="str">
        <f>LEFT(TDays[[#This Row],[تاریخ]],7)</f>
        <v>1402-05</v>
      </c>
      <c r="F505">
        <v>1</v>
      </c>
      <c r="G505" s="15" t="str">
        <f>VLOOKUP(TDays[[#This Row],[کد روز هفته]],TDaysOfTheWeek[],2,FALSE)</f>
        <v>یکشنبه</v>
      </c>
      <c r="H505" s="15">
        <f>IFERROR(IF(E504&lt;&gt;E505,1,INT(H504)+IF(TDays[[#This Row],[کد روز هفته]]=0,1,0)),1)</f>
        <v>3</v>
      </c>
      <c r="I505">
        <f>-SUMIF(TArticle[تاریخ],TDays[[#This Row],[تاریخ]],TArticle[هزینه])</f>
        <v>0</v>
      </c>
      <c r="J505">
        <f>SUMIF(TArticle[تاریخ],TDays[[#This Row],[تاریخ]],TArticle[درآمد تتا])</f>
        <v>0</v>
      </c>
      <c r="K505">
        <f>SUMIF(TArticle[تاریخ],TDays[[#This Row],[تاریخ]],TArticle[اسنپ])</f>
        <v>0</v>
      </c>
      <c r="L505">
        <f>-SUMIF(TArticle[تاریخ],TDays[[#This Row],[تاریخ]],TArticle[پرداخت بدهی])</f>
        <v>0</v>
      </c>
      <c r="M505">
        <f>SUMIF(TArticle[تاریخ],TDays[[#This Row],[تاریخ]],TArticle[افزایش بدهی])</f>
        <v>0</v>
      </c>
      <c r="N505">
        <f>-SUMIF(TArticle[تاریخ],TDays[[#This Row],[تاریخ]],TArticle[افزایش سرمایه])</f>
        <v>0</v>
      </c>
      <c r="O505">
        <f>SUMIF(TArticle[تاریخ],TDays[[#This Row],[تاریخ]],TArticle[تعداد تراکنش انجام شده])</f>
        <v>0</v>
      </c>
      <c r="P505">
        <f>INT(((TDays[[#This Row],[ماه]]-1)*31+TDays[[#This Row],[روز]]+1)/7)+1</f>
        <v>21</v>
      </c>
      <c r="Q505">
        <f>SUMIF(TArticle[تاریخ],TDays[[#This Row],[تاریخ]],TArticle[تراکنش برنامه ریزی شده])</f>
        <v>0</v>
      </c>
    </row>
    <row r="506" spans="1:17" x14ac:dyDescent="0.25">
      <c r="A506" s="3" t="s">
        <v>692</v>
      </c>
      <c r="B506" t="str">
        <f>RIGHT(TDays[[#This Row],[تاریخ]],2)</f>
        <v>16</v>
      </c>
      <c r="C506" t="str">
        <f>RIGHT(LEFT(TDays[[#This Row],[تاریخ]],7),2)</f>
        <v>05</v>
      </c>
      <c r="D506" t="str">
        <f>LEFT(TDays[[#This Row],[تاریخ]],4)</f>
        <v>1402</v>
      </c>
      <c r="E506" t="str">
        <f>LEFT(TDays[[#This Row],[تاریخ]],7)</f>
        <v>1402-05</v>
      </c>
      <c r="F506">
        <v>2</v>
      </c>
      <c r="G506" s="15" t="str">
        <f>VLOOKUP(TDays[[#This Row],[کد روز هفته]],TDaysOfTheWeek[],2,FALSE)</f>
        <v>دوشنبه</v>
      </c>
      <c r="H506" s="15">
        <f>IFERROR(IF(E505&lt;&gt;E506,1,INT(H505)+IF(TDays[[#This Row],[کد روز هفته]]=0,1,0)),1)</f>
        <v>3</v>
      </c>
      <c r="I506">
        <f>-SUMIF(TArticle[تاریخ],TDays[[#This Row],[تاریخ]],TArticle[هزینه])</f>
        <v>0</v>
      </c>
      <c r="J506">
        <f>SUMIF(TArticle[تاریخ],TDays[[#This Row],[تاریخ]],TArticle[درآمد تتا])</f>
        <v>0</v>
      </c>
      <c r="K506">
        <f>SUMIF(TArticle[تاریخ],TDays[[#This Row],[تاریخ]],TArticle[اسنپ])</f>
        <v>0</v>
      </c>
      <c r="L506">
        <f>-SUMIF(TArticle[تاریخ],TDays[[#This Row],[تاریخ]],TArticle[پرداخت بدهی])</f>
        <v>0</v>
      </c>
      <c r="M506">
        <f>SUMIF(TArticle[تاریخ],TDays[[#This Row],[تاریخ]],TArticle[افزایش بدهی])</f>
        <v>0</v>
      </c>
      <c r="N506">
        <f>-SUMIF(TArticle[تاریخ],TDays[[#This Row],[تاریخ]],TArticle[افزایش سرمایه])</f>
        <v>0</v>
      </c>
      <c r="O506">
        <f>SUMIF(TArticle[تاریخ],TDays[[#This Row],[تاریخ]],TArticle[تعداد تراکنش انجام شده])</f>
        <v>0</v>
      </c>
      <c r="P506">
        <f>INT(((TDays[[#This Row],[ماه]]-1)*31+TDays[[#This Row],[روز]]+1)/7)+1</f>
        <v>21</v>
      </c>
      <c r="Q506">
        <f>SUMIF(TArticle[تاریخ],TDays[[#This Row],[تاریخ]],TArticle[تراکنش برنامه ریزی شده])</f>
        <v>0</v>
      </c>
    </row>
    <row r="507" spans="1:17" x14ac:dyDescent="0.25">
      <c r="A507" s="3" t="s">
        <v>693</v>
      </c>
      <c r="B507" t="str">
        <f>RIGHT(TDays[[#This Row],[تاریخ]],2)</f>
        <v>17</v>
      </c>
      <c r="C507" t="str">
        <f>RIGHT(LEFT(TDays[[#This Row],[تاریخ]],7),2)</f>
        <v>05</v>
      </c>
      <c r="D507" t="str">
        <f>LEFT(TDays[[#This Row],[تاریخ]],4)</f>
        <v>1402</v>
      </c>
      <c r="E507" t="str">
        <f>LEFT(TDays[[#This Row],[تاریخ]],7)</f>
        <v>1402-05</v>
      </c>
      <c r="F507">
        <v>3</v>
      </c>
      <c r="G507" s="15" t="str">
        <f>VLOOKUP(TDays[[#This Row],[کد روز هفته]],TDaysOfTheWeek[],2,FALSE)</f>
        <v>سه شنبه</v>
      </c>
      <c r="H507" s="15">
        <f>IFERROR(IF(E506&lt;&gt;E507,1,INT(H506)+IF(TDays[[#This Row],[کد روز هفته]]=0,1,0)),1)</f>
        <v>3</v>
      </c>
      <c r="I507">
        <f>-SUMIF(TArticle[تاریخ],TDays[[#This Row],[تاریخ]],TArticle[هزینه])</f>
        <v>0</v>
      </c>
      <c r="J507">
        <f>SUMIF(TArticle[تاریخ],TDays[[#This Row],[تاریخ]],TArticle[درآمد تتا])</f>
        <v>0</v>
      </c>
      <c r="K507">
        <f>SUMIF(TArticle[تاریخ],TDays[[#This Row],[تاریخ]],TArticle[اسنپ])</f>
        <v>0</v>
      </c>
      <c r="L507">
        <f>-SUMIF(TArticle[تاریخ],TDays[[#This Row],[تاریخ]],TArticle[پرداخت بدهی])</f>
        <v>0</v>
      </c>
      <c r="M507">
        <f>SUMIF(TArticle[تاریخ],TDays[[#This Row],[تاریخ]],TArticle[افزایش بدهی])</f>
        <v>0</v>
      </c>
      <c r="N507">
        <f>-SUMIF(TArticle[تاریخ],TDays[[#This Row],[تاریخ]],TArticle[افزایش سرمایه])</f>
        <v>0</v>
      </c>
      <c r="O507">
        <f>SUMIF(TArticle[تاریخ],TDays[[#This Row],[تاریخ]],TArticle[تعداد تراکنش انجام شده])</f>
        <v>0</v>
      </c>
      <c r="P507">
        <f>INT(((TDays[[#This Row],[ماه]]-1)*31+TDays[[#This Row],[روز]]+1)/7)+1</f>
        <v>21</v>
      </c>
      <c r="Q507">
        <f>SUMIF(TArticle[تاریخ],TDays[[#This Row],[تاریخ]],TArticle[تراکنش برنامه ریزی شده])</f>
        <v>1</v>
      </c>
    </row>
    <row r="508" spans="1:17" x14ac:dyDescent="0.25">
      <c r="A508" s="3" t="s">
        <v>694</v>
      </c>
      <c r="B508" t="str">
        <f>RIGHT(TDays[[#This Row],[تاریخ]],2)</f>
        <v>18</v>
      </c>
      <c r="C508" t="str">
        <f>RIGHT(LEFT(TDays[[#This Row],[تاریخ]],7),2)</f>
        <v>05</v>
      </c>
      <c r="D508" t="str">
        <f>LEFT(TDays[[#This Row],[تاریخ]],4)</f>
        <v>1402</v>
      </c>
      <c r="E508" t="str">
        <f>LEFT(TDays[[#This Row],[تاریخ]],7)</f>
        <v>1402-05</v>
      </c>
      <c r="F508">
        <v>4</v>
      </c>
      <c r="G508" s="15" t="str">
        <f>VLOOKUP(TDays[[#This Row],[کد روز هفته]],TDaysOfTheWeek[],2,FALSE)</f>
        <v>چهارشنبه</v>
      </c>
      <c r="H508" s="15">
        <f>IFERROR(IF(E507&lt;&gt;E508,1,INT(H507)+IF(TDays[[#This Row],[کد روز هفته]]=0,1,0)),1)</f>
        <v>3</v>
      </c>
      <c r="I508">
        <f>-SUMIF(TArticle[تاریخ],TDays[[#This Row],[تاریخ]],TArticle[هزینه])</f>
        <v>0</v>
      </c>
      <c r="J508">
        <f>SUMIF(TArticle[تاریخ],TDays[[#This Row],[تاریخ]],TArticle[درآمد تتا])</f>
        <v>0</v>
      </c>
      <c r="K508">
        <f>SUMIF(TArticle[تاریخ],TDays[[#This Row],[تاریخ]],TArticle[اسنپ])</f>
        <v>0</v>
      </c>
      <c r="L508">
        <f>-SUMIF(TArticle[تاریخ],TDays[[#This Row],[تاریخ]],TArticle[پرداخت بدهی])</f>
        <v>0</v>
      </c>
      <c r="M508">
        <f>SUMIF(TArticle[تاریخ],TDays[[#This Row],[تاریخ]],TArticle[افزایش بدهی])</f>
        <v>0</v>
      </c>
      <c r="N508">
        <f>-SUMIF(TArticle[تاریخ],TDays[[#This Row],[تاریخ]],TArticle[افزایش سرمایه])</f>
        <v>0</v>
      </c>
      <c r="O508">
        <f>SUMIF(TArticle[تاریخ],TDays[[#This Row],[تاریخ]],TArticle[تعداد تراکنش انجام شده])</f>
        <v>0</v>
      </c>
      <c r="P508">
        <f>INT(((TDays[[#This Row],[ماه]]-1)*31+TDays[[#This Row],[روز]]+1)/7)+1</f>
        <v>21</v>
      </c>
      <c r="Q508">
        <f>SUMIF(TArticle[تاریخ],TDays[[#This Row],[تاریخ]],TArticle[تراکنش برنامه ریزی شده])</f>
        <v>0</v>
      </c>
    </row>
    <row r="509" spans="1:17" x14ac:dyDescent="0.25">
      <c r="A509" s="3" t="s">
        <v>695</v>
      </c>
      <c r="B509" t="str">
        <f>RIGHT(TDays[[#This Row],[تاریخ]],2)</f>
        <v>19</v>
      </c>
      <c r="C509" t="str">
        <f>RIGHT(LEFT(TDays[[#This Row],[تاریخ]],7),2)</f>
        <v>05</v>
      </c>
      <c r="D509" t="str">
        <f>LEFT(TDays[[#This Row],[تاریخ]],4)</f>
        <v>1402</v>
      </c>
      <c r="E509" t="str">
        <f>LEFT(TDays[[#This Row],[تاریخ]],7)</f>
        <v>1402-05</v>
      </c>
      <c r="F509">
        <v>5</v>
      </c>
      <c r="G509" s="15" t="str">
        <f>VLOOKUP(TDays[[#This Row],[کد روز هفته]],TDaysOfTheWeek[],2,FALSE)</f>
        <v>پنجشنبه</v>
      </c>
      <c r="H509" s="15">
        <f>IFERROR(IF(E508&lt;&gt;E509,1,INT(H508)+IF(TDays[[#This Row],[کد روز هفته]]=0,1,0)),1)</f>
        <v>3</v>
      </c>
      <c r="I509">
        <f>-SUMIF(TArticle[تاریخ],TDays[[#This Row],[تاریخ]],TArticle[هزینه])</f>
        <v>0</v>
      </c>
      <c r="J509">
        <f>SUMIF(TArticle[تاریخ],TDays[[#This Row],[تاریخ]],TArticle[درآمد تتا])</f>
        <v>0</v>
      </c>
      <c r="K509">
        <f>SUMIF(TArticle[تاریخ],TDays[[#This Row],[تاریخ]],TArticle[اسنپ])</f>
        <v>0</v>
      </c>
      <c r="L509">
        <f>-SUMIF(TArticle[تاریخ],TDays[[#This Row],[تاریخ]],TArticle[پرداخت بدهی])</f>
        <v>0</v>
      </c>
      <c r="M509">
        <f>SUMIF(TArticle[تاریخ],TDays[[#This Row],[تاریخ]],TArticle[افزایش بدهی])</f>
        <v>0</v>
      </c>
      <c r="N509">
        <f>-SUMIF(TArticle[تاریخ],TDays[[#This Row],[تاریخ]],TArticle[افزایش سرمایه])</f>
        <v>0</v>
      </c>
      <c r="O509">
        <f>SUMIF(TArticle[تاریخ],TDays[[#This Row],[تاریخ]],TArticle[تعداد تراکنش انجام شده])</f>
        <v>0</v>
      </c>
      <c r="P509">
        <f>INT(((TDays[[#This Row],[ماه]]-1)*31+TDays[[#This Row],[روز]]+1)/7)+1</f>
        <v>21</v>
      </c>
      <c r="Q509">
        <f>SUMIF(TArticle[تاریخ],TDays[[#This Row],[تاریخ]],TArticle[تراکنش برنامه ریزی شده])</f>
        <v>0</v>
      </c>
    </row>
    <row r="510" spans="1:17" x14ac:dyDescent="0.25">
      <c r="A510" s="3" t="s">
        <v>696</v>
      </c>
      <c r="B510" t="str">
        <f>RIGHT(TDays[[#This Row],[تاریخ]],2)</f>
        <v>20</v>
      </c>
      <c r="C510" t="str">
        <f>RIGHT(LEFT(TDays[[#This Row],[تاریخ]],7),2)</f>
        <v>05</v>
      </c>
      <c r="D510" t="str">
        <f>LEFT(TDays[[#This Row],[تاریخ]],4)</f>
        <v>1402</v>
      </c>
      <c r="E510" t="str">
        <f>LEFT(TDays[[#This Row],[تاریخ]],7)</f>
        <v>1402-05</v>
      </c>
      <c r="F510">
        <v>6</v>
      </c>
      <c r="G510" s="15" t="str">
        <f>VLOOKUP(TDays[[#This Row],[کد روز هفته]],TDaysOfTheWeek[],2,FALSE)</f>
        <v>جمعه</v>
      </c>
      <c r="H510" s="15">
        <f>IFERROR(IF(E509&lt;&gt;E510,1,INT(H509)+IF(TDays[[#This Row],[کد روز هفته]]=0,1,0)),1)</f>
        <v>3</v>
      </c>
      <c r="I510">
        <f>-SUMIF(TArticle[تاریخ],TDays[[#This Row],[تاریخ]],TArticle[هزینه])</f>
        <v>0</v>
      </c>
      <c r="J510">
        <f>SUMIF(TArticle[تاریخ],TDays[[#This Row],[تاریخ]],TArticle[درآمد تتا])</f>
        <v>0</v>
      </c>
      <c r="K510">
        <f>SUMIF(TArticle[تاریخ],TDays[[#This Row],[تاریخ]],TArticle[اسنپ])</f>
        <v>0</v>
      </c>
      <c r="L510">
        <f>-SUMIF(TArticle[تاریخ],TDays[[#This Row],[تاریخ]],TArticle[پرداخت بدهی])</f>
        <v>0</v>
      </c>
      <c r="M510">
        <f>SUMIF(TArticle[تاریخ],TDays[[#This Row],[تاریخ]],TArticle[افزایش بدهی])</f>
        <v>0</v>
      </c>
      <c r="N510">
        <f>-SUMIF(TArticle[تاریخ],TDays[[#This Row],[تاریخ]],TArticle[افزایش سرمایه])</f>
        <v>0</v>
      </c>
      <c r="O510">
        <f>SUMIF(TArticle[تاریخ],TDays[[#This Row],[تاریخ]],TArticle[تعداد تراکنش انجام شده])</f>
        <v>0</v>
      </c>
      <c r="P510">
        <f>INT(((TDays[[#This Row],[ماه]]-1)*31+TDays[[#This Row],[روز]]+1)/7)+1</f>
        <v>21</v>
      </c>
      <c r="Q510">
        <f>SUMIF(TArticle[تاریخ],TDays[[#This Row],[تاریخ]],TArticle[تراکنش برنامه ریزی شده])</f>
        <v>1</v>
      </c>
    </row>
    <row r="511" spans="1:17" x14ac:dyDescent="0.25">
      <c r="A511" s="3" t="s">
        <v>697</v>
      </c>
      <c r="B511" t="str">
        <f>RIGHT(TDays[[#This Row],[تاریخ]],2)</f>
        <v>21</v>
      </c>
      <c r="C511" t="str">
        <f>RIGHT(LEFT(TDays[[#This Row],[تاریخ]],7),2)</f>
        <v>05</v>
      </c>
      <c r="D511" t="str">
        <f>LEFT(TDays[[#This Row],[تاریخ]],4)</f>
        <v>1402</v>
      </c>
      <c r="E511" t="str">
        <f>LEFT(TDays[[#This Row],[تاریخ]],7)</f>
        <v>1402-05</v>
      </c>
      <c r="F511">
        <v>0</v>
      </c>
      <c r="G511" s="15" t="str">
        <f>VLOOKUP(TDays[[#This Row],[کد روز هفته]],TDaysOfTheWeek[],2,FALSE)</f>
        <v>شنبه</v>
      </c>
      <c r="H511" s="15">
        <f>IFERROR(IF(E510&lt;&gt;E511,1,INT(H510)+IF(TDays[[#This Row],[کد روز هفته]]=0,1,0)),1)</f>
        <v>4</v>
      </c>
      <c r="I511">
        <f>-SUMIF(TArticle[تاریخ],TDays[[#This Row],[تاریخ]],TArticle[هزینه])</f>
        <v>0</v>
      </c>
      <c r="J511">
        <f>SUMIF(TArticle[تاریخ],TDays[[#This Row],[تاریخ]],TArticle[درآمد تتا])</f>
        <v>0</v>
      </c>
      <c r="K511">
        <f>SUMIF(TArticle[تاریخ],TDays[[#This Row],[تاریخ]],TArticle[اسنپ])</f>
        <v>0</v>
      </c>
      <c r="L511">
        <f>-SUMIF(TArticle[تاریخ],TDays[[#This Row],[تاریخ]],TArticle[پرداخت بدهی])</f>
        <v>0</v>
      </c>
      <c r="M511">
        <f>SUMIF(TArticle[تاریخ],TDays[[#This Row],[تاریخ]],TArticle[افزایش بدهی])</f>
        <v>0</v>
      </c>
      <c r="N511">
        <f>-SUMIF(TArticle[تاریخ],TDays[[#This Row],[تاریخ]],TArticle[افزایش سرمایه])</f>
        <v>0</v>
      </c>
      <c r="O511">
        <f>SUMIF(TArticle[تاریخ],TDays[[#This Row],[تاریخ]],TArticle[تعداد تراکنش انجام شده])</f>
        <v>0</v>
      </c>
      <c r="P511">
        <f>INT(((TDays[[#This Row],[ماه]]-1)*31+TDays[[#This Row],[روز]]+1)/7)+1</f>
        <v>21</v>
      </c>
      <c r="Q511">
        <f>SUMIF(TArticle[تاریخ],TDays[[#This Row],[تاریخ]],TArticle[تراکنش برنامه ریزی شده])</f>
        <v>0</v>
      </c>
    </row>
    <row r="512" spans="1:17" x14ac:dyDescent="0.25">
      <c r="A512" s="3" t="s">
        <v>698</v>
      </c>
      <c r="B512" t="str">
        <f>RIGHT(TDays[[#This Row],[تاریخ]],2)</f>
        <v>22</v>
      </c>
      <c r="C512" t="str">
        <f>RIGHT(LEFT(TDays[[#This Row],[تاریخ]],7),2)</f>
        <v>05</v>
      </c>
      <c r="D512" t="str">
        <f>LEFT(TDays[[#This Row],[تاریخ]],4)</f>
        <v>1402</v>
      </c>
      <c r="E512" t="str">
        <f>LEFT(TDays[[#This Row],[تاریخ]],7)</f>
        <v>1402-05</v>
      </c>
      <c r="F512">
        <v>1</v>
      </c>
      <c r="G512" s="15" t="str">
        <f>VLOOKUP(TDays[[#This Row],[کد روز هفته]],TDaysOfTheWeek[],2,FALSE)</f>
        <v>یکشنبه</v>
      </c>
      <c r="H512" s="15">
        <f>IFERROR(IF(E511&lt;&gt;E512,1,INT(H511)+IF(TDays[[#This Row],[کد روز هفته]]=0,1,0)),1)</f>
        <v>4</v>
      </c>
      <c r="I512">
        <f>-SUMIF(TArticle[تاریخ],TDays[[#This Row],[تاریخ]],TArticle[هزینه])</f>
        <v>0</v>
      </c>
      <c r="J512">
        <f>SUMIF(TArticle[تاریخ],TDays[[#This Row],[تاریخ]],TArticle[درآمد تتا])</f>
        <v>0</v>
      </c>
      <c r="K512">
        <f>SUMIF(TArticle[تاریخ],TDays[[#This Row],[تاریخ]],TArticle[اسنپ])</f>
        <v>0</v>
      </c>
      <c r="L512">
        <f>-SUMIF(TArticle[تاریخ],TDays[[#This Row],[تاریخ]],TArticle[پرداخت بدهی])</f>
        <v>0</v>
      </c>
      <c r="M512">
        <f>SUMIF(TArticle[تاریخ],TDays[[#This Row],[تاریخ]],TArticle[افزایش بدهی])</f>
        <v>0</v>
      </c>
      <c r="N512">
        <f>-SUMIF(TArticle[تاریخ],TDays[[#This Row],[تاریخ]],TArticle[افزایش سرمایه])</f>
        <v>0</v>
      </c>
      <c r="O512">
        <f>SUMIF(TArticle[تاریخ],TDays[[#This Row],[تاریخ]],TArticle[تعداد تراکنش انجام شده])</f>
        <v>0</v>
      </c>
      <c r="P512">
        <f>INT(((TDays[[#This Row],[ماه]]-1)*31+TDays[[#This Row],[روز]]+1)/7)+1</f>
        <v>22</v>
      </c>
      <c r="Q512">
        <f>SUMIF(TArticle[تاریخ],TDays[[#This Row],[تاریخ]],TArticle[تراکنش برنامه ریزی شده])</f>
        <v>0</v>
      </c>
    </row>
    <row r="513" spans="1:17" x14ac:dyDescent="0.25">
      <c r="A513" s="3" t="s">
        <v>699</v>
      </c>
      <c r="B513" t="str">
        <f>RIGHT(TDays[[#This Row],[تاریخ]],2)</f>
        <v>23</v>
      </c>
      <c r="C513" t="str">
        <f>RIGHT(LEFT(TDays[[#This Row],[تاریخ]],7),2)</f>
        <v>05</v>
      </c>
      <c r="D513" t="str">
        <f>LEFT(TDays[[#This Row],[تاریخ]],4)</f>
        <v>1402</v>
      </c>
      <c r="E513" t="str">
        <f>LEFT(TDays[[#This Row],[تاریخ]],7)</f>
        <v>1402-05</v>
      </c>
      <c r="F513">
        <v>2</v>
      </c>
      <c r="G513" s="15" t="str">
        <f>VLOOKUP(TDays[[#This Row],[کد روز هفته]],TDaysOfTheWeek[],2,FALSE)</f>
        <v>دوشنبه</v>
      </c>
      <c r="H513" s="15">
        <f>IFERROR(IF(E512&lt;&gt;E513,1,INT(H512)+IF(TDays[[#This Row],[کد روز هفته]]=0,1,0)),1)</f>
        <v>4</v>
      </c>
      <c r="I513">
        <f>-SUMIF(TArticle[تاریخ],TDays[[#This Row],[تاریخ]],TArticle[هزینه])</f>
        <v>0</v>
      </c>
      <c r="J513">
        <f>SUMIF(TArticle[تاریخ],TDays[[#This Row],[تاریخ]],TArticle[درآمد تتا])</f>
        <v>0</v>
      </c>
      <c r="K513">
        <f>SUMIF(TArticle[تاریخ],TDays[[#This Row],[تاریخ]],TArticle[اسنپ])</f>
        <v>0</v>
      </c>
      <c r="L513">
        <f>-SUMIF(TArticle[تاریخ],TDays[[#This Row],[تاریخ]],TArticle[پرداخت بدهی])</f>
        <v>0</v>
      </c>
      <c r="M513">
        <f>SUMIF(TArticle[تاریخ],TDays[[#This Row],[تاریخ]],TArticle[افزایش بدهی])</f>
        <v>0</v>
      </c>
      <c r="N513">
        <f>-SUMIF(TArticle[تاریخ],TDays[[#This Row],[تاریخ]],TArticle[افزایش سرمایه])</f>
        <v>0</v>
      </c>
      <c r="O513">
        <f>SUMIF(TArticle[تاریخ],TDays[[#This Row],[تاریخ]],TArticle[تعداد تراکنش انجام شده])</f>
        <v>0</v>
      </c>
      <c r="P513">
        <f>INT(((TDays[[#This Row],[ماه]]-1)*31+TDays[[#This Row],[روز]]+1)/7)+1</f>
        <v>22</v>
      </c>
      <c r="Q513">
        <f>SUMIF(TArticle[تاریخ],TDays[[#This Row],[تاریخ]],TArticle[تراکنش برنامه ریزی شده])</f>
        <v>0</v>
      </c>
    </row>
    <row r="514" spans="1:17" x14ac:dyDescent="0.25">
      <c r="A514" s="3" t="s">
        <v>700</v>
      </c>
      <c r="B514" t="str">
        <f>RIGHT(TDays[[#This Row],[تاریخ]],2)</f>
        <v>24</v>
      </c>
      <c r="C514" t="str">
        <f>RIGHT(LEFT(TDays[[#This Row],[تاریخ]],7),2)</f>
        <v>05</v>
      </c>
      <c r="D514" t="str">
        <f>LEFT(TDays[[#This Row],[تاریخ]],4)</f>
        <v>1402</v>
      </c>
      <c r="E514" t="str">
        <f>LEFT(TDays[[#This Row],[تاریخ]],7)</f>
        <v>1402-05</v>
      </c>
      <c r="F514">
        <v>3</v>
      </c>
      <c r="G514" s="15" t="str">
        <f>VLOOKUP(TDays[[#This Row],[کد روز هفته]],TDaysOfTheWeek[],2,FALSE)</f>
        <v>سه شنبه</v>
      </c>
      <c r="H514" s="15">
        <f>IFERROR(IF(E513&lt;&gt;E514,1,INT(H513)+IF(TDays[[#This Row],[کد روز هفته]]=0,1,0)),1)</f>
        <v>4</v>
      </c>
      <c r="I514">
        <f>-SUMIF(TArticle[تاریخ],TDays[[#This Row],[تاریخ]],TArticle[هزینه])</f>
        <v>0</v>
      </c>
      <c r="J514">
        <f>SUMIF(TArticle[تاریخ],TDays[[#This Row],[تاریخ]],TArticle[درآمد تتا])</f>
        <v>0</v>
      </c>
      <c r="K514">
        <f>SUMIF(TArticle[تاریخ],TDays[[#This Row],[تاریخ]],TArticle[اسنپ])</f>
        <v>0</v>
      </c>
      <c r="L514">
        <f>-SUMIF(TArticle[تاریخ],TDays[[#This Row],[تاریخ]],TArticle[پرداخت بدهی])</f>
        <v>0</v>
      </c>
      <c r="M514">
        <f>SUMIF(TArticle[تاریخ],TDays[[#This Row],[تاریخ]],TArticle[افزایش بدهی])</f>
        <v>0</v>
      </c>
      <c r="N514">
        <f>-SUMIF(TArticle[تاریخ],TDays[[#This Row],[تاریخ]],TArticle[افزایش سرمایه])</f>
        <v>0</v>
      </c>
      <c r="O514">
        <f>SUMIF(TArticle[تاریخ],TDays[[#This Row],[تاریخ]],TArticle[تعداد تراکنش انجام شده])</f>
        <v>0</v>
      </c>
      <c r="P514">
        <f>INT(((TDays[[#This Row],[ماه]]-1)*31+TDays[[#This Row],[روز]]+1)/7)+1</f>
        <v>22</v>
      </c>
      <c r="Q514">
        <f>SUMIF(TArticle[تاریخ],TDays[[#This Row],[تاریخ]],TArticle[تراکنش برنامه ریزی شده])</f>
        <v>0</v>
      </c>
    </row>
    <row r="515" spans="1:17" x14ac:dyDescent="0.25">
      <c r="A515" s="3" t="s">
        <v>701</v>
      </c>
      <c r="B515" t="str">
        <f>RIGHT(TDays[[#This Row],[تاریخ]],2)</f>
        <v>25</v>
      </c>
      <c r="C515" t="str">
        <f>RIGHT(LEFT(TDays[[#This Row],[تاریخ]],7),2)</f>
        <v>05</v>
      </c>
      <c r="D515" t="str">
        <f>LEFT(TDays[[#This Row],[تاریخ]],4)</f>
        <v>1402</v>
      </c>
      <c r="E515" t="str">
        <f>LEFT(TDays[[#This Row],[تاریخ]],7)</f>
        <v>1402-05</v>
      </c>
      <c r="F515">
        <v>4</v>
      </c>
      <c r="G515" s="15" t="str">
        <f>VLOOKUP(TDays[[#This Row],[کد روز هفته]],TDaysOfTheWeek[],2,FALSE)</f>
        <v>چهارشنبه</v>
      </c>
      <c r="H515" s="15">
        <f>IFERROR(IF(E514&lt;&gt;E515,1,INT(H514)+IF(TDays[[#This Row],[کد روز هفته]]=0,1,0)),1)</f>
        <v>4</v>
      </c>
      <c r="I515">
        <f>-SUMIF(TArticle[تاریخ],TDays[[#This Row],[تاریخ]],TArticle[هزینه])</f>
        <v>0</v>
      </c>
      <c r="J515">
        <f>SUMIF(TArticle[تاریخ],TDays[[#This Row],[تاریخ]],TArticle[درآمد تتا])</f>
        <v>0</v>
      </c>
      <c r="K515">
        <f>SUMIF(TArticle[تاریخ],TDays[[#This Row],[تاریخ]],TArticle[اسنپ])</f>
        <v>0</v>
      </c>
      <c r="L515">
        <f>-SUMIF(TArticle[تاریخ],TDays[[#This Row],[تاریخ]],TArticle[پرداخت بدهی])</f>
        <v>0</v>
      </c>
      <c r="M515">
        <f>SUMIF(TArticle[تاریخ],TDays[[#This Row],[تاریخ]],TArticle[افزایش بدهی])</f>
        <v>0</v>
      </c>
      <c r="N515">
        <f>-SUMIF(TArticle[تاریخ],TDays[[#This Row],[تاریخ]],TArticle[افزایش سرمایه])</f>
        <v>0</v>
      </c>
      <c r="O515">
        <f>SUMIF(TArticle[تاریخ],TDays[[#This Row],[تاریخ]],TArticle[تعداد تراکنش انجام شده])</f>
        <v>0</v>
      </c>
      <c r="P515">
        <f>INT(((TDays[[#This Row],[ماه]]-1)*31+TDays[[#This Row],[روز]]+1)/7)+1</f>
        <v>22</v>
      </c>
      <c r="Q515">
        <f>SUMIF(TArticle[تاریخ],TDays[[#This Row],[تاریخ]],TArticle[تراکنش برنامه ریزی شده])</f>
        <v>0</v>
      </c>
    </row>
    <row r="516" spans="1:17" x14ac:dyDescent="0.25">
      <c r="A516" s="3" t="s">
        <v>702</v>
      </c>
      <c r="B516" t="str">
        <f>RIGHT(TDays[[#This Row],[تاریخ]],2)</f>
        <v>26</v>
      </c>
      <c r="C516" t="str">
        <f>RIGHT(LEFT(TDays[[#This Row],[تاریخ]],7),2)</f>
        <v>05</v>
      </c>
      <c r="D516" t="str">
        <f>LEFT(TDays[[#This Row],[تاریخ]],4)</f>
        <v>1402</v>
      </c>
      <c r="E516" t="str">
        <f>LEFT(TDays[[#This Row],[تاریخ]],7)</f>
        <v>1402-05</v>
      </c>
      <c r="F516">
        <v>5</v>
      </c>
      <c r="G516" s="15" t="str">
        <f>VLOOKUP(TDays[[#This Row],[کد روز هفته]],TDaysOfTheWeek[],2,FALSE)</f>
        <v>پنجشنبه</v>
      </c>
      <c r="H516" s="15">
        <f>IFERROR(IF(E515&lt;&gt;E516,1,INT(H515)+IF(TDays[[#This Row],[کد روز هفته]]=0,1,0)),1)</f>
        <v>4</v>
      </c>
      <c r="I516">
        <f>-SUMIF(TArticle[تاریخ],TDays[[#This Row],[تاریخ]],TArticle[هزینه])</f>
        <v>0</v>
      </c>
      <c r="J516">
        <f>SUMIF(TArticle[تاریخ],TDays[[#This Row],[تاریخ]],TArticle[درآمد تتا])</f>
        <v>0</v>
      </c>
      <c r="K516">
        <f>SUMIF(TArticle[تاریخ],TDays[[#This Row],[تاریخ]],TArticle[اسنپ])</f>
        <v>0</v>
      </c>
      <c r="L516">
        <f>-SUMIF(TArticle[تاریخ],TDays[[#This Row],[تاریخ]],TArticle[پرداخت بدهی])</f>
        <v>0</v>
      </c>
      <c r="M516">
        <f>SUMIF(TArticle[تاریخ],TDays[[#This Row],[تاریخ]],TArticle[افزایش بدهی])</f>
        <v>0</v>
      </c>
      <c r="N516">
        <f>-SUMIF(TArticle[تاریخ],TDays[[#This Row],[تاریخ]],TArticle[افزایش سرمایه])</f>
        <v>0</v>
      </c>
      <c r="O516">
        <f>SUMIF(TArticle[تاریخ],TDays[[#This Row],[تاریخ]],TArticle[تعداد تراکنش انجام شده])</f>
        <v>0</v>
      </c>
      <c r="P516">
        <f>INT(((TDays[[#This Row],[ماه]]-1)*31+TDays[[#This Row],[روز]]+1)/7)+1</f>
        <v>22</v>
      </c>
      <c r="Q516">
        <f>SUMIF(TArticle[تاریخ],TDays[[#This Row],[تاریخ]],TArticle[تراکنش برنامه ریزی شده])</f>
        <v>0</v>
      </c>
    </row>
    <row r="517" spans="1:17" x14ac:dyDescent="0.25">
      <c r="A517" s="3" t="s">
        <v>703</v>
      </c>
      <c r="B517" t="str">
        <f>RIGHT(TDays[[#This Row],[تاریخ]],2)</f>
        <v>27</v>
      </c>
      <c r="C517" t="str">
        <f>RIGHT(LEFT(TDays[[#This Row],[تاریخ]],7),2)</f>
        <v>05</v>
      </c>
      <c r="D517" t="str">
        <f>LEFT(TDays[[#This Row],[تاریخ]],4)</f>
        <v>1402</v>
      </c>
      <c r="E517" t="str">
        <f>LEFT(TDays[[#This Row],[تاریخ]],7)</f>
        <v>1402-05</v>
      </c>
      <c r="F517">
        <v>6</v>
      </c>
      <c r="G517" s="15" t="str">
        <f>VLOOKUP(TDays[[#This Row],[کد روز هفته]],TDaysOfTheWeek[],2,FALSE)</f>
        <v>جمعه</v>
      </c>
      <c r="H517" s="15">
        <f>IFERROR(IF(E516&lt;&gt;E517,1,INT(H516)+IF(TDays[[#This Row],[کد روز هفته]]=0,1,0)),1)</f>
        <v>4</v>
      </c>
      <c r="I517">
        <f>-SUMIF(TArticle[تاریخ],TDays[[#This Row],[تاریخ]],TArticle[هزینه])</f>
        <v>0</v>
      </c>
      <c r="J517">
        <f>SUMIF(TArticle[تاریخ],TDays[[#This Row],[تاریخ]],TArticle[درآمد تتا])</f>
        <v>0</v>
      </c>
      <c r="K517">
        <f>SUMIF(TArticle[تاریخ],TDays[[#This Row],[تاریخ]],TArticle[اسنپ])</f>
        <v>0</v>
      </c>
      <c r="L517">
        <f>-SUMIF(TArticle[تاریخ],TDays[[#This Row],[تاریخ]],TArticle[پرداخت بدهی])</f>
        <v>0</v>
      </c>
      <c r="M517">
        <f>SUMIF(TArticle[تاریخ],TDays[[#This Row],[تاریخ]],TArticle[افزایش بدهی])</f>
        <v>0</v>
      </c>
      <c r="N517">
        <f>-SUMIF(TArticle[تاریخ],TDays[[#This Row],[تاریخ]],TArticle[افزایش سرمایه])</f>
        <v>0</v>
      </c>
      <c r="O517">
        <f>SUMIF(TArticle[تاریخ],TDays[[#This Row],[تاریخ]],TArticle[تعداد تراکنش انجام شده])</f>
        <v>0</v>
      </c>
      <c r="P517">
        <f>INT(((TDays[[#This Row],[ماه]]-1)*31+TDays[[#This Row],[روز]]+1)/7)+1</f>
        <v>22</v>
      </c>
      <c r="Q517">
        <f>SUMIF(TArticle[تاریخ],TDays[[#This Row],[تاریخ]],TArticle[تراکنش برنامه ریزی شده])</f>
        <v>0</v>
      </c>
    </row>
    <row r="518" spans="1:17" x14ac:dyDescent="0.25">
      <c r="A518" s="3" t="s">
        <v>704</v>
      </c>
      <c r="B518" t="str">
        <f>RIGHT(TDays[[#This Row],[تاریخ]],2)</f>
        <v>28</v>
      </c>
      <c r="C518" t="str">
        <f>RIGHT(LEFT(TDays[[#This Row],[تاریخ]],7),2)</f>
        <v>05</v>
      </c>
      <c r="D518" t="str">
        <f>LEFT(TDays[[#This Row],[تاریخ]],4)</f>
        <v>1402</v>
      </c>
      <c r="E518" t="str">
        <f>LEFT(TDays[[#This Row],[تاریخ]],7)</f>
        <v>1402-05</v>
      </c>
      <c r="F518">
        <v>0</v>
      </c>
      <c r="G518" s="15" t="str">
        <f>VLOOKUP(TDays[[#This Row],[کد روز هفته]],TDaysOfTheWeek[],2,FALSE)</f>
        <v>شنبه</v>
      </c>
      <c r="H518" s="15">
        <f>IFERROR(IF(E517&lt;&gt;E518,1,INT(H517)+IF(TDays[[#This Row],[کد روز هفته]]=0,1,0)),1)</f>
        <v>5</v>
      </c>
      <c r="I518">
        <f>-SUMIF(TArticle[تاریخ],TDays[[#This Row],[تاریخ]],TArticle[هزینه])</f>
        <v>0</v>
      </c>
      <c r="J518">
        <f>SUMIF(TArticle[تاریخ],TDays[[#This Row],[تاریخ]],TArticle[درآمد تتا])</f>
        <v>0</v>
      </c>
      <c r="K518">
        <f>SUMIF(TArticle[تاریخ],TDays[[#This Row],[تاریخ]],TArticle[اسنپ])</f>
        <v>0</v>
      </c>
      <c r="L518">
        <f>-SUMIF(TArticle[تاریخ],TDays[[#This Row],[تاریخ]],TArticle[پرداخت بدهی])</f>
        <v>0</v>
      </c>
      <c r="M518">
        <f>SUMIF(TArticle[تاریخ],TDays[[#This Row],[تاریخ]],TArticle[افزایش بدهی])</f>
        <v>0</v>
      </c>
      <c r="N518">
        <f>-SUMIF(TArticle[تاریخ],TDays[[#This Row],[تاریخ]],TArticle[افزایش سرمایه])</f>
        <v>0</v>
      </c>
      <c r="O518">
        <f>SUMIF(TArticle[تاریخ],TDays[[#This Row],[تاریخ]],TArticle[تعداد تراکنش انجام شده])</f>
        <v>0</v>
      </c>
      <c r="P518">
        <f>INT(((TDays[[#This Row],[ماه]]-1)*31+TDays[[#This Row],[روز]]+1)/7)+1</f>
        <v>22</v>
      </c>
      <c r="Q518">
        <f>SUMIF(TArticle[تاریخ],TDays[[#This Row],[تاریخ]],TArticle[تراکنش برنامه ریزی شده])</f>
        <v>1</v>
      </c>
    </row>
    <row r="519" spans="1:17" x14ac:dyDescent="0.25">
      <c r="A519" s="3" t="s">
        <v>705</v>
      </c>
      <c r="B519" t="str">
        <f>RIGHT(TDays[[#This Row],[تاریخ]],2)</f>
        <v>29</v>
      </c>
      <c r="C519" t="str">
        <f>RIGHT(LEFT(TDays[[#This Row],[تاریخ]],7),2)</f>
        <v>05</v>
      </c>
      <c r="D519" t="str">
        <f>LEFT(TDays[[#This Row],[تاریخ]],4)</f>
        <v>1402</v>
      </c>
      <c r="E519" t="str">
        <f>LEFT(TDays[[#This Row],[تاریخ]],7)</f>
        <v>1402-05</v>
      </c>
      <c r="F519">
        <v>1</v>
      </c>
      <c r="G519" s="15" t="str">
        <f>VLOOKUP(TDays[[#This Row],[کد روز هفته]],TDaysOfTheWeek[],2,FALSE)</f>
        <v>یکشنبه</v>
      </c>
      <c r="H519" s="15">
        <f>IFERROR(IF(E518&lt;&gt;E519,1,INT(H518)+IF(TDays[[#This Row],[کد روز هفته]]=0,1,0)),1)</f>
        <v>5</v>
      </c>
      <c r="I519">
        <f>-SUMIF(TArticle[تاریخ],TDays[[#This Row],[تاریخ]],TArticle[هزینه])</f>
        <v>0</v>
      </c>
      <c r="J519">
        <f>SUMIF(TArticle[تاریخ],TDays[[#This Row],[تاریخ]],TArticle[درآمد تتا])</f>
        <v>0</v>
      </c>
      <c r="K519">
        <f>SUMIF(TArticle[تاریخ],TDays[[#This Row],[تاریخ]],TArticle[اسنپ])</f>
        <v>0</v>
      </c>
      <c r="L519">
        <f>-SUMIF(TArticle[تاریخ],TDays[[#This Row],[تاریخ]],TArticle[پرداخت بدهی])</f>
        <v>0</v>
      </c>
      <c r="M519">
        <f>SUMIF(TArticle[تاریخ],TDays[[#This Row],[تاریخ]],TArticle[افزایش بدهی])</f>
        <v>0</v>
      </c>
      <c r="N519">
        <f>-SUMIF(TArticle[تاریخ],TDays[[#This Row],[تاریخ]],TArticle[افزایش سرمایه])</f>
        <v>0</v>
      </c>
      <c r="O519">
        <f>SUMIF(TArticle[تاریخ],TDays[[#This Row],[تاریخ]],TArticle[تعداد تراکنش انجام شده])</f>
        <v>0</v>
      </c>
      <c r="P519">
        <f>INT(((TDays[[#This Row],[ماه]]-1)*31+TDays[[#This Row],[روز]]+1)/7)+1</f>
        <v>23</v>
      </c>
      <c r="Q519">
        <f>SUMIF(TArticle[تاریخ],TDays[[#This Row],[تاریخ]],TArticle[تراکنش برنامه ریزی شده])</f>
        <v>0</v>
      </c>
    </row>
    <row r="520" spans="1:17" x14ac:dyDescent="0.25">
      <c r="A520" s="3" t="s">
        <v>706</v>
      </c>
      <c r="B520" t="str">
        <f>RIGHT(TDays[[#This Row],[تاریخ]],2)</f>
        <v>30</v>
      </c>
      <c r="C520" t="str">
        <f>RIGHT(LEFT(TDays[[#This Row],[تاریخ]],7),2)</f>
        <v>05</v>
      </c>
      <c r="D520" t="str">
        <f>LEFT(TDays[[#This Row],[تاریخ]],4)</f>
        <v>1402</v>
      </c>
      <c r="E520" t="str">
        <f>LEFT(TDays[[#This Row],[تاریخ]],7)</f>
        <v>1402-05</v>
      </c>
      <c r="F520">
        <v>2</v>
      </c>
      <c r="G520" s="15" t="str">
        <f>VLOOKUP(TDays[[#This Row],[کد روز هفته]],TDaysOfTheWeek[],2,FALSE)</f>
        <v>دوشنبه</v>
      </c>
      <c r="H520" s="15">
        <f>IFERROR(IF(E519&lt;&gt;E520,1,INT(H519)+IF(TDays[[#This Row],[کد روز هفته]]=0,1,0)),1)</f>
        <v>5</v>
      </c>
      <c r="I520">
        <f>-SUMIF(TArticle[تاریخ],TDays[[#This Row],[تاریخ]],TArticle[هزینه])</f>
        <v>0</v>
      </c>
      <c r="J520">
        <f>SUMIF(TArticle[تاریخ],TDays[[#This Row],[تاریخ]],TArticle[درآمد تتا])</f>
        <v>0</v>
      </c>
      <c r="K520">
        <f>SUMIF(TArticle[تاریخ],TDays[[#This Row],[تاریخ]],TArticle[اسنپ])</f>
        <v>0</v>
      </c>
      <c r="L520">
        <f>-SUMIF(TArticle[تاریخ],TDays[[#This Row],[تاریخ]],TArticle[پرداخت بدهی])</f>
        <v>0</v>
      </c>
      <c r="M520">
        <f>SUMIF(TArticle[تاریخ],TDays[[#This Row],[تاریخ]],TArticle[افزایش بدهی])</f>
        <v>0</v>
      </c>
      <c r="N520">
        <f>-SUMIF(TArticle[تاریخ],TDays[[#This Row],[تاریخ]],TArticle[افزایش سرمایه])</f>
        <v>0</v>
      </c>
      <c r="O520">
        <f>SUMIF(TArticle[تاریخ],TDays[[#This Row],[تاریخ]],TArticle[تعداد تراکنش انجام شده])</f>
        <v>0</v>
      </c>
      <c r="P520">
        <f>INT(((TDays[[#This Row],[ماه]]-1)*31+TDays[[#This Row],[روز]]+1)/7)+1</f>
        <v>23</v>
      </c>
      <c r="Q520">
        <f>SUMIF(TArticle[تاریخ],TDays[[#This Row],[تاریخ]],TArticle[تراکنش برنامه ریزی شده])</f>
        <v>0</v>
      </c>
    </row>
    <row r="521" spans="1:17" x14ac:dyDescent="0.25">
      <c r="A521" s="3" t="s">
        <v>707</v>
      </c>
      <c r="B521" t="str">
        <f>RIGHT(TDays[[#This Row],[تاریخ]],2)</f>
        <v>31</v>
      </c>
      <c r="C521" t="str">
        <f>RIGHT(LEFT(TDays[[#This Row],[تاریخ]],7),2)</f>
        <v>05</v>
      </c>
      <c r="D521" t="str">
        <f>LEFT(TDays[[#This Row],[تاریخ]],4)</f>
        <v>1402</v>
      </c>
      <c r="E521" t="str">
        <f>LEFT(TDays[[#This Row],[تاریخ]],7)</f>
        <v>1402-05</v>
      </c>
      <c r="F521">
        <v>3</v>
      </c>
      <c r="G521" s="15" t="str">
        <f>VLOOKUP(TDays[[#This Row],[کد روز هفته]],TDaysOfTheWeek[],2,FALSE)</f>
        <v>سه شنبه</v>
      </c>
      <c r="H521" s="15">
        <f>IFERROR(IF(E520&lt;&gt;E521,1,INT(H520)+IF(TDays[[#This Row],[کد روز هفته]]=0,1,0)),1)</f>
        <v>5</v>
      </c>
      <c r="I521">
        <f>-SUMIF(TArticle[تاریخ],TDays[[#This Row],[تاریخ]],TArticle[هزینه])</f>
        <v>0</v>
      </c>
      <c r="J521">
        <f>SUMIF(TArticle[تاریخ],TDays[[#This Row],[تاریخ]],TArticle[درآمد تتا])</f>
        <v>0</v>
      </c>
      <c r="K521">
        <f>SUMIF(TArticle[تاریخ],TDays[[#This Row],[تاریخ]],TArticle[اسنپ])</f>
        <v>0</v>
      </c>
      <c r="L521">
        <f>-SUMIF(TArticle[تاریخ],TDays[[#This Row],[تاریخ]],TArticle[پرداخت بدهی])</f>
        <v>0</v>
      </c>
      <c r="M521">
        <f>SUMIF(TArticle[تاریخ],TDays[[#This Row],[تاریخ]],TArticle[افزایش بدهی])</f>
        <v>0</v>
      </c>
      <c r="N521">
        <f>-SUMIF(TArticle[تاریخ],TDays[[#This Row],[تاریخ]],TArticle[افزایش سرمایه])</f>
        <v>0</v>
      </c>
      <c r="O521">
        <f>SUMIF(TArticle[تاریخ],TDays[[#This Row],[تاریخ]],TArticle[تعداد تراکنش انجام شده])</f>
        <v>0</v>
      </c>
      <c r="P521">
        <f>INT(((TDays[[#This Row],[ماه]]-1)*31+TDays[[#This Row],[روز]]+1)/7)+1</f>
        <v>23</v>
      </c>
      <c r="Q521">
        <f>SUMIF(TArticle[تاریخ],TDays[[#This Row],[تاریخ]],TArticle[تراکنش برنامه ریزی شده])</f>
        <v>0</v>
      </c>
    </row>
    <row r="522" spans="1:17" x14ac:dyDescent="0.25">
      <c r="A522" s="3" t="s">
        <v>708</v>
      </c>
      <c r="B522" t="str">
        <f>RIGHT(TDays[[#This Row],[تاریخ]],2)</f>
        <v>01</v>
      </c>
      <c r="C522" t="str">
        <f>RIGHT(LEFT(TDays[[#This Row],[تاریخ]],7),2)</f>
        <v>06</v>
      </c>
      <c r="D522" t="str">
        <f>LEFT(TDays[[#This Row],[تاریخ]],4)</f>
        <v>1402</v>
      </c>
      <c r="E522" t="str">
        <f>LEFT(TDays[[#This Row],[تاریخ]],7)</f>
        <v>1402-06</v>
      </c>
      <c r="F522">
        <v>4</v>
      </c>
      <c r="G522" s="15" t="str">
        <f>VLOOKUP(TDays[[#This Row],[کد روز هفته]],TDaysOfTheWeek[],2,FALSE)</f>
        <v>چهارشنبه</v>
      </c>
      <c r="H522" s="15">
        <f>IFERROR(IF(E521&lt;&gt;E522,1,INT(H521)+IF(TDays[[#This Row],[کد روز هفته]]=0,1,0)),1)</f>
        <v>1</v>
      </c>
      <c r="I522">
        <f>-SUMIF(TArticle[تاریخ],TDays[[#This Row],[تاریخ]],TArticle[هزینه])</f>
        <v>0</v>
      </c>
      <c r="J522">
        <f>SUMIF(TArticle[تاریخ],TDays[[#This Row],[تاریخ]],TArticle[درآمد تتا])</f>
        <v>0</v>
      </c>
      <c r="K522">
        <f>SUMIF(TArticle[تاریخ],TDays[[#This Row],[تاریخ]],TArticle[اسنپ])</f>
        <v>0</v>
      </c>
      <c r="L522">
        <f>-SUMIF(TArticle[تاریخ],TDays[[#This Row],[تاریخ]],TArticle[پرداخت بدهی])</f>
        <v>0</v>
      </c>
      <c r="M522">
        <f>SUMIF(TArticle[تاریخ],TDays[[#This Row],[تاریخ]],TArticle[افزایش بدهی])</f>
        <v>0</v>
      </c>
      <c r="N522">
        <f>-SUMIF(TArticle[تاریخ],TDays[[#This Row],[تاریخ]],TArticle[افزایش سرمایه])</f>
        <v>0</v>
      </c>
      <c r="O522">
        <f>SUMIF(TArticle[تاریخ],TDays[[#This Row],[تاریخ]],TArticle[تعداد تراکنش انجام شده])</f>
        <v>0</v>
      </c>
      <c r="P522">
        <f>INT(((TDays[[#This Row],[ماه]]-1)*31+TDays[[#This Row],[روز]]+1)/7)+1</f>
        <v>23</v>
      </c>
      <c r="Q522">
        <f>SUMIF(TArticle[تاریخ],TDays[[#This Row],[تاریخ]],TArticle[تراکنش برنامه ریزی شده])</f>
        <v>2</v>
      </c>
    </row>
    <row r="523" spans="1:17" x14ac:dyDescent="0.25">
      <c r="A523" s="3" t="s">
        <v>709</v>
      </c>
      <c r="B523" t="str">
        <f>RIGHT(TDays[[#This Row],[تاریخ]],2)</f>
        <v>02</v>
      </c>
      <c r="C523" t="str">
        <f>RIGHT(LEFT(TDays[[#This Row],[تاریخ]],7),2)</f>
        <v>06</v>
      </c>
      <c r="D523" t="str">
        <f>LEFT(TDays[[#This Row],[تاریخ]],4)</f>
        <v>1402</v>
      </c>
      <c r="E523" t="str">
        <f>LEFT(TDays[[#This Row],[تاریخ]],7)</f>
        <v>1402-06</v>
      </c>
      <c r="F523">
        <v>5</v>
      </c>
      <c r="G523" s="15" t="str">
        <f>VLOOKUP(TDays[[#This Row],[کد روز هفته]],TDaysOfTheWeek[],2,FALSE)</f>
        <v>پنجشنبه</v>
      </c>
      <c r="H523" s="15">
        <f>IFERROR(IF(E522&lt;&gt;E523,1,INT(H522)+IF(TDays[[#This Row],[کد روز هفته]]=0,1,0)),1)</f>
        <v>1</v>
      </c>
      <c r="I523">
        <f>-SUMIF(TArticle[تاریخ],TDays[[#This Row],[تاریخ]],TArticle[هزینه])</f>
        <v>0</v>
      </c>
      <c r="J523">
        <f>SUMIF(TArticle[تاریخ],TDays[[#This Row],[تاریخ]],TArticle[درآمد تتا])</f>
        <v>0</v>
      </c>
      <c r="K523">
        <f>SUMIF(TArticle[تاریخ],TDays[[#This Row],[تاریخ]],TArticle[اسنپ])</f>
        <v>0</v>
      </c>
      <c r="L523">
        <f>-SUMIF(TArticle[تاریخ],TDays[[#This Row],[تاریخ]],TArticle[پرداخت بدهی])</f>
        <v>0</v>
      </c>
      <c r="M523">
        <f>SUMIF(TArticle[تاریخ],TDays[[#This Row],[تاریخ]],TArticle[افزایش بدهی])</f>
        <v>0</v>
      </c>
      <c r="N523">
        <f>-SUMIF(TArticle[تاریخ],TDays[[#This Row],[تاریخ]],TArticle[افزایش سرمایه])</f>
        <v>0</v>
      </c>
      <c r="O523">
        <f>SUMIF(TArticle[تاریخ],TDays[[#This Row],[تاریخ]],TArticle[تعداد تراکنش انجام شده])</f>
        <v>0</v>
      </c>
      <c r="P523">
        <f>INT(((TDays[[#This Row],[ماه]]-1)*31+TDays[[#This Row],[روز]]+1)/7)+1</f>
        <v>23</v>
      </c>
      <c r="Q523">
        <f>SUMIF(TArticle[تاریخ],TDays[[#This Row],[تاریخ]],TArticle[تراکنش برنامه ریزی شده])</f>
        <v>0</v>
      </c>
    </row>
    <row r="524" spans="1:17" x14ac:dyDescent="0.25">
      <c r="A524" s="3" t="s">
        <v>710</v>
      </c>
      <c r="B524" t="str">
        <f>RIGHT(TDays[[#This Row],[تاریخ]],2)</f>
        <v>03</v>
      </c>
      <c r="C524" t="str">
        <f>RIGHT(LEFT(TDays[[#This Row],[تاریخ]],7),2)</f>
        <v>06</v>
      </c>
      <c r="D524" t="str">
        <f>LEFT(TDays[[#This Row],[تاریخ]],4)</f>
        <v>1402</v>
      </c>
      <c r="E524" t="str">
        <f>LEFT(TDays[[#This Row],[تاریخ]],7)</f>
        <v>1402-06</v>
      </c>
      <c r="F524">
        <v>6</v>
      </c>
      <c r="G524" s="15" t="str">
        <f>VLOOKUP(TDays[[#This Row],[کد روز هفته]],TDaysOfTheWeek[],2,FALSE)</f>
        <v>جمعه</v>
      </c>
      <c r="H524" s="15">
        <f>IFERROR(IF(E523&lt;&gt;E524,1,INT(H523)+IF(TDays[[#This Row],[کد روز هفته]]=0,1,0)),1)</f>
        <v>1</v>
      </c>
      <c r="I524">
        <f>-SUMIF(TArticle[تاریخ],TDays[[#This Row],[تاریخ]],TArticle[هزینه])</f>
        <v>0</v>
      </c>
      <c r="J524">
        <f>SUMIF(TArticle[تاریخ],TDays[[#This Row],[تاریخ]],TArticle[درآمد تتا])</f>
        <v>0</v>
      </c>
      <c r="K524">
        <f>SUMIF(TArticle[تاریخ],TDays[[#This Row],[تاریخ]],TArticle[اسنپ])</f>
        <v>0</v>
      </c>
      <c r="L524">
        <f>-SUMIF(TArticle[تاریخ],TDays[[#This Row],[تاریخ]],TArticle[پرداخت بدهی])</f>
        <v>0</v>
      </c>
      <c r="M524">
        <f>SUMIF(TArticle[تاریخ],TDays[[#This Row],[تاریخ]],TArticle[افزایش بدهی])</f>
        <v>0</v>
      </c>
      <c r="N524">
        <f>-SUMIF(TArticle[تاریخ],TDays[[#This Row],[تاریخ]],TArticle[افزایش سرمایه])</f>
        <v>0</v>
      </c>
      <c r="O524">
        <f>SUMIF(TArticle[تاریخ],TDays[[#This Row],[تاریخ]],TArticle[تعداد تراکنش انجام شده])</f>
        <v>0</v>
      </c>
      <c r="P524">
        <f>INT(((TDays[[#This Row],[ماه]]-1)*31+TDays[[#This Row],[روز]]+1)/7)+1</f>
        <v>23</v>
      </c>
      <c r="Q524">
        <f>SUMIF(TArticle[تاریخ],TDays[[#This Row],[تاریخ]],TArticle[تراکنش برنامه ریزی شده])</f>
        <v>2</v>
      </c>
    </row>
    <row r="525" spans="1:17" x14ac:dyDescent="0.25">
      <c r="A525" s="3" t="s">
        <v>711</v>
      </c>
      <c r="B525" t="str">
        <f>RIGHT(TDays[[#This Row],[تاریخ]],2)</f>
        <v>04</v>
      </c>
      <c r="C525" t="str">
        <f>RIGHT(LEFT(TDays[[#This Row],[تاریخ]],7),2)</f>
        <v>06</v>
      </c>
      <c r="D525" t="str">
        <f>LEFT(TDays[[#This Row],[تاریخ]],4)</f>
        <v>1402</v>
      </c>
      <c r="E525" t="str">
        <f>LEFT(TDays[[#This Row],[تاریخ]],7)</f>
        <v>1402-06</v>
      </c>
      <c r="F525">
        <v>0</v>
      </c>
      <c r="G525" s="15" t="str">
        <f>VLOOKUP(TDays[[#This Row],[کد روز هفته]],TDaysOfTheWeek[],2,FALSE)</f>
        <v>شنبه</v>
      </c>
      <c r="H525" s="15">
        <f>IFERROR(IF(E524&lt;&gt;E525,1,INT(H524)+IF(TDays[[#This Row],[کد روز هفته]]=0,1,0)),1)</f>
        <v>2</v>
      </c>
      <c r="I525">
        <f>-SUMIF(TArticle[تاریخ],TDays[[#This Row],[تاریخ]],TArticle[هزینه])</f>
        <v>0</v>
      </c>
      <c r="J525">
        <f>SUMIF(TArticle[تاریخ],TDays[[#This Row],[تاریخ]],TArticle[درآمد تتا])</f>
        <v>0</v>
      </c>
      <c r="K525">
        <f>SUMIF(TArticle[تاریخ],TDays[[#This Row],[تاریخ]],TArticle[اسنپ])</f>
        <v>0</v>
      </c>
      <c r="L525">
        <f>-SUMIF(TArticle[تاریخ],TDays[[#This Row],[تاریخ]],TArticle[پرداخت بدهی])</f>
        <v>0</v>
      </c>
      <c r="M525">
        <f>SUMIF(TArticle[تاریخ],TDays[[#This Row],[تاریخ]],TArticle[افزایش بدهی])</f>
        <v>0</v>
      </c>
      <c r="N525">
        <f>-SUMIF(TArticle[تاریخ],TDays[[#This Row],[تاریخ]],TArticle[افزایش سرمایه])</f>
        <v>0</v>
      </c>
      <c r="O525">
        <f>SUMIF(TArticle[تاریخ],TDays[[#This Row],[تاریخ]],TArticle[تعداد تراکنش انجام شده])</f>
        <v>0</v>
      </c>
      <c r="P525">
        <f>INT(((TDays[[#This Row],[ماه]]-1)*31+TDays[[#This Row],[روز]]+1)/7)+1</f>
        <v>23</v>
      </c>
      <c r="Q525">
        <f>SUMIF(TArticle[تاریخ],TDays[[#This Row],[تاریخ]],TArticle[تراکنش برنامه ریزی شده])</f>
        <v>1</v>
      </c>
    </row>
    <row r="526" spans="1:17" x14ac:dyDescent="0.25">
      <c r="A526" s="3" t="s">
        <v>712</v>
      </c>
      <c r="B526" t="str">
        <f>RIGHT(TDays[[#This Row],[تاریخ]],2)</f>
        <v>05</v>
      </c>
      <c r="C526" t="str">
        <f>RIGHT(LEFT(TDays[[#This Row],[تاریخ]],7),2)</f>
        <v>06</v>
      </c>
      <c r="D526" t="str">
        <f>LEFT(TDays[[#This Row],[تاریخ]],4)</f>
        <v>1402</v>
      </c>
      <c r="E526" t="str">
        <f>LEFT(TDays[[#This Row],[تاریخ]],7)</f>
        <v>1402-06</v>
      </c>
      <c r="F526">
        <v>1</v>
      </c>
      <c r="G526" s="15" t="str">
        <f>VLOOKUP(TDays[[#This Row],[کد روز هفته]],TDaysOfTheWeek[],2,FALSE)</f>
        <v>یکشنبه</v>
      </c>
      <c r="H526" s="15">
        <f>IFERROR(IF(E525&lt;&gt;E526,1,INT(H525)+IF(TDays[[#This Row],[کد روز هفته]]=0,1,0)),1)</f>
        <v>2</v>
      </c>
      <c r="I526">
        <f>-SUMIF(TArticle[تاریخ],TDays[[#This Row],[تاریخ]],TArticle[هزینه])</f>
        <v>0</v>
      </c>
      <c r="J526">
        <f>SUMIF(TArticle[تاریخ],TDays[[#This Row],[تاریخ]],TArticle[درآمد تتا])</f>
        <v>0</v>
      </c>
      <c r="K526">
        <f>SUMIF(TArticle[تاریخ],TDays[[#This Row],[تاریخ]],TArticle[اسنپ])</f>
        <v>0</v>
      </c>
      <c r="L526">
        <f>-SUMIF(TArticle[تاریخ],TDays[[#This Row],[تاریخ]],TArticle[پرداخت بدهی])</f>
        <v>0</v>
      </c>
      <c r="M526">
        <f>SUMIF(TArticle[تاریخ],TDays[[#This Row],[تاریخ]],TArticle[افزایش بدهی])</f>
        <v>0</v>
      </c>
      <c r="N526">
        <f>-SUMIF(TArticle[تاریخ],TDays[[#This Row],[تاریخ]],TArticle[افزایش سرمایه])</f>
        <v>0</v>
      </c>
      <c r="O526">
        <f>SUMIF(TArticle[تاریخ],TDays[[#This Row],[تاریخ]],TArticle[تعداد تراکنش انجام شده])</f>
        <v>0</v>
      </c>
      <c r="P526">
        <f>INT(((TDays[[#This Row],[ماه]]-1)*31+TDays[[#This Row],[روز]]+1)/7)+1</f>
        <v>24</v>
      </c>
      <c r="Q526">
        <f>SUMIF(TArticle[تاریخ],TDays[[#This Row],[تاریخ]],TArticle[تراکنش برنامه ریزی شده])</f>
        <v>1</v>
      </c>
    </row>
    <row r="527" spans="1:17" x14ac:dyDescent="0.25">
      <c r="A527" s="3" t="s">
        <v>713</v>
      </c>
      <c r="B527" t="str">
        <f>RIGHT(TDays[[#This Row],[تاریخ]],2)</f>
        <v>06</v>
      </c>
      <c r="C527" t="str">
        <f>RIGHT(LEFT(TDays[[#This Row],[تاریخ]],7),2)</f>
        <v>06</v>
      </c>
      <c r="D527" t="str">
        <f>LEFT(TDays[[#This Row],[تاریخ]],4)</f>
        <v>1402</v>
      </c>
      <c r="E527" t="str">
        <f>LEFT(TDays[[#This Row],[تاریخ]],7)</f>
        <v>1402-06</v>
      </c>
      <c r="F527">
        <v>2</v>
      </c>
      <c r="G527" s="15" t="str">
        <f>VLOOKUP(TDays[[#This Row],[کد روز هفته]],TDaysOfTheWeek[],2,FALSE)</f>
        <v>دوشنبه</v>
      </c>
      <c r="H527" s="15">
        <f>IFERROR(IF(E526&lt;&gt;E527,1,INT(H526)+IF(TDays[[#This Row],[کد روز هفته]]=0,1,0)),1)</f>
        <v>2</v>
      </c>
      <c r="I527">
        <f>-SUMIF(TArticle[تاریخ],TDays[[#This Row],[تاریخ]],TArticle[هزینه])</f>
        <v>0</v>
      </c>
      <c r="J527">
        <f>SUMIF(TArticle[تاریخ],TDays[[#This Row],[تاریخ]],TArticle[درآمد تتا])</f>
        <v>0</v>
      </c>
      <c r="K527">
        <f>SUMIF(TArticle[تاریخ],TDays[[#This Row],[تاریخ]],TArticle[اسنپ])</f>
        <v>0</v>
      </c>
      <c r="L527">
        <f>-SUMIF(TArticle[تاریخ],TDays[[#This Row],[تاریخ]],TArticle[پرداخت بدهی])</f>
        <v>0</v>
      </c>
      <c r="M527">
        <f>SUMIF(TArticle[تاریخ],TDays[[#This Row],[تاریخ]],TArticle[افزایش بدهی])</f>
        <v>0</v>
      </c>
      <c r="N527">
        <f>-SUMIF(TArticle[تاریخ],TDays[[#This Row],[تاریخ]],TArticle[افزایش سرمایه])</f>
        <v>0</v>
      </c>
      <c r="O527">
        <f>SUMIF(TArticle[تاریخ],TDays[[#This Row],[تاریخ]],TArticle[تعداد تراکنش انجام شده])</f>
        <v>0</v>
      </c>
      <c r="P527">
        <f>INT(((TDays[[#This Row],[ماه]]-1)*31+TDays[[#This Row],[روز]]+1)/7)+1</f>
        <v>24</v>
      </c>
      <c r="Q527">
        <f>SUMIF(TArticle[تاریخ],TDays[[#This Row],[تاریخ]],TArticle[تراکنش برنامه ریزی شده])</f>
        <v>0</v>
      </c>
    </row>
    <row r="528" spans="1:17" x14ac:dyDescent="0.25">
      <c r="A528" s="3" t="s">
        <v>714</v>
      </c>
      <c r="B528" t="str">
        <f>RIGHT(TDays[[#This Row],[تاریخ]],2)</f>
        <v>07</v>
      </c>
      <c r="C528" t="str">
        <f>RIGHT(LEFT(TDays[[#This Row],[تاریخ]],7),2)</f>
        <v>06</v>
      </c>
      <c r="D528" t="str">
        <f>LEFT(TDays[[#This Row],[تاریخ]],4)</f>
        <v>1402</v>
      </c>
      <c r="E528" t="str">
        <f>LEFT(TDays[[#This Row],[تاریخ]],7)</f>
        <v>1402-06</v>
      </c>
      <c r="F528">
        <v>3</v>
      </c>
      <c r="G528" s="15" t="str">
        <f>VLOOKUP(TDays[[#This Row],[کد روز هفته]],TDaysOfTheWeek[],2,FALSE)</f>
        <v>سه شنبه</v>
      </c>
      <c r="H528" s="15">
        <f>IFERROR(IF(E527&lt;&gt;E528,1,INT(H527)+IF(TDays[[#This Row],[کد روز هفته]]=0,1,0)),1)</f>
        <v>2</v>
      </c>
      <c r="I528">
        <f>-SUMIF(TArticle[تاریخ],TDays[[#This Row],[تاریخ]],TArticle[هزینه])</f>
        <v>0</v>
      </c>
      <c r="J528">
        <f>SUMIF(TArticle[تاریخ],TDays[[#This Row],[تاریخ]],TArticle[درآمد تتا])</f>
        <v>0</v>
      </c>
      <c r="K528">
        <f>SUMIF(TArticle[تاریخ],TDays[[#This Row],[تاریخ]],TArticle[اسنپ])</f>
        <v>0</v>
      </c>
      <c r="L528">
        <f>-SUMIF(TArticle[تاریخ],TDays[[#This Row],[تاریخ]],TArticle[پرداخت بدهی])</f>
        <v>0</v>
      </c>
      <c r="M528">
        <f>SUMIF(TArticle[تاریخ],TDays[[#This Row],[تاریخ]],TArticle[افزایش بدهی])</f>
        <v>0</v>
      </c>
      <c r="N528">
        <f>-SUMIF(TArticle[تاریخ],TDays[[#This Row],[تاریخ]],TArticle[افزایش سرمایه])</f>
        <v>0</v>
      </c>
      <c r="O528">
        <f>SUMIF(TArticle[تاریخ],TDays[[#This Row],[تاریخ]],TArticle[تعداد تراکنش انجام شده])</f>
        <v>0</v>
      </c>
      <c r="P528">
        <f>INT(((TDays[[#This Row],[ماه]]-1)*31+TDays[[#This Row],[روز]]+1)/7)+1</f>
        <v>24</v>
      </c>
      <c r="Q528">
        <f>SUMIF(TArticle[تاریخ],TDays[[#This Row],[تاریخ]],TArticle[تراکنش برنامه ریزی شده])</f>
        <v>0</v>
      </c>
    </row>
    <row r="529" spans="1:17" x14ac:dyDescent="0.25">
      <c r="A529" s="3" t="s">
        <v>715</v>
      </c>
      <c r="B529" t="str">
        <f>RIGHT(TDays[[#This Row],[تاریخ]],2)</f>
        <v>08</v>
      </c>
      <c r="C529" t="str">
        <f>RIGHT(LEFT(TDays[[#This Row],[تاریخ]],7),2)</f>
        <v>06</v>
      </c>
      <c r="D529" t="str">
        <f>LEFT(TDays[[#This Row],[تاریخ]],4)</f>
        <v>1402</v>
      </c>
      <c r="E529" t="str">
        <f>LEFT(TDays[[#This Row],[تاریخ]],7)</f>
        <v>1402-06</v>
      </c>
      <c r="F529">
        <v>4</v>
      </c>
      <c r="G529" s="15" t="str">
        <f>VLOOKUP(TDays[[#This Row],[کد روز هفته]],TDaysOfTheWeek[],2,FALSE)</f>
        <v>چهارشنبه</v>
      </c>
      <c r="H529" s="15">
        <f>IFERROR(IF(E528&lt;&gt;E529,1,INT(H528)+IF(TDays[[#This Row],[کد روز هفته]]=0,1,0)),1)</f>
        <v>2</v>
      </c>
      <c r="I529">
        <f>-SUMIF(TArticle[تاریخ],TDays[[#This Row],[تاریخ]],TArticle[هزینه])</f>
        <v>0</v>
      </c>
      <c r="J529">
        <f>SUMIF(TArticle[تاریخ],TDays[[#This Row],[تاریخ]],TArticle[درآمد تتا])</f>
        <v>0</v>
      </c>
      <c r="K529">
        <f>SUMIF(TArticle[تاریخ],TDays[[#This Row],[تاریخ]],TArticle[اسنپ])</f>
        <v>0</v>
      </c>
      <c r="L529">
        <f>-SUMIF(TArticle[تاریخ],TDays[[#This Row],[تاریخ]],TArticle[پرداخت بدهی])</f>
        <v>0</v>
      </c>
      <c r="M529">
        <f>SUMIF(TArticle[تاریخ],TDays[[#This Row],[تاریخ]],TArticle[افزایش بدهی])</f>
        <v>0</v>
      </c>
      <c r="N529">
        <f>-SUMIF(TArticle[تاریخ],TDays[[#This Row],[تاریخ]],TArticle[افزایش سرمایه])</f>
        <v>0</v>
      </c>
      <c r="O529">
        <f>SUMIF(TArticle[تاریخ],TDays[[#This Row],[تاریخ]],TArticle[تعداد تراکنش انجام شده])</f>
        <v>0</v>
      </c>
      <c r="P529">
        <f>INT(((TDays[[#This Row],[ماه]]-1)*31+TDays[[#This Row],[روز]]+1)/7)+1</f>
        <v>24</v>
      </c>
      <c r="Q529">
        <f>SUMIF(TArticle[تاریخ],TDays[[#This Row],[تاریخ]],TArticle[تراکنش برنامه ریزی شده])</f>
        <v>0</v>
      </c>
    </row>
    <row r="530" spans="1:17" x14ac:dyDescent="0.25">
      <c r="A530" s="3" t="s">
        <v>716</v>
      </c>
      <c r="B530" t="str">
        <f>RIGHT(TDays[[#This Row],[تاریخ]],2)</f>
        <v>09</v>
      </c>
      <c r="C530" t="str">
        <f>RIGHT(LEFT(TDays[[#This Row],[تاریخ]],7),2)</f>
        <v>06</v>
      </c>
      <c r="D530" t="str">
        <f>LEFT(TDays[[#This Row],[تاریخ]],4)</f>
        <v>1402</v>
      </c>
      <c r="E530" t="str">
        <f>LEFT(TDays[[#This Row],[تاریخ]],7)</f>
        <v>1402-06</v>
      </c>
      <c r="F530">
        <v>5</v>
      </c>
      <c r="G530" s="15" t="str">
        <f>VLOOKUP(TDays[[#This Row],[کد روز هفته]],TDaysOfTheWeek[],2,FALSE)</f>
        <v>پنجشنبه</v>
      </c>
      <c r="H530" s="15">
        <f>IFERROR(IF(E529&lt;&gt;E530,1,INT(H529)+IF(TDays[[#This Row],[کد روز هفته]]=0,1,0)),1)</f>
        <v>2</v>
      </c>
      <c r="I530">
        <f>-SUMIF(TArticle[تاریخ],TDays[[#This Row],[تاریخ]],TArticle[هزینه])</f>
        <v>0</v>
      </c>
      <c r="J530">
        <f>SUMIF(TArticle[تاریخ],TDays[[#This Row],[تاریخ]],TArticle[درآمد تتا])</f>
        <v>0</v>
      </c>
      <c r="K530">
        <f>SUMIF(TArticle[تاریخ],TDays[[#This Row],[تاریخ]],TArticle[اسنپ])</f>
        <v>0</v>
      </c>
      <c r="L530">
        <f>-SUMIF(TArticle[تاریخ],TDays[[#This Row],[تاریخ]],TArticle[پرداخت بدهی])</f>
        <v>0</v>
      </c>
      <c r="M530">
        <f>SUMIF(TArticle[تاریخ],TDays[[#This Row],[تاریخ]],TArticle[افزایش بدهی])</f>
        <v>0</v>
      </c>
      <c r="N530">
        <f>-SUMIF(TArticle[تاریخ],TDays[[#This Row],[تاریخ]],TArticle[افزایش سرمایه])</f>
        <v>0</v>
      </c>
      <c r="O530">
        <f>SUMIF(TArticle[تاریخ],TDays[[#This Row],[تاریخ]],TArticle[تعداد تراکنش انجام شده])</f>
        <v>0</v>
      </c>
      <c r="P530">
        <f>INT(((TDays[[#This Row],[ماه]]-1)*31+TDays[[#This Row],[روز]]+1)/7)+1</f>
        <v>24</v>
      </c>
      <c r="Q530">
        <f>SUMIF(TArticle[تاریخ],TDays[[#This Row],[تاریخ]],TArticle[تراکنش برنامه ریزی شده])</f>
        <v>1</v>
      </c>
    </row>
    <row r="531" spans="1:17" x14ac:dyDescent="0.25">
      <c r="A531" s="3" t="s">
        <v>717</v>
      </c>
      <c r="B531" t="str">
        <f>RIGHT(TDays[[#This Row],[تاریخ]],2)</f>
        <v>10</v>
      </c>
      <c r="C531" t="str">
        <f>RIGHT(LEFT(TDays[[#This Row],[تاریخ]],7),2)</f>
        <v>06</v>
      </c>
      <c r="D531" t="str">
        <f>LEFT(TDays[[#This Row],[تاریخ]],4)</f>
        <v>1402</v>
      </c>
      <c r="E531" t="str">
        <f>LEFT(TDays[[#This Row],[تاریخ]],7)</f>
        <v>1402-06</v>
      </c>
      <c r="F531">
        <v>6</v>
      </c>
      <c r="G531" s="15" t="str">
        <f>VLOOKUP(TDays[[#This Row],[کد روز هفته]],TDaysOfTheWeek[],2,FALSE)</f>
        <v>جمعه</v>
      </c>
      <c r="H531" s="15">
        <f>IFERROR(IF(E530&lt;&gt;E531,1,INT(H530)+IF(TDays[[#This Row],[کد روز هفته]]=0,1,0)),1)</f>
        <v>2</v>
      </c>
      <c r="I531">
        <f>-SUMIF(TArticle[تاریخ],TDays[[#This Row],[تاریخ]],TArticle[هزینه])</f>
        <v>0</v>
      </c>
      <c r="J531">
        <f>SUMIF(TArticle[تاریخ],TDays[[#This Row],[تاریخ]],TArticle[درآمد تتا])</f>
        <v>0</v>
      </c>
      <c r="K531">
        <f>SUMIF(TArticle[تاریخ],TDays[[#This Row],[تاریخ]],TArticle[اسنپ])</f>
        <v>0</v>
      </c>
      <c r="L531">
        <f>-SUMIF(TArticle[تاریخ],TDays[[#This Row],[تاریخ]],TArticle[پرداخت بدهی])</f>
        <v>0</v>
      </c>
      <c r="M531">
        <f>SUMIF(TArticle[تاریخ],TDays[[#This Row],[تاریخ]],TArticle[افزایش بدهی])</f>
        <v>0</v>
      </c>
      <c r="N531">
        <f>-SUMIF(TArticle[تاریخ],TDays[[#This Row],[تاریخ]],TArticle[افزایش سرمایه])</f>
        <v>0</v>
      </c>
      <c r="O531">
        <f>SUMIF(TArticle[تاریخ],TDays[[#This Row],[تاریخ]],TArticle[تعداد تراکنش انجام شده])</f>
        <v>0</v>
      </c>
      <c r="P531">
        <f>INT(((TDays[[#This Row],[ماه]]-1)*31+TDays[[#This Row],[روز]]+1)/7)+1</f>
        <v>24</v>
      </c>
      <c r="Q531">
        <f>SUMIF(TArticle[تاریخ],TDays[[#This Row],[تاریخ]],TArticle[تراکنش برنامه ریزی شده])</f>
        <v>0</v>
      </c>
    </row>
    <row r="532" spans="1:17" x14ac:dyDescent="0.25">
      <c r="A532" s="3" t="s">
        <v>718</v>
      </c>
      <c r="B532" t="str">
        <f>RIGHT(TDays[[#This Row],[تاریخ]],2)</f>
        <v>11</v>
      </c>
      <c r="C532" t="str">
        <f>RIGHT(LEFT(TDays[[#This Row],[تاریخ]],7),2)</f>
        <v>06</v>
      </c>
      <c r="D532" t="str">
        <f>LEFT(TDays[[#This Row],[تاریخ]],4)</f>
        <v>1402</v>
      </c>
      <c r="E532" t="str">
        <f>LEFT(TDays[[#This Row],[تاریخ]],7)</f>
        <v>1402-06</v>
      </c>
      <c r="F532">
        <v>0</v>
      </c>
      <c r="G532" s="15" t="str">
        <f>VLOOKUP(TDays[[#This Row],[کد روز هفته]],TDaysOfTheWeek[],2,FALSE)</f>
        <v>شنبه</v>
      </c>
      <c r="H532" s="15">
        <f>IFERROR(IF(E531&lt;&gt;E532,1,INT(H531)+IF(TDays[[#This Row],[کد روز هفته]]=0,1,0)),1)</f>
        <v>3</v>
      </c>
      <c r="I532">
        <f>-SUMIF(TArticle[تاریخ],TDays[[#This Row],[تاریخ]],TArticle[هزینه])</f>
        <v>0</v>
      </c>
      <c r="J532">
        <f>SUMIF(TArticle[تاریخ],TDays[[#This Row],[تاریخ]],TArticle[درآمد تتا])</f>
        <v>0</v>
      </c>
      <c r="K532">
        <f>SUMIF(TArticle[تاریخ],TDays[[#This Row],[تاریخ]],TArticle[اسنپ])</f>
        <v>0</v>
      </c>
      <c r="L532">
        <f>-SUMIF(TArticle[تاریخ],TDays[[#This Row],[تاریخ]],TArticle[پرداخت بدهی])</f>
        <v>0</v>
      </c>
      <c r="M532">
        <f>SUMIF(TArticle[تاریخ],TDays[[#This Row],[تاریخ]],TArticle[افزایش بدهی])</f>
        <v>0</v>
      </c>
      <c r="N532">
        <f>-SUMIF(TArticle[تاریخ],TDays[[#This Row],[تاریخ]],TArticle[افزایش سرمایه])</f>
        <v>0</v>
      </c>
      <c r="O532">
        <f>SUMIF(TArticle[تاریخ],TDays[[#This Row],[تاریخ]],TArticle[تعداد تراکنش انجام شده])</f>
        <v>0</v>
      </c>
      <c r="P532">
        <f>INT(((TDays[[#This Row],[ماه]]-1)*31+TDays[[#This Row],[روز]]+1)/7)+1</f>
        <v>24</v>
      </c>
      <c r="Q532">
        <f>SUMIF(TArticle[تاریخ],TDays[[#This Row],[تاریخ]],TArticle[تراکنش برنامه ریزی شده])</f>
        <v>0</v>
      </c>
    </row>
    <row r="533" spans="1:17" x14ac:dyDescent="0.25">
      <c r="A533" s="3" t="s">
        <v>719</v>
      </c>
      <c r="B533" t="str">
        <f>RIGHT(TDays[[#This Row],[تاریخ]],2)</f>
        <v>12</v>
      </c>
      <c r="C533" t="str">
        <f>RIGHT(LEFT(TDays[[#This Row],[تاریخ]],7),2)</f>
        <v>06</v>
      </c>
      <c r="D533" t="str">
        <f>LEFT(TDays[[#This Row],[تاریخ]],4)</f>
        <v>1402</v>
      </c>
      <c r="E533" t="str">
        <f>LEFT(TDays[[#This Row],[تاریخ]],7)</f>
        <v>1402-06</v>
      </c>
      <c r="F533">
        <v>1</v>
      </c>
      <c r="G533" s="15" t="str">
        <f>VLOOKUP(TDays[[#This Row],[کد روز هفته]],TDaysOfTheWeek[],2,FALSE)</f>
        <v>یکشنبه</v>
      </c>
      <c r="H533" s="15">
        <f>IFERROR(IF(E532&lt;&gt;E533,1,INT(H532)+IF(TDays[[#This Row],[کد روز هفته]]=0,1,0)),1)</f>
        <v>3</v>
      </c>
      <c r="I533">
        <f>-SUMIF(TArticle[تاریخ],TDays[[#This Row],[تاریخ]],TArticle[هزینه])</f>
        <v>0</v>
      </c>
      <c r="J533">
        <f>SUMIF(TArticle[تاریخ],TDays[[#This Row],[تاریخ]],TArticle[درآمد تتا])</f>
        <v>0</v>
      </c>
      <c r="K533">
        <f>SUMIF(TArticle[تاریخ],TDays[[#This Row],[تاریخ]],TArticle[اسنپ])</f>
        <v>0</v>
      </c>
      <c r="L533">
        <f>-SUMIF(TArticle[تاریخ],TDays[[#This Row],[تاریخ]],TArticle[پرداخت بدهی])</f>
        <v>0</v>
      </c>
      <c r="M533">
        <f>SUMIF(TArticle[تاریخ],TDays[[#This Row],[تاریخ]],TArticle[افزایش بدهی])</f>
        <v>0</v>
      </c>
      <c r="N533">
        <f>-SUMIF(TArticle[تاریخ],TDays[[#This Row],[تاریخ]],TArticle[افزایش سرمایه])</f>
        <v>0</v>
      </c>
      <c r="O533">
        <f>SUMIF(TArticle[تاریخ],TDays[[#This Row],[تاریخ]],TArticle[تعداد تراکنش انجام شده])</f>
        <v>0</v>
      </c>
      <c r="P533">
        <f>INT(((TDays[[#This Row],[ماه]]-1)*31+TDays[[#This Row],[روز]]+1)/7)+1</f>
        <v>25</v>
      </c>
      <c r="Q533">
        <f>SUMIF(TArticle[تاریخ],TDays[[#This Row],[تاریخ]],TArticle[تراکنش برنامه ریزی شده])</f>
        <v>0</v>
      </c>
    </row>
    <row r="534" spans="1:17" x14ac:dyDescent="0.25">
      <c r="A534" s="3" t="s">
        <v>720</v>
      </c>
      <c r="B534" t="str">
        <f>RIGHT(TDays[[#This Row],[تاریخ]],2)</f>
        <v>13</v>
      </c>
      <c r="C534" t="str">
        <f>RIGHT(LEFT(TDays[[#This Row],[تاریخ]],7),2)</f>
        <v>06</v>
      </c>
      <c r="D534" t="str">
        <f>LEFT(TDays[[#This Row],[تاریخ]],4)</f>
        <v>1402</v>
      </c>
      <c r="E534" t="str">
        <f>LEFT(TDays[[#This Row],[تاریخ]],7)</f>
        <v>1402-06</v>
      </c>
      <c r="F534">
        <v>2</v>
      </c>
      <c r="G534" s="15" t="str">
        <f>VLOOKUP(TDays[[#This Row],[کد روز هفته]],TDaysOfTheWeek[],2,FALSE)</f>
        <v>دوشنبه</v>
      </c>
      <c r="H534" s="15">
        <f>IFERROR(IF(E533&lt;&gt;E534,1,INT(H533)+IF(TDays[[#This Row],[کد روز هفته]]=0,1,0)),1)</f>
        <v>3</v>
      </c>
      <c r="I534">
        <f>-SUMIF(TArticle[تاریخ],TDays[[#This Row],[تاریخ]],TArticle[هزینه])</f>
        <v>0</v>
      </c>
      <c r="J534">
        <f>SUMIF(TArticle[تاریخ],TDays[[#This Row],[تاریخ]],TArticle[درآمد تتا])</f>
        <v>0</v>
      </c>
      <c r="K534">
        <f>SUMIF(TArticle[تاریخ],TDays[[#This Row],[تاریخ]],TArticle[اسنپ])</f>
        <v>0</v>
      </c>
      <c r="L534">
        <f>-SUMIF(TArticle[تاریخ],TDays[[#This Row],[تاریخ]],TArticle[پرداخت بدهی])</f>
        <v>0</v>
      </c>
      <c r="M534">
        <f>SUMIF(TArticle[تاریخ],TDays[[#This Row],[تاریخ]],TArticle[افزایش بدهی])</f>
        <v>0</v>
      </c>
      <c r="N534">
        <f>-SUMIF(TArticle[تاریخ],TDays[[#This Row],[تاریخ]],TArticle[افزایش سرمایه])</f>
        <v>0</v>
      </c>
      <c r="O534">
        <f>SUMIF(TArticle[تاریخ],TDays[[#This Row],[تاریخ]],TArticle[تعداد تراکنش انجام شده])</f>
        <v>0</v>
      </c>
      <c r="P534">
        <f>INT(((TDays[[#This Row],[ماه]]-1)*31+TDays[[#This Row],[روز]]+1)/7)+1</f>
        <v>25</v>
      </c>
      <c r="Q534">
        <f>SUMIF(TArticle[تاریخ],TDays[[#This Row],[تاریخ]],TArticle[تراکنش برنامه ریزی شده])</f>
        <v>0</v>
      </c>
    </row>
    <row r="535" spans="1:17" x14ac:dyDescent="0.25">
      <c r="A535" s="3" t="s">
        <v>721</v>
      </c>
      <c r="B535" t="str">
        <f>RIGHT(TDays[[#This Row],[تاریخ]],2)</f>
        <v>14</v>
      </c>
      <c r="C535" t="str">
        <f>RIGHT(LEFT(TDays[[#This Row],[تاریخ]],7),2)</f>
        <v>06</v>
      </c>
      <c r="D535" t="str">
        <f>LEFT(TDays[[#This Row],[تاریخ]],4)</f>
        <v>1402</v>
      </c>
      <c r="E535" t="str">
        <f>LEFT(TDays[[#This Row],[تاریخ]],7)</f>
        <v>1402-06</v>
      </c>
      <c r="F535">
        <v>3</v>
      </c>
      <c r="G535" s="15" t="str">
        <f>VLOOKUP(TDays[[#This Row],[کد روز هفته]],TDaysOfTheWeek[],2,FALSE)</f>
        <v>سه شنبه</v>
      </c>
      <c r="H535" s="15">
        <f>IFERROR(IF(E534&lt;&gt;E535,1,INT(H534)+IF(TDays[[#This Row],[کد روز هفته]]=0,1,0)),1)</f>
        <v>3</v>
      </c>
      <c r="I535">
        <f>-SUMIF(TArticle[تاریخ],TDays[[#This Row],[تاریخ]],TArticle[هزینه])</f>
        <v>0</v>
      </c>
      <c r="J535">
        <f>SUMIF(TArticle[تاریخ],TDays[[#This Row],[تاریخ]],TArticle[درآمد تتا])</f>
        <v>0</v>
      </c>
      <c r="K535">
        <f>SUMIF(TArticle[تاریخ],TDays[[#This Row],[تاریخ]],TArticle[اسنپ])</f>
        <v>0</v>
      </c>
      <c r="L535">
        <f>-SUMIF(TArticle[تاریخ],TDays[[#This Row],[تاریخ]],TArticle[پرداخت بدهی])</f>
        <v>0</v>
      </c>
      <c r="M535">
        <f>SUMIF(TArticle[تاریخ],TDays[[#This Row],[تاریخ]],TArticle[افزایش بدهی])</f>
        <v>0</v>
      </c>
      <c r="N535">
        <f>-SUMIF(TArticle[تاریخ],TDays[[#This Row],[تاریخ]],TArticle[افزایش سرمایه])</f>
        <v>0</v>
      </c>
      <c r="O535">
        <f>SUMIF(TArticle[تاریخ],TDays[[#This Row],[تاریخ]],TArticle[تعداد تراکنش انجام شده])</f>
        <v>0</v>
      </c>
      <c r="P535">
        <f>INT(((TDays[[#This Row],[ماه]]-1)*31+TDays[[#This Row],[روز]]+1)/7)+1</f>
        <v>25</v>
      </c>
      <c r="Q535">
        <f>SUMIF(TArticle[تاریخ],TDays[[#This Row],[تاریخ]],TArticle[تراکنش برنامه ریزی شده])</f>
        <v>0</v>
      </c>
    </row>
    <row r="536" spans="1:17" x14ac:dyDescent="0.25">
      <c r="A536" s="3" t="s">
        <v>722</v>
      </c>
      <c r="B536" t="str">
        <f>RIGHT(TDays[[#This Row],[تاریخ]],2)</f>
        <v>15</v>
      </c>
      <c r="C536" t="str">
        <f>RIGHT(LEFT(TDays[[#This Row],[تاریخ]],7),2)</f>
        <v>06</v>
      </c>
      <c r="D536" t="str">
        <f>LEFT(TDays[[#This Row],[تاریخ]],4)</f>
        <v>1402</v>
      </c>
      <c r="E536" t="str">
        <f>LEFT(TDays[[#This Row],[تاریخ]],7)</f>
        <v>1402-06</v>
      </c>
      <c r="F536">
        <v>4</v>
      </c>
      <c r="G536" s="15" t="str">
        <f>VLOOKUP(TDays[[#This Row],[کد روز هفته]],TDaysOfTheWeek[],2,FALSE)</f>
        <v>چهارشنبه</v>
      </c>
      <c r="H536" s="15">
        <f>IFERROR(IF(E535&lt;&gt;E536,1,INT(H535)+IF(TDays[[#This Row],[کد روز هفته]]=0,1,0)),1)</f>
        <v>3</v>
      </c>
      <c r="I536">
        <f>-SUMIF(TArticle[تاریخ],TDays[[#This Row],[تاریخ]],TArticle[هزینه])</f>
        <v>0</v>
      </c>
      <c r="J536">
        <f>SUMIF(TArticle[تاریخ],TDays[[#This Row],[تاریخ]],TArticle[درآمد تتا])</f>
        <v>0</v>
      </c>
      <c r="K536">
        <f>SUMIF(TArticle[تاریخ],TDays[[#This Row],[تاریخ]],TArticle[اسنپ])</f>
        <v>0</v>
      </c>
      <c r="L536">
        <f>-SUMIF(TArticle[تاریخ],TDays[[#This Row],[تاریخ]],TArticle[پرداخت بدهی])</f>
        <v>0</v>
      </c>
      <c r="M536">
        <f>SUMIF(TArticle[تاریخ],TDays[[#This Row],[تاریخ]],TArticle[افزایش بدهی])</f>
        <v>0</v>
      </c>
      <c r="N536">
        <f>-SUMIF(TArticle[تاریخ],TDays[[#This Row],[تاریخ]],TArticle[افزایش سرمایه])</f>
        <v>0</v>
      </c>
      <c r="O536">
        <f>SUMIF(TArticle[تاریخ],TDays[[#This Row],[تاریخ]],TArticle[تعداد تراکنش انجام شده])</f>
        <v>0</v>
      </c>
      <c r="P536">
        <f>INT(((TDays[[#This Row],[ماه]]-1)*31+TDays[[#This Row],[روز]]+1)/7)+1</f>
        <v>25</v>
      </c>
      <c r="Q536">
        <f>SUMIF(TArticle[تاریخ],TDays[[#This Row],[تاریخ]],TArticle[تراکنش برنامه ریزی شده])</f>
        <v>0</v>
      </c>
    </row>
    <row r="537" spans="1:17" x14ac:dyDescent="0.25">
      <c r="A537" s="3" t="s">
        <v>723</v>
      </c>
      <c r="B537" t="str">
        <f>RIGHT(TDays[[#This Row],[تاریخ]],2)</f>
        <v>16</v>
      </c>
      <c r="C537" t="str">
        <f>RIGHT(LEFT(TDays[[#This Row],[تاریخ]],7),2)</f>
        <v>06</v>
      </c>
      <c r="D537" t="str">
        <f>LEFT(TDays[[#This Row],[تاریخ]],4)</f>
        <v>1402</v>
      </c>
      <c r="E537" t="str">
        <f>LEFT(TDays[[#This Row],[تاریخ]],7)</f>
        <v>1402-06</v>
      </c>
      <c r="F537">
        <v>5</v>
      </c>
      <c r="G537" s="15" t="str">
        <f>VLOOKUP(TDays[[#This Row],[کد روز هفته]],TDaysOfTheWeek[],2,FALSE)</f>
        <v>پنجشنبه</v>
      </c>
      <c r="H537" s="15">
        <f>IFERROR(IF(E536&lt;&gt;E537,1,INT(H536)+IF(TDays[[#This Row],[کد روز هفته]]=0,1,0)),1)</f>
        <v>3</v>
      </c>
      <c r="I537">
        <f>-SUMIF(TArticle[تاریخ],TDays[[#This Row],[تاریخ]],TArticle[هزینه])</f>
        <v>0</v>
      </c>
      <c r="J537">
        <f>SUMIF(TArticle[تاریخ],TDays[[#This Row],[تاریخ]],TArticle[درآمد تتا])</f>
        <v>0</v>
      </c>
      <c r="K537">
        <f>SUMIF(TArticle[تاریخ],TDays[[#This Row],[تاریخ]],TArticle[اسنپ])</f>
        <v>0</v>
      </c>
      <c r="L537">
        <f>-SUMIF(TArticle[تاریخ],TDays[[#This Row],[تاریخ]],TArticle[پرداخت بدهی])</f>
        <v>0</v>
      </c>
      <c r="M537">
        <f>SUMIF(TArticle[تاریخ],TDays[[#This Row],[تاریخ]],TArticle[افزایش بدهی])</f>
        <v>0</v>
      </c>
      <c r="N537">
        <f>-SUMIF(TArticle[تاریخ],TDays[[#This Row],[تاریخ]],TArticle[افزایش سرمایه])</f>
        <v>0</v>
      </c>
      <c r="O537">
        <f>SUMIF(TArticle[تاریخ],TDays[[#This Row],[تاریخ]],TArticle[تعداد تراکنش انجام شده])</f>
        <v>0</v>
      </c>
      <c r="P537">
        <f>INT(((TDays[[#This Row],[ماه]]-1)*31+TDays[[#This Row],[روز]]+1)/7)+1</f>
        <v>25</v>
      </c>
      <c r="Q537">
        <f>SUMIF(TArticle[تاریخ],TDays[[#This Row],[تاریخ]],TArticle[تراکنش برنامه ریزی شده])</f>
        <v>0</v>
      </c>
    </row>
    <row r="538" spans="1:17" x14ac:dyDescent="0.25">
      <c r="A538" s="3" t="s">
        <v>724</v>
      </c>
      <c r="B538" t="str">
        <f>RIGHT(TDays[[#This Row],[تاریخ]],2)</f>
        <v>17</v>
      </c>
      <c r="C538" t="str">
        <f>RIGHT(LEFT(TDays[[#This Row],[تاریخ]],7),2)</f>
        <v>06</v>
      </c>
      <c r="D538" t="str">
        <f>LEFT(TDays[[#This Row],[تاریخ]],4)</f>
        <v>1402</v>
      </c>
      <c r="E538" t="str">
        <f>LEFT(TDays[[#This Row],[تاریخ]],7)</f>
        <v>1402-06</v>
      </c>
      <c r="F538">
        <v>6</v>
      </c>
      <c r="G538" s="15" t="str">
        <f>VLOOKUP(TDays[[#This Row],[کد روز هفته]],TDaysOfTheWeek[],2,FALSE)</f>
        <v>جمعه</v>
      </c>
      <c r="H538" s="15">
        <f>IFERROR(IF(E537&lt;&gt;E538,1,INT(H537)+IF(TDays[[#This Row],[کد روز هفته]]=0,1,0)),1)</f>
        <v>3</v>
      </c>
      <c r="I538">
        <f>-SUMIF(TArticle[تاریخ],TDays[[#This Row],[تاریخ]],TArticle[هزینه])</f>
        <v>0</v>
      </c>
      <c r="J538">
        <f>SUMIF(TArticle[تاریخ],TDays[[#This Row],[تاریخ]],TArticle[درآمد تتا])</f>
        <v>0</v>
      </c>
      <c r="K538">
        <f>SUMIF(TArticle[تاریخ],TDays[[#This Row],[تاریخ]],TArticle[اسنپ])</f>
        <v>0</v>
      </c>
      <c r="L538">
        <f>-SUMIF(TArticle[تاریخ],TDays[[#This Row],[تاریخ]],TArticle[پرداخت بدهی])</f>
        <v>0</v>
      </c>
      <c r="M538">
        <f>SUMIF(TArticle[تاریخ],TDays[[#This Row],[تاریخ]],TArticle[افزایش بدهی])</f>
        <v>0</v>
      </c>
      <c r="N538">
        <f>-SUMIF(TArticle[تاریخ],TDays[[#This Row],[تاریخ]],TArticle[افزایش سرمایه])</f>
        <v>0</v>
      </c>
      <c r="O538">
        <f>SUMIF(TArticle[تاریخ],TDays[[#This Row],[تاریخ]],TArticle[تعداد تراکنش انجام شده])</f>
        <v>0</v>
      </c>
      <c r="P538">
        <f>INT(((TDays[[#This Row],[ماه]]-1)*31+TDays[[#This Row],[روز]]+1)/7)+1</f>
        <v>25</v>
      </c>
      <c r="Q538">
        <f>SUMIF(TArticle[تاریخ],TDays[[#This Row],[تاریخ]],TArticle[تراکنش برنامه ریزی شده])</f>
        <v>1</v>
      </c>
    </row>
    <row r="539" spans="1:17" x14ac:dyDescent="0.25">
      <c r="A539" s="3" t="s">
        <v>725</v>
      </c>
      <c r="B539" t="str">
        <f>RIGHT(TDays[[#This Row],[تاریخ]],2)</f>
        <v>18</v>
      </c>
      <c r="C539" t="str">
        <f>RIGHT(LEFT(TDays[[#This Row],[تاریخ]],7),2)</f>
        <v>06</v>
      </c>
      <c r="D539" t="str">
        <f>LEFT(TDays[[#This Row],[تاریخ]],4)</f>
        <v>1402</v>
      </c>
      <c r="E539" t="str">
        <f>LEFT(TDays[[#This Row],[تاریخ]],7)</f>
        <v>1402-06</v>
      </c>
      <c r="F539">
        <v>0</v>
      </c>
      <c r="G539" s="15" t="str">
        <f>VLOOKUP(TDays[[#This Row],[کد روز هفته]],TDaysOfTheWeek[],2,FALSE)</f>
        <v>شنبه</v>
      </c>
      <c r="H539" s="15">
        <f>IFERROR(IF(E538&lt;&gt;E539,1,INT(H538)+IF(TDays[[#This Row],[کد روز هفته]]=0,1,0)),1)</f>
        <v>4</v>
      </c>
      <c r="I539">
        <f>-SUMIF(TArticle[تاریخ],TDays[[#This Row],[تاریخ]],TArticle[هزینه])</f>
        <v>0</v>
      </c>
      <c r="J539">
        <f>SUMIF(TArticle[تاریخ],TDays[[#This Row],[تاریخ]],TArticle[درآمد تتا])</f>
        <v>0</v>
      </c>
      <c r="K539">
        <f>SUMIF(TArticle[تاریخ],TDays[[#This Row],[تاریخ]],TArticle[اسنپ])</f>
        <v>0</v>
      </c>
      <c r="L539">
        <f>-SUMIF(TArticle[تاریخ],TDays[[#This Row],[تاریخ]],TArticle[پرداخت بدهی])</f>
        <v>0</v>
      </c>
      <c r="M539">
        <f>SUMIF(TArticle[تاریخ],TDays[[#This Row],[تاریخ]],TArticle[افزایش بدهی])</f>
        <v>0</v>
      </c>
      <c r="N539">
        <f>-SUMIF(TArticle[تاریخ],TDays[[#This Row],[تاریخ]],TArticle[افزایش سرمایه])</f>
        <v>0</v>
      </c>
      <c r="O539">
        <f>SUMIF(TArticle[تاریخ],TDays[[#This Row],[تاریخ]],TArticle[تعداد تراکنش انجام شده])</f>
        <v>0</v>
      </c>
      <c r="P539">
        <f>INT(((TDays[[#This Row],[ماه]]-1)*31+TDays[[#This Row],[روز]]+1)/7)+1</f>
        <v>25</v>
      </c>
      <c r="Q539">
        <f>SUMIF(TArticle[تاریخ],TDays[[#This Row],[تاریخ]],TArticle[تراکنش برنامه ریزی شده])</f>
        <v>0</v>
      </c>
    </row>
    <row r="540" spans="1:17" x14ac:dyDescent="0.25">
      <c r="A540" s="3" t="s">
        <v>726</v>
      </c>
      <c r="B540" t="str">
        <f>RIGHT(TDays[[#This Row],[تاریخ]],2)</f>
        <v>19</v>
      </c>
      <c r="C540" t="str">
        <f>RIGHT(LEFT(TDays[[#This Row],[تاریخ]],7),2)</f>
        <v>06</v>
      </c>
      <c r="D540" t="str">
        <f>LEFT(TDays[[#This Row],[تاریخ]],4)</f>
        <v>1402</v>
      </c>
      <c r="E540" t="str">
        <f>LEFT(TDays[[#This Row],[تاریخ]],7)</f>
        <v>1402-06</v>
      </c>
      <c r="F540">
        <v>1</v>
      </c>
      <c r="G540" s="15" t="str">
        <f>VLOOKUP(TDays[[#This Row],[کد روز هفته]],TDaysOfTheWeek[],2,FALSE)</f>
        <v>یکشنبه</v>
      </c>
      <c r="H540" s="15">
        <f>IFERROR(IF(E539&lt;&gt;E540,1,INT(H539)+IF(TDays[[#This Row],[کد روز هفته]]=0,1,0)),1)</f>
        <v>4</v>
      </c>
      <c r="I540">
        <f>-SUMIF(TArticle[تاریخ],TDays[[#This Row],[تاریخ]],TArticle[هزینه])</f>
        <v>0</v>
      </c>
      <c r="J540">
        <f>SUMIF(TArticle[تاریخ],TDays[[#This Row],[تاریخ]],TArticle[درآمد تتا])</f>
        <v>0</v>
      </c>
      <c r="K540">
        <f>SUMIF(TArticle[تاریخ],TDays[[#This Row],[تاریخ]],TArticle[اسنپ])</f>
        <v>0</v>
      </c>
      <c r="L540">
        <f>-SUMIF(TArticle[تاریخ],TDays[[#This Row],[تاریخ]],TArticle[پرداخت بدهی])</f>
        <v>0</v>
      </c>
      <c r="M540">
        <f>SUMIF(TArticle[تاریخ],TDays[[#This Row],[تاریخ]],TArticle[افزایش بدهی])</f>
        <v>0</v>
      </c>
      <c r="N540">
        <f>-SUMIF(TArticle[تاریخ],TDays[[#This Row],[تاریخ]],TArticle[افزایش سرمایه])</f>
        <v>0</v>
      </c>
      <c r="O540">
        <f>SUMIF(TArticle[تاریخ],TDays[[#This Row],[تاریخ]],TArticle[تعداد تراکنش انجام شده])</f>
        <v>0</v>
      </c>
      <c r="P540">
        <f>INT(((TDays[[#This Row],[ماه]]-1)*31+TDays[[#This Row],[روز]]+1)/7)+1</f>
        <v>26</v>
      </c>
      <c r="Q540">
        <f>SUMIF(TArticle[تاریخ],TDays[[#This Row],[تاریخ]],TArticle[تراکنش برنامه ریزی شده])</f>
        <v>0</v>
      </c>
    </row>
    <row r="541" spans="1:17" x14ac:dyDescent="0.25">
      <c r="A541" s="3" t="s">
        <v>727</v>
      </c>
      <c r="B541" t="str">
        <f>RIGHT(TDays[[#This Row],[تاریخ]],2)</f>
        <v>20</v>
      </c>
      <c r="C541" t="str">
        <f>RIGHT(LEFT(TDays[[#This Row],[تاریخ]],7),2)</f>
        <v>06</v>
      </c>
      <c r="D541" t="str">
        <f>LEFT(TDays[[#This Row],[تاریخ]],4)</f>
        <v>1402</v>
      </c>
      <c r="E541" t="str">
        <f>LEFT(TDays[[#This Row],[تاریخ]],7)</f>
        <v>1402-06</v>
      </c>
      <c r="F541">
        <v>2</v>
      </c>
      <c r="G541" s="15" t="str">
        <f>VLOOKUP(TDays[[#This Row],[کد روز هفته]],TDaysOfTheWeek[],2,FALSE)</f>
        <v>دوشنبه</v>
      </c>
      <c r="H541" s="15">
        <f>IFERROR(IF(E540&lt;&gt;E541,1,INT(H540)+IF(TDays[[#This Row],[کد روز هفته]]=0,1,0)),1)</f>
        <v>4</v>
      </c>
      <c r="I541">
        <f>-SUMIF(TArticle[تاریخ],TDays[[#This Row],[تاریخ]],TArticle[هزینه])</f>
        <v>0</v>
      </c>
      <c r="J541">
        <f>SUMIF(TArticle[تاریخ],TDays[[#This Row],[تاریخ]],TArticle[درآمد تتا])</f>
        <v>0</v>
      </c>
      <c r="K541">
        <f>SUMIF(TArticle[تاریخ],TDays[[#This Row],[تاریخ]],TArticle[اسنپ])</f>
        <v>0</v>
      </c>
      <c r="L541">
        <f>-SUMIF(TArticle[تاریخ],TDays[[#This Row],[تاریخ]],TArticle[پرداخت بدهی])</f>
        <v>0</v>
      </c>
      <c r="M541">
        <f>SUMIF(TArticle[تاریخ],TDays[[#This Row],[تاریخ]],TArticle[افزایش بدهی])</f>
        <v>0</v>
      </c>
      <c r="N541">
        <f>-SUMIF(TArticle[تاریخ],TDays[[#This Row],[تاریخ]],TArticle[افزایش سرمایه])</f>
        <v>0</v>
      </c>
      <c r="O541">
        <f>SUMIF(TArticle[تاریخ],TDays[[#This Row],[تاریخ]],TArticle[تعداد تراکنش انجام شده])</f>
        <v>0</v>
      </c>
      <c r="P541">
        <f>INT(((TDays[[#This Row],[ماه]]-1)*31+TDays[[#This Row],[روز]]+1)/7)+1</f>
        <v>26</v>
      </c>
      <c r="Q541">
        <f>SUMIF(TArticle[تاریخ],TDays[[#This Row],[تاریخ]],TArticle[تراکنش برنامه ریزی شده])</f>
        <v>1</v>
      </c>
    </row>
    <row r="542" spans="1:17" x14ac:dyDescent="0.25">
      <c r="A542" s="3" t="s">
        <v>728</v>
      </c>
      <c r="B542" t="str">
        <f>RIGHT(TDays[[#This Row],[تاریخ]],2)</f>
        <v>21</v>
      </c>
      <c r="C542" t="str">
        <f>RIGHT(LEFT(TDays[[#This Row],[تاریخ]],7),2)</f>
        <v>06</v>
      </c>
      <c r="D542" t="str">
        <f>LEFT(TDays[[#This Row],[تاریخ]],4)</f>
        <v>1402</v>
      </c>
      <c r="E542" t="str">
        <f>LEFT(TDays[[#This Row],[تاریخ]],7)</f>
        <v>1402-06</v>
      </c>
      <c r="F542">
        <v>3</v>
      </c>
      <c r="G542" s="15" t="str">
        <f>VLOOKUP(TDays[[#This Row],[کد روز هفته]],TDaysOfTheWeek[],2,FALSE)</f>
        <v>سه شنبه</v>
      </c>
      <c r="H542" s="15">
        <f>IFERROR(IF(E541&lt;&gt;E542,1,INT(H541)+IF(TDays[[#This Row],[کد روز هفته]]=0,1,0)),1)</f>
        <v>4</v>
      </c>
      <c r="I542">
        <f>-SUMIF(TArticle[تاریخ],TDays[[#This Row],[تاریخ]],TArticle[هزینه])</f>
        <v>0</v>
      </c>
      <c r="J542">
        <f>SUMIF(TArticle[تاریخ],TDays[[#This Row],[تاریخ]],TArticle[درآمد تتا])</f>
        <v>0</v>
      </c>
      <c r="K542">
        <f>SUMIF(TArticle[تاریخ],TDays[[#This Row],[تاریخ]],TArticle[اسنپ])</f>
        <v>0</v>
      </c>
      <c r="L542">
        <f>-SUMIF(TArticle[تاریخ],TDays[[#This Row],[تاریخ]],TArticle[پرداخت بدهی])</f>
        <v>0</v>
      </c>
      <c r="M542">
        <f>SUMIF(TArticle[تاریخ],TDays[[#This Row],[تاریخ]],TArticle[افزایش بدهی])</f>
        <v>0</v>
      </c>
      <c r="N542">
        <f>-SUMIF(TArticle[تاریخ],TDays[[#This Row],[تاریخ]],TArticle[افزایش سرمایه])</f>
        <v>0</v>
      </c>
      <c r="O542">
        <f>SUMIF(TArticle[تاریخ],TDays[[#This Row],[تاریخ]],TArticle[تعداد تراکنش انجام شده])</f>
        <v>0</v>
      </c>
      <c r="P542">
        <f>INT(((TDays[[#This Row],[ماه]]-1)*31+TDays[[#This Row],[روز]]+1)/7)+1</f>
        <v>26</v>
      </c>
      <c r="Q542">
        <f>SUMIF(TArticle[تاریخ],TDays[[#This Row],[تاریخ]],TArticle[تراکنش برنامه ریزی شده])</f>
        <v>0</v>
      </c>
    </row>
    <row r="543" spans="1:17" x14ac:dyDescent="0.25">
      <c r="A543" s="3" t="s">
        <v>729</v>
      </c>
      <c r="B543" t="str">
        <f>RIGHT(TDays[[#This Row],[تاریخ]],2)</f>
        <v>22</v>
      </c>
      <c r="C543" t="str">
        <f>RIGHT(LEFT(TDays[[#This Row],[تاریخ]],7),2)</f>
        <v>06</v>
      </c>
      <c r="D543" t="str">
        <f>LEFT(TDays[[#This Row],[تاریخ]],4)</f>
        <v>1402</v>
      </c>
      <c r="E543" t="str">
        <f>LEFT(TDays[[#This Row],[تاریخ]],7)</f>
        <v>1402-06</v>
      </c>
      <c r="F543">
        <v>4</v>
      </c>
      <c r="G543" s="15" t="str">
        <f>VLOOKUP(TDays[[#This Row],[کد روز هفته]],TDaysOfTheWeek[],2,FALSE)</f>
        <v>چهارشنبه</v>
      </c>
      <c r="H543" s="15">
        <f>IFERROR(IF(E542&lt;&gt;E543,1,INT(H542)+IF(TDays[[#This Row],[کد روز هفته]]=0,1,0)),1)</f>
        <v>4</v>
      </c>
      <c r="I543">
        <f>-SUMIF(TArticle[تاریخ],TDays[[#This Row],[تاریخ]],TArticle[هزینه])</f>
        <v>0</v>
      </c>
      <c r="J543">
        <f>SUMIF(TArticle[تاریخ],TDays[[#This Row],[تاریخ]],TArticle[درآمد تتا])</f>
        <v>0</v>
      </c>
      <c r="K543">
        <f>SUMIF(TArticle[تاریخ],TDays[[#This Row],[تاریخ]],TArticle[اسنپ])</f>
        <v>0</v>
      </c>
      <c r="L543">
        <f>-SUMIF(TArticle[تاریخ],TDays[[#This Row],[تاریخ]],TArticle[پرداخت بدهی])</f>
        <v>0</v>
      </c>
      <c r="M543">
        <f>SUMIF(TArticle[تاریخ],TDays[[#This Row],[تاریخ]],TArticle[افزایش بدهی])</f>
        <v>0</v>
      </c>
      <c r="N543">
        <f>-SUMIF(TArticle[تاریخ],TDays[[#This Row],[تاریخ]],TArticle[افزایش سرمایه])</f>
        <v>0</v>
      </c>
      <c r="O543">
        <f>SUMIF(TArticle[تاریخ],TDays[[#This Row],[تاریخ]],TArticle[تعداد تراکنش انجام شده])</f>
        <v>0</v>
      </c>
      <c r="P543">
        <f>INT(((TDays[[#This Row],[ماه]]-1)*31+TDays[[#This Row],[روز]]+1)/7)+1</f>
        <v>26</v>
      </c>
      <c r="Q543">
        <f>SUMIF(TArticle[تاریخ],TDays[[#This Row],[تاریخ]],TArticle[تراکنش برنامه ریزی شده])</f>
        <v>0</v>
      </c>
    </row>
    <row r="544" spans="1:17" x14ac:dyDescent="0.25">
      <c r="A544" s="3" t="s">
        <v>730</v>
      </c>
      <c r="B544" t="str">
        <f>RIGHT(TDays[[#This Row],[تاریخ]],2)</f>
        <v>23</v>
      </c>
      <c r="C544" t="str">
        <f>RIGHT(LEFT(TDays[[#This Row],[تاریخ]],7),2)</f>
        <v>06</v>
      </c>
      <c r="D544" t="str">
        <f>LEFT(TDays[[#This Row],[تاریخ]],4)</f>
        <v>1402</v>
      </c>
      <c r="E544" t="str">
        <f>LEFT(TDays[[#This Row],[تاریخ]],7)</f>
        <v>1402-06</v>
      </c>
      <c r="F544">
        <v>5</v>
      </c>
      <c r="G544" s="15" t="str">
        <f>VLOOKUP(TDays[[#This Row],[کد روز هفته]],TDaysOfTheWeek[],2,FALSE)</f>
        <v>پنجشنبه</v>
      </c>
      <c r="H544" s="15">
        <f>IFERROR(IF(E543&lt;&gt;E544,1,INT(H543)+IF(TDays[[#This Row],[کد روز هفته]]=0,1,0)),1)</f>
        <v>4</v>
      </c>
      <c r="I544">
        <f>-SUMIF(TArticle[تاریخ],TDays[[#This Row],[تاریخ]],TArticle[هزینه])</f>
        <v>0</v>
      </c>
      <c r="J544">
        <f>SUMIF(TArticle[تاریخ],TDays[[#This Row],[تاریخ]],TArticle[درآمد تتا])</f>
        <v>0</v>
      </c>
      <c r="K544">
        <f>SUMIF(TArticle[تاریخ],TDays[[#This Row],[تاریخ]],TArticle[اسنپ])</f>
        <v>0</v>
      </c>
      <c r="L544">
        <f>-SUMIF(TArticle[تاریخ],TDays[[#This Row],[تاریخ]],TArticle[پرداخت بدهی])</f>
        <v>0</v>
      </c>
      <c r="M544">
        <f>SUMIF(TArticle[تاریخ],TDays[[#This Row],[تاریخ]],TArticle[افزایش بدهی])</f>
        <v>0</v>
      </c>
      <c r="N544">
        <f>-SUMIF(TArticle[تاریخ],TDays[[#This Row],[تاریخ]],TArticle[افزایش سرمایه])</f>
        <v>0</v>
      </c>
      <c r="O544">
        <f>SUMIF(TArticle[تاریخ],TDays[[#This Row],[تاریخ]],TArticle[تعداد تراکنش انجام شده])</f>
        <v>0</v>
      </c>
      <c r="P544">
        <f>INT(((TDays[[#This Row],[ماه]]-1)*31+TDays[[#This Row],[روز]]+1)/7)+1</f>
        <v>26</v>
      </c>
      <c r="Q544">
        <f>SUMIF(TArticle[تاریخ],TDays[[#This Row],[تاریخ]],TArticle[تراکنش برنامه ریزی شده])</f>
        <v>0</v>
      </c>
    </row>
    <row r="545" spans="1:17" x14ac:dyDescent="0.25">
      <c r="A545" s="3" t="s">
        <v>731</v>
      </c>
      <c r="B545" t="str">
        <f>RIGHT(TDays[[#This Row],[تاریخ]],2)</f>
        <v>24</v>
      </c>
      <c r="C545" t="str">
        <f>RIGHT(LEFT(TDays[[#This Row],[تاریخ]],7),2)</f>
        <v>06</v>
      </c>
      <c r="D545" t="str">
        <f>LEFT(TDays[[#This Row],[تاریخ]],4)</f>
        <v>1402</v>
      </c>
      <c r="E545" t="str">
        <f>LEFT(TDays[[#This Row],[تاریخ]],7)</f>
        <v>1402-06</v>
      </c>
      <c r="F545">
        <v>6</v>
      </c>
      <c r="G545" s="15" t="str">
        <f>VLOOKUP(TDays[[#This Row],[کد روز هفته]],TDaysOfTheWeek[],2,FALSE)</f>
        <v>جمعه</v>
      </c>
      <c r="H545" s="15">
        <f>IFERROR(IF(E544&lt;&gt;E545,1,INT(H544)+IF(TDays[[#This Row],[کد روز هفته]]=0,1,0)),1)</f>
        <v>4</v>
      </c>
      <c r="I545">
        <f>-SUMIF(TArticle[تاریخ],TDays[[#This Row],[تاریخ]],TArticle[هزینه])</f>
        <v>0</v>
      </c>
      <c r="J545">
        <f>SUMIF(TArticle[تاریخ],TDays[[#This Row],[تاریخ]],TArticle[درآمد تتا])</f>
        <v>0</v>
      </c>
      <c r="K545">
        <f>SUMIF(TArticle[تاریخ],TDays[[#This Row],[تاریخ]],TArticle[اسنپ])</f>
        <v>0</v>
      </c>
      <c r="L545">
        <f>-SUMIF(TArticle[تاریخ],TDays[[#This Row],[تاریخ]],TArticle[پرداخت بدهی])</f>
        <v>0</v>
      </c>
      <c r="M545">
        <f>SUMIF(TArticle[تاریخ],TDays[[#This Row],[تاریخ]],TArticle[افزایش بدهی])</f>
        <v>0</v>
      </c>
      <c r="N545">
        <f>-SUMIF(TArticle[تاریخ],TDays[[#This Row],[تاریخ]],TArticle[افزایش سرمایه])</f>
        <v>0</v>
      </c>
      <c r="O545">
        <f>SUMIF(TArticle[تاریخ],TDays[[#This Row],[تاریخ]],TArticle[تعداد تراکنش انجام شده])</f>
        <v>0</v>
      </c>
      <c r="P545">
        <f>INT(((TDays[[#This Row],[ماه]]-1)*31+TDays[[#This Row],[روز]]+1)/7)+1</f>
        <v>26</v>
      </c>
      <c r="Q545">
        <f>SUMIF(TArticle[تاریخ],TDays[[#This Row],[تاریخ]],TArticle[تراکنش برنامه ریزی شده])</f>
        <v>0</v>
      </c>
    </row>
    <row r="546" spans="1:17" x14ac:dyDescent="0.25">
      <c r="A546" s="3" t="s">
        <v>732</v>
      </c>
      <c r="B546" t="str">
        <f>RIGHT(TDays[[#This Row],[تاریخ]],2)</f>
        <v>25</v>
      </c>
      <c r="C546" t="str">
        <f>RIGHT(LEFT(TDays[[#This Row],[تاریخ]],7),2)</f>
        <v>06</v>
      </c>
      <c r="D546" t="str">
        <f>LEFT(TDays[[#This Row],[تاریخ]],4)</f>
        <v>1402</v>
      </c>
      <c r="E546" t="str">
        <f>LEFT(TDays[[#This Row],[تاریخ]],7)</f>
        <v>1402-06</v>
      </c>
      <c r="F546">
        <v>0</v>
      </c>
      <c r="G546" s="15" t="str">
        <f>VLOOKUP(TDays[[#This Row],[کد روز هفته]],TDaysOfTheWeek[],2,FALSE)</f>
        <v>شنبه</v>
      </c>
      <c r="H546" s="15">
        <f>IFERROR(IF(E545&lt;&gt;E546,1,INT(H545)+IF(TDays[[#This Row],[کد روز هفته]]=0,1,0)),1)</f>
        <v>5</v>
      </c>
      <c r="I546">
        <f>-SUMIF(TArticle[تاریخ],TDays[[#This Row],[تاریخ]],TArticle[هزینه])</f>
        <v>0</v>
      </c>
      <c r="J546">
        <f>SUMIF(TArticle[تاریخ],TDays[[#This Row],[تاریخ]],TArticle[درآمد تتا])</f>
        <v>0</v>
      </c>
      <c r="K546">
        <f>SUMIF(TArticle[تاریخ],TDays[[#This Row],[تاریخ]],TArticle[اسنپ])</f>
        <v>0</v>
      </c>
      <c r="L546">
        <f>-SUMIF(TArticle[تاریخ],TDays[[#This Row],[تاریخ]],TArticle[پرداخت بدهی])</f>
        <v>0</v>
      </c>
      <c r="M546">
        <f>SUMIF(TArticle[تاریخ],TDays[[#This Row],[تاریخ]],TArticle[افزایش بدهی])</f>
        <v>0</v>
      </c>
      <c r="N546">
        <f>-SUMIF(TArticle[تاریخ],TDays[[#This Row],[تاریخ]],TArticle[افزایش سرمایه])</f>
        <v>0</v>
      </c>
      <c r="O546">
        <f>SUMIF(TArticle[تاریخ],TDays[[#This Row],[تاریخ]],TArticle[تعداد تراکنش انجام شده])</f>
        <v>0</v>
      </c>
      <c r="P546">
        <f>INT(((TDays[[#This Row],[ماه]]-1)*31+TDays[[#This Row],[روز]]+1)/7)+1</f>
        <v>26</v>
      </c>
      <c r="Q546">
        <f>SUMIF(TArticle[تاریخ],TDays[[#This Row],[تاریخ]],TArticle[تراکنش برنامه ریزی شده])</f>
        <v>0</v>
      </c>
    </row>
    <row r="547" spans="1:17" x14ac:dyDescent="0.25">
      <c r="A547" s="3" t="s">
        <v>733</v>
      </c>
      <c r="B547" t="str">
        <f>RIGHT(TDays[[#This Row],[تاریخ]],2)</f>
        <v>26</v>
      </c>
      <c r="C547" t="str">
        <f>RIGHT(LEFT(TDays[[#This Row],[تاریخ]],7),2)</f>
        <v>06</v>
      </c>
      <c r="D547" t="str">
        <f>LEFT(TDays[[#This Row],[تاریخ]],4)</f>
        <v>1402</v>
      </c>
      <c r="E547" t="str">
        <f>LEFT(TDays[[#This Row],[تاریخ]],7)</f>
        <v>1402-06</v>
      </c>
      <c r="F547">
        <v>1</v>
      </c>
      <c r="G547" s="15" t="str">
        <f>VLOOKUP(TDays[[#This Row],[کد روز هفته]],TDaysOfTheWeek[],2,FALSE)</f>
        <v>یکشنبه</v>
      </c>
      <c r="H547" s="15">
        <f>IFERROR(IF(E546&lt;&gt;E547,1,INT(H546)+IF(TDays[[#This Row],[کد روز هفته]]=0,1,0)),1)</f>
        <v>5</v>
      </c>
      <c r="I547">
        <f>-SUMIF(TArticle[تاریخ],TDays[[#This Row],[تاریخ]],TArticle[هزینه])</f>
        <v>0</v>
      </c>
      <c r="J547">
        <f>SUMIF(TArticle[تاریخ],TDays[[#This Row],[تاریخ]],TArticle[درآمد تتا])</f>
        <v>0</v>
      </c>
      <c r="K547">
        <f>SUMIF(TArticle[تاریخ],TDays[[#This Row],[تاریخ]],TArticle[اسنپ])</f>
        <v>0</v>
      </c>
      <c r="L547">
        <f>-SUMIF(TArticle[تاریخ],TDays[[#This Row],[تاریخ]],TArticle[پرداخت بدهی])</f>
        <v>0</v>
      </c>
      <c r="M547">
        <f>SUMIF(TArticle[تاریخ],TDays[[#This Row],[تاریخ]],TArticle[افزایش بدهی])</f>
        <v>0</v>
      </c>
      <c r="N547">
        <f>-SUMIF(TArticle[تاریخ],TDays[[#This Row],[تاریخ]],TArticle[افزایش سرمایه])</f>
        <v>0</v>
      </c>
      <c r="O547">
        <f>SUMIF(TArticle[تاریخ],TDays[[#This Row],[تاریخ]],TArticle[تعداد تراکنش انجام شده])</f>
        <v>0</v>
      </c>
      <c r="P547">
        <f>INT(((TDays[[#This Row],[ماه]]-1)*31+TDays[[#This Row],[روز]]+1)/7)+1</f>
        <v>27</v>
      </c>
      <c r="Q547">
        <f>SUMIF(TArticle[تاریخ],TDays[[#This Row],[تاریخ]],TArticle[تراکنش برنامه ریزی شده])</f>
        <v>0</v>
      </c>
    </row>
    <row r="548" spans="1:17" x14ac:dyDescent="0.25">
      <c r="A548" s="3" t="s">
        <v>734</v>
      </c>
      <c r="B548" t="str">
        <f>RIGHT(TDays[[#This Row],[تاریخ]],2)</f>
        <v>27</v>
      </c>
      <c r="C548" t="str">
        <f>RIGHT(LEFT(TDays[[#This Row],[تاریخ]],7),2)</f>
        <v>06</v>
      </c>
      <c r="D548" t="str">
        <f>LEFT(TDays[[#This Row],[تاریخ]],4)</f>
        <v>1402</v>
      </c>
      <c r="E548" t="str">
        <f>LEFT(TDays[[#This Row],[تاریخ]],7)</f>
        <v>1402-06</v>
      </c>
      <c r="F548">
        <v>2</v>
      </c>
      <c r="G548" s="15" t="str">
        <f>VLOOKUP(TDays[[#This Row],[کد روز هفته]],TDaysOfTheWeek[],2,FALSE)</f>
        <v>دوشنبه</v>
      </c>
      <c r="H548" s="15">
        <f>IFERROR(IF(E547&lt;&gt;E548,1,INT(H547)+IF(TDays[[#This Row],[کد روز هفته]]=0,1,0)),1)</f>
        <v>5</v>
      </c>
      <c r="I548">
        <f>-SUMIF(TArticle[تاریخ],TDays[[#This Row],[تاریخ]],TArticle[هزینه])</f>
        <v>0</v>
      </c>
      <c r="J548">
        <f>SUMIF(TArticle[تاریخ],TDays[[#This Row],[تاریخ]],TArticle[درآمد تتا])</f>
        <v>0</v>
      </c>
      <c r="K548">
        <f>SUMIF(TArticle[تاریخ],TDays[[#This Row],[تاریخ]],TArticle[اسنپ])</f>
        <v>0</v>
      </c>
      <c r="L548">
        <f>-SUMIF(TArticle[تاریخ],TDays[[#This Row],[تاریخ]],TArticle[پرداخت بدهی])</f>
        <v>0</v>
      </c>
      <c r="M548">
        <f>SUMIF(TArticle[تاریخ],TDays[[#This Row],[تاریخ]],TArticle[افزایش بدهی])</f>
        <v>0</v>
      </c>
      <c r="N548">
        <f>-SUMIF(TArticle[تاریخ],TDays[[#This Row],[تاریخ]],TArticle[افزایش سرمایه])</f>
        <v>0</v>
      </c>
      <c r="O548">
        <f>SUMIF(TArticle[تاریخ],TDays[[#This Row],[تاریخ]],TArticle[تعداد تراکنش انجام شده])</f>
        <v>0</v>
      </c>
      <c r="P548">
        <f>INT(((TDays[[#This Row],[ماه]]-1)*31+TDays[[#This Row],[روز]]+1)/7)+1</f>
        <v>27</v>
      </c>
      <c r="Q548">
        <f>SUMIF(TArticle[تاریخ],TDays[[#This Row],[تاریخ]],TArticle[تراکنش برنامه ریزی شده])</f>
        <v>0</v>
      </c>
    </row>
    <row r="549" spans="1:17" x14ac:dyDescent="0.25">
      <c r="A549" s="3" t="s">
        <v>735</v>
      </c>
      <c r="B549" t="str">
        <f>RIGHT(TDays[[#This Row],[تاریخ]],2)</f>
        <v>28</v>
      </c>
      <c r="C549" t="str">
        <f>RIGHT(LEFT(TDays[[#This Row],[تاریخ]],7),2)</f>
        <v>06</v>
      </c>
      <c r="D549" t="str">
        <f>LEFT(TDays[[#This Row],[تاریخ]],4)</f>
        <v>1402</v>
      </c>
      <c r="E549" t="str">
        <f>LEFT(TDays[[#This Row],[تاریخ]],7)</f>
        <v>1402-06</v>
      </c>
      <c r="F549">
        <v>3</v>
      </c>
      <c r="G549" s="15" t="str">
        <f>VLOOKUP(TDays[[#This Row],[کد روز هفته]],TDaysOfTheWeek[],2,FALSE)</f>
        <v>سه شنبه</v>
      </c>
      <c r="H549" s="15">
        <f>IFERROR(IF(E548&lt;&gt;E549,1,INT(H548)+IF(TDays[[#This Row],[کد روز هفته]]=0,1,0)),1)</f>
        <v>5</v>
      </c>
      <c r="I549">
        <f>-SUMIF(TArticle[تاریخ],TDays[[#This Row],[تاریخ]],TArticle[هزینه])</f>
        <v>0</v>
      </c>
      <c r="J549">
        <f>SUMIF(TArticle[تاریخ],TDays[[#This Row],[تاریخ]],TArticle[درآمد تتا])</f>
        <v>0</v>
      </c>
      <c r="K549">
        <f>SUMIF(TArticle[تاریخ],TDays[[#This Row],[تاریخ]],TArticle[اسنپ])</f>
        <v>0</v>
      </c>
      <c r="L549">
        <f>-SUMIF(TArticle[تاریخ],TDays[[#This Row],[تاریخ]],TArticle[پرداخت بدهی])</f>
        <v>0</v>
      </c>
      <c r="M549">
        <f>SUMIF(TArticle[تاریخ],TDays[[#This Row],[تاریخ]],TArticle[افزایش بدهی])</f>
        <v>0</v>
      </c>
      <c r="N549">
        <f>-SUMIF(TArticle[تاریخ],TDays[[#This Row],[تاریخ]],TArticle[افزایش سرمایه])</f>
        <v>0</v>
      </c>
      <c r="O549">
        <f>SUMIF(TArticle[تاریخ],TDays[[#This Row],[تاریخ]],TArticle[تعداد تراکنش انجام شده])</f>
        <v>0</v>
      </c>
      <c r="P549">
        <f>INT(((TDays[[#This Row],[ماه]]-1)*31+TDays[[#This Row],[روز]]+1)/7)+1</f>
        <v>27</v>
      </c>
      <c r="Q549">
        <f>SUMIF(TArticle[تاریخ],TDays[[#This Row],[تاریخ]],TArticle[تراکنش برنامه ریزی شده])</f>
        <v>1</v>
      </c>
    </row>
    <row r="550" spans="1:17" x14ac:dyDescent="0.25">
      <c r="A550" s="3" t="s">
        <v>736</v>
      </c>
      <c r="B550" t="str">
        <f>RIGHT(TDays[[#This Row],[تاریخ]],2)</f>
        <v>29</v>
      </c>
      <c r="C550" t="str">
        <f>RIGHT(LEFT(TDays[[#This Row],[تاریخ]],7),2)</f>
        <v>06</v>
      </c>
      <c r="D550" t="str">
        <f>LEFT(TDays[[#This Row],[تاریخ]],4)</f>
        <v>1402</v>
      </c>
      <c r="E550" t="str">
        <f>LEFT(TDays[[#This Row],[تاریخ]],7)</f>
        <v>1402-06</v>
      </c>
      <c r="F550">
        <v>4</v>
      </c>
      <c r="G550" s="15" t="str">
        <f>VLOOKUP(TDays[[#This Row],[کد روز هفته]],TDaysOfTheWeek[],2,FALSE)</f>
        <v>چهارشنبه</v>
      </c>
      <c r="H550" s="15">
        <f>IFERROR(IF(E549&lt;&gt;E550,1,INT(H549)+IF(TDays[[#This Row],[کد روز هفته]]=0,1,0)),1)</f>
        <v>5</v>
      </c>
      <c r="I550">
        <f>-SUMIF(TArticle[تاریخ],TDays[[#This Row],[تاریخ]],TArticle[هزینه])</f>
        <v>0</v>
      </c>
      <c r="J550">
        <f>SUMIF(TArticle[تاریخ],TDays[[#This Row],[تاریخ]],TArticle[درآمد تتا])</f>
        <v>0</v>
      </c>
      <c r="K550">
        <f>SUMIF(TArticle[تاریخ],TDays[[#This Row],[تاریخ]],TArticle[اسنپ])</f>
        <v>0</v>
      </c>
      <c r="L550">
        <f>-SUMIF(TArticle[تاریخ],TDays[[#This Row],[تاریخ]],TArticle[پرداخت بدهی])</f>
        <v>0</v>
      </c>
      <c r="M550">
        <f>SUMIF(TArticle[تاریخ],TDays[[#This Row],[تاریخ]],TArticle[افزایش بدهی])</f>
        <v>0</v>
      </c>
      <c r="N550">
        <f>-SUMIF(TArticle[تاریخ],TDays[[#This Row],[تاریخ]],TArticle[افزایش سرمایه])</f>
        <v>0</v>
      </c>
      <c r="O550">
        <f>SUMIF(TArticle[تاریخ],TDays[[#This Row],[تاریخ]],TArticle[تعداد تراکنش انجام شده])</f>
        <v>0</v>
      </c>
      <c r="P550">
        <f>INT(((TDays[[#This Row],[ماه]]-1)*31+TDays[[#This Row],[روز]]+1)/7)+1</f>
        <v>27</v>
      </c>
      <c r="Q550">
        <f>SUMIF(TArticle[تاریخ],TDays[[#This Row],[تاریخ]],TArticle[تراکنش برنامه ریزی شده])</f>
        <v>0</v>
      </c>
    </row>
    <row r="551" spans="1:17" x14ac:dyDescent="0.25">
      <c r="A551" s="3" t="s">
        <v>737</v>
      </c>
      <c r="B551" t="str">
        <f>RIGHT(TDays[[#This Row],[تاریخ]],2)</f>
        <v>30</v>
      </c>
      <c r="C551" t="str">
        <f>RIGHT(LEFT(TDays[[#This Row],[تاریخ]],7),2)</f>
        <v>06</v>
      </c>
      <c r="D551" t="str">
        <f>LEFT(TDays[[#This Row],[تاریخ]],4)</f>
        <v>1402</v>
      </c>
      <c r="E551" t="str">
        <f>LEFT(TDays[[#This Row],[تاریخ]],7)</f>
        <v>1402-06</v>
      </c>
      <c r="F551">
        <v>5</v>
      </c>
      <c r="G551" s="15" t="str">
        <f>VLOOKUP(TDays[[#This Row],[کد روز هفته]],TDaysOfTheWeek[],2,FALSE)</f>
        <v>پنجشنبه</v>
      </c>
      <c r="H551" s="15">
        <f>IFERROR(IF(E550&lt;&gt;E551,1,INT(H550)+IF(TDays[[#This Row],[کد روز هفته]]=0,1,0)),1)</f>
        <v>5</v>
      </c>
      <c r="I551">
        <f>-SUMIF(TArticle[تاریخ],TDays[[#This Row],[تاریخ]],TArticle[هزینه])</f>
        <v>0</v>
      </c>
      <c r="J551">
        <f>SUMIF(TArticle[تاریخ],TDays[[#This Row],[تاریخ]],TArticle[درآمد تتا])</f>
        <v>0</v>
      </c>
      <c r="K551">
        <f>SUMIF(TArticle[تاریخ],TDays[[#This Row],[تاریخ]],TArticle[اسنپ])</f>
        <v>0</v>
      </c>
      <c r="L551">
        <f>-SUMIF(TArticle[تاریخ],TDays[[#This Row],[تاریخ]],TArticle[پرداخت بدهی])</f>
        <v>0</v>
      </c>
      <c r="M551">
        <f>SUMIF(TArticle[تاریخ],TDays[[#This Row],[تاریخ]],TArticle[افزایش بدهی])</f>
        <v>0</v>
      </c>
      <c r="N551">
        <f>-SUMIF(TArticle[تاریخ],TDays[[#This Row],[تاریخ]],TArticle[افزایش سرمایه])</f>
        <v>0</v>
      </c>
      <c r="O551">
        <f>SUMIF(TArticle[تاریخ],TDays[[#This Row],[تاریخ]],TArticle[تعداد تراکنش انجام شده])</f>
        <v>0</v>
      </c>
      <c r="P551">
        <f>INT(((TDays[[#This Row],[ماه]]-1)*31+TDays[[#This Row],[روز]]+1)/7)+1</f>
        <v>27</v>
      </c>
      <c r="Q551">
        <f>SUMIF(TArticle[تاریخ],TDays[[#This Row],[تاریخ]],TArticle[تراکنش برنامه ریزی شده])</f>
        <v>0</v>
      </c>
    </row>
    <row r="552" spans="1:17" x14ac:dyDescent="0.25">
      <c r="A552" s="3" t="s">
        <v>738</v>
      </c>
      <c r="B552" t="str">
        <f>RIGHT(TDays[[#This Row],[تاریخ]],2)</f>
        <v>31</v>
      </c>
      <c r="C552" t="str">
        <f>RIGHT(LEFT(TDays[[#This Row],[تاریخ]],7),2)</f>
        <v>06</v>
      </c>
      <c r="D552" t="str">
        <f>LEFT(TDays[[#This Row],[تاریخ]],4)</f>
        <v>1402</v>
      </c>
      <c r="E552" t="str">
        <f>LEFT(TDays[[#This Row],[تاریخ]],7)</f>
        <v>1402-06</v>
      </c>
      <c r="F552">
        <v>6</v>
      </c>
      <c r="G552" s="15" t="str">
        <f>VLOOKUP(TDays[[#This Row],[کد روز هفته]],TDaysOfTheWeek[],2,FALSE)</f>
        <v>جمعه</v>
      </c>
      <c r="H552" s="15">
        <f>IFERROR(IF(E551&lt;&gt;E552,1,INT(H551)+IF(TDays[[#This Row],[کد روز هفته]]=0,1,0)),1)</f>
        <v>5</v>
      </c>
      <c r="I552">
        <f>-SUMIF(TArticle[تاریخ],TDays[[#This Row],[تاریخ]],TArticle[هزینه])</f>
        <v>0</v>
      </c>
      <c r="J552">
        <f>SUMIF(TArticle[تاریخ],TDays[[#This Row],[تاریخ]],TArticle[درآمد تتا])</f>
        <v>0</v>
      </c>
      <c r="K552">
        <f>SUMIF(TArticle[تاریخ],TDays[[#This Row],[تاریخ]],TArticle[اسنپ])</f>
        <v>0</v>
      </c>
      <c r="L552">
        <f>-SUMIF(TArticle[تاریخ],TDays[[#This Row],[تاریخ]],TArticle[پرداخت بدهی])</f>
        <v>0</v>
      </c>
      <c r="M552">
        <f>SUMIF(TArticle[تاریخ],TDays[[#This Row],[تاریخ]],TArticle[افزایش بدهی])</f>
        <v>0</v>
      </c>
      <c r="N552">
        <f>-SUMIF(TArticle[تاریخ],TDays[[#This Row],[تاریخ]],TArticle[افزایش سرمایه])</f>
        <v>0</v>
      </c>
      <c r="O552">
        <f>SUMIF(TArticle[تاریخ],TDays[[#This Row],[تاریخ]],TArticle[تعداد تراکنش انجام شده])</f>
        <v>0</v>
      </c>
      <c r="P552">
        <f>INT(((TDays[[#This Row],[ماه]]-1)*31+TDays[[#This Row],[روز]]+1)/7)+1</f>
        <v>27</v>
      </c>
      <c r="Q552">
        <f>SUMIF(TArticle[تاریخ],TDays[[#This Row],[تاریخ]],TArticle[تراکنش برنامه ریزی شده])</f>
        <v>0</v>
      </c>
    </row>
    <row r="553" spans="1:17" x14ac:dyDescent="0.25">
      <c r="A553" s="3" t="s">
        <v>739</v>
      </c>
      <c r="B553" t="str">
        <f>RIGHT(TDays[[#This Row],[تاریخ]],2)</f>
        <v>01</v>
      </c>
      <c r="C553" t="str">
        <f>RIGHT(LEFT(TDays[[#This Row],[تاریخ]],7),2)</f>
        <v>07</v>
      </c>
      <c r="D553" t="str">
        <f>LEFT(TDays[[#This Row],[تاریخ]],4)</f>
        <v>1402</v>
      </c>
      <c r="E553" t="str">
        <f>LEFT(TDays[[#This Row],[تاریخ]],7)</f>
        <v>1402-07</v>
      </c>
      <c r="F553">
        <v>0</v>
      </c>
      <c r="G553" s="15" t="str">
        <f>VLOOKUP(TDays[[#This Row],[کد روز هفته]],TDaysOfTheWeek[],2,FALSE)</f>
        <v>شنبه</v>
      </c>
      <c r="H553" s="15">
        <f>IFERROR(IF(E552&lt;&gt;E553,1,INT(H552)+IF(TDays[[#This Row],[کد روز هفته]]=0,1,0)),1)</f>
        <v>1</v>
      </c>
      <c r="I553">
        <f>-SUMIF(TArticle[تاریخ],TDays[[#This Row],[تاریخ]],TArticle[هزینه])</f>
        <v>0</v>
      </c>
      <c r="J553">
        <f>SUMIF(TArticle[تاریخ],TDays[[#This Row],[تاریخ]],TArticle[درآمد تتا])</f>
        <v>0</v>
      </c>
      <c r="K553">
        <f>SUMIF(TArticle[تاریخ],TDays[[#This Row],[تاریخ]],TArticle[اسنپ])</f>
        <v>0</v>
      </c>
      <c r="L553">
        <f>-SUMIF(TArticle[تاریخ],TDays[[#This Row],[تاریخ]],TArticle[پرداخت بدهی])</f>
        <v>0</v>
      </c>
      <c r="M553">
        <f>SUMIF(TArticle[تاریخ],TDays[[#This Row],[تاریخ]],TArticle[افزایش بدهی])</f>
        <v>0</v>
      </c>
      <c r="N553">
        <f>-SUMIF(TArticle[تاریخ],TDays[[#This Row],[تاریخ]],TArticle[افزایش سرمایه])</f>
        <v>0</v>
      </c>
      <c r="O553">
        <f>SUMIF(TArticle[تاریخ],TDays[[#This Row],[تاریخ]],TArticle[تعداد تراکنش انجام شده])</f>
        <v>0</v>
      </c>
      <c r="P553">
        <f>INT(((TDays[[#This Row],[ماه]]-1)*31+TDays[[#This Row],[روز]]+1)/7)+1</f>
        <v>27</v>
      </c>
      <c r="Q553">
        <f>SUMIF(TArticle[تاریخ],TDays[[#This Row],[تاریخ]],TArticle[تراکنش برنامه ریزی شده])</f>
        <v>2</v>
      </c>
    </row>
    <row r="554" spans="1:17" x14ac:dyDescent="0.25">
      <c r="A554" s="3" t="s">
        <v>740</v>
      </c>
      <c r="B554" t="str">
        <f>RIGHT(TDays[[#This Row],[تاریخ]],2)</f>
        <v>02</v>
      </c>
      <c r="C554" t="str">
        <f>RIGHT(LEFT(TDays[[#This Row],[تاریخ]],7),2)</f>
        <v>07</v>
      </c>
      <c r="D554" t="str">
        <f>LEFT(TDays[[#This Row],[تاریخ]],4)</f>
        <v>1402</v>
      </c>
      <c r="E554" t="str">
        <f>LEFT(TDays[[#This Row],[تاریخ]],7)</f>
        <v>1402-07</v>
      </c>
      <c r="F554">
        <v>1</v>
      </c>
      <c r="G554" s="15" t="str">
        <f>VLOOKUP(TDays[[#This Row],[کد روز هفته]],TDaysOfTheWeek[],2,FALSE)</f>
        <v>یکشنبه</v>
      </c>
      <c r="H554" s="15">
        <f>IFERROR(IF(E553&lt;&gt;E554,1,INT(H553)+IF(TDays[[#This Row],[کد روز هفته]]=0,1,0)),1)</f>
        <v>1</v>
      </c>
      <c r="I554">
        <f>-SUMIF(TArticle[تاریخ],TDays[[#This Row],[تاریخ]],TArticle[هزینه])</f>
        <v>0</v>
      </c>
      <c r="J554">
        <f>SUMIF(TArticle[تاریخ],TDays[[#This Row],[تاریخ]],TArticle[درآمد تتا])</f>
        <v>0</v>
      </c>
      <c r="K554">
        <f>SUMIF(TArticle[تاریخ],TDays[[#This Row],[تاریخ]],TArticle[اسنپ])</f>
        <v>0</v>
      </c>
      <c r="L554">
        <f>-SUMIF(TArticle[تاریخ],TDays[[#This Row],[تاریخ]],TArticle[پرداخت بدهی])</f>
        <v>0</v>
      </c>
      <c r="M554">
        <f>SUMIF(TArticle[تاریخ],TDays[[#This Row],[تاریخ]],TArticle[افزایش بدهی])</f>
        <v>0</v>
      </c>
      <c r="N554">
        <f>-SUMIF(TArticle[تاریخ],TDays[[#This Row],[تاریخ]],TArticle[افزایش سرمایه])</f>
        <v>0</v>
      </c>
      <c r="O554">
        <f>SUMIF(TArticle[تاریخ],TDays[[#This Row],[تاریخ]],TArticle[تعداد تراکنش انجام شده])</f>
        <v>0</v>
      </c>
      <c r="P554">
        <f>INT(((TDays[[#This Row],[ماه]]-1)*31+TDays[[#This Row],[روز]]+1)/7)+1</f>
        <v>28</v>
      </c>
      <c r="Q554">
        <f>SUMIF(TArticle[تاریخ],TDays[[#This Row],[تاریخ]],TArticle[تراکنش برنامه ریزی شده])</f>
        <v>0</v>
      </c>
    </row>
    <row r="555" spans="1:17" x14ac:dyDescent="0.25">
      <c r="A555" s="3" t="s">
        <v>741</v>
      </c>
      <c r="B555" t="str">
        <f>RIGHT(TDays[[#This Row],[تاریخ]],2)</f>
        <v>03</v>
      </c>
      <c r="C555" t="str">
        <f>RIGHT(LEFT(TDays[[#This Row],[تاریخ]],7),2)</f>
        <v>07</v>
      </c>
      <c r="D555" t="str">
        <f>LEFT(TDays[[#This Row],[تاریخ]],4)</f>
        <v>1402</v>
      </c>
      <c r="E555" t="str">
        <f>LEFT(TDays[[#This Row],[تاریخ]],7)</f>
        <v>1402-07</v>
      </c>
      <c r="F555">
        <v>2</v>
      </c>
      <c r="G555" s="15" t="str">
        <f>VLOOKUP(TDays[[#This Row],[کد روز هفته]],TDaysOfTheWeek[],2,FALSE)</f>
        <v>دوشنبه</v>
      </c>
      <c r="H555" s="15">
        <f>IFERROR(IF(E554&lt;&gt;E555,1,INT(H554)+IF(TDays[[#This Row],[کد روز هفته]]=0,1,0)),1)</f>
        <v>1</v>
      </c>
      <c r="I555">
        <f>-SUMIF(TArticle[تاریخ],TDays[[#This Row],[تاریخ]],TArticle[هزینه])</f>
        <v>0</v>
      </c>
      <c r="J555">
        <f>SUMIF(TArticle[تاریخ],TDays[[#This Row],[تاریخ]],TArticle[درآمد تتا])</f>
        <v>0</v>
      </c>
      <c r="K555">
        <f>SUMIF(TArticle[تاریخ],TDays[[#This Row],[تاریخ]],TArticle[اسنپ])</f>
        <v>0</v>
      </c>
      <c r="L555">
        <f>-SUMIF(TArticle[تاریخ],TDays[[#This Row],[تاریخ]],TArticle[پرداخت بدهی])</f>
        <v>0</v>
      </c>
      <c r="M555">
        <f>SUMIF(TArticle[تاریخ],TDays[[#This Row],[تاریخ]],TArticle[افزایش بدهی])</f>
        <v>0</v>
      </c>
      <c r="N555">
        <f>-SUMIF(TArticle[تاریخ],TDays[[#This Row],[تاریخ]],TArticle[افزایش سرمایه])</f>
        <v>0</v>
      </c>
      <c r="O555">
        <f>SUMIF(TArticle[تاریخ],TDays[[#This Row],[تاریخ]],TArticle[تعداد تراکنش انجام شده])</f>
        <v>0</v>
      </c>
      <c r="P555">
        <f>INT(((TDays[[#This Row],[ماه]]-1)*31+TDays[[#This Row],[روز]]+1)/7)+1</f>
        <v>28</v>
      </c>
      <c r="Q555">
        <f>SUMIF(TArticle[تاریخ],TDays[[#This Row],[تاریخ]],TArticle[تراکنش برنامه ریزی شده])</f>
        <v>3</v>
      </c>
    </row>
    <row r="556" spans="1:17" x14ac:dyDescent="0.25">
      <c r="A556" s="3" t="s">
        <v>742</v>
      </c>
      <c r="B556" t="str">
        <f>RIGHT(TDays[[#This Row],[تاریخ]],2)</f>
        <v>04</v>
      </c>
      <c r="C556" t="str">
        <f>RIGHT(LEFT(TDays[[#This Row],[تاریخ]],7),2)</f>
        <v>07</v>
      </c>
      <c r="D556" t="str">
        <f>LEFT(TDays[[#This Row],[تاریخ]],4)</f>
        <v>1402</v>
      </c>
      <c r="E556" t="str">
        <f>LEFT(TDays[[#This Row],[تاریخ]],7)</f>
        <v>1402-07</v>
      </c>
      <c r="F556">
        <v>3</v>
      </c>
      <c r="G556" s="15" t="str">
        <f>VLOOKUP(TDays[[#This Row],[کد روز هفته]],TDaysOfTheWeek[],2,FALSE)</f>
        <v>سه شنبه</v>
      </c>
      <c r="H556" s="15">
        <f>IFERROR(IF(E555&lt;&gt;E556,1,INT(H555)+IF(TDays[[#This Row],[کد روز هفته]]=0,1,0)),1)</f>
        <v>1</v>
      </c>
      <c r="I556">
        <f>-SUMIF(TArticle[تاریخ],TDays[[#This Row],[تاریخ]],TArticle[هزینه])</f>
        <v>0</v>
      </c>
      <c r="J556">
        <f>SUMIF(TArticle[تاریخ],TDays[[#This Row],[تاریخ]],TArticle[درآمد تتا])</f>
        <v>0</v>
      </c>
      <c r="K556">
        <f>SUMIF(TArticle[تاریخ],TDays[[#This Row],[تاریخ]],TArticle[اسنپ])</f>
        <v>0</v>
      </c>
      <c r="L556">
        <f>-SUMIF(TArticle[تاریخ],TDays[[#This Row],[تاریخ]],TArticle[پرداخت بدهی])</f>
        <v>0</v>
      </c>
      <c r="M556">
        <f>SUMIF(TArticle[تاریخ],TDays[[#This Row],[تاریخ]],TArticle[افزایش بدهی])</f>
        <v>0</v>
      </c>
      <c r="N556">
        <f>-SUMIF(TArticle[تاریخ],TDays[[#This Row],[تاریخ]],TArticle[افزایش سرمایه])</f>
        <v>0</v>
      </c>
      <c r="O556">
        <f>SUMIF(TArticle[تاریخ],TDays[[#This Row],[تاریخ]],TArticle[تعداد تراکنش انجام شده])</f>
        <v>0</v>
      </c>
      <c r="P556">
        <f>INT(((TDays[[#This Row],[ماه]]-1)*31+TDays[[#This Row],[روز]]+1)/7)+1</f>
        <v>28</v>
      </c>
      <c r="Q556">
        <f>SUMIF(TArticle[تاریخ],TDays[[#This Row],[تاریخ]],TArticle[تراکنش برنامه ریزی شده])</f>
        <v>1</v>
      </c>
    </row>
    <row r="557" spans="1:17" x14ac:dyDescent="0.25">
      <c r="A557" s="3" t="s">
        <v>743</v>
      </c>
      <c r="B557" t="str">
        <f>RIGHT(TDays[[#This Row],[تاریخ]],2)</f>
        <v>05</v>
      </c>
      <c r="C557" t="str">
        <f>RIGHT(LEFT(TDays[[#This Row],[تاریخ]],7),2)</f>
        <v>07</v>
      </c>
      <c r="D557" t="str">
        <f>LEFT(TDays[[#This Row],[تاریخ]],4)</f>
        <v>1402</v>
      </c>
      <c r="E557" t="str">
        <f>LEFT(TDays[[#This Row],[تاریخ]],7)</f>
        <v>1402-07</v>
      </c>
      <c r="F557">
        <v>4</v>
      </c>
      <c r="G557" s="15" t="str">
        <f>VLOOKUP(TDays[[#This Row],[کد روز هفته]],TDaysOfTheWeek[],2,FALSE)</f>
        <v>چهارشنبه</v>
      </c>
      <c r="H557" s="15">
        <f>IFERROR(IF(E556&lt;&gt;E557,1,INT(H556)+IF(TDays[[#This Row],[کد روز هفته]]=0,1,0)),1)</f>
        <v>1</v>
      </c>
      <c r="I557">
        <f>-SUMIF(TArticle[تاریخ],TDays[[#This Row],[تاریخ]],TArticle[هزینه])</f>
        <v>0</v>
      </c>
      <c r="J557">
        <f>SUMIF(TArticle[تاریخ],TDays[[#This Row],[تاریخ]],TArticle[درآمد تتا])</f>
        <v>0</v>
      </c>
      <c r="K557">
        <f>SUMIF(TArticle[تاریخ],TDays[[#This Row],[تاریخ]],TArticle[اسنپ])</f>
        <v>0</v>
      </c>
      <c r="L557">
        <f>-SUMIF(TArticle[تاریخ],TDays[[#This Row],[تاریخ]],TArticle[پرداخت بدهی])</f>
        <v>0</v>
      </c>
      <c r="M557">
        <f>SUMIF(TArticle[تاریخ],TDays[[#This Row],[تاریخ]],TArticle[افزایش بدهی])</f>
        <v>0</v>
      </c>
      <c r="N557">
        <f>-SUMIF(TArticle[تاریخ],TDays[[#This Row],[تاریخ]],TArticle[افزایش سرمایه])</f>
        <v>0</v>
      </c>
      <c r="O557">
        <f>SUMIF(TArticle[تاریخ],TDays[[#This Row],[تاریخ]],TArticle[تعداد تراکنش انجام شده])</f>
        <v>0</v>
      </c>
      <c r="P557">
        <f>INT(((TDays[[#This Row],[ماه]]-1)*31+TDays[[#This Row],[روز]]+1)/7)+1</f>
        <v>28</v>
      </c>
      <c r="Q557">
        <f>SUMIF(TArticle[تاریخ],TDays[[#This Row],[تاریخ]],TArticle[تراکنش برنامه ریزی شده])</f>
        <v>0</v>
      </c>
    </row>
    <row r="558" spans="1:17" x14ac:dyDescent="0.25">
      <c r="A558" s="3" t="s">
        <v>744</v>
      </c>
      <c r="B558" t="str">
        <f>RIGHT(TDays[[#This Row],[تاریخ]],2)</f>
        <v>06</v>
      </c>
      <c r="C558" t="str">
        <f>RIGHT(LEFT(TDays[[#This Row],[تاریخ]],7),2)</f>
        <v>07</v>
      </c>
      <c r="D558" t="str">
        <f>LEFT(TDays[[#This Row],[تاریخ]],4)</f>
        <v>1402</v>
      </c>
      <c r="E558" t="str">
        <f>LEFT(TDays[[#This Row],[تاریخ]],7)</f>
        <v>1402-07</v>
      </c>
      <c r="F558">
        <v>5</v>
      </c>
      <c r="G558" s="15" t="str">
        <f>VLOOKUP(TDays[[#This Row],[کد روز هفته]],TDaysOfTheWeek[],2,FALSE)</f>
        <v>پنجشنبه</v>
      </c>
      <c r="H558" s="15">
        <f>IFERROR(IF(E557&lt;&gt;E558,1,INT(H557)+IF(TDays[[#This Row],[کد روز هفته]]=0,1,0)),1)</f>
        <v>1</v>
      </c>
      <c r="I558">
        <f>-SUMIF(TArticle[تاریخ],TDays[[#This Row],[تاریخ]],TArticle[هزینه])</f>
        <v>0</v>
      </c>
      <c r="J558">
        <f>SUMIF(TArticle[تاریخ],TDays[[#This Row],[تاریخ]],TArticle[درآمد تتا])</f>
        <v>0</v>
      </c>
      <c r="K558">
        <f>SUMIF(TArticle[تاریخ],TDays[[#This Row],[تاریخ]],TArticle[اسنپ])</f>
        <v>0</v>
      </c>
      <c r="L558">
        <f>-SUMIF(TArticle[تاریخ],TDays[[#This Row],[تاریخ]],TArticle[پرداخت بدهی])</f>
        <v>0</v>
      </c>
      <c r="M558">
        <f>SUMIF(TArticle[تاریخ],TDays[[#This Row],[تاریخ]],TArticle[افزایش بدهی])</f>
        <v>0</v>
      </c>
      <c r="N558">
        <f>-SUMIF(TArticle[تاریخ],TDays[[#This Row],[تاریخ]],TArticle[افزایش سرمایه])</f>
        <v>0</v>
      </c>
      <c r="O558">
        <f>SUMIF(TArticle[تاریخ],TDays[[#This Row],[تاریخ]],TArticle[تعداد تراکنش انجام شده])</f>
        <v>0</v>
      </c>
      <c r="P558">
        <f>INT(((TDays[[#This Row],[ماه]]-1)*31+TDays[[#This Row],[روز]]+1)/7)+1</f>
        <v>28</v>
      </c>
      <c r="Q558">
        <f>SUMIF(TArticle[تاریخ],TDays[[#This Row],[تاریخ]],TArticle[تراکنش برنامه ریزی شده])</f>
        <v>0</v>
      </c>
    </row>
    <row r="559" spans="1:17" x14ac:dyDescent="0.25">
      <c r="A559" s="3" t="s">
        <v>745</v>
      </c>
      <c r="B559" t="str">
        <f>RIGHT(TDays[[#This Row],[تاریخ]],2)</f>
        <v>07</v>
      </c>
      <c r="C559" t="str">
        <f>RIGHT(LEFT(TDays[[#This Row],[تاریخ]],7),2)</f>
        <v>07</v>
      </c>
      <c r="D559" t="str">
        <f>LEFT(TDays[[#This Row],[تاریخ]],4)</f>
        <v>1402</v>
      </c>
      <c r="E559" t="str">
        <f>LEFT(TDays[[#This Row],[تاریخ]],7)</f>
        <v>1402-07</v>
      </c>
      <c r="F559">
        <v>6</v>
      </c>
      <c r="G559" s="15" t="str">
        <f>VLOOKUP(TDays[[#This Row],[کد روز هفته]],TDaysOfTheWeek[],2,FALSE)</f>
        <v>جمعه</v>
      </c>
      <c r="H559" s="15">
        <f>IFERROR(IF(E558&lt;&gt;E559,1,INT(H558)+IF(TDays[[#This Row],[کد روز هفته]]=0,1,0)),1)</f>
        <v>1</v>
      </c>
      <c r="I559">
        <f>-SUMIF(TArticle[تاریخ],TDays[[#This Row],[تاریخ]],TArticle[هزینه])</f>
        <v>0</v>
      </c>
      <c r="J559">
        <f>SUMIF(TArticle[تاریخ],TDays[[#This Row],[تاریخ]],TArticle[درآمد تتا])</f>
        <v>0</v>
      </c>
      <c r="K559">
        <f>SUMIF(TArticle[تاریخ],TDays[[#This Row],[تاریخ]],TArticle[اسنپ])</f>
        <v>0</v>
      </c>
      <c r="L559">
        <f>-SUMIF(TArticle[تاریخ],TDays[[#This Row],[تاریخ]],TArticle[پرداخت بدهی])</f>
        <v>0</v>
      </c>
      <c r="M559">
        <f>SUMIF(TArticle[تاریخ],TDays[[#This Row],[تاریخ]],TArticle[افزایش بدهی])</f>
        <v>0</v>
      </c>
      <c r="N559">
        <f>-SUMIF(TArticle[تاریخ],TDays[[#This Row],[تاریخ]],TArticle[افزایش سرمایه])</f>
        <v>0</v>
      </c>
      <c r="O559">
        <f>SUMIF(TArticle[تاریخ],TDays[[#This Row],[تاریخ]],TArticle[تعداد تراکنش انجام شده])</f>
        <v>0</v>
      </c>
      <c r="P559">
        <f>INT(((TDays[[#This Row],[ماه]]-1)*31+TDays[[#This Row],[روز]]+1)/7)+1</f>
        <v>28</v>
      </c>
      <c r="Q559">
        <f>SUMIF(TArticle[تاریخ],TDays[[#This Row],[تاریخ]],TArticle[تراکنش برنامه ریزی شده])</f>
        <v>0</v>
      </c>
    </row>
    <row r="560" spans="1:17" x14ac:dyDescent="0.25">
      <c r="A560" s="3" t="s">
        <v>746</v>
      </c>
      <c r="B560" t="str">
        <f>RIGHT(TDays[[#This Row],[تاریخ]],2)</f>
        <v>08</v>
      </c>
      <c r="C560" t="str">
        <f>RIGHT(LEFT(TDays[[#This Row],[تاریخ]],7),2)</f>
        <v>07</v>
      </c>
      <c r="D560" t="str">
        <f>LEFT(TDays[[#This Row],[تاریخ]],4)</f>
        <v>1402</v>
      </c>
      <c r="E560" t="str">
        <f>LEFT(TDays[[#This Row],[تاریخ]],7)</f>
        <v>1402-07</v>
      </c>
      <c r="F560">
        <v>0</v>
      </c>
      <c r="G560" s="15" t="str">
        <f>VLOOKUP(TDays[[#This Row],[کد روز هفته]],TDaysOfTheWeek[],2,FALSE)</f>
        <v>شنبه</v>
      </c>
      <c r="H560" s="15">
        <f>IFERROR(IF(E559&lt;&gt;E560,1,INT(H559)+IF(TDays[[#This Row],[کد روز هفته]]=0,1,0)),1)</f>
        <v>2</v>
      </c>
      <c r="I560">
        <f>-SUMIF(TArticle[تاریخ],TDays[[#This Row],[تاریخ]],TArticle[هزینه])</f>
        <v>0</v>
      </c>
      <c r="J560">
        <f>SUMIF(TArticle[تاریخ],TDays[[#This Row],[تاریخ]],TArticle[درآمد تتا])</f>
        <v>0</v>
      </c>
      <c r="K560">
        <f>SUMIF(TArticle[تاریخ],TDays[[#This Row],[تاریخ]],TArticle[اسنپ])</f>
        <v>0</v>
      </c>
      <c r="L560">
        <f>-SUMIF(TArticle[تاریخ],TDays[[#This Row],[تاریخ]],TArticle[پرداخت بدهی])</f>
        <v>0</v>
      </c>
      <c r="M560">
        <f>SUMIF(TArticle[تاریخ],TDays[[#This Row],[تاریخ]],TArticle[افزایش بدهی])</f>
        <v>0</v>
      </c>
      <c r="N560">
        <f>-SUMIF(TArticle[تاریخ],TDays[[#This Row],[تاریخ]],TArticle[افزایش سرمایه])</f>
        <v>0</v>
      </c>
      <c r="O560">
        <f>SUMIF(TArticle[تاریخ],TDays[[#This Row],[تاریخ]],TArticle[تعداد تراکنش انجام شده])</f>
        <v>0</v>
      </c>
      <c r="P560">
        <f>INT(((TDays[[#This Row],[ماه]]-1)*31+TDays[[#This Row],[روز]]+1)/7)+1</f>
        <v>28</v>
      </c>
      <c r="Q560">
        <f>SUMIF(TArticle[تاریخ],TDays[[#This Row],[تاریخ]],TArticle[تراکنش برنامه ریزی شده])</f>
        <v>0</v>
      </c>
    </row>
    <row r="561" spans="1:17" x14ac:dyDescent="0.25">
      <c r="A561" s="3" t="s">
        <v>747</v>
      </c>
      <c r="B561" t="str">
        <f>RIGHT(TDays[[#This Row],[تاریخ]],2)</f>
        <v>09</v>
      </c>
      <c r="C561" t="str">
        <f>RIGHT(LEFT(TDays[[#This Row],[تاریخ]],7),2)</f>
        <v>07</v>
      </c>
      <c r="D561" t="str">
        <f>LEFT(TDays[[#This Row],[تاریخ]],4)</f>
        <v>1402</v>
      </c>
      <c r="E561" t="str">
        <f>LEFT(TDays[[#This Row],[تاریخ]],7)</f>
        <v>1402-07</v>
      </c>
      <c r="F561">
        <v>1</v>
      </c>
      <c r="G561" s="15" t="str">
        <f>VLOOKUP(TDays[[#This Row],[کد روز هفته]],TDaysOfTheWeek[],2,FALSE)</f>
        <v>یکشنبه</v>
      </c>
      <c r="H561" s="15">
        <f>IFERROR(IF(E560&lt;&gt;E561,1,INT(H560)+IF(TDays[[#This Row],[کد روز هفته]]=0,1,0)),1)</f>
        <v>2</v>
      </c>
      <c r="I561">
        <f>-SUMIF(TArticle[تاریخ],TDays[[#This Row],[تاریخ]],TArticle[هزینه])</f>
        <v>0</v>
      </c>
      <c r="J561">
        <f>SUMIF(TArticle[تاریخ],TDays[[#This Row],[تاریخ]],TArticle[درآمد تتا])</f>
        <v>0</v>
      </c>
      <c r="K561">
        <f>SUMIF(TArticle[تاریخ],TDays[[#This Row],[تاریخ]],TArticle[اسنپ])</f>
        <v>0</v>
      </c>
      <c r="L561">
        <f>-SUMIF(TArticle[تاریخ],TDays[[#This Row],[تاریخ]],TArticle[پرداخت بدهی])</f>
        <v>0</v>
      </c>
      <c r="M561">
        <f>SUMIF(TArticle[تاریخ],TDays[[#This Row],[تاریخ]],TArticle[افزایش بدهی])</f>
        <v>0</v>
      </c>
      <c r="N561">
        <f>-SUMIF(TArticle[تاریخ],TDays[[#This Row],[تاریخ]],TArticle[افزایش سرمایه])</f>
        <v>0</v>
      </c>
      <c r="O561">
        <f>SUMIF(TArticle[تاریخ],TDays[[#This Row],[تاریخ]],TArticle[تعداد تراکنش انجام شده])</f>
        <v>0</v>
      </c>
      <c r="P561">
        <f>INT(((TDays[[#This Row],[ماه]]-1)*31+TDays[[#This Row],[روز]]+1)/7)+1</f>
        <v>29</v>
      </c>
      <c r="Q561">
        <f>SUMIF(TArticle[تاریخ],TDays[[#This Row],[تاریخ]],TArticle[تراکنش برنامه ریزی شده])</f>
        <v>1</v>
      </c>
    </row>
    <row r="562" spans="1:17" x14ac:dyDescent="0.25">
      <c r="A562" s="3" t="s">
        <v>748</v>
      </c>
      <c r="B562" t="str">
        <f>RIGHT(TDays[[#This Row],[تاریخ]],2)</f>
        <v>10</v>
      </c>
      <c r="C562" t="str">
        <f>RIGHT(LEFT(TDays[[#This Row],[تاریخ]],7),2)</f>
        <v>07</v>
      </c>
      <c r="D562" t="str">
        <f>LEFT(TDays[[#This Row],[تاریخ]],4)</f>
        <v>1402</v>
      </c>
      <c r="E562" t="str">
        <f>LEFT(TDays[[#This Row],[تاریخ]],7)</f>
        <v>1402-07</v>
      </c>
      <c r="F562">
        <v>2</v>
      </c>
      <c r="G562" s="15" t="str">
        <f>VLOOKUP(TDays[[#This Row],[کد روز هفته]],TDaysOfTheWeek[],2,FALSE)</f>
        <v>دوشنبه</v>
      </c>
      <c r="H562" s="15">
        <f>IFERROR(IF(E561&lt;&gt;E562,1,INT(H561)+IF(TDays[[#This Row],[کد روز هفته]]=0,1,0)),1)</f>
        <v>2</v>
      </c>
      <c r="I562">
        <f>-SUMIF(TArticle[تاریخ],TDays[[#This Row],[تاریخ]],TArticle[هزینه])</f>
        <v>0</v>
      </c>
      <c r="J562">
        <f>SUMIF(TArticle[تاریخ],TDays[[#This Row],[تاریخ]],TArticle[درآمد تتا])</f>
        <v>0</v>
      </c>
      <c r="K562">
        <f>SUMIF(TArticle[تاریخ],TDays[[#This Row],[تاریخ]],TArticle[اسنپ])</f>
        <v>0</v>
      </c>
      <c r="L562">
        <f>-SUMIF(TArticle[تاریخ],TDays[[#This Row],[تاریخ]],TArticle[پرداخت بدهی])</f>
        <v>0</v>
      </c>
      <c r="M562">
        <f>SUMIF(TArticle[تاریخ],TDays[[#This Row],[تاریخ]],TArticle[افزایش بدهی])</f>
        <v>0</v>
      </c>
      <c r="N562">
        <f>-SUMIF(TArticle[تاریخ],TDays[[#This Row],[تاریخ]],TArticle[افزایش سرمایه])</f>
        <v>0</v>
      </c>
      <c r="O562">
        <f>SUMIF(TArticle[تاریخ],TDays[[#This Row],[تاریخ]],TArticle[تعداد تراکنش انجام شده])</f>
        <v>0</v>
      </c>
      <c r="P562">
        <f>INT(((TDays[[#This Row],[ماه]]-1)*31+TDays[[#This Row],[روز]]+1)/7)+1</f>
        <v>29</v>
      </c>
      <c r="Q562">
        <f>SUMIF(TArticle[تاریخ],TDays[[#This Row],[تاریخ]],TArticle[تراکنش برنامه ریزی شده])</f>
        <v>0</v>
      </c>
    </row>
    <row r="563" spans="1:17" x14ac:dyDescent="0.25">
      <c r="A563" s="3" t="s">
        <v>749</v>
      </c>
      <c r="B563" t="str">
        <f>RIGHT(TDays[[#This Row],[تاریخ]],2)</f>
        <v>11</v>
      </c>
      <c r="C563" t="str">
        <f>RIGHT(LEFT(TDays[[#This Row],[تاریخ]],7),2)</f>
        <v>07</v>
      </c>
      <c r="D563" t="str">
        <f>LEFT(TDays[[#This Row],[تاریخ]],4)</f>
        <v>1402</v>
      </c>
      <c r="E563" t="str">
        <f>LEFT(TDays[[#This Row],[تاریخ]],7)</f>
        <v>1402-07</v>
      </c>
      <c r="F563">
        <v>3</v>
      </c>
      <c r="G563" s="15" t="str">
        <f>VLOOKUP(TDays[[#This Row],[کد روز هفته]],TDaysOfTheWeek[],2,FALSE)</f>
        <v>سه شنبه</v>
      </c>
      <c r="H563" s="15">
        <f>IFERROR(IF(E562&lt;&gt;E563,1,INT(H562)+IF(TDays[[#This Row],[کد روز هفته]]=0,1,0)),1)</f>
        <v>2</v>
      </c>
      <c r="I563">
        <f>-SUMIF(TArticle[تاریخ],TDays[[#This Row],[تاریخ]],TArticle[هزینه])</f>
        <v>0</v>
      </c>
      <c r="J563">
        <f>SUMIF(TArticle[تاریخ],TDays[[#This Row],[تاریخ]],TArticle[درآمد تتا])</f>
        <v>0</v>
      </c>
      <c r="K563">
        <f>SUMIF(TArticle[تاریخ],TDays[[#This Row],[تاریخ]],TArticle[اسنپ])</f>
        <v>0</v>
      </c>
      <c r="L563">
        <f>-SUMIF(TArticle[تاریخ],TDays[[#This Row],[تاریخ]],TArticle[پرداخت بدهی])</f>
        <v>0</v>
      </c>
      <c r="M563">
        <f>SUMIF(TArticle[تاریخ],TDays[[#This Row],[تاریخ]],TArticle[افزایش بدهی])</f>
        <v>0</v>
      </c>
      <c r="N563">
        <f>-SUMIF(TArticle[تاریخ],TDays[[#This Row],[تاریخ]],TArticle[افزایش سرمایه])</f>
        <v>0</v>
      </c>
      <c r="O563">
        <f>SUMIF(TArticle[تاریخ],TDays[[#This Row],[تاریخ]],TArticle[تعداد تراکنش انجام شده])</f>
        <v>0</v>
      </c>
      <c r="P563">
        <f>INT(((TDays[[#This Row],[ماه]]-1)*31+TDays[[#This Row],[روز]]+1)/7)+1</f>
        <v>29</v>
      </c>
      <c r="Q563">
        <f>SUMIF(TArticle[تاریخ],TDays[[#This Row],[تاریخ]],TArticle[تراکنش برنامه ریزی شده])</f>
        <v>0</v>
      </c>
    </row>
    <row r="564" spans="1:17" x14ac:dyDescent="0.25">
      <c r="A564" s="3" t="s">
        <v>750</v>
      </c>
      <c r="B564" t="str">
        <f>RIGHT(TDays[[#This Row],[تاریخ]],2)</f>
        <v>12</v>
      </c>
      <c r="C564" t="str">
        <f>RIGHT(LEFT(TDays[[#This Row],[تاریخ]],7),2)</f>
        <v>07</v>
      </c>
      <c r="D564" t="str">
        <f>LEFT(TDays[[#This Row],[تاریخ]],4)</f>
        <v>1402</v>
      </c>
      <c r="E564" t="str">
        <f>LEFT(TDays[[#This Row],[تاریخ]],7)</f>
        <v>1402-07</v>
      </c>
      <c r="F564">
        <v>4</v>
      </c>
      <c r="G564" s="15" t="str">
        <f>VLOOKUP(TDays[[#This Row],[کد روز هفته]],TDaysOfTheWeek[],2,FALSE)</f>
        <v>چهارشنبه</v>
      </c>
      <c r="H564" s="15">
        <f>IFERROR(IF(E563&lt;&gt;E564,1,INT(H563)+IF(TDays[[#This Row],[کد روز هفته]]=0,1,0)),1)</f>
        <v>2</v>
      </c>
      <c r="I564">
        <f>-SUMIF(TArticle[تاریخ],TDays[[#This Row],[تاریخ]],TArticle[هزینه])</f>
        <v>0</v>
      </c>
      <c r="J564">
        <f>SUMIF(TArticle[تاریخ],TDays[[#This Row],[تاریخ]],TArticle[درآمد تتا])</f>
        <v>0</v>
      </c>
      <c r="K564">
        <f>SUMIF(TArticle[تاریخ],TDays[[#This Row],[تاریخ]],TArticle[اسنپ])</f>
        <v>0</v>
      </c>
      <c r="L564">
        <f>-SUMIF(TArticle[تاریخ],TDays[[#This Row],[تاریخ]],TArticle[پرداخت بدهی])</f>
        <v>0</v>
      </c>
      <c r="M564">
        <f>SUMIF(TArticle[تاریخ],TDays[[#This Row],[تاریخ]],TArticle[افزایش بدهی])</f>
        <v>0</v>
      </c>
      <c r="N564">
        <f>-SUMIF(TArticle[تاریخ],TDays[[#This Row],[تاریخ]],TArticle[افزایش سرمایه])</f>
        <v>0</v>
      </c>
      <c r="O564">
        <f>SUMIF(TArticle[تاریخ],TDays[[#This Row],[تاریخ]],TArticle[تعداد تراکنش انجام شده])</f>
        <v>0</v>
      </c>
      <c r="P564">
        <f>INT(((TDays[[#This Row],[ماه]]-1)*31+TDays[[#This Row],[روز]]+1)/7)+1</f>
        <v>29</v>
      </c>
      <c r="Q564">
        <f>SUMIF(TArticle[تاریخ],TDays[[#This Row],[تاریخ]],TArticle[تراکنش برنامه ریزی شده])</f>
        <v>0</v>
      </c>
    </row>
    <row r="565" spans="1:17" x14ac:dyDescent="0.25">
      <c r="A565" s="3" t="s">
        <v>751</v>
      </c>
      <c r="B565" t="str">
        <f>RIGHT(TDays[[#This Row],[تاریخ]],2)</f>
        <v>13</v>
      </c>
      <c r="C565" t="str">
        <f>RIGHT(LEFT(TDays[[#This Row],[تاریخ]],7),2)</f>
        <v>07</v>
      </c>
      <c r="D565" t="str">
        <f>LEFT(TDays[[#This Row],[تاریخ]],4)</f>
        <v>1402</v>
      </c>
      <c r="E565" t="str">
        <f>LEFT(TDays[[#This Row],[تاریخ]],7)</f>
        <v>1402-07</v>
      </c>
      <c r="F565">
        <v>5</v>
      </c>
      <c r="G565" s="15" t="str">
        <f>VLOOKUP(TDays[[#This Row],[کد روز هفته]],TDaysOfTheWeek[],2,FALSE)</f>
        <v>پنجشنبه</v>
      </c>
      <c r="H565" s="15">
        <f>IFERROR(IF(E564&lt;&gt;E565,1,INT(H564)+IF(TDays[[#This Row],[کد روز هفته]]=0,1,0)),1)</f>
        <v>2</v>
      </c>
      <c r="I565">
        <f>-SUMIF(TArticle[تاریخ],TDays[[#This Row],[تاریخ]],TArticle[هزینه])</f>
        <v>0</v>
      </c>
      <c r="J565">
        <f>SUMIF(TArticle[تاریخ],TDays[[#This Row],[تاریخ]],TArticle[درآمد تتا])</f>
        <v>0</v>
      </c>
      <c r="K565">
        <f>SUMIF(TArticle[تاریخ],TDays[[#This Row],[تاریخ]],TArticle[اسنپ])</f>
        <v>0</v>
      </c>
      <c r="L565">
        <f>-SUMIF(TArticle[تاریخ],TDays[[#This Row],[تاریخ]],TArticle[پرداخت بدهی])</f>
        <v>0</v>
      </c>
      <c r="M565">
        <f>SUMIF(TArticle[تاریخ],TDays[[#This Row],[تاریخ]],TArticle[افزایش بدهی])</f>
        <v>0</v>
      </c>
      <c r="N565">
        <f>-SUMIF(TArticle[تاریخ],TDays[[#This Row],[تاریخ]],TArticle[افزایش سرمایه])</f>
        <v>0</v>
      </c>
      <c r="O565">
        <f>SUMIF(TArticle[تاریخ],TDays[[#This Row],[تاریخ]],TArticle[تعداد تراکنش انجام شده])</f>
        <v>0</v>
      </c>
      <c r="P565">
        <f>INT(((TDays[[#This Row],[ماه]]-1)*31+TDays[[#This Row],[روز]]+1)/7)+1</f>
        <v>29</v>
      </c>
      <c r="Q565">
        <f>SUMIF(TArticle[تاریخ],TDays[[#This Row],[تاریخ]],TArticle[تراکنش برنامه ریزی شده])</f>
        <v>0</v>
      </c>
    </row>
    <row r="566" spans="1:17" x14ac:dyDescent="0.25">
      <c r="A566" s="3" t="s">
        <v>752</v>
      </c>
      <c r="B566" t="str">
        <f>RIGHT(TDays[[#This Row],[تاریخ]],2)</f>
        <v>14</v>
      </c>
      <c r="C566" t="str">
        <f>RIGHT(LEFT(TDays[[#This Row],[تاریخ]],7),2)</f>
        <v>07</v>
      </c>
      <c r="D566" t="str">
        <f>LEFT(TDays[[#This Row],[تاریخ]],4)</f>
        <v>1402</v>
      </c>
      <c r="E566" t="str">
        <f>LEFT(TDays[[#This Row],[تاریخ]],7)</f>
        <v>1402-07</v>
      </c>
      <c r="F566">
        <v>6</v>
      </c>
      <c r="G566" s="15" t="str">
        <f>VLOOKUP(TDays[[#This Row],[کد روز هفته]],TDaysOfTheWeek[],2,FALSE)</f>
        <v>جمعه</v>
      </c>
      <c r="H566" s="15">
        <f>IFERROR(IF(E565&lt;&gt;E566,1,INT(H565)+IF(TDays[[#This Row],[کد روز هفته]]=0,1,0)),1)</f>
        <v>2</v>
      </c>
      <c r="I566">
        <f>-SUMIF(TArticle[تاریخ],TDays[[#This Row],[تاریخ]],TArticle[هزینه])</f>
        <v>0</v>
      </c>
      <c r="J566">
        <f>SUMIF(TArticle[تاریخ],TDays[[#This Row],[تاریخ]],TArticle[درآمد تتا])</f>
        <v>0</v>
      </c>
      <c r="K566">
        <f>SUMIF(TArticle[تاریخ],TDays[[#This Row],[تاریخ]],TArticle[اسنپ])</f>
        <v>0</v>
      </c>
      <c r="L566">
        <f>-SUMIF(TArticle[تاریخ],TDays[[#This Row],[تاریخ]],TArticle[پرداخت بدهی])</f>
        <v>0</v>
      </c>
      <c r="M566">
        <f>SUMIF(TArticle[تاریخ],TDays[[#This Row],[تاریخ]],TArticle[افزایش بدهی])</f>
        <v>0</v>
      </c>
      <c r="N566">
        <f>-SUMIF(TArticle[تاریخ],TDays[[#This Row],[تاریخ]],TArticle[افزایش سرمایه])</f>
        <v>0</v>
      </c>
      <c r="O566">
        <f>SUMIF(TArticle[تاریخ],TDays[[#This Row],[تاریخ]],TArticle[تعداد تراکنش انجام شده])</f>
        <v>0</v>
      </c>
      <c r="P566">
        <f>INT(((TDays[[#This Row],[ماه]]-1)*31+TDays[[#This Row],[روز]]+1)/7)+1</f>
        <v>29</v>
      </c>
      <c r="Q566">
        <f>SUMIF(TArticle[تاریخ],TDays[[#This Row],[تاریخ]],TArticle[تراکنش برنامه ریزی شده])</f>
        <v>0</v>
      </c>
    </row>
    <row r="567" spans="1:17" x14ac:dyDescent="0.25">
      <c r="A567" s="3" t="s">
        <v>753</v>
      </c>
      <c r="B567" t="str">
        <f>RIGHT(TDays[[#This Row],[تاریخ]],2)</f>
        <v>15</v>
      </c>
      <c r="C567" t="str">
        <f>RIGHT(LEFT(TDays[[#This Row],[تاریخ]],7),2)</f>
        <v>07</v>
      </c>
      <c r="D567" t="str">
        <f>LEFT(TDays[[#This Row],[تاریخ]],4)</f>
        <v>1402</v>
      </c>
      <c r="E567" t="str">
        <f>LEFT(TDays[[#This Row],[تاریخ]],7)</f>
        <v>1402-07</v>
      </c>
      <c r="F567">
        <v>0</v>
      </c>
      <c r="G567" s="15" t="str">
        <f>VLOOKUP(TDays[[#This Row],[کد روز هفته]],TDaysOfTheWeek[],2,FALSE)</f>
        <v>شنبه</v>
      </c>
      <c r="H567" s="15">
        <f>IFERROR(IF(E566&lt;&gt;E567,1,INT(H566)+IF(TDays[[#This Row],[کد روز هفته]]=0,1,0)),1)</f>
        <v>3</v>
      </c>
      <c r="I567">
        <f>-SUMIF(TArticle[تاریخ],TDays[[#This Row],[تاریخ]],TArticle[هزینه])</f>
        <v>0</v>
      </c>
      <c r="J567">
        <f>SUMIF(TArticle[تاریخ],TDays[[#This Row],[تاریخ]],TArticle[درآمد تتا])</f>
        <v>0</v>
      </c>
      <c r="K567">
        <f>SUMIF(TArticle[تاریخ],TDays[[#This Row],[تاریخ]],TArticle[اسنپ])</f>
        <v>0</v>
      </c>
      <c r="L567">
        <f>-SUMIF(TArticle[تاریخ],TDays[[#This Row],[تاریخ]],TArticle[پرداخت بدهی])</f>
        <v>0</v>
      </c>
      <c r="M567">
        <f>SUMIF(TArticle[تاریخ],TDays[[#This Row],[تاریخ]],TArticle[افزایش بدهی])</f>
        <v>0</v>
      </c>
      <c r="N567">
        <f>-SUMIF(TArticle[تاریخ],TDays[[#This Row],[تاریخ]],TArticle[افزایش سرمایه])</f>
        <v>0</v>
      </c>
      <c r="O567">
        <f>SUMIF(TArticle[تاریخ],TDays[[#This Row],[تاریخ]],TArticle[تعداد تراکنش انجام شده])</f>
        <v>0</v>
      </c>
      <c r="P567">
        <f>INT(((TDays[[#This Row],[ماه]]-1)*31+TDays[[#This Row],[روز]]+1)/7)+1</f>
        <v>29</v>
      </c>
      <c r="Q567">
        <f>SUMIF(TArticle[تاریخ],TDays[[#This Row],[تاریخ]],TArticle[تراکنش برنامه ریزی شده])</f>
        <v>0</v>
      </c>
    </row>
    <row r="568" spans="1:17" x14ac:dyDescent="0.25">
      <c r="A568" s="3" t="s">
        <v>754</v>
      </c>
      <c r="B568" t="str">
        <f>RIGHT(TDays[[#This Row],[تاریخ]],2)</f>
        <v>16</v>
      </c>
      <c r="C568" t="str">
        <f>RIGHT(LEFT(TDays[[#This Row],[تاریخ]],7),2)</f>
        <v>07</v>
      </c>
      <c r="D568" t="str">
        <f>LEFT(TDays[[#This Row],[تاریخ]],4)</f>
        <v>1402</v>
      </c>
      <c r="E568" t="str">
        <f>LEFT(TDays[[#This Row],[تاریخ]],7)</f>
        <v>1402-07</v>
      </c>
      <c r="F568">
        <v>1</v>
      </c>
      <c r="G568" s="15" t="str">
        <f>VLOOKUP(TDays[[#This Row],[کد روز هفته]],TDaysOfTheWeek[],2,FALSE)</f>
        <v>یکشنبه</v>
      </c>
      <c r="H568" s="15">
        <f>IFERROR(IF(E567&lt;&gt;E568,1,INT(H567)+IF(TDays[[#This Row],[کد روز هفته]]=0,1,0)),1)</f>
        <v>3</v>
      </c>
      <c r="I568">
        <f>-SUMIF(TArticle[تاریخ],TDays[[#This Row],[تاریخ]],TArticle[هزینه])</f>
        <v>0</v>
      </c>
      <c r="J568">
        <f>SUMIF(TArticle[تاریخ],TDays[[#This Row],[تاریخ]],TArticle[درآمد تتا])</f>
        <v>0</v>
      </c>
      <c r="K568">
        <f>SUMIF(TArticle[تاریخ],TDays[[#This Row],[تاریخ]],TArticle[اسنپ])</f>
        <v>0</v>
      </c>
      <c r="L568">
        <f>-SUMIF(TArticle[تاریخ],TDays[[#This Row],[تاریخ]],TArticle[پرداخت بدهی])</f>
        <v>0</v>
      </c>
      <c r="M568">
        <f>SUMIF(TArticle[تاریخ],TDays[[#This Row],[تاریخ]],TArticle[افزایش بدهی])</f>
        <v>0</v>
      </c>
      <c r="N568">
        <f>-SUMIF(TArticle[تاریخ],TDays[[#This Row],[تاریخ]],TArticle[افزایش سرمایه])</f>
        <v>0</v>
      </c>
      <c r="O568">
        <f>SUMIF(TArticle[تاریخ],TDays[[#This Row],[تاریخ]],TArticle[تعداد تراکنش انجام شده])</f>
        <v>0</v>
      </c>
      <c r="P568">
        <f>INT(((TDays[[#This Row],[ماه]]-1)*31+TDays[[#This Row],[روز]]+1)/7)+1</f>
        <v>30</v>
      </c>
      <c r="Q568">
        <f>SUMIF(TArticle[تاریخ],TDays[[#This Row],[تاریخ]],TArticle[تراکنش برنامه ریزی شده])</f>
        <v>0</v>
      </c>
    </row>
    <row r="569" spans="1:17" x14ac:dyDescent="0.25">
      <c r="A569" s="3" t="s">
        <v>755</v>
      </c>
      <c r="B569" t="str">
        <f>RIGHT(TDays[[#This Row],[تاریخ]],2)</f>
        <v>17</v>
      </c>
      <c r="C569" t="str">
        <f>RIGHT(LEFT(TDays[[#This Row],[تاریخ]],7),2)</f>
        <v>07</v>
      </c>
      <c r="D569" t="str">
        <f>LEFT(TDays[[#This Row],[تاریخ]],4)</f>
        <v>1402</v>
      </c>
      <c r="E569" t="str">
        <f>LEFT(TDays[[#This Row],[تاریخ]],7)</f>
        <v>1402-07</v>
      </c>
      <c r="F569">
        <v>2</v>
      </c>
      <c r="G569" s="15" t="str">
        <f>VLOOKUP(TDays[[#This Row],[کد روز هفته]],TDaysOfTheWeek[],2,FALSE)</f>
        <v>دوشنبه</v>
      </c>
      <c r="H569" s="15">
        <f>IFERROR(IF(E568&lt;&gt;E569,1,INT(H568)+IF(TDays[[#This Row],[کد روز هفته]]=0,1,0)),1)</f>
        <v>3</v>
      </c>
      <c r="I569">
        <f>-SUMIF(TArticle[تاریخ],TDays[[#This Row],[تاریخ]],TArticle[هزینه])</f>
        <v>0</v>
      </c>
      <c r="J569">
        <f>SUMIF(TArticle[تاریخ],TDays[[#This Row],[تاریخ]],TArticle[درآمد تتا])</f>
        <v>0</v>
      </c>
      <c r="K569">
        <f>SUMIF(TArticle[تاریخ],TDays[[#This Row],[تاریخ]],TArticle[اسنپ])</f>
        <v>0</v>
      </c>
      <c r="L569">
        <f>-SUMIF(TArticle[تاریخ],TDays[[#This Row],[تاریخ]],TArticle[پرداخت بدهی])</f>
        <v>0</v>
      </c>
      <c r="M569">
        <f>SUMIF(TArticle[تاریخ],TDays[[#This Row],[تاریخ]],TArticle[افزایش بدهی])</f>
        <v>0</v>
      </c>
      <c r="N569">
        <f>-SUMIF(TArticle[تاریخ],TDays[[#This Row],[تاریخ]],TArticle[افزایش سرمایه])</f>
        <v>0</v>
      </c>
      <c r="O569">
        <f>SUMIF(TArticle[تاریخ],TDays[[#This Row],[تاریخ]],TArticle[تعداد تراکنش انجام شده])</f>
        <v>0</v>
      </c>
      <c r="P569">
        <f>INT(((TDays[[#This Row],[ماه]]-1)*31+TDays[[#This Row],[روز]]+1)/7)+1</f>
        <v>30</v>
      </c>
      <c r="Q569">
        <f>SUMIF(TArticle[تاریخ],TDays[[#This Row],[تاریخ]],TArticle[تراکنش برنامه ریزی شده])</f>
        <v>1</v>
      </c>
    </row>
    <row r="570" spans="1:17" x14ac:dyDescent="0.25">
      <c r="A570" s="3" t="s">
        <v>756</v>
      </c>
      <c r="B570" t="str">
        <f>RIGHT(TDays[[#This Row],[تاریخ]],2)</f>
        <v>18</v>
      </c>
      <c r="C570" t="str">
        <f>RIGHT(LEFT(TDays[[#This Row],[تاریخ]],7),2)</f>
        <v>07</v>
      </c>
      <c r="D570" t="str">
        <f>LEFT(TDays[[#This Row],[تاریخ]],4)</f>
        <v>1402</v>
      </c>
      <c r="E570" t="str">
        <f>LEFT(TDays[[#This Row],[تاریخ]],7)</f>
        <v>1402-07</v>
      </c>
      <c r="F570">
        <v>3</v>
      </c>
      <c r="G570" s="15" t="str">
        <f>VLOOKUP(TDays[[#This Row],[کد روز هفته]],TDaysOfTheWeek[],2,FALSE)</f>
        <v>سه شنبه</v>
      </c>
      <c r="H570" s="15">
        <f>IFERROR(IF(E569&lt;&gt;E570,1,INT(H569)+IF(TDays[[#This Row],[کد روز هفته]]=0,1,0)),1)</f>
        <v>3</v>
      </c>
      <c r="I570">
        <f>-SUMIF(TArticle[تاریخ],TDays[[#This Row],[تاریخ]],TArticle[هزینه])</f>
        <v>0</v>
      </c>
      <c r="J570">
        <f>SUMIF(TArticle[تاریخ],TDays[[#This Row],[تاریخ]],TArticle[درآمد تتا])</f>
        <v>0</v>
      </c>
      <c r="K570">
        <f>SUMIF(TArticle[تاریخ],TDays[[#This Row],[تاریخ]],TArticle[اسنپ])</f>
        <v>0</v>
      </c>
      <c r="L570">
        <f>-SUMIF(TArticle[تاریخ],TDays[[#This Row],[تاریخ]],TArticle[پرداخت بدهی])</f>
        <v>0</v>
      </c>
      <c r="M570">
        <f>SUMIF(TArticle[تاریخ],TDays[[#This Row],[تاریخ]],TArticle[افزایش بدهی])</f>
        <v>0</v>
      </c>
      <c r="N570">
        <f>-SUMIF(TArticle[تاریخ],TDays[[#This Row],[تاریخ]],TArticle[افزایش سرمایه])</f>
        <v>0</v>
      </c>
      <c r="O570">
        <f>SUMIF(TArticle[تاریخ],TDays[[#This Row],[تاریخ]],TArticle[تعداد تراکنش انجام شده])</f>
        <v>0</v>
      </c>
      <c r="P570">
        <f>INT(((TDays[[#This Row],[ماه]]-1)*31+TDays[[#This Row],[روز]]+1)/7)+1</f>
        <v>30</v>
      </c>
      <c r="Q570">
        <f>SUMIF(TArticle[تاریخ],TDays[[#This Row],[تاریخ]],TArticle[تراکنش برنامه ریزی شده])</f>
        <v>0</v>
      </c>
    </row>
    <row r="571" spans="1:17" x14ac:dyDescent="0.25">
      <c r="A571" s="3" t="s">
        <v>757</v>
      </c>
      <c r="B571" t="str">
        <f>RIGHT(TDays[[#This Row],[تاریخ]],2)</f>
        <v>19</v>
      </c>
      <c r="C571" t="str">
        <f>RIGHT(LEFT(TDays[[#This Row],[تاریخ]],7),2)</f>
        <v>07</v>
      </c>
      <c r="D571" t="str">
        <f>LEFT(TDays[[#This Row],[تاریخ]],4)</f>
        <v>1402</v>
      </c>
      <c r="E571" t="str">
        <f>LEFT(TDays[[#This Row],[تاریخ]],7)</f>
        <v>1402-07</v>
      </c>
      <c r="F571">
        <v>4</v>
      </c>
      <c r="G571" s="15" t="str">
        <f>VLOOKUP(TDays[[#This Row],[کد روز هفته]],TDaysOfTheWeek[],2,FALSE)</f>
        <v>چهارشنبه</v>
      </c>
      <c r="H571" s="15">
        <f>IFERROR(IF(E570&lt;&gt;E571,1,INT(H570)+IF(TDays[[#This Row],[کد روز هفته]]=0,1,0)),1)</f>
        <v>3</v>
      </c>
      <c r="I571">
        <f>-SUMIF(TArticle[تاریخ],TDays[[#This Row],[تاریخ]],TArticle[هزینه])</f>
        <v>0</v>
      </c>
      <c r="J571">
        <f>SUMIF(TArticle[تاریخ],TDays[[#This Row],[تاریخ]],TArticle[درآمد تتا])</f>
        <v>0</v>
      </c>
      <c r="K571">
        <f>SUMIF(TArticle[تاریخ],TDays[[#This Row],[تاریخ]],TArticle[اسنپ])</f>
        <v>0</v>
      </c>
      <c r="L571">
        <f>-SUMIF(TArticle[تاریخ],TDays[[#This Row],[تاریخ]],TArticle[پرداخت بدهی])</f>
        <v>0</v>
      </c>
      <c r="M571">
        <f>SUMIF(TArticle[تاریخ],TDays[[#This Row],[تاریخ]],TArticle[افزایش بدهی])</f>
        <v>0</v>
      </c>
      <c r="N571">
        <f>-SUMIF(TArticle[تاریخ],TDays[[#This Row],[تاریخ]],TArticle[افزایش سرمایه])</f>
        <v>0</v>
      </c>
      <c r="O571">
        <f>SUMIF(TArticle[تاریخ],TDays[[#This Row],[تاریخ]],TArticle[تعداد تراکنش انجام شده])</f>
        <v>0</v>
      </c>
      <c r="P571">
        <f>INT(((TDays[[#This Row],[ماه]]-1)*31+TDays[[#This Row],[روز]]+1)/7)+1</f>
        <v>30</v>
      </c>
      <c r="Q571">
        <f>SUMIF(TArticle[تاریخ],TDays[[#This Row],[تاریخ]],TArticle[تراکنش برنامه ریزی شده])</f>
        <v>0</v>
      </c>
    </row>
    <row r="572" spans="1:17" x14ac:dyDescent="0.25">
      <c r="A572" s="3" t="s">
        <v>758</v>
      </c>
      <c r="B572" t="str">
        <f>RIGHT(TDays[[#This Row],[تاریخ]],2)</f>
        <v>20</v>
      </c>
      <c r="C572" t="str">
        <f>RIGHT(LEFT(TDays[[#This Row],[تاریخ]],7),2)</f>
        <v>07</v>
      </c>
      <c r="D572" t="str">
        <f>LEFT(TDays[[#This Row],[تاریخ]],4)</f>
        <v>1402</v>
      </c>
      <c r="E572" t="str">
        <f>LEFT(TDays[[#This Row],[تاریخ]],7)</f>
        <v>1402-07</v>
      </c>
      <c r="F572">
        <v>5</v>
      </c>
      <c r="G572" s="15" t="str">
        <f>VLOOKUP(TDays[[#This Row],[کد روز هفته]],TDaysOfTheWeek[],2,FALSE)</f>
        <v>پنجشنبه</v>
      </c>
      <c r="H572" s="15">
        <f>IFERROR(IF(E571&lt;&gt;E572,1,INT(H571)+IF(TDays[[#This Row],[کد روز هفته]]=0,1,0)),1)</f>
        <v>3</v>
      </c>
      <c r="I572">
        <f>-SUMIF(TArticle[تاریخ],TDays[[#This Row],[تاریخ]],TArticle[هزینه])</f>
        <v>0</v>
      </c>
      <c r="J572">
        <f>SUMIF(TArticle[تاریخ],TDays[[#This Row],[تاریخ]],TArticle[درآمد تتا])</f>
        <v>0</v>
      </c>
      <c r="K572">
        <f>SUMIF(TArticle[تاریخ],TDays[[#This Row],[تاریخ]],TArticle[اسنپ])</f>
        <v>0</v>
      </c>
      <c r="L572">
        <f>-SUMIF(TArticle[تاریخ],TDays[[#This Row],[تاریخ]],TArticle[پرداخت بدهی])</f>
        <v>0</v>
      </c>
      <c r="M572">
        <f>SUMIF(TArticle[تاریخ],TDays[[#This Row],[تاریخ]],TArticle[افزایش بدهی])</f>
        <v>0</v>
      </c>
      <c r="N572">
        <f>-SUMIF(TArticle[تاریخ],TDays[[#This Row],[تاریخ]],TArticle[افزایش سرمایه])</f>
        <v>0</v>
      </c>
      <c r="O572">
        <f>SUMIF(TArticle[تاریخ],TDays[[#This Row],[تاریخ]],TArticle[تعداد تراکنش انجام شده])</f>
        <v>0</v>
      </c>
      <c r="P572">
        <f>INT(((TDays[[#This Row],[ماه]]-1)*31+TDays[[#This Row],[روز]]+1)/7)+1</f>
        <v>30</v>
      </c>
      <c r="Q572">
        <f>SUMIF(TArticle[تاریخ],TDays[[#This Row],[تاریخ]],TArticle[تراکنش برنامه ریزی شده])</f>
        <v>1</v>
      </c>
    </row>
    <row r="573" spans="1:17" x14ac:dyDescent="0.25">
      <c r="A573" s="3" t="s">
        <v>759</v>
      </c>
      <c r="B573" t="str">
        <f>RIGHT(TDays[[#This Row],[تاریخ]],2)</f>
        <v>21</v>
      </c>
      <c r="C573" t="str">
        <f>RIGHT(LEFT(TDays[[#This Row],[تاریخ]],7),2)</f>
        <v>07</v>
      </c>
      <c r="D573" t="str">
        <f>LEFT(TDays[[#This Row],[تاریخ]],4)</f>
        <v>1402</v>
      </c>
      <c r="E573" t="str">
        <f>LEFT(TDays[[#This Row],[تاریخ]],7)</f>
        <v>1402-07</v>
      </c>
      <c r="F573">
        <v>6</v>
      </c>
      <c r="G573" s="15" t="str">
        <f>VLOOKUP(TDays[[#This Row],[کد روز هفته]],TDaysOfTheWeek[],2,FALSE)</f>
        <v>جمعه</v>
      </c>
      <c r="H573" s="15">
        <f>IFERROR(IF(E572&lt;&gt;E573,1,INT(H572)+IF(TDays[[#This Row],[کد روز هفته]]=0,1,0)),1)</f>
        <v>3</v>
      </c>
      <c r="I573">
        <f>-SUMIF(TArticle[تاریخ],TDays[[#This Row],[تاریخ]],TArticle[هزینه])</f>
        <v>0</v>
      </c>
      <c r="J573">
        <f>SUMIF(TArticle[تاریخ],TDays[[#This Row],[تاریخ]],TArticle[درآمد تتا])</f>
        <v>0</v>
      </c>
      <c r="K573">
        <f>SUMIF(TArticle[تاریخ],TDays[[#This Row],[تاریخ]],TArticle[اسنپ])</f>
        <v>0</v>
      </c>
      <c r="L573">
        <f>-SUMIF(TArticle[تاریخ],TDays[[#This Row],[تاریخ]],TArticle[پرداخت بدهی])</f>
        <v>0</v>
      </c>
      <c r="M573">
        <f>SUMIF(TArticle[تاریخ],TDays[[#This Row],[تاریخ]],TArticle[افزایش بدهی])</f>
        <v>0</v>
      </c>
      <c r="N573">
        <f>-SUMIF(TArticle[تاریخ],TDays[[#This Row],[تاریخ]],TArticle[افزایش سرمایه])</f>
        <v>0</v>
      </c>
      <c r="O573">
        <f>SUMIF(TArticle[تاریخ],TDays[[#This Row],[تاریخ]],TArticle[تعداد تراکنش انجام شده])</f>
        <v>0</v>
      </c>
      <c r="P573">
        <f>INT(((TDays[[#This Row],[ماه]]-1)*31+TDays[[#This Row],[روز]]+1)/7)+1</f>
        <v>30</v>
      </c>
      <c r="Q573">
        <f>SUMIF(TArticle[تاریخ],TDays[[#This Row],[تاریخ]],TArticle[تراکنش برنامه ریزی شده])</f>
        <v>0</v>
      </c>
    </row>
    <row r="574" spans="1:17" x14ac:dyDescent="0.25">
      <c r="A574" s="3" t="s">
        <v>760</v>
      </c>
      <c r="B574" t="str">
        <f>RIGHT(TDays[[#This Row],[تاریخ]],2)</f>
        <v>22</v>
      </c>
      <c r="C574" t="str">
        <f>RIGHT(LEFT(TDays[[#This Row],[تاریخ]],7),2)</f>
        <v>07</v>
      </c>
      <c r="D574" t="str">
        <f>LEFT(TDays[[#This Row],[تاریخ]],4)</f>
        <v>1402</v>
      </c>
      <c r="E574" t="str">
        <f>LEFT(TDays[[#This Row],[تاریخ]],7)</f>
        <v>1402-07</v>
      </c>
      <c r="F574">
        <v>0</v>
      </c>
      <c r="G574" s="15" t="str">
        <f>VLOOKUP(TDays[[#This Row],[کد روز هفته]],TDaysOfTheWeek[],2,FALSE)</f>
        <v>شنبه</v>
      </c>
      <c r="H574" s="15">
        <f>IFERROR(IF(E573&lt;&gt;E574,1,INT(H573)+IF(TDays[[#This Row],[کد روز هفته]]=0,1,0)),1)</f>
        <v>4</v>
      </c>
      <c r="I574">
        <f>-SUMIF(TArticle[تاریخ],TDays[[#This Row],[تاریخ]],TArticle[هزینه])</f>
        <v>0</v>
      </c>
      <c r="J574">
        <f>SUMIF(TArticle[تاریخ],TDays[[#This Row],[تاریخ]],TArticle[درآمد تتا])</f>
        <v>0</v>
      </c>
      <c r="K574">
        <f>SUMIF(TArticle[تاریخ],TDays[[#This Row],[تاریخ]],TArticle[اسنپ])</f>
        <v>0</v>
      </c>
      <c r="L574">
        <f>-SUMIF(TArticle[تاریخ],TDays[[#This Row],[تاریخ]],TArticle[پرداخت بدهی])</f>
        <v>0</v>
      </c>
      <c r="M574">
        <f>SUMIF(TArticle[تاریخ],TDays[[#This Row],[تاریخ]],TArticle[افزایش بدهی])</f>
        <v>0</v>
      </c>
      <c r="N574">
        <f>-SUMIF(TArticle[تاریخ],TDays[[#This Row],[تاریخ]],TArticle[افزایش سرمایه])</f>
        <v>0</v>
      </c>
      <c r="O574">
        <f>SUMIF(TArticle[تاریخ],TDays[[#This Row],[تاریخ]],TArticle[تعداد تراکنش انجام شده])</f>
        <v>0</v>
      </c>
      <c r="P574">
        <f>INT(((TDays[[#This Row],[ماه]]-1)*31+TDays[[#This Row],[روز]]+1)/7)+1</f>
        <v>30</v>
      </c>
      <c r="Q574">
        <f>SUMIF(TArticle[تاریخ],TDays[[#This Row],[تاریخ]],TArticle[تراکنش برنامه ریزی شده])</f>
        <v>0</v>
      </c>
    </row>
    <row r="575" spans="1:17" x14ac:dyDescent="0.25">
      <c r="A575" s="3" t="s">
        <v>761</v>
      </c>
      <c r="B575" t="str">
        <f>RIGHT(TDays[[#This Row],[تاریخ]],2)</f>
        <v>23</v>
      </c>
      <c r="C575" t="str">
        <f>RIGHT(LEFT(TDays[[#This Row],[تاریخ]],7),2)</f>
        <v>07</v>
      </c>
      <c r="D575" t="str">
        <f>LEFT(TDays[[#This Row],[تاریخ]],4)</f>
        <v>1402</v>
      </c>
      <c r="E575" t="str">
        <f>LEFT(TDays[[#This Row],[تاریخ]],7)</f>
        <v>1402-07</v>
      </c>
      <c r="F575">
        <v>1</v>
      </c>
      <c r="G575" s="15" t="str">
        <f>VLOOKUP(TDays[[#This Row],[کد روز هفته]],TDaysOfTheWeek[],2,FALSE)</f>
        <v>یکشنبه</v>
      </c>
      <c r="H575" s="15">
        <f>IFERROR(IF(E574&lt;&gt;E575,1,INT(H574)+IF(TDays[[#This Row],[کد روز هفته]]=0,1,0)),1)</f>
        <v>4</v>
      </c>
      <c r="I575">
        <f>-SUMIF(TArticle[تاریخ],TDays[[#This Row],[تاریخ]],TArticle[هزینه])</f>
        <v>0</v>
      </c>
      <c r="J575">
        <f>SUMIF(TArticle[تاریخ],TDays[[#This Row],[تاریخ]],TArticle[درآمد تتا])</f>
        <v>0</v>
      </c>
      <c r="K575">
        <f>SUMIF(TArticle[تاریخ],TDays[[#This Row],[تاریخ]],TArticle[اسنپ])</f>
        <v>0</v>
      </c>
      <c r="L575">
        <f>-SUMIF(TArticle[تاریخ],TDays[[#This Row],[تاریخ]],TArticle[پرداخت بدهی])</f>
        <v>0</v>
      </c>
      <c r="M575">
        <f>SUMIF(TArticle[تاریخ],TDays[[#This Row],[تاریخ]],TArticle[افزایش بدهی])</f>
        <v>0</v>
      </c>
      <c r="N575">
        <f>-SUMIF(TArticle[تاریخ],TDays[[#This Row],[تاریخ]],TArticle[افزایش سرمایه])</f>
        <v>0</v>
      </c>
      <c r="O575">
        <f>SUMIF(TArticle[تاریخ],TDays[[#This Row],[تاریخ]],TArticle[تعداد تراکنش انجام شده])</f>
        <v>0</v>
      </c>
      <c r="P575">
        <f>INT(((TDays[[#This Row],[ماه]]-1)*31+TDays[[#This Row],[روز]]+1)/7)+1</f>
        <v>31</v>
      </c>
      <c r="Q575">
        <f>SUMIF(TArticle[تاریخ],TDays[[#This Row],[تاریخ]],TArticle[تراکنش برنامه ریزی شده])</f>
        <v>0</v>
      </c>
    </row>
    <row r="576" spans="1:17" x14ac:dyDescent="0.25">
      <c r="A576" s="3" t="s">
        <v>762</v>
      </c>
      <c r="B576" t="str">
        <f>RIGHT(TDays[[#This Row],[تاریخ]],2)</f>
        <v>24</v>
      </c>
      <c r="C576" t="str">
        <f>RIGHT(LEFT(TDays[[#This Row],[تاریخ]],7),2)</f>
        <v>07</v>
      </c>
      <c r="D576" t="str">
        <f>LEFT(TDays[[#This Row],[تاریخ]],4)</f>
        <v>1402</v>
      </c>
      <c r="E576" t="str">
        <f>LEFT(TDays[[#This Row],[تاریخ]],7)</f>
        <v>1402-07</v>
      </c>
      <c r="F576">
        <v>2</v>
      </c>
      <c r="G576" s="15" t="str">
        <f>VLOOKUP(TDays[[#This Row],[کد روز هفته]],TDaysOfTheWeek[],2,FALSE)</f>
        <v>دوشنبه</v>
      </c>
      <c r="H576" s="15">
        <f>IFERROR(IF(E575&lt;&gt;E576,1,INT(H575)+IF(TDays[[#This Row],[کد روز هفته]]=0,1,0)),1)</f>
        <v>4</v>
      </c>
      <c r="I576">
        <f>-SUMIF(TArticle[تاریخ],TDays[[#This Row],[تاریخ]],TArticle[هزینه])</f>
        <v>0</v>
      </c>
      <c r="J576">
        <f>SUMIF(TArticle[تاریخ],TDays[[#This Row],[تاریخ]],TArticle[درآمد تتا])</f>
        <v>0</v>
      </c>
      <c r="K576">
        <f>SUMIF(TArticle[تاریخ],TDays[[#This Row],[تاریخ]],TArticle[اسنپ])</f>
        <v>0</v>
      </c>
      <c r="L576">
        <f>-SUMIF(TArticle[تاریخ],TDays[[#This Row],[تاریخ]],TArticle[پرداخت بدهی])</f>
        <v>0</v>
      </c>
      <c r="M576">
        <f>SUMIF(TArticle[تاریخ],TDays[[#This Row],[تاریخ]],TArticle[افزایش بدهی])</f>
        <v>0</v>
      </c>
      <c r="N576">
        <f>-SUMIF(TArticle[تاریخ],TDays[[#This Row],[تاریخ]],TArticle[افزایش سرمایه])</f>
        <v>0</v>
      </c>
      <c r="O576">
        <f>SUMIF(TArticle[تاریخ],TDays[[#This Row],[تاریخ]],TArticle[تعداد تراکنش انجام شده])</f>
        <v>0</v>
      </c>
      <c r="P576">
        <f>INT(((TDays[[#This Row],[ماه]]-1)*31+TDays[[#This Row],[روز]]+1)/7)+1</f>
        <v>31</v>
      </c>
      <c r="Q576">
        <f>SUMIF(TArticle[تاریخ],TDays[[#This Row],[تاریخ]],TArticle[تراکنش برنامه ریزی شده])</f>
        <v>0</v>
      </c>
    </row>
    <row r="577" spans="1:17" x14ac:dyDescent="0.25">
      <c r="A577" s="3" t="s">
        <v>763</v>
      </c>
      <c r="B577" t="str">
        <f>RIGHT(TDays[[#This Row],[تاریخ]],2)</f>
        <v>25</v>
      </c>
      <c r="C577" t="str">
        <f>RIGHT(LEFT(TDays[[#This Row],[تاریخ]],7),2)</f>
        <v>07</v>
      </c>
      <c r="D577" t="str">
        <f>LEFT(TDays[[#This Row],[تاریخ]],4)</f>
        <v>1402</v>
      </c>
      <c r="E577" t="str">
        <f>LEFT(TDays[[#This Row],[تاریخ]],7)</f>
        <v>1402-07</v>
      </c>
      <c r="F577">
        <v>3</v>
      </c>
      <c r="G577" s="15" t="str">
        <f>VLOOKUP(TDays[[#This Row],[کد روز هفته]],TDaysOfTheWeek[],2,FALSE)</f>
        <v>سه شنبه</v>
      </c>
      <c r="H577" s="15">
        <f>IFERROR(IF(E576&lt;&gt;E577,1,INT(H576)+IF(TDays[[#This Row],[کد روز هفته]]=0,1,0)),1)</f>
        <v>4</v>
      </c>
      <c r="I577">
        <f>-SUMIF(TArticle[تاریخ],TDays[[#This Row],[تاریخ]],TArticle[هزینه])</f>
        <v>0</v>
      </c>
      <c r="J577">
        <f>SUMIF(TArticle[تاریخ],TDays[[#This Row],[تاریخ]],TArticle[درآمد تتا])</f>
        <v>0</v>
      </c>
      <c r="K577">
        <f>SUMIF(TArticle[تاریخ],TDays[[#This Row],[تاریخ]],TArticle[اسنپ])</f>
        <v>0</v>
      </c>
      <c r="L577">
        <f>-SUMIF(TArticle[تاریخ],TDays[[#This Row],[تاریخ]],TArticle[پرداخت بدهی])</f>
        <v>0</v>
      </c>
      <c r="M577">
        <f>SUMIF(TArticle[تاریخ],TDays[[#This Row],[تاریخ]],TArticle[افزایش بدهی])</f>
        <v>0</v>
      </c>
      <c r="N577">
        <f>-SUMIF(TArticle[تاریخ],TDays[[#This Row],[تاریخ]],TArticle[افزایش سرمایه])</f>
        <v>0</v>
      </c>
      <c r="O577">
        <f>SUMIF(TArticle[تاریخ],TDays[[#This Row],[تاریخ]],TArticle[تعداد تراکنش انجام شده])</f>
        <v>0</v>
      </c>
      <c r="P577">
        <f>INT(((TDays[[#This Row],[ماه]]-1)*31+TDays[[#This Row],[روز]]+1)/7)+1</f>
        <v>31</v>
      </c>
      <c r="Q577">
        <f>SUMIF(TArticle[تاریخ],TDays[[#This Row],[تاریخ]],TArticle[تراکنش برنامه ریزی شده])</f>
        <v>0</v>
      </c>
    </row>
    <row r="578" spans="1:17" x14ac:dyDescent="0.25">
      <c r="A578" s="3" t="s">
        <v>764</v>
      </c>
      <c r="B578" t="str">
        <f>RIGHT(TDays[[#This Row],[تاریخ]],2)</f>
        <v>26</v>
      </c>
      <c r="C578" t="str">
        <f>RIGHT(LEFT(TDays[[#This Row],[تاریخ]],7),2)</f>
        <v>07</v>
      </c>
      <c r="D578" t="str">
        <f>LEFT(TDays[[#This Row],[تاریخ]],4)</f>
        <v>1402</v>
      </c>
      <c r="E578" t="str">
        <f>LEFT(TDays[[#This Row],[تاریخ]],7)</f>
        <v>1402-07</v>
      </c>
      <c r="F578">
        <v>4</v>
      </c>
      <c r="G578" s="15" t="str">
        <f>VLOOKUP(TDays[[#This Row],[کد روز هفته]],TDaysOfTheWeek[],2,FALSE)</f>
        <v>چهارشنبه</v>
      </c>
      <c r="H578" s="15">
        <f>IFERROR(IF(E577&lt;&gt;E578,1,INT(H577)+IF(TDays[[#This Row],[کد روز هفته]]=0,1,0)),1)</f>
        <v>4</v>
      </c>
      <c r="I578">
        <f>-SUMIF(TArticle[تاریخ],TDays[[#This Row],[تاریخ]],TArticle[هزینه])</f>
        <v>0</v>
      </c>
      <c r="J578">
        <f>SUMIF(TArticle[تاریخ],TDays[[#This Row],[تاریخ]],TArticle[درآمد تتا])</f>
        <v>0</v>
      </c>
      <c r="K578">
        <f>SUMIF(TArticle[تاریخ],TDays[[#This Row],[تاریخ]],TArticle[اسنپ])</f>
        <v>0</v>
      </c>
      <c r="L578">
        <f>-SUMIF(TArticle[تاریخ],TDays[[#This Row],[تاریخ]],TArticle[پرداخت بدهی])</f>
        <v>0</v>
      </c>
      <c r="M578">
        <f>SUMIF(TArticle[تاریخ],TDays[[#This Row],[تاریخ]],TArticle[افزایش بدهی])</f>
        <v>0</v>
      </c>
      <c r="N578">
        <f>-SUMIF(TArticle[تاریخ],TDays[[#This Row],[تاریخ]],TArticle[افزایش سرمایه])</f>
        <v>0</v>
      </c>
      <c r="O578">
        <f>SUMIF(TArticle[تاریخ],TDays[[#This Row],[تاریخ]],TArticle[تعداد تراکنش انجام شده])</f>
        <v>0</v>
      </c>
      <c r="P578">
        <f>INT(((TDays[[#This Row],[ماه]]-1)*31+TDays[[#This Row],[روز]]+1)/7)+1</f>
        <v>31</v>
      </c>
      <c r="Q578">
        <f>SUMIF(TArticle[تاریخ],TDays[[#This Row],[تاریخ]],TArticle[تراکنش برنامه ریزی شده])</f>
        <v>0</v>
      </c>
    </row>
    <row r="579" spans="1:17" x14ac:dyDescent="0.25">
      <c r="A579" s="3" t="s">
        <v>765</v>
      </c>
      <c r="B579" t="str">
        <f>RIGHT(TDays[[#This Row],[تاریخ]],2)</f>
        <v>27</v>
      </c>
      <c r="C579" t="str">
        <f>RIGHT(LEFT(TDays[[#This Row],[تاریخ]],7),2)</f>
        <v>07</v>
      </c>
      <c r="D579" t="str">
        <f>LEFT(TDays[[#This Row],[تاریخ]],4)</f>
        <v>1402</v>
      </c>
      <c r="E579" t="str">
        <f>LEFT(TDays[[#This Row],[تاریخ]],7)</f>
        <v>1402-07</v>
      </c>
      <c r="F579">
        <v>5</v>
      </c>
      <c r="G579" s="15" t="str">
        <f>VLOOKUP(TDays[[#This Row],[کد روز هفته]],TDaysOfTheWeek[],2,FALSE)</f>
        <v>پنجشنبه</v>
      </c>
      <c r="H579" s="15">
        <f>IFERROR(IF(E578&lt;&gt;E579,1,INT(H578)+IF(TDays[[#This Row],[کد روز هفته]]=0,1,0)),1)</f>
        <v>4</v>
      </c>
      <c r="I579">
        <f>-SUMIF(TArticle[تاریخ],TDays[[#This Row],[تاریخ]],TArticle[هزینه])</f>
        <v>0</v>
      </c>
      <c r="J579">
        <f>SUMIF(TArticle[تاریخ],TDays[[#This Row],[تاریخ]],TArticle[درآمد تتا])</f>
        <v>0</v>
      </c>
      <c r="K579">
        <f>SUMIF(TArticle[تاریخ],TDays[[#This Row],[تاریخ]],TArticle[اسنپ])</f>
        <v>0</v>
      </c>
      <c r="L579">
        <f>-SUMIF(TArticle[تاریخ],TDays[[#This Row],[تاریخ]],TArticle[پرداخت بدهی])</f>
        <v>0</v>
      </c>
      <c r="M579">
        <f>SUMIF(TArticle[تاریخ],TDays[[#This Row],[تاریخ]],TArticle[افزایش بدهی])</f>
        <v>0</v>
      </c>
      <c r="N579">
        <f>-SUMIF(TArticle[تاریخ],TDays[[#This Row],[تاریخ]],TArticle[افزایش سرمایه])</f>
        <v>0</v>
      </c>
      <c r="O579">
        <f>SUMIF(TArticle[تاریخ],TDays[[#This Row],[تاریخ]],TArticle[تعداد تراکنش انجام شده])</f>
        <v>0</v>
      </c>
      <c r="P579">
        <f>INT(((TDays[[#This Row],[ماه]]-1)*31+TDays[[#This Row],[روز]]+1)/7)+1</f>
        <v>31</v>
      </c>
      <c r="Q579">
        <f>SUMIF(TArticle[تاریخ],TDays[[#This Row],[تاریخ]],TArticle[تراکنش برنامه ریزی شده])</f>
        <v>0</v>
      </c>
    </row>
    <row r="580" spans="1:17" x14ac:dyDescent="0.25">
      <c r="A580" s="3" t="s">
        <v>766</v>
      </c>
      <c r="B580" t="str">
        <f>RIGHT(TDays[[#This Row],[تاریخ]],2)</f>
        <v>28</v>
      </c>
      <c r="C580" t="str">
        <f>RIGHT(LEFT(TDays[[#This Row],[تاریخ]],7),2)</f>
        <v>07</v>
      </c>
      <c r="D580" t="str">
        <f>LEFT(TDays[[#This Row],[تاریخ]],4)</f>
        <v>1402</v>
      </c>
      <c r="E580" t="str">
        <f>LEFT(TDays[[#This Row],[تاریخ]],7)</f>
        <v>1402-07</v>
      </c>
      <c r="F580">
        <v>6</v>
      </c>
      <c r="G580" s="15" t="str">
        <f>VLOOKUP(TDays[[#This Row],[کد روز هفته]],TDaysOfTheWeek[],2,FALSE)</f>
        <v>جمعه</v>
      </c>
      <c r="H580" s="15">
        <f>IFERROR(IF(E579&lt;&gt;E580,1,INT(H579)+IF(TDays[[#This Row],[کد روز هفته]]=0,1,0)),1)</f>
        <v>4</v>
      </c>
      <c r="I580">
        <f>-SUMIF(TArticle[تاریخ],TDays[[#This Row],[تاریخ]],TArticle[هزینه])</f>
        <v>0</v>
      </c>
      <c r="J580">
        <f>SUMIF(TArticle[تاریخ],TDays[[#This Row],[تاریخ]],TArticle[درآمد تتا])</f>
        <v>0</v>
      </c>
      <c r="K580">
        <f>SUMIF(TArticle[تاریخ],TDays[[#This Row],[تاریخ]],TArticle[اسنپ])</f>
        <v>0</v>
      </c>
      <c r="L580">
        <f>-SUMIF(TArticle[تاریخ],TDays[[#This Row],[تاریخ]],TArticle[پرداخت بدهی])</f>
        <v>0</v>
      </c>
      <c r="M580">
        <f>SUMIF(TArticle[تاریخ],TDays[[#This Row],[تاریخ]],TArticle[افزایش بدهی])</f>
        <v>0</v>
      </c>
      <c r="N580">
        <f>-SUMIF(TArticle[تاریخ],TDays[[#This Row],[تاریخ]],TArticle[افزایش سرمایه])</f>
        <v>0</v>
      </c>
      <c r="O580">
        <f>SUMIF(TArticle[تاریخ],TDays[[#This Row],[تاریخ]],TArticle[تعداد تراکنش انجام شده])</f>
        <v>0</v>
      </c>
      <c r="P580">
        <f>INT(((TDays[[#This Row],[ماه]]-1)*31+TDays[[#This Row],[روز]]+1)/7)+1</f>
        <v>31</v>
      </c>
      <c r="Q580">
        <f>SUMIF(TArticle[تاریخ],TDays[[#This Row],[تاریخ]],TArticle[تراکنش برنامه ریزی شده])</f>
        <v>1</v>
      </c>
    </row>
    <row r="581" spans="1:17" x14ac:dyDescent="0.25">
      <c r="A581" s="3" t="s">
        <v>767</v>
      </c>
      <c r="B581" t="str">
        <f>RIGHT(TDays[[#This Row],[تاریخ]],2)</f>
        <v>29</v>
      </c>
      <c r="C581" t="str">
        <f>RIGHT(LEFT(TDays[[#This Row],[تاریخ]],7),2)</f>
        <v>07</v>
      </c>
      <c r="D581" t="str">
        <f>LEFT(TDays[[#This Row],[تاریخ]],4)</f>
        <v>1402</v>
      </c>
      <c r="E581" t="str">
        <f>LEFT(TDays[[#This Row],[تاریخ]],7)</f>
        <v>1402-07</v>
      </c>
      <c r="F581">
        <v>0</v>
      </c>
      <c r="G581" s="15" t="str">
        <f>VLOOKUP(TDays[[#This Row],[کد روز هفته]],TDaysOfTheWeek[],2,FALSE)</f>
        <v>شنبه</v>
      </c>
      <c r="H581" s="15">
        <f>IFERROR(IF(E580&lt;&gt;E581,1,INT(H580)+IF(TDays[[#This Row],[کد روز هفته]]=0,1,0)),1)</f>
        <v>5</v>
      </c>
      <c r="I581">
        <f>-SUMIF(TArticle[تاریخ],TDays[[#This Row],[تاریخ]],TArticle[هزینه])</f>
        <v>0</v>
      </c>
      <c r="J581">
        <f>SUMIF(TArticle[تاریخ],TDays[[#This Row],[تاریخ]],TArticle[درآمد تتا])</f>
        <v>0</v>
      </c>
      <c r="K581">
        <f>SUMIF(TArticle[تاریخ],TDays[[#This Row],[تاریخ]],TArticle[اسنپ])</f>
        <v>0</v>
      </c>
      <c r="L581">
        <f>-SUMIF(TArticle[تاریخ],TDays[[#This Row],[تاریخ]],TArticle[پرداخت بدهی])</f>
        <v>0</v>
      </c>
      <c r="M581">
        <f>SUMIF(TArticle[تاریخ],TDays[[#This Row],[تاریخ]],TArticle[افزایش بدهی])</f>
        <v>0</v>
      </c>
      <c r="N581">
        <f>-SUMIF(TArticle[تاریخ],TDays[[#This Row],[تاریخ]],TArticle[افزایش سرمایه])</f>
        <v>0</v>
      </c>
      <c r="O581">
        <f>SUMIF(TArticle[تاریخ],TDays[[#This Row],[تاریخ]],TArticle[تعداد تراکنش انجام شده])</f>
        <v>0</v>
      </c>
      <c r="P581">
        <f>INT(((TDays[[#This Row],[ماه]]-1)*31+TDays[[#This Row],[روز]]+1)/7)+1</f>
        <v>31</v>
      </c>
      <c r="Q581">
        <f>SUMIF(TArticle[تاریخ],TDays[[#This Row],[تاریخ]],TArticle[تراکنش برنامه ریزی شده])</f>
        <v>0</v>
      </c>
    </row>
    <row r="582" spans="1:17" x14ac:dyDescent="0.25">
      <c r="A582" s="3" t="s">
        <v>768</v>
      </c>
      <c r="B582" t="str">
        <f>RIGHT(TDays[[#This Row],[تاریخ]],2)</f>
        <v>30</v>
      </c>
      <c r="C582" t="str">
        <f>RIGHT(LEFT(TDays[[#This Row],[تاریخ]],7),2)</f>
        <v>07</v>
      </c>
      <c r="D582" t="str">
        <f>LEFT(TDays[[#This Row],[تاریخ]],4)</f>
        <v>1402</v>
      </c>
      <c r="E582" t="str">
        <f>LEFT(TDays[[#This Row],[تاریخ]],7)</f>
        <v>1402-07</v>
      </c>
      <c r="F582">
        <v>1</v>
      </c>
      <c r="G582" s="15" t="str">
        <f>VLOOKUP(TDays[[#This Row],[کد روز هفته]],TDaysOfTheWeek[],2,FALSE)</f>
        <v>یکشنبه</v>
      </c>
      <c r="H582" s="15">
        <f>IFERROR(IF(E581&lt;&gt;E582,1,INT(H581)+IF(TDays[[#This Row],[کد روز هفته]]=0,1,0)),1)</f>
        <v>5</v>
      </c>
      <c r="I582">
        <f>-SUMIF(TArticle[تاریخ],TDays[[#This Row],[تاریخ]],TArticle[هزینه])</f>
        <v>0</v>
      </c>
      <c r="J582">
        <f>SUMIF(TArticle[تاریخ],TDays[[#This Row],[تاریخ]],TArticle[درآمد تتا])</f>
        <v>0</v>
      </c>
      <c r="K582">
        <f>SUMIF(TArticle[تاریخ],TDays[[#This Row],[تاریخ]],TArticle[اسنپ])</f>
        <v>0</v>
      </c>
      <c r="L582">
        <f>-SUMIF(TArticle[تاریخ],TDays[[#This Row],[تاریخ]],TArticle[پرداخت بدهی])</f>
        <v>0</v>
      </c>
      <c r="M582">
        <f>SUMIF(TArticle[تاریخ],TDays[[#This Row],[تاریخ]],TArticle[افزایش بدهی])</f>
        <v>0</v>
      </c>
      <c r="N582">
        <f>-SUMIF(TArticle[تاریخ],TDays[[#This Row],[تاریخ]],TArticle[افزایش سرمایه])</f>
        <v>0</v>
      </c>
      <c r="O582">
        <f>SUMIF(TArticle[تاریخ],TDays[[#This Row],[تاریخ]],TArticle[تعداد تراکنش انجام شده])</f>
        <v>0</v>
      </c>
      <c r="P582">
        <f>INT(((TDays[[#This Row],[ماه]]-1)*31+TDays[[#This Row],[روز]]+1)/7)+1</f>
        <v>32</v>
      </c>
      <c r="Q582">
        <f>SUMIF(TArticle[تاریخ],TDays[[#This Row],[تاریخ]],TArticle[تراکنش برنامه ریزی شده])</f>
        <v>0</v>
      </c>
    </row>
    <row r="583" spans="1:17" x14ac:dyDescent="0.25">
      <c r="A583" s="3" t="s">
        <v>769</v>
      </c>
      <c r="B583" t="str">
        <f>RIGHT(TDays[[#This Row],[تاریخ]],2)</f>
        <v>01</v>
      </c>
      <c r="C583" t="str">
        <f>RIGHT(LEFT(TDays[[#This Row],[تاریخ]],7),2)</f>
        <v>08</v>
      </c>
      <c r="D583" t="str">
        <f>LEFT(TDays[[#This Row],[تاریخ]],4)</f>
        <v>1402</v>
      </c>
      <c r="E583" t="str">
        <f>LEFT(TDays[[#This Row],[تاریخ]],7)</f>
        <v>1402-08</v>
      </c>
      <c r="F583">
        <v>2</v>
      </c>
      <c r="G583" s="15" t="str">
        <f>VLOOKUP(TDays[[#This Row],[کد روز هفته]],TDaysOfTheWeek[],2,FALSE)</f>
        <v>دوشنبه</v>
      </c>
      <c r="H583" s="15">
        <f>IFERROR(IF(E582&lt;&gt;E583,1,INT(H582)+IF(TDays[[#This Row],[کد روز هفته]]=0,1,0)),1)</f>
        <v>1</v>
      </c>
      <c r="I583">
        <f>-SUMIF(TArticle[تاریخ],TDays[[#This Row],[تاریخ]],TArticle[هزینه])</f>
        <v>0</v>
      </c>
      <c r="J583">
        <f>SUMIF(TArticle[تاریخ],TDays[[#This Row],[تاریخ]],TArticle[درآمد تتا])</f>
        <v>0</v>
      </c>
      <c r="K583">
        <f>SUMIF(TArticle[تاریخ],TDays[[#This Row],[تاریخ]],TArticle[اسنپ])</f>
        <v>0</v>
      </c>
      <c r="L583">
        <f>-SUMIF(TArticle[تاریخ],TDays[[#This Row],[تاریخ]],TArticle[پرداخت بدهی])</f>
        <v>0</v>
      </c>
      <c r="M583">
        <f>SUMIF(TArticle[تاریخ],TDays[[#This Row],[تاریخ]],TArticle[افزایش بدهی])</f>
        <v>0</v>
      </c>
      <c r="N583">
        <f>-SUMIF(TArticle[تاریخ],TDays[[#This Row],[تاریخ]],TArticle[افزایش سرمایه])</f>
        <v>0</v>
      </c>
      <c r="O583">
        <f>SUMIF(TArticle[تاریخ],TDays[[#This Row],[تاریخ]],TArticle[تعداد تراکنش انجام شده])</f>
        <v>0</v>
      </c>
      <c r="P583">
        <f>INT(((TDays[[#This Row],[ماه]]-1)*31+TDays[[#This Row],[روز]]+1)/7)+1</f>
        <v>32</v>
      </c>
      <c r="Q583">
        <f>SUMIF(TArticle[تاریخ],TDays[[#This Row],[تاریخ]],TArticle[تراکنش برنامه ریزی شده])</f>
        <v>2</v>
      </c>
    </row>
    <row r="584" spans="1:17" x14ac:dyDescent="0.25">
      <c r="A584" s="3" t="s">
        <v>770</v>
      </c>
      <c r="B584" t="str">
        <f>RIGHT(TDays[[#This Row],[تاریخ]],2)</f>
        <v>02</v>
      </c>
      <c r="C584" t="str">
        <f>RIGHT(LEFT(TDays[[#This Row],[تاریخ]],7),2)</f>
        <v>08</v>
      </c>
      <c r="D584" t="str">
        <f>LEFT(TDays[[#This Row],[تاریخ]],4)</f>
        <v>1402</v>
      </c>
      <c r="E584" t="str">
        <f>LEFT(TDays[[#This Row],[تاریخ]],7)</f>
        <v>1402-08</v>
      </c>
      <c r="F584">
        <v>3</v>
      </c>
      <c r="G584" s="15" t="str">
        <f>VLOOKUP(TDays[[#This Row],[کد روز هفته]],TDaysOfTheWeek[],2,FALSE)</f>
        <v>سه شنبه</v>
      </c>
      <c r="H584" s="15">
        <f>IFERROR(IF(E583&lt;&gt;E584,1,INT(H583)+IF(TDays[[#This Row],[کد روز هفته]]=0,1,0)),1)</f>
        <v>1</v>
      </c>
      <c r="I584">
        <f>-SUMIF(TArticle[تاریخ],TDays[[#This Row],[تاریخ]],TArticle[هزینه])</f>
        <v>0</v>
      </c>
      <c r="J584">
        <f>SUMIF(TArticle[تاریخ],TDays[[#This Row],[تاریخ]],TArticle[درآمد تتا])</f>
        <v>0</v>
      </c>
      <c r="K584">
        <f>SUMIF(TArticle[تاریخ],TDays[[#This Row],[تاریخ]],TArticle[اسنپ])</f>
        <v>0</v>
      </c>
      <c r="L584">
        <f>-SUMIF(TArticle[تاریخ],TDays[[#This Row],[تاریخ]],TArticle[پرداخت بدهی])</f>
        <v>0</v>
      </c>
      <c r="M584">
        <f>SUMIF(TArticle[تاریخ],TDays[[#This Row],[تاریخ]],TArticle[افزایش بدهی])</f>
        <v>0</v>
      </c>
      <c r="N584">
        <f>-SUMIF(TArticle[تاریخ],TDays[[#This Row],[تاریخ]],TArticle[افزایش سرمایه])</f>
        <v>0</v>
      </c>
      <c r="O584">
        <f>SUMIF(TArticle[تاریخ],TDays[[#This Row],[تاریخ]],TArticle[تعداد تراکنش انجام شده])</f>
        <v>0</v>
      </c>
      <c r="P584">
        <f>INT(((TDays[[#This Row],[ماه]]-1)*31+TDays[[#This Row],[روز]]+1)/7)+1</f>
        <v>32</v>
      </c>
      <c r="Q584">
        <f>SUMIF(TArticle[تاریخ],TDays[[#This Row],[تاریخ]],TArticle[تراکنش برنامه ریزی شده])</f>
        <v>0</v>
      </c>
    </row>
    <row r="585" spans="1:17" x14ac:dyDescent="0.25">
      <c r="A585" s="3" t="s">
        <v>771</v>
      </c>
      <c r="B585" t="str">
        <f>RIGHT(TDays[[#This Row],[تاریخ]],2)</f>
        <v>03</v>
      </c>
      <c r="C585" t="str">
        <f>RIGHT(LEFT(TDays[[#This Row],[تاریخ]],7),2)</f>
        <v>08</v>
      </c>
      <c r="D585" t="str">
        <f>LEFT(TDays[[#This Row],[تاریخ]],4)</f>
        <v>1402</v>
      </c>
      <c r="E585" t="str">
        <f>LEFT(TDays[[#This Row],[تاریخ]],7)</f>
        <v>1402-08</v>
      </c>
      <c r="F585">
        <v>4</v>
      </c>
      <c r="G585" s="15" t="str">
        <f>VLOOKUP(TDays[[#This Row],[کد روز هفته]],TDaysOfTheWeek[],2,FALSE)</f>
        <v>چهارشنبه</v>
      </c>
      <c r="H585" s="15">
        <f>IFERROR(IF(E584&lt;&gt;E585,1,INT(H584)+IF(TDays[[#This Row],[کد روز هفته]]=0,1,0)),1)</f>
        <v>1</v>
      </c>
      <c r="I585">
        <f>-SUMIF(TArticle[تاریخ],TDays[[#This Row],[تاریخ]],TArticle[هزینه])</f>
        <v>0</v>
      </c>
      <c r="J585">
        <f>SUMIF(TArticle[تاریخ],TDays[[#This Row],[تاریخ]],TArticle[درآمد تتا])</f>
        <v>0</v>
      </c>
      <c r="K585">
        <f>SUMIF(TArticle[تاریخ],TDays[[#This Row],[تاریخ]],TArticle[اسنپ])</f>
        <v>0</v>
      </c>
      <c r="L585">
        <f>-SUMIF(TArticle[تاریخ],TDays[[#This Row],[تاریخ]],TArticle[پرداخت بدهی])</f>
        <v>0</v>
      </c>
      <c r="M585">
        <f>SUMIF(TArticle[تاریخ],TDays[[#This Row],[تاریخ]],TArticle[افزایش بدهی])</f>
        <v>0</v>
      </c>
      <c r="N585">
        <f>-SUMIF(TArticle[تاریخ],TDays[[#This Row],[تاریخ]],TArticle[افزایش سرمایه])</f>
        <v>0</v>
      </c>
      <c r="O585">
        <f>SUMIF(TArticle[تاریخ],TDays[[#This Row],[تاریخ]],TArticle[تعداد تراکنش انجام شده])</f>
        <v>0</v>
      </c>
      <c r="P585">
        <f>INT(((TDays[[#This Row],[ماه]]-1)*31+TDays[[#This Row],[روز]]+1)/7)+1</f>
        <v>32</v>
      </c>
      <c r="Q585">
        <f>SUMIF(TArticle[تاریخ],TDays[[#This Row],[تاریخ]],TArticle[تراکنش برنامه ریزی شده])</f>
        <v>3</v>
      </c>
    </row>
    <row r="586" spans="1:17" x14ac:dyDescent="0.25">
      <c r="A586" s="3" t="s">
        <v>772</v>
      </c>
      <c r="B586" t="str">
        <f>RIGHT(TDays[[#This Row],[تاریخ]],2)</f>
        <v>04</v>
      </c>
      <c r="C586" t="str">
        <f>RIGHT(LEFT(TDays[[#This Row],[تاریخ]],7),2)</f>
        <v>08</v>
      </c>
      <c r="D586" t="str">
        <f>LEFT(TDays[[#This Row],[تاریخ]],4)</f>
        <v>1402</v>
      </c>
      <c r="E586" t="str">
        <f>LEFT(TDays[[#This Row],[تاریخ]],7)</f>
        <v>1402-08</v>
      </c>
      <c r="F586">
        <v>5</v>
      </c>
      <c r="G586" s="15" t="str">
        <f>VLOOKUP(TDays[[#This Row],[کد روز هفته]],TDaysOfTheWeek[],2,FALSE)</f>
        <v>پنجشنبه</v>
      </c>
      <c r="H586" s="15">
        <f>IFERROR(IF(E585&lt;&gt;E586,1,INT(H585)+IF(TDays[[#This Row],[کد روز هفته]]=0,1,0)),1)</f>
        <v>1</v>
      </c>
      <c r="I586">
        <f>-SUMIF(TArticle[تاریخ],TDays[[#This Row],[تاریخ]],TArticle[هزینه])</f>
        <v>0</v>
      </c>
      <c r="J586">
        <f>SUMIF(TArticle[تاریخ],TDays[[#This Row],[تاریخ]],TArticle[درآمد تتا])</f>
        <v>0</v>
      </c>
      <c r="K586">
        <f>SUMIF(TArticle[تاریخ],TDays[[#This Row],[تاریخ]],TArticle[اسنپ])</f>
        <v>0</v>
      </c>
      <c r="L586">
        <f>-SUMIF(TArticle[تاریخ],TDays[[#This Row],[تاریخ]],TArticle[پرداخت بدهی])</f>
        <v>0</v>
      </c>
      <c r="M586">
        <f>SUMIF(TArticle[تاریخ],TDays[[#This Row],[تاریخ]],TArticle[افزایش بدهی])</f>
        <v>0</v>
      </c>
      <c r="N586">
        <f>-SUMIF(TArticle[تاریخ],TDays[[#This Row],[تاریخ]],TArticle[افزایش سرمایه])</f>
        <v>0</v>
      </c>
      <c r="O586">
        <f>SUMIF(TArticle[تاریخ],TDays[[#This Row],[تاریخ]],TArticle[تعداد تراکنش انجام شده])</f>
        <v>0</v>
      </c>
      <c r="P586">
        <f>INT(((TDays[[#This Row],[ماه]]-1)*31+TDays[[#This Row],[روز]]+1)/7)+1</f>
        <v>32</v>
      </c>
      <c r="Q586">
        <f>SUMIF(TArticle[تاریخ],TDays[[#This Row],[تاریخ]],TArticle[تراکنش برنامه ریزی شده])</f>
        <v>1</v>
      </c>
    </row>
    <row r="587" spans="1:17" x14ac:dyDescent="0.25">
      <c r="A587" s="3" t="s">
        <v>773</v>
      </c>
      <c r="B587" t="str">
        <f>RIGHT(TDays[[#This Row],[تاریخ]],2)</f>
        <v>05</v>
      </c>
      <c r="C587" t="str">
        <f>RIGHT(LEFT(TDays[[#This Row],[تاریخ]],7),2)</f>
        <v>08</v>
      </c>
      <c r="D587" t="str">
        <f>LEFT(TDays[[#This Row],[تاریخ]],4)</f>
        <v>1402</v>
      </c>
      <c r="E587" t="str">
        <f>LEFT(TDays[[#This Row],[تاریخ]],7)</f>
        <v>1402-08</v>
      </c>
      <c r="F587">
        <v>6</v>
      </c>
      <c r="G587" s="15" t="str">
        <f>VLOOKUP(TDays[[#This Row],[کد روز هفته]],TDaysOfTheWeek[],2,FALSE)</f>
        <v>جمعه</v>
      </c>
      <c r="H587" s="15">
        <f>IFERROR(IF(E586&lt;&gt;E587,1,INT(H586)+IF(TDays[[#This Row],[کد روز هفته]]=0,1,0)),1)</f>
        <v>1</v>
      </c>
      <c r="I587">
        <f>-SUMIF(TArticle[تاریخ],TDays[[#This Row],[تاریخ]],TArticle[هزینه])</f>
        <v>0</v>
      </c>
      <c r="J587">
        <f>SUMIF(TArticle[تاریخ],TDays[[#This Row],[تاریخ]],TArticle[درآمد تتا])</f>
        <v>0</v>
      </c>
      <c r="K587">
        <f>SUMIF(TArticle[تاریخ],TDays[[#This Row],[تاریخ]],TArticle[اسنپ])</f>
        <v>0</v>
      </c>
      <c r="L587">
        <f>-SUMIF(TArticle[تاریخ],TDays[[#This Row],[تاریخ]],TArticle[پرداخت بدهی])</f>
        <v>0</v>
      </c>
      <c r="M587">
        <f>SUMIF(TArticle[تاریخ],TDays[[#This Row],[تاریخ]],TArticle[افزایش بدهی])</f>
        <v>0</v>
      </c>
      <c r="N587">
        <f>-SUMIF(TArticle[تاریخ],TDays[[#This Row],[تاریخ]],TArticle[افزایش سرمایه])</f>
        <v>0</v>
      </c>
      <c r="O587">
        <f>SUMIF(TArticle[تاریخ],TDays[[#This Row],[تاریخ]],TArticle[تعداد تراکنش انجام شده])</f>
        <v>0</v>
      </c>
      <c r="P587">
        <f>INT(((TDays[[#This Row],[ماه]]-1)*31+TDays[[#This Row],[روز]]+1)/7)+1</f>
        <v>32</v>
      </c>
      <c r="Q587">
        <f>SUMIF(TArticle[تاریخ],TDays[[#This Row],[تاریخ]],TArticle[تراکنش برنامه ریزی شده])</f>
        <v>0</v>
      </c>
    </row>
    <row r="588" spans="1:17" x14ac:dyDescent="0.25">
      <c r="A588" s="3" t="s">
        <v>774</v>
      </c>
      <c r="B588" t="str">
        <f>RIGHT(TDays[[#This Row],[تاریخ]],2)</f>
        <v>06</v>
      </c>
      <c r="C588" t="str">
        <f>RIGHT(LEFT(TDays[[#This Row],[تاریخ]],7),2)</f>
        <v>08</v>
      </c>
      <c r="D588" t="str">
        <f>LEFT(TDays[[#This Row],[تاریخ]],4)</f>
        <v>1402</v>
      </c>
      <c r="E588" t="str">
        <f>LEFT(TDays[[#This Row],[تاریخ]],7)</f>
        <v>1402-08</v>
      </c>
      <c r="F588">
        <v>0</v>
      </c>
      <c r="G588" s="15" t="str">
        <f>VLOOKUP(TDays[[#This Row],[کد روز هفته]],TDaysOfTheWeek[],2,FALSE)</f>
        <v>شنبه</v>
      </c>
      <c r="H588" s="15">
        <f>IFERROR(IF(E587&lt;&gt;E588,1,INT(H587)+IF(TDays[[#This Row],[کد روز هفته]]=0,1,0)),1)</f>
        <v>2</v>
      </c>
      <c r="I588">
        <f>-SUMIF(TArticle[تاریخ],TDays[[#This Row],[تاریخ]],TArticle[هزینه])</f>
        <v>0</v>
      </c>
      <c r="J588">
        <f>SUMIF(TArticle[تاریخ],TDays[[#This Row],[تاریخ]],TArticle[درآمد تتا])</f>
        <v>0</v>
      </c>
      <c r="K588">
        <f>SUMIF(TArticle[تاریخ],TDays[[#This Row],[تاریخ]],TArticle[اسنپ])</f>
        <v>0</v>
      </c>
      <c r="L588">
        <f>-SUMIF(TArticle[تاریخ],TDays[[#This Row],[تاریخ]],TArticle[پرداخت بدهی])</f>
        <v>0</v>
      </c>
      <c r="M588">
        <f>SUMIF(TArticle[تاریخ],TDays[[#This Row],[تاریخ]],TArticle[افزایش بدهی])</f>
        <v>0</v>
      </c>
      <c r="N588">
        <f>-SUMIF(TArticle[تاریخ],TDays[[#This Row],[تاریخ]],TArticle[افزایش سرمایه])</f>
        <v>0</v>
      </c>
      <c r="O588">
        <f>SUMIF(TArticle[تاریخ],TDays[[#This Row],[تاریخ]],TArticle[تعداد تراکنش انجام شده])</f>
        <v>0</v>
      </c>
      <c r="P588">
        <f>INT(((TDays[[#This Row],[ماه]]-1)*31+TDays[[#This Row],[روز]]+1)/7)+1</f>
        <v>33</v>
      </c>
      <c r="Q588">
        <f>SUMIF(TArticle[تاریخ],TDays[[#This Row],[تاریخ]],TArticle[تراکنش برنامه ریزی شده])</f>
        <v>0</v>
      </c>
    </row>
    <row r="589" spans="1:17" x14ac:dyDescent="0.25">
      <c r="A589" s="3" t="s">
        <v>775</v>
      </c>
      <c r="B589" t="str">
        <f>RIGHT(TDays[[#This Row],[تاریخ]],2)</f>
        <v>07</v>
      </c>
      <c r="C589" t="str">
        <f>RIGHT(LEFT(TDays[[#This Row],[تاریخ]],7),2)</f>
        <v>08</v>
      </c>
      <c r="D589" t="str">
        <f>LEFT(TDays[[#This Row],[تاریخ]],4)</f>
        <v>1402</v>
      </c>
      <c r="E589" t="str">
        <f>LEFT(TDays[[#This Row],[تاریخ]],7)</f>
        <v>1402-08</v>
      </c>
      <c r="F589">
        <v>1</v>
      </c>
      <c r="G589" s="15" t="str">
        <f>VLOOKUP(TDays[[#This Row],[کد روز هفته]],TDaysOfTheWeek[],2,FALSE)</f>
        <v>یکشنبه</v>
      </c>
      <c r="H589" s="15">
        <f>IFERROR(IF(E588&lt;&gt;E589,1,INT(H588)+IF(TDays[[#This Row],[کد روز هفته]]=0,1,0)),1)</f>
        <v>2</v>
      </c>
      <c r="I589">
        <f>-SUMIF(TArticle[تاریخ],TDays[[#This Row],[تاریخ]],TArticle[هزینه])</f>
        <v>0</v>
      </c>
      <c r="J589">
        <f>SUMIF(TArticle[تاریخ],TDays[[#This Row],[تاریخ]],TArticle[درآمد تتا])</f>
        <v>0</v>
      </c>
      <c r="K589">
        <f>SUMIF(TArticle[تاریخ],TDays[[#This Row],[تاریخ]],TArticle[اسنپ])</f>
        <v>0</v>
      </c>
      <c r="L589">
        <f>-SUMIF(TArticle[تاریخ],TDays[[#This Row],[تاریخ]],TArticle[پرداخت بدهی])</f>
        <v>0</v>
      </c>
      <c r="M589">
        <f>SUMIF(TArticle[تاریخ],TDays[[#This Row],[تاریخ]],TArticle[افزایش بدهی])</f>
        <v>0</v>
      </c>
      <c r="N589">
        <f>-SUMIF(TArticle[تاریخ],TDays[[#This Row],[تاریخ]],TArticle[افزایش سرمایه])</f>
        <v>0</v>
      </c>
      <c r="O589">
        <f>SUMIF(TArticle[تاریخ],TDays[[#This Row],[تاریخ]],TArticle[تعداد تراکنش انجام شده])</f>
        <v>0</v>
      </c>
      <c r="P589">
        <f>INT(((TDays[[#This Row],[ماه]]-1)*31+TDays[[#This Row],[روز]]+1)/7)+1</f>
        <v>33</v>
      </c>
      <c r="Q589">
        <f>SUMIF(TArticle[تاریخ],TDays[[#This Row],[تاریخ]],TArticle[تراکنش برنامه ریزی شده])</f>
        <v>0</v>
      </c>
    </row>
    <row r="590" spans="1:17" x14ac:dyDescent="0.25">
      <c r="A590" s="3" t="s">
        <v>776</v>
      </c>
      <c r="B590" t="str">
        <f>RIGHT(TDays[[#This Row],[تاریخ]],2)</f>
        <v>08</v>
      </c>
      <c r="C590" t="str">
        <f>RIGHT(LEFT(TDays[[#This Row],[تاریخ]],7),2)</f>
        <v>08</v>
      </c>
      <c r="D590" t="str">
        <f>LEFT(TDays[[#This Row],[تاریخ]],4)</f>
        <v>1402</v>
      </c>
      <c r="E590" t="str">
        <f>LEFT(TDays[[#This Row],[تاریخ]],7)</f>
        <v>1402-08</v>
      </c>
      <c r="F590">
        <v>2</v>
      </c>
      <c r="G590" s="15" t="str">
        <f>VLOOKUP(TDays[[#This Row],[کد روز هفته]],TDaysOfTheWeek[],2,FALSE)</f>
        <v>دوشنبه</v>
      </c>
      <c r="H590" s="15">
        <f>IFERROR(IF(E589&lt;&gt;E590,1,INT(H589)+IF(TDays[[#This Row],[کد روز هفته]]=0,1,0)),1)</f>
        <v>2</v>
      </c>
      <c r="I590">
        <f>-SUMIF(TArticle[تاریخ],TDays[[#This Row],[تاریخ]],TArticle[هزینه])</f>
        <v>0</v>
      </c>
      <c r="J590">
        <f>SUMIF(TArticle[تاریخ],TDays[[#This Row],[تاریخ]],TArticle[درآمد تتا])</f>
        <v>0</v>
      </c>
      <c r="K590">
        <f>SUMIF(TArticle[تاریخ],TDays[[#This Row],[تاریخ]],TArticle[اسنپ])</f>
        <v>0</v>
      </c>
      <c r="L590">
        <f>-SUMIF(TArticle[تاریخ],TDays[[#This Row],[تاریخ]],TArticle[پرداخت بدهی])</f>
        <v>0</v>
      </c>
      <c r="M590">
        <f>SUMIF(TArticle[تاریخ],TDays[[#This Row],[تاریخ]],TArticle[افزایش بدهی])</f>
        <v>0</v>
      </c>
      <c r="N590">
        <f>-SUMIF(TArticle[تاریخ],TDays[[#This Row],[تاریخ]],TArticle[افزایش سرمایه])</f>
        <v>0</v>
      </c>
      <c r="O590">
        <f>SUMIF(TArticle[تاریخ],TDays[[#This Row],[تاریخ]],TArticle[تعداد تراکنش انجام شده])</f>
        <v>0</v>
      </c>
      <c r="P590">
        <f>INT(((TDays[[#This Row],[ماه]]-1)*31+TDays[[#This Row],[روز]]+1)/7)+1</f>
        <v>33</v>
      </c>
      <c r="Q590">
        <f>SUMIF(TArticle[تاریخ],TDays[[#This Row],[تاریخ]],TArticle[تراکنش برنامه ریزی شده])</f>
        <v>0</v>
      </c>
    </row>
    <row r="591" spans="1:17" x14ac:dyDescent="0.25">
      <c r="A591" s="3" t="s">
        <v>777</v>
      </c>
      <c r="B591" t="str">
        <f>RIGHT(TDays[[#This Row],[تاریخ]],2)</f>
        <v>09</v>
      </c>
      <c r="C591" t="str">
        <f>RIGHT(LEFT(TDays[[#This Row],[تاریخ]],7),2)</f>
        <v>08</v>
      </c>
      <c r="D591" t="str">
        <f>LEFT(TDays[[#This Row],[تاریخ]],4)</f>
        <v>1402</v>
      </c>
      <c r="E591" t="str">
        <f>LEFT(TDays[[#This Row],[تاریخ]],7)</f>
        <v>1402-08</v>
      </c>
      <c r="F591">
        <v>3</v>
      </c>
      <c r="G591" s="15" t="str">
        <f>VLOOKUP(TDays[[#This Row],[کد روز هفته]],TDaysOfTheWeek[],2,FALSE)</f>
        <v>سه شنبه</v>
      </c>
      <c r="H591" s="15">
        <f>IFERROR(IF(E590&lt;&gt;E591,1,INT(H590)+IF(TDays[[#This Row],[کد روز هفته]]=0,1,0)),1)</f>
        <v>2</v>
      </c>
      <c r="I591">
        <f>-SUMIF(TArticle[تاریخ],TDays[[#This Row],[تاریخ]],TArticle[هزینه])</f>
        <v>0</v>
      </c>
      <c r="J591">
        <f>SUMIF(TArticle[تاریخ],TDays[[#This Row],[تاریخ]],TArticle[درآمد تتا])</f>
        <v>0</v>
      </c>
      <c r="K591">
        <f>SUMIF(TArticle[تاریخ],TDays[[#This Row],[تاریخ]],TArticle[اسنپ])</f>
        <v>0</v>
      </c>
      <c r="L591">
        <f>-SUMIF(TArticle[تاریخ],TDays[[#This Row],[تاریخ]],TArticle[پرداخت بدهی])</f>
        <v>0</v>
      </c>
      <c r="M591">
        <f>SUMIF(TArticle[تاریخ],TDays[[#This Row],[تاریخ]],TArticle[افزایش بدهی])</f>
        <v>0</v>
      </c>
      <c r="N591">
        <f>-SUMIF(TArticle[تاریخ],TDays[[#This Row],[تاریخ]],TArticle[افزایش سرمایه])</f>
        <v>0</v>
      </c>
      <c r="O591">
        <f>SUMIF(TArticle[تاریخ],TDays[[#This Row],[تاریخ]],TArticle[تعداد تراکنش انجام شده])</f>
        <v>0</v>
      </c>
      <c r="P591">
        <f>INT(((TDays[[#This Row],[ماه]]-1)*31+TDays[[#This Row],[روز]]+1)/7)+1</f>
        <v>33</v>
      </c>
      <c r="Q591">
        <f>SUMIF(TArticle[تاریخ],TDays[[#This Row],[تاریخ]],TArticle[تراکنش برنامه ریزی شده])</f>
        <v>1</v>
      </c>
    </row>
    <row r="592" spans="1:17" x14ac:dyDescent="0.25">
      <c r="A592" s="3" t="s">
        <v>778</v>
      </c>
      <c r="B592" t="str">
        <f>RIGHT(TDays[[#This Row],[تاریخ]],2)</f>
        <v>10</v>
      </c>
      <c r="C592" t="str">
        <f>RIGHT(LEFT(TDays[[#This Row],[تاریخ]],7),2)</f>
        <v>08</v>
      </c>
      <c r="D592" t="str">
        <f>LEFT(TDays[[#This Row],[تاریخ]],4)</f>
        <v>1402</v>
      </c>
      <c r="E592" t="str">
        <f>LEFT(TDays[[#This Row],[تاریخ]],7)</f>
        <v>1402-08</v>
      </c>
      <c r="F592">
        <v>4</v>
      </c>
      <c r="G592" s="15" t="str">
        <f>VLOOKUP(TDays[[#This Row],[کد روز هفته]],TDaysOfTheWeek[],2,FALSE)</f>
        <v>چهارشنبه</v>
      </c>
      <c r="H592" s="15">
        <f>IFERROR(IF(E591&lt;&gt;E592,1,INT(H591)+IF(TDays[[#This Row],[کد روز هفته]]=0,1,0)),1)</f>
        <v>2</v>
      </c>
      <c r="I592">
        <f>-SUMIF(TArticle[تاریخ],TDays[[#This Row],[تاریخ]],TArticle[هزینه])</f>
        <v>0</v>
      </c>
      <c r="J592">
        <f>SUMIF(TArticle[تاریخ],TDays[[#This Row],[تاریخ]],TArticle[درآمد تتا])</f>
        <v>0</v>
      </c>
      <c r="K592">
        <f>SUMIF(TArticle[تاریخ],TDays[[#This Row],[تاریخ]],TArticle[اسنپ])</f>
        <v>0</v>
      </c>
      <c r="L592">
        <f>-SUMIF(TArticle[تاریخ],TDays[[#This Row],[تاریخ]],TArticle[پرداخت بدهی])</f>
        <v>0</v>
      </c>
      <c r="M592">
        <f>SUMIF(TArticle[تاریخ],TDays[[#This Row],[تاریخ]],TArticle[افزایش بدهی])</f>
        <v>0</v>
      </c>
      <c r="N592">
        <f>-SUMIF(TArticle[تاریخ],TDays[[#This Row],[تاریخ]],TArticle[افزایش سرمایه])</f>
        <v>0</v>
      </c>
      <c r="O592">
        <f>SUMIF(TArticle[تاریخ],TDays[[#This Row],[تاریخ]],TArticle[تعداد تراکنش انجام شده])</f>
        <v>0</v>
      </c>
      <c r="P592">
        <f>INT(((TDays[[#This Row],[ماه]]-1)*31+TDays[[#This Row],[روز]]+1)/7)+1</f>
        <v>33</v>
      </c>
      <c r="Q592">
        <f>SUMIF(TArticle[تاریخ],TDays[[#This Row],[تاریخ]],TArticle[تراکنش برنامه ریزی شده])</f>
        <v>0</v>
      </c>
    </row>
    <row r="593" spans="1:17" x14ac:dyDescent="0.25">
      <c r="A593" s="3" t="s">
        <v>779</v>
      </c>
      <c r="B593" t="str">
        <f>RIGHT(TDays[[#This Row],[تاریخ]],2)</f>
        <v>11</v>
      </c>
      <c r="C593" t="str">
        <f>RIGHT(LEFT(TDays[[#This Row],[تاریخ]],7),2)</f>
        <v>08</v>
      </c>
      <c r="D593" t="str">
        <f>LEFT(TDays[[#This Row],[تاریخ]],4)</f>
        <v>1402</v>
      </c>
      <c r="E593" t="str">
        <f>LEFT(TDays[[#This Row],[تاریخ]],7)</f>
        <v>1402-08</v>
      </c>
      <c r="F593">
        <v>5</v>
      </c>
      <c r="G593" s="15" t="str">
        <f>VLOOKUP(TDays[[#This Row],[کد روز هفته]],TDaysOfTheWeek[],2,FALSE)</f>
        <v>پنجشنبه</v>
      </c>
      <c r="H593" s="15">
        <f>IFERROR(IF(E592&lt;&gt;E593,1,INT(H592)+IF(TDays[[#This Row],[کد روز هفته]]=0,1,0)),1)</f>
        <v>2</v>
      </c>
      <c r="I593">
        <f>-SUMIF(TArticle[تاریخ],TDays[[#This Row],[تاریخ]],TArticle[هزینه])</f>
        <v>0</v>
      </c>
      <c r="J593">
        <f>SUMIF(TArticle[تاریخ],TDays[[#This Row],[تاریخ]],TArticle[درآمد تتا])</f>
        <v>0</v>
      </c>
      <c r="K593">
        <f>SUMIF(TArticle[تاریخ],TDays[[#This Row],[تاریخ]],TArticle[اسنپ])</f>
        <v>0</v>
      </c>
      <c r="L593">
        <f>-SUMIF(TArticle[تاریخ],TDays[[#This Row],[تاریخ]],TArticle[پرداخت بدهی])</f>
        <v>0</v>
      </c>
      <c r="M593">
        <f>SUMIF(TArticle[تاریخ],TDays[[#This Row],[تاریخ]],TArticle[افزایش بدهی])</f>
        <v>0</v>
      </c>
      <c r="N593">
        <f>-SUMIF(TArticle[تاریخ],TDays[[#This Row],[تاریخ]],TArticle[افزایش سرمایه])</f>
        <v>0</v>
      </c>
      <c r="O593">
        <f>SUMIF(TArticle[تاریخ],TDays[[#This Row],[تاریخ]],TArticle[تعداد تراکنش انجام شده])</f>
        <v>0</v>
      </c>
      <c r="P593">
        <f>INT(((TDays[[#This Row],[ماه]]-1)*31+TDays[[#This Row],[روز]]+1)/7)+1</f>
        <v>33</v>
      </c>
      <c r="Q593">
        <f>SUMIF(TArticle[تاریخ],TDays[[#This Row],[تاریخ]],TArticle[تراکنش برنامه ریزی شده])</f>
        <v>0</v>
      </c>
    </row>
    <row r="594" spans="1:17" x14ac:dyDescent="0.25">
      <c r="A594" s="3" t="s">
        <v>780</v>
      </c>
      <c r="B594" t="str">
        <f>RIGHT(TDays[[#This Row],[تاریخ]],2)</f>
        <v>12</v>
      </c>
      <c r="C594" t="str">
        <f>RIGHT(LEFT(TDays[[#This Row],[تاریخ]],7),2)</f>
        <v>08</v>
      </c>
      <c r="D594" t="str">
        <f>LEFT(TDays[[#This Row],[تاریخ]],4)</f>
        <v>1402</v>
      </c>
      <c r="E594" t="str">
        <f>LEFT(TDays[[#This Row],[تاریخ]],7)</f>
        <v>1402-08</v>
      </c>
      <c r="F594">
        <v>6</v>
      </c>
      <c r="G594" s="15" t="str">
        <f>VLOOKUP(TDays[[#This Row],[کد روز هفته]],TDaysOfTheWeek[],2,FALSE)</f>
        <v>جمعه</v>
      </c>
      <c r="H594" s="15">
        <f>IFERROR(IF(E593&lt;&gt;E594,1,INT(H593)+IF(TDays[[#This Row],[کد روز هفته]]=0,1,0)),1)</f>
        <v>2</v>
      </c>
      <c r="I594">
        <f>-SUMIF(TArticle[تاریخ],TDays[[#This Row],[تاریخ]],TArticle[هزینه])</f>
        <v>0</v>
      </c>
      <c r="J594">
        <f>SUMIF(TArticle[تاریخ],TDays[[#This Row],[تاریخ]],TArticle[درآمد تتا])</f>
        <v>0</v>
      </c>
      <c r="K594">
        <f>SUMIF(TArticle[تاریخ],TDays[[#This Row],[تاریخ]],TArticle[اسنپ])</f>
        <v>0</v>
      </c>
      <c r="L594">
        <f>-SUMIF(TArticle[تاریخ],TDays[[#This Row],[تاریخ]],TArticle[پرداخت بدهی])</f>
        <v>0</v>
      </c>
      <c r="M594">
        <f>SUMIF(TArticle[تاریخ],TDays[[#This Row],[تاریخ]],TArticle[افزایش بدهی])</f>
        <v>0</v>
      </c>
      <c r="N594">
        <f>-SUMIF(TArticle[تاریخ],TDays[[#This Row],[تاریخ]],TArticle[افزایش سرمایه])</f>
        <v>0</v>
      </c>
      <c r="O594">
        <f>SUMIF(TArticle[تاریخ],TDays[[#This Row],[تاریخ]],TArticle[تعداد تراکنش انجام شده])</f>
        <v>0</v>
      </c>
      <c r="P594">
        <f>INT(((TDays[[#This Row],[ماه]]-1)*31+TDays[[#This Row],[روز]]+1)/7)+1</f>
        <v>33</v>
      </c>
      <c r="Q594">
        <f>SUMIF(TArticle[تاریخ],TDays[[#This Row],[تاریخ]],TArticle[تراکنش برنامه ریزی شده])</f>
        <v>0</v>
      </c>
    </row>
    <row r="595" spans="1:17" x14ac:dyDescent="0.25">
      <c r="A595" s="3" t="s">
        <v>781</v>
      </c>
      <c r="B595" t="str">
        <f>RIGHT(TDays[[#This Row],[تاریخ]],2)</f>
        <v>13</v>
      </c>
      <c r="C595" t="str">
        <f>RIGHT(LEFT(TDays[[#This Row],[تاریخ]],7),2)</f>
        <v>08</v>
      </c>
      <c r="D595" t="str">
        <f>LEFT(TDays[[#This Row],[تاریخ]],4)</f>
        <v>1402</v>
      </c>
      <c r="E595" t="str">
        <f>LEFT(TDays[[#This Row],[تاریخ]],7)</f>
        <v>1402-08</v>
      </c>
      <c r="F595">
        <v>0</v>
      </c>
      <c r="G595" s="15" t="str">
        <f>VLOOKUP(TDays[[#This Row],[کد روز هفته]],TDaysOfTheWeek[],2,FALSE)</f>
        <v>شنبه</v>
      </c>
      <c r="H595" s="15">
        <f>IFERROR(IF(E594&lt;&gt;E595,1,INT(H594)+IF(TDays[[#This Row],[کد روز هفته]]=0,1,0)),1)</f>
        <v>3</v>
      </c>
      <c r="I595">
        <f>-SUMIF(TArticle[تاریخ],TDays[[#This Row],[تاریخ]],TArticle[هزینه])</f>
        <v>0</v>
      </c>
      <c r="J595">
        <f>SUMIF(TArticle[تاریخ],TDays[[#This Row],[تاریخ]],TArticle[درآمد تتا])</f>
        <v>0</v>
      </c>
      <c r="K595">
        <f>SUMIF(TArticle[تاریخ],TDays[[#This Row],[تاریخ]],TArticle[اسنپ])</f>
        <v>0</v>
      </c>
      <c r="L595">
        <f>-SUMIF(TArticle[تاریخ],TDays[[#This Row],[تاریخ]],TArticle[پرداخت بدهی])</f>
        <v>0</v>
      </c>
      <c r="M595">
        <f>SUMIF(TArticle[تاریخ],TDays[[#This Row],[تاریخ]],TArticle[افزایش بدهی])</f>
        <v>0</v>
      </c>
      <c r="N595">
        <f>-SUMIF(TArticle[تاریخ],TDays[[#This Row],[تاریخ]],TArticle[افزایش سرمایه])</f>
        <v>0</v>
      </c>
      <c r="O595">
        <f>SUMIF(TArticle[تاریخ],TDays[[#This Row],[تاریخ]],TArticle[تعداد تراکنش انجام شده])</f>
        <v>0</v>
      </c>
      <c r="P595">
        <f>INT(((TDays[[#This Row],[ماه]]-1)*31+TDays[[#This Row],[روز]]+1)/7)+1</f>
        <v>34</v>
      </c>
      <c r="Q595">
        <f>SUMIF(TArticle[تاریخ],TDays[[#This Row],[تاریخ]],TArticle[تراکنش برنامه ریزی شده])</f>
        <v>0</v>
      </c>
    </row>
    <row r="596" spans="1:17" x14ac:dyDescent="0.25">
      <c r="A596" s="3" t="s">
        <v>782</v>
      </c>
      <c r="B596" t="str">
        <f>RIGHT(TDays[[#This Row],[تاریخ]],2)</f>
        <v>14</v>
      </c>
      <c r="C596" t="str">
        <f>RIGHT(LEFT(TDays[[#This Row],[تاریخ]],7),2)</f>
        <v>08</v>
      </c>
      <c r="D596" t="str">
        <f>LEFT(TDays[[#This Row],[تاریخ]],4)</f>
        <v>1402</v>
      </c>
      <c r="E596" t="str">
        <f>LEFT(TDays[[#This Row],[تاریخ]],7)</f>
        <v>1402-08</v>
      </c>
      <c r="F596">
        <v>1</v>
      </c>
      <c r="G596" s="15" t="str">
        <f>VLOOKUP(TDays[[#This Row],[کد روز هفته]],TDaysOfTheWeek[],2,FALSE)</f>
        <v>یکشنبه</v>
      </c>
      <c r="H596" s="15">
        <f>IFERROR(IF(E595&lt;&gt;E596,1,INT(H595)+IF(TDays[[#This Row],[کد روز هفته]]=0,1,0)),1)</f>
        <v>3</v>
      </c>
      <c r="I596">
        <f>-SUMIF(TArticle[تاریخ],TDays[[#This Row],[تاریخ]],TArticle[هزینه])</f>
        <v>0</v>
      </c>
      <c r="J596">
        <f>SUMIF(TArticle[تاریخ],TDays[[#This Row],[تاریخ]],TArticle[درآمد تتا])</f>
        <v>0</v>
      </c>
      <c r="K596">
        <f>SUMIF(TArticle[تاریخ],TDays[[#This Row],[تاریخ]],TArticle[اسنپ])</f>
        <v>0</v>
      </c>
      <c r="L596">
        <f>-SUMIF(TArticle[تاریخ],TDays[[#This Row],[تاریخ]],TArticle[پرداخت بدهی])</f>
        <v>0</v>
      </c>
      <c r="M596">
        <f>SUMIF(TArticle[تاریخ],TDays[[#This Row],[تاریخ]],TArticle[افزایش بدهی])</f>
        <v>0</v>
      </c>
      <c r="N596">
        <f>-SUMIF(TArticle[تاریخ],TDays[[#This Row],[تاریخ]],TArticle[افزایش سرمایه])</f>
        <v>0</v>
      </c>
      <c r="O596">
        <f>SUMIF(TArticle[تاریخ],TDays[[#This Row],[تاریخ]],TArticle[تعداد تراکنش انجام شده])</f>
        <v>0</v>
      </c>
      <c r="P596">
        <f>INT(((TDays[[#This Row],[ماه]]-1)*31+TDays[[#This Row],[روز]]+1)/7)+1</f>
        <v>34</v>
      </c>
      <c r="Q596">
        <f>SUMIF(TArticle[تاریخ],TDays[[#This Row],[تاریخ]],TArticle[تراکنش برنامه ریزی شده])</f>
        <v>0</v>
      </c>
    </row>
    <row r="597" spans="1:17" x14ac:dyDescent="0.25">
      <c r="A597" s="3" t="s">
        <v>783</v>
      </c>
      <c r="B597" t="str">
        <f>RIGHT(TDays[[#This Row],[تاریخ]],2)</f>
        <v>15</v>
      </c>
      <c r="C597" t="str">
        <f>RIGHT(LEFT(TDays[[#This Row],[تاریخ]],7),2)</f>
        <v>08</v>
      </c>
      <c r="D597" t="str">
        <f>LEFT(TDays[[#This Row],[تاریخ]],4)</f>
        <v>1402</v>
      </c>
      <c r="E597" t="str">
        <f>LEFT(TDays[[#This Row],[تاریخ]],7)</f>
        <v>1402-08</v>
      </c>
      <c r="F597">
        <v>2</v>
      </c>
      <c r="G597" s="15" t="str">
        <f>VLOOKUP(TDays[[#This Row],[کد روز هفته]],TDaysOfTheWeek[],2,FALSE)</f>
        <v>دوشنبه</v>
      </c>
      <c r="H597" s="15">
        <f>IFERROR(IF(E596&lt;&gt;E597,1,INT(H596)+IF(TDays[[#This Row],[کد روز هفته]]=0,1,0)),1)</f>
        <v>3</v>
      </c>
      <c r="I597">
        <f>-SUMIF(TArticle[تاریخ],TDays[[#This Row],[تاریخ]],TArticle[هزینه])</f>
        <v>0</v>
      </c>
      <c r="J597">
        <f>SUMIF(TArticle[تاریخ],TDays[[#This Row],[تاریخ]],TArticle[درآمد تتا])</f>
        <v>0</v>
      </c>
      <c r="K597">
        <f>SUMIF(TArticle[تاریخ],TDays[[#This Row],[تاریخ]],TArticle[اسنپ])</f>
        <v>0</v>
      </c>
      <c r="L597">
        <f>-SUMIF(TArticle[تاریخ],TDays[[#This Row],[تاریخ]],TArticle[پرداخت بدهی])</f>
        <v>0</v>
      </c>
      <c r="M597">
        <f>SUMIF(TArticle[تاریخ],TDays[[#This Row],[تاریخ]],TArticle[افزایش بدهی])</f>
        <v>0</v>
      </c>
      <c r="N597">
        <f>-SUMIF(TArticle[تاریخ],TDays[[#This Row],[تاریخ]],TArticle[افزایش سرمایه])</f>
        <v>0</v>
      </c>
      <c r="O597">
        <f>SUMIF(TArticle[تاریخ],TDays[[#This Row],[تاریخ]],TArticle[تعداد تراکنش انجام شده])</f>
        <v>0</v>
      </c>
      <c r="P597">
        <f>INT(((TDays[[#This Row],[ماه]]-1)*31+TDays[[#This Row],[روز]]+1)/7)+1</f>
        <v>34</v>
      </c>
      <c r="Q597">
        <f>SUMIF(TArticle[تاریخ],TDays[[#This Row],[تاریخ]],TArticle[تراکنش برنامه ریزی شده])</f>
        <v>0</v>
      </c>
    </row>
    <row r="598" spans="1:17" x14ac:dyDescent="0.25">
      <c r="A598" s="3" t="s">
        <v>784</v>
      </c>
      <c r="B598" t="str">
        <f>RIGHT(TDays[[#This Row],[تاریخ]],2)</f>
        <v>16</v>
      </c>
      <c r="C598" t="str">
        <f>RIGHT(LEFT(TDays[[#This Row],[تاریخ]],7),2)</f>
        <v>08</v>
      </c>
      <c r="D598" t="str">
        <f>LEFT(TDays[[#This Row],[تاریخ]],4)</f>
        <v>1402</v>
      </c>
      <c r="E598" t="str">
        <f>LEFT(TDays[[#This Row],[تاریخ]],7)</f>
        <v>1402-08</v>
      </c>
      <c r="F598">
        <v>3</v>
      </c>
      <c r="G598" s="15" t="str">
        <f>VLOOKUP(TDays[[#This Row],[کد روز هفته]],TDaysOfTheWeek[],2,FALSE)</f>
        <v>سه شنبه</v>
      </c>
      <c r="H598" s="15">
        <f>IFERROR(IF(E597&lt;&gt;E598,1,INT(H597)+IF(TDays[[#This Row],[کد روز هفته]]=0,1,0)),1)</f>
        <v>3</v>
      </c>
      <c r="I598">
        <f>-SUMIF(TArticle[تاریخ],TDays[[#This Row],[تاریخ]],TArticle[هزینه])</f>
        <v>0</v>
      </c>
      <c r="J598">
        <f>SUMIF(TArticle[تاریخ],TDays[[#This Row],[تاریخ]],TArticle[درآمد تتا])</f>
        <v>0</v>
      </c>
      <c r="K598">
        <f>SUMIF(TArticle[تاریخ],TDays[[#This Row],[تاریخ]],TArticle[اسنپ])</f>
        <v>0</v>
      </c>
      <c r="L598">
        <f>-SUMIF(TArticle[تاریخ],TDays[[#This Row],[تاریخ]],TArticle[پرداخت بدهی])</f>
        <v>0</v>
      </c>
      <c r="M598">
        <f>SUMIF(TArticle[تاریخ],TDays[[#This Row],[تاریخ]],TArticle[افزایش بدهی])</f>
        <v>0</v>
      </c>
      <c r="N598">
        <f>-SUMIF(TArticle[تاریخ],TDays[[#This Row],[تاریخ]],TArticle[افزایش سرمایه])</f>
        <v>0</v>
      </c>
      <c r="O598">
        <f>SUMIF(TArticle[تاریخ],TDays[[#This Row],[تاریخ]],TArticle[تعداد تراکنش انجام شده])</f>
        <v>0</v>
      </c>
      <c r="P598">
        <f>INT(((TDays[[#This Row],[ماه]]-1)*31+TDays[[#This Row],[روز]]+1)/7)+1</f>
        <v>34</v>
      </c>
      <c r="Q598">
        <f>SUMIF(TArticle[تاریخ],TDays[[#This Row],[تاریخ]],TArticle[تراکنش برنامه ریزی شده])</f>
        <v>0</v>
      </c>
    </row>
    <row r="599" spans="1:17" x14ac:dyDescent="0.25">
      <c r="A599" s="3" t="s">
        <v>785</v>
      </c>
      <c r="B599" t="str">
        <f>RIGHT(TDays[[#This Row],[تاریخ]],2)</f>
        <v>17</v>
      </c>
      <c r="C599" t="str">
        <f>RIGHT(LEFT(TDays[[#This Row],[تاریخ]],7),2)</f>
        <v>08</v>
      </c>
      <c r="D599" t="str">
        <f>LEFT(TDays[[#This Row],[تاریخ]],4)</f>
        <v>1402</v>
      </c>
      <c r="E599" t="str">
        <f>LEFT(TDays[[#This Row],[تاریخ]],7)</f>
        <v>1402-08</v>
      </c>
      <c r="F599">
        <v>4</v>
      </c>
      <c r="G599" s="15" t="str">
        <f>VLOOKUP(TDays[[#This Row],[کد روز هفته]],TDaysOfTheWeek[],2,FALSE)</f>
        <v>چهارشنبه</v>
      </c>
      <c r="H599" s="15">
        <f>IFERROR(IF(E598&lt;&gt;E599,1,INT(H598)+IF(TDays[[#This Row],[کد روز هفته]]=0,1,0)),1)</f>
        <v>3</v>
      </c>
      <c r="I599">
        <f>-SUMIF(TArticle[تاریخ],TDays[[#This Row],[تاریخ]],TArticle[هزینه])</f>
        <v>0</v>
      </c>
      <c r="J599">
        <f>SUMIF(TArticle[تاریخ],TDays[[#This Row],[تاریخ]],TArticle[درآمد تتا])</f>
        <v>0</v>
      </c>
      <c r="K599">
        <f>SUMIF(TArticle[تاریخ],TDays[[#This Row],[تاریخ]],TArticle[اسنپ])</f>
        <v>0</v>
      </c>
      <c r="L599">
        <f>-SUMIF(TArticle[تاریخ],TDays[[#This Row],[تاریخ]],TArticle[پرداخت بدهی])</f>
        <v>0</v>
      </c>
      <c r="M599">
        <f>SUMIF(TArticle[تاریخ],TDays[[#This Row],[تاریخ]],TArticle[افزایش بدهی])</f>
        <v>0</v>
      </c>
      <c r="N599">
        <f>-SUMIF(TArticle[تاریخ],TDays[[#This Row],[تاریخ]],TArticle[افزایش سرمایه])</f>
        <v>0</v>
      </c>
      <c r="O599">
        <f>SUMIF(TArticle[تاریخ],TDays[[#This Row],[تاریخ]],TArticle[تعداد تراکنش انجام شده])</f>
        <v>0</v>
      </c>
      <c r="P599">
        <f>INT(((TDays[[#This Row],[ماه]]-1)*31+TDays[[#This Row],[روز]]+1)/7)+1</f>
        <v>34</v>
      </c>
      <c r="Q599">
        <f>SUMIF(TArticle[تاریخ],TDays[[#This Row],[تاریخ]],TArticle[تراکنش برنامه ریزی شده])</f>
        <v>1</v>
      </c>
    </row>
    <row r="600" spans="1:17" x14ac:dyDescent="0.25">
      <c r="A600" s="3" t="s">
        <v>786</v>
      </c>
      <c r="B600" t="str">
        <f>RIGHT(TDays[[#This Row],[تاریخ]],2)</f>
        <v>18</v>
      </c>
      <c r="C600" t="str">
        <f>RIGHT(LEFT(TDays[[#This Row],[تاریخ]],7),2)</f>
        <v>08</v>
      </c>
      <c r="D600" t="str">
        <f>LEFT(TDays[[#This Row],[تاریخ]],4)</f>
        <v>1402</v>
      </c>
      <c r="E600" t="str">
        <f>LEFT(TDays[[#This Row],[تاریخ]],7)</f>
        <v>1402-08</v>
      </c>
      <c r="F600">
        <v>5</v>
      </c>
      <c r="G600" s="15" t="str">
        <f>VLOOKUP(TDays[[#This Row],[کد روز هفته]],TDaysOfTheWeek[],2,FALSE)</f>
        <v>پنجشنبه</v>
      </c>
      <c r="H600" s="15">
        <f>IFERROR(IF(E599&lt;&gt;E600,1,INT(H599)+IF(TDays[[#This Row],[کد روز هفته]]=0,1,0)),1)</f>
        <v>3</v>
      </c>
      <c r="I600">
        <f>-SUMIF(TArticle[تاریخ],TDays[[#This Row],[تاریخ]],TArticle[هزینه])</f>
        <v>0</v>
      </c>
      <c r="J600">
        <f>SUMIF(TArticle[تاریخ],TDays[[#This Row],[تاریخ]],TArticle[درآمد تتا])</f>
        <v>0</v>
      </c>
      <c r="K600">
        <f>SUMIF(TArticle[تاریخ],TDays[[#This Row],[تاریخ]],TArticle[اسنپ])</f>
        <v>0</v>
      </c>
      <c r="L600">
        <f>-SUMIF(TArticle[تاریخ],TDays[[#This Row],[تاریخ]],TArticle[پرداخت بدهی])</f>
        <v>0</v>
      </c>
      <c r="M600">
        <f>SUMIF(TArticle[تاریخ],TDays[[#This Row],[تاریخ]],TArticle[افزایش بدهی])</f>
        <v>0</v>
      </c>
      <c r="N600">
        <f>-SUMIF(TArticle[تاریخ],TDays[[#This Row],[تاریخ]],TArticle[افزایش سرمایه])</f>
        <v>0</v>
      </c>
      <c r="O600">
        <f>SUMIF(TArticle[تاریخ],TDays[[#This Row],[تاریخ]],TArticle[تعداد تراکنش انجام شده])</f>
        <v>0</v>
      </c>
      <c r="P600">
        <f>INT(((TDays[[#This Row],[ماه]]-1)*31+TDays[[#This Row],[روز]]+1)/7)+1</f>
        <v>34</v>
      </c>
      <c r="Q600">
        <f>SUMIF(TArticle[تاریخ],TDays[[#This Row],[تاریخ]],TArticle[تراکنش برنامه ریزی شده])</f>
        <v>0</v>
      </c>
    </row>
    <row r="601" spans="1:17" x14ac:dyDescent="0.25">
      <c r="A601" s="3" t="s">
        <v>787</v>
      </c>
      <c r="B601" t="str">
        <f>RIGHT(TDays[[#This Row],[تاریخ]],2)</f>
        <v>19</v>
      </c>
      <c r="C601" t="str">
        <f>RIGHT(LEFT(TDays[[#This Row],[تاریخ]],7),2)</f>
        <v>08</v>
      </c>
      <c r="D601" t="str">
        <f>LEFT(TDays[[#This Row],[تاریخ]],4)</f>
        <v>1402</v>
      </c>
      <c r="E601" t="str">
        <f>LEFT(TDays[[#This Row],[تاریخ]],7)</f>
        <v>1402-08</v>
      </c>
      <c r="F601">
        <v>6</v>
      </c>
      <c r="G601" s="15" t="str">
        <f>VLOOKUP(TDays[[#This Row],[کد روز هفته]],TDaysOfTheWeek[],2,FALSE)</f>
        <v>جمعه</v>
      </c>
      <c r="H601" s="15">
        <f>IFERROR(IF(E600&lt;&gt;E601,1,INT(H600)+IF(TDays[[#This Row],[کد روز هفته]]=0,1,0)),1)</f>
        <v>3</v>
      </c>
      <c r="I601">
        <f>-SUMIF(TArticle[تاریخ],TDays[[#This Row],[تاریخ]],TArticle[هزینه])</f>
        <v>0</v>
      </c>
      <c r="J601">
        <f>SUMIF(TArticle[تاریخ],TDays[[#This Row],[تاریخ]],TArticle[درآمد تتا])</f>
        <v>0</v>
      </c>
      <c r="K601">
        <f>SUMIF(TArticle[تاریخ],TDays[[#This Row],[تاریخ]],TArticle[اسنپ])</f>
        <v>0</v>
      </c>
      <c r="L601">
        <f>-SUMIF(TArticle[تاریخ],TDays[[#This Row],[تاریخ]],TArticle[پرداخت بدهی])</f>
        <v>0</v>
      </c>
      <c r="M601">
        <f>SUMIF(TArticle[تاریخ],TDays[[#This Row],[تاریخ]],TArticle[افزایش بدهی])</f>
        <v>0</v>
      </c>
      <c r="N601">
        <f>-SUMIF(TArticle[تاریخ],TDays[[#This Row],[تاریخ]],TArticle[افزایش سرمایه])</f>
        <v>0</v>
      </c>
      <c r="O601">
        <f>SUMIF(TArticle[تاریخ],TDays[[#This Row],[تاریخ]],TArticle[تعداد تراکنش انجام شده])</f>
        <v>0</v>
      </c>
      <c r="P601">
        <f>INT(((TDays[[#This Row],[ماه]]-1)*31+TDays[[#This Row],[روز]]+1)/7)+1</f>
        <v>34</v>
      </c>
      <c r="Q601">
        <f>SUMIF(TArticle[تاریخ],TDays[[#This Row],[تاریخ]],TArticle[تراکنش برنامه ریزی شده])</f>
        <v>0</v>
      </c>
    </row>
    <row r="602" spans="1:17" x14ac:dyDescent="0.25">
      <c r="A602" s="3" t="s">
        <v>788</v>
      </c>
      <c r="B602" t="str">
        <f>RIGHT(TDays[[#This Row],[تاریخ]],2)</f>
        <v>20</v>
      </c>
      <c r="C602" t="str">
        <f>RIGHT(LEFT(TDays[[#This Row],[تاریخ]],7),2)</f>
        <v>08</v>
      </c>
      <c r="D602" t="str">
        <f>LEFT(TDays[[#This Row],[تاریخ]],4)</f>
        <v>1402</v>
      </c>
      <c r="E602" t="str">
        <f>LEFT(TDays[[#This Row],[تاریخ]],7)</f>
        <v>1402-08</v>
      </c>
      <c r="F602">
        <v>0</v>
      </c>
      <c r="G602" s="15" t="str">
        <f>VLOOKUP(TDays[[#This Row],[کد روز هفته]],TDaysOfTheWeek[],2,FALSE)</f>
        <v>شنبه</v>
      </c>
      <c r="H602" s="15">
        <f>IFERROR(IF(E601&lt;&gt;E602,1,INT(H601)+IF(TDays[[#This Row],[کد روز هفته]]=0,1,0)),1)</f>
        <v>4</v>
      </c>
      <c r="I602">
        <f>-SUMIF(TArticle[تاریخ],TDays[[#This Row],[تاریخ]],TArticle[هزینه])</f>
        <v>0</v>
      </c>
      <c r="J602">
        <f>SUMIF(TArticle[تاریخ],TDays[[#This Row],[تاریخ]],TArticle[درآمد تتا])</f>
        <v>0</v>
      </c>
      <c r="K602">
        <f>SUMIF(TArticle[تاریخ],TDays[[#This Row],[تاریخ]],TArticle[اسنپ])</f>
        <v>0</v>
      </c>
      <c r="L602">
        <f>-SUMIF(TArticle[تاریخ],TDays[[#This Row],[تاریخ]],TArticle[پرداخت بدهی])</f>
        <v>0</v>
      </c>
      <c r="M602">
        <f>SUMIF(TArticle[تاریخ],TDays[[#This Row],[تاریخ]],TArticle[افزایش بدهی])</f>
        <v>0</v>
      </c>
      <c r="N602">
        <f>-SUMIF(TArticle[تاریخ],TDays[[#This Row],[تاریخ]],TArticle[افزایش سرمایه])</f>
        <v>0</v>
      </c>
      <c r="O602">
        <f>SUMIF(TArticle[تاریخ],TDays[[#This Row],[تاریخ]],TArticle[تعداد تراکنش انجام شده])</f>
        <v>0</v>
      </c>
      <c r="P602">
        <f>INT(((TDays[[#This Row],[ماه]]-1)*31+TDays[[#This Row],[روز]]+1)/7)+1</f>
        <v>35</v>
      </c>
      <c r="Q602">
        <f>SUMIF(TArticle[تاریخ],TDays[[#This Row],[تاریخ]],TArticle[تراکنش برنامه ریزی شده])</f>
        <v>1</v>
      </c>
    </row>
    <row r="603" spans="1:17" x14ac:dyDescent="0.25">
      <c r="A603" s="3" t="s">
        <v>789</v>
      </c>
      <c r="B603" t="str">
        <f>RIGHT(TDays[[#This Row],[تاریخ]],2)</f>
        <v>21</v>
      </c>
      <c r="C603" t="str">
        <f>RIGHT(LEFT(TDays[[#This Row],[تاریخ]],7),2)</f>
        <v>08</v>
      </c>
      <c r="D603" t="str">
        <f>LEFT(TDays[[#This Row],[تاریخ]],4)</f>
        <v>1402</v>
      </c>
      <c r="E603" t="str">
        <f>LEFT(TDays[[#This Row],[تاریخ]],7)</f>
        <v>1402-08</v>
      </c>
      <c r="F603">
        <v>1</v>
      </c>
      <c r="G603" s="15" t="str">
        <f>VLOOKUP(TDays[[#This Row],[کد روز هفته]],TDaysOfTheWeek[],2,FALSE)</f>
        <v>یکشنبه</v>
      </c>
      <c r="H603" s="15">
        <f>IFERROR(IF(E602&lt;&gt;E603,1,INT(H602)+IF(TDays[[#This Row],[کد روز هفته]]=0,1,0)),1)</f>
        <v>4</v>
      </c>
      <c r="I603">
        <f>-SUMIF(TArticle[تاریخ],TDays[[#This Row],[تاریخ]],TArticle[هزینه])</f>
        <v>0</v>
      </c>
      <c r="J603">
        <f>SUMIF(TArticle[تاریخ],TDays[[#This Row],[تاریخ]],TArticle[درآمد تتا])</f>
        <v>0</v>
      </c>
      <c r="K603">
        <f>SUMIF(TArticle[تاریخ],TDays[[#This Row],[تاریخ]],TArticle[اسنپ])</f>
        <v>0</v>
      </c>
      <c r="L603">
        <f>-SUMIF(TArticle[تاریخ],TDays[[#This Row],[تاریخ]],TArticle[پرداخت بدهی])</f>
        <v>0</v>
      </c>
      <c r="M603">
        <f>SUMIF(TArticle[تاریخ],TDays[[#This Row],[تاریخ]],TArticle[افزایش بدهی])</f>
        <v>0</v>
      </c>
      <c r="N603">
        <f>-SUMIF(TArticle[تاریخ],TDays[[#This Row],[تاریخ]],TArticle[افزایش سرمایه])</f>
        <v>0</v>
      </c>
      <c r="O603">
        <f>SUMIF(TArticle[تاریخ],TDays[[#This Row],[تاریخ]],TArticle[تعداد تراکنش انجام شده])</f>
        <v>0</v>
      </c>
      <c r="P603">
        <f>INT(((TDays[[#This Row],[ماه]]-1)*31+TDays[[#This Row],[روز]]+1)/7)+1</f>
        <v>35</v>
      </c>
      <c r="Q603">
        <f>SUMIF(TArticle[تاریخ],TDays[[#This Row],[تاریخ]],TArticle[تراکنش برنامه ریزی شده])</f>
        <v>0</v>
      </c>
    </row>
    <row r="604" spans="1:17" x14ac:dyDescent="0.25">
      <c r="A604" s="3" t="s">
        <v>790</v>
      </c>
      <c r="B604" t="str">
        <f>RIGHT(TDays[[#This Row],[تاریخ]],2)</f>
        <v>22</v>
      </c>
      <c r="C604" t="str">
        <f>RIGHT(LEFT(TDays[[#This Row],[تاریخ]],7),2)</f>
        <v>08</v>
      </c>
      <c r="D604" t="str">
        <f>LEFT(TDays[[#This Row],[تاریخ]],4)</f>
        <v>1402</v>
      </c>
      <c r="E604" t="str">
        <f>LEFT(TDays[[#This Row],[تاریخ]],7)</f>
        <v>1402-08</v>
      </c>
      <c r="F604">
        <v>2</v>
      </c>
      <c r="G604" s="15" t="str">
        <f>VLOOKUP(TDays[[#This Row],[کد روز هفته]],TDaysOfTheWeek[],2,FALSE)</f>
        <v>دوشنبه</v>
      </c>
      <c r="H604" s="15">
        <f>IFERROR(IF(E603&lt;&gt;E604,1,INT(H603)+IF(TDays[[#This Row],[کد روز هفته]]=0,1,0)),1)</f>
        <v>4</v>
      </c>
      <c r="I604">
        <f>-SUMIF(TArticle[تاریخ],TDays[[#This Row],[تاریخ]],TArticle[هزینه])</f>
        <v>0</v>
      </c>
      <c r="J604">
        <f>SUMIF(TArticle[تاریخ],TDays[[#This Row],[تاریخ]],TArticle[درآمد تتا])</f>
        <v>0</v>
      </c>
      <c r="K604">
        <f>SUMIF(TArticle[تاریخ],TDays[[#This Row],[تاریخ]],TArticle[اسنپ])</f>
        <v>0</v>
      </c>
      <c r="L604">
        <f>-SUMIF(TArticle[تاریخ],TDays[[#This Row],[تاریخ]],TArticle[پرداخت بدهی])</f>
        <v>0</v>
      </c>
      <c r="M604">
        <f>SUMIF(TArticle[تاریخ],TDays[[#This Row],[تاریخ]],TArticle[افزایش بدهی])</f>
        <v>0</v>
      </c>
      <c r="N604">
        <f>-SUMIF(TArticle[تاریخ],TDays[[#This Row],[تاریخ]],TArticle[افزایش سرمایه])</f>
        <v>0</v>
      </c>
      <c r="O604">
        <f>SUMIF(TArticle[تاریخ],TDays[[#This Row],[تاریخ]],TArticle[تعداد تراکنش انجام شده])</f>
        <v>0</v>
      </c>
      <c r="P604">
        <f>INT(((TDays[[#This Row],[ماه]]-1)*31+TDays[[#This Row],[روز]]+1)/7)+1</f>
        <v>35</v>
      </c>
      <c r="Q604">
        <f>SUMIF(TArticle[تاریخ],TDays[[#This Row],[تاریخ]],TArticle[تراکنش برنامه ریزی شده])</f>
        <v>0</v>
      </c>
    </row>
    <row r="605" spans="1:17" x14ac:dyDescent="0.25">
      <c r="A605" s="3" t="s">
        <v>791</v>
      </c>
      <c r="B605" t="str">
        <f>RIGHT(TDays[[#This Row],[تاریخ]],2)</f>
        <v>23</v>
      </c>
      <c r="C605" t="str">
        <f>RIGHT(LEFT(TDays[[#This Row],[تاریخ]],7),2)</f>
        <v>08</v>
      </c>
      <c r="D605" t="str">
        <f>LEFT(TDays[[#This Row],[تاریخ]],4)</f>
        <v>1402</v>
      </c>
      <c r="E605" t="str">
        <f>LEFT(TDays[[#This Row],[تاریخ]],7)</f>
        <v>1402-08</v>
      </c>
      <c r="F605">
        <v>3</v>
      </c>
      <c r="G605" s="15" t="str">
        <f>VLOOKUP(TDays[[#This Row],[کد روز هفته]],TDaysOfTheWeek[],2,FALSE)</f>
        <v>سه شنبه</v>
      </c>
      <c r="H605" s="15">
        <f>IFERROR(IF(E604&lt;&gt;E605,1,INT(H604)+IF(TDays[[#This Row],[کد روز هفته]]=0,1,0)),1)</f>
        <v>4</v>
      </c>
      <c r="I605">
        <f>-SUMIF(TArticle[تاریخ],TDays[[#This Row],[تاریخ]],TArticle[هزینه])</f>
        <v>0</v>
      </c>
      <c r="J605">
        <f>SUMIF(TArticle[تاریخ],TDays[[#This Row],[تاریخ]],TArticle[درآمد تتا])</f>
        <v>0</v>
      </c>
      <c r="K605">
        <f>SUMIF(TArticle[تاریخ],TDays[[#This Row],[تاریخ]],TArticle[اسنپ])</f>
        <v>0</v>
      </c>
      <c r="L605">
        <f>-SUMIF(TArticle[تاریخ],TDays[[#This Row],[تاریخ]],TArticle[پرداخت بدهی])</f>
        <v>0</v>
      </c>
      <c r="M605">
        <f>SUMIF(TArticle[تاریخ],TDays[[#This Row],[تاریخ]],TArticle[افزایش بدهی])</f>
        <v>0</v>
      </c>
      <c r="N605">
        <f>-SUMIF(TArticle[تاریخ],TDays[[#This Row],[تاریخ]],TArticle[افزایش سرمایه])</f>
        <v>0</v>
      </c>
      <c r="O605">
        <f>SUMIF(TArticle[تاریخ],TDays[[#This Row],[تاریخ]],TArticle[تعداد تراکنش انجام شده])</f>
        <v>0</v>
      </c>
      <c r="P605">
        <f>INT(((TDays[[#This Row],[ماه]]-1)*31+TDays[[#This Row],[روز]]+1)/7)+1</f>
        <v>35</v>
      </c>
      <c r="Q605">
        <f>SUMIF(TArticle[تاریخ],TDays[[#This Row],[تاریخ]],TArticle[تراکنش برنامه ریزی شده])</f>
        <v>0</v>
      </c>
    </row>
    <row r="606" spans="1:17" x14ac:dyDescent="0.25">
      <c r="A606" s="3" t="s">
        <v>792</v>
      </c>
      <c r="B606" t="str">
        <f>RIGHT(TDays[[#This Row],[تاریخ]],2)</f>
        <v>24</v>
      </c>
      <c r="C606" t="str">
        <f>RIGHT(LEFT(TDays[[#This Row],[تاریخ]],7),2)</f>
        <v>08</v>
      </c>
      <c r="D606" t="str">
        <f>LEFT(TDays[[#This Row],[تاریخ]],4)</f>
        <v>1402</v>
      </c>
      <c r="E606" t="str">
        <f>LEFT(TDays[[#This Row],[تاریخ]],7)</f>
        <v>1402-08</v>
      </c>
      <c r="F606">
        <v>4</v>
      </c>
      <c r="G606" s="15" t="str">
        <f>VLOOKUP(TDays[[#This Row],[کد روز هفته]],TDaysOfTheWeek[],2,FALSE)</f>
        <v>چهارشنبه</v>
      </c>
      <c r="H606" s="15">
        <f>IFERROR(IF(E605&lt;&gt;E606,1,INT(H605)+IF(TDays[[#This Row],[کد روز هفته]]=0,1,0)),1)</f>
        <v>4</v>
      </c>
      <c r="I606">
        <f>-SUMIF(TArticle[تاریخ],TDays[[#This Row],[تاریخ]],TArticle[هزینه])</f>
        <v>0</v>
      </c>
      <c r="J606">
        <f>SUMIF(TArticle[تاریخ],TDays[[#This Row],[تاریخ]],TArticle[درآمد تتا])</f>
        <v>0</v>
      </c>
      <c r="K606">
        <f>SUMIF(TArticle[تاریخ],TDays[[#This Row],[تاریخ]],TArticle[اسنپ])</f>
        <v>0</v>
      </c>
      <c r="L606">
        <f>-SUMIF(TArticle[تاریخ],TDays[[#This Row],[تاریخ]],TArticle[پرداخت بدهی])</f>
        <v>0</v>
      </c>
      <c r="M606">
        <f>SUMIF(TArticle[تاریخ],TDays[[#This Row],[تاریخ]],TArticle[افزایش بدهی])</f>
        <v>0</v>
      </c>
      <c r="N606">
        <f>-SUMIF(TArticle[تاریخ],TDays[[#This Row],[تاریخ]],TArticle[افزایش سرمایه])</f>
        <v>0</v>
      </c>
      <c r="O606">
        <f>SUMIF(TArticle[تاریخ],TDays[[#This Row],[تاریخ]],TArticle[تعداد تراکنش انجام شده])</f>
        <v>0</v>
      </c>
      <c r="P606">
        <f>INT(((TDays[[#This Row],[ماه]]-1)*31+TDays[[#This Row],[روز]]+1)/7)+1</f>
        <v>35</v>
      </c>
      <c r="Q606">
        <f>SUMIF(TArticle[تاریخ],TDays[[#This Row],[تاریخ]],TArticle[تراکنش برنامه ریزی شده])</f>
        <v>0</v>
      </c>
    </row>
    <row r="607" spans="1:17" x14ac:dyDescent="0.25">
      <c r="A607" s="3" t="s">
        <v>793</v>
      </c>
      <c r="B607" t="str">
        <f>RIGHT(TDays[[#This Row],[تاریخ]],2)</f>
        <v>25</v>
      </c>
      <c r="C607" t="str">
        <f>RIGHT(LEFT(TDays[[#This Row],[تاریخ]],7),2)</f>
        <v>08</v>
      </c>
      <c r="D607" t="str">
        <f>LEFT(TDays[[#This Row],[تاریخ]],4)</f>
        <v>1402</v>
      </c>
      <c r="E607" t="str">
        <f>LEFT(TDays[[#This Row],[تاریخ]],7)</f>
        <v>1402-08</v>
      </c>
      <c r="F607">
        <v>5</v>
      </c>
      <c r="G607" s="15" t="str">
        <f>VLOOKUP(TDays[[#This Row],[کد روز هفته]],TDaysOfTheWeek[],2,FALSE)</f>
        <v>پنجشنبه</v>
      </c>
      <c r="H607" s="15">
        <f>IFERROR(IF(E606&lt;&gt;E607,1,INT(H606)+IF(TDays[[#This Row],[کد روز هفته]]=0,1,0)),1)</f>
        <v>4</v>
      </c>
      <c r="I607">
        <f>-SUMIF(TArticle[تاریخ],TDays[[#This Row],[تاریخ]],TArticle[هزینه])</f>
        <v>0</v>
      </c>
      <c r="J607">
        <f>SUMIF(TArticle[تاریخ],TDays[[#This Row],[تاریخ]],TArticle[درآمد تتا])</f>
        <v>0</v>
      </c>
      <c r="K607">
        <f>SUMIF(TArticle[تاریخ],TDays[[#This Row],[تاریخ]],TArticle[اسنپ])</f>
        <v>0</v>
      </c>
      <c r="L607">
        <f>-SUMIF(TArticle[تاریخ],TDays[[#This Row],[تاریخ]],TArticle[پرداخت بدهی])</f>
        <v>0</v>
      </c>
      <c r="M607">
        <f>SUMIF(TArticle[تاریخ],TDays[[#This Row],[تاریخ]],TArticle[افزایش بدهی])</f>
        <v>0</v>
      </c>
      <c r="N607">
        <f>-SUMIF(TArticle[تاریخ],TDays[[#This Row],[تاریخ]],TArticle[افزایش سرمایه])</f>
        <v>0</v>
      </c>
      <c r="O607">
        <f>SUMIF(TArticle[تاریخ],TDays[[#This Row],[تاریخ]],TArticle[تعداد تراکنش انجام شده])</f>
        <v>0</v>
      </c>
      <c r="P607">
        <f>INT(((TDays[[#This Row],[ماه]]-1)*31+TDays[[#This Row],[روز]]+1)/7)+1</f>
        <v>35</v>
      </c>
      <c r="Q607">
        <f>SUMIF(TArticle[تاریخ],TDays[[#This Row],[تاریخ]],TArticle[تراکنش برنامه ریزی شده])</f>
        <v>0</v>
      </c>
    </row>
    <row r="608" spans="1:17" x14ac:dyDescent="0.25">
      <c r="A608" s="3" t="s">
        <v>794</v>
      </c>
      <c r="B608" t="str">
        <f>RIGHT(TDays[[#This Row],[تاریخ]],2)</f>
        <v>26</v>
      </c>
      <c r="C608" t="str">
        <f>RIGHT(LEFT(TDays[[#This Row],[تاریخ]],7),2)</f>
        <v>08</v>
      </c>
      <c r="D608" t="str">
        <f>LEFT(TDays[[#This Row],[تاریخ]],4)</f>
        <v>1402</v>
      </c>
      <c r="E608" t="str">
        <f>LEFT(TDays[[#This Row],[تاریخ]],7)</f>
        <v>1402-08</v>
      </c>
      <c r="F608">
        <v>6</v>
      </c>
      <c r="G608" s="15" t="str">
        <f>VLOOKUP(TDays[[#This Row],[کد روز هفته]],TDaysOfTheWeek[],2,FALSE)</f>
        <v>جمعه</v>
      </c>
      <c r="H608" s="15">
        <f>IFERROR(IF(E607&lt;&gt;E608,1,INT(H607)+IF(TDays[[#This Row],[کد روز هفته]]=0,1,0)),1)</f>
        <v>4</v>
      </c>
      <c r="I608">
        <f>-SUMIF(TArticle[تاریخ],TDays[[#This Row],[تاریخ]],TArticle[هزینه])</f>
        <v>0</v>
      </c>
      <c r="J608">
        <f>SUMIF(TArticle[تاریخ],TDays[[#This Row],[تاریخ]],TArticle[درآمد تتا])</f>
        <v>0</v>
      </c>
      <c r="K608">
        <f>SUMIF(TArticle[تاریخ],TDays[[#This Row],[تاریخ]],TArticle[اسنپ])</f>
        <v>0</v>
      </c>
      <c r="L608">
        <f>-SUMIF(TArticle[تاریخ],TDays[[#This Row],[تاریخ]],TArticle[پرداخت بدهی])</f>
        <v>0</v>
      </c>
      <c r="M608">
        <f>SUMIF(TArticle[تاریخ],TDays[[#This Row],[تاریخ]],TArticle[افزایش بدهی])</f>
        <v>0</v>
      </c>
      <c r="N608">
        <f>-SUMIF(TArticle[تاریخ],TDays[[#This Row],[تاریخ]],TArticle[افزایش سرمایه])</f>
        <v>0</v>
      </c>
      <c r="O608">
        <f>SUMIF(TArticle[تاریخ],TDays[[#This Row],[تاریخ]],TArticle[تعداد تراکنش انجام شده])</f>
        <v>0</v>
      </c>
      <c r="P608">
        <f>INT(((TDays[[#This Row],[ماه]]-1)*31+TDays[[#This Row],[روز]]+1)/7)+1</f>
        <v>35</v>
      </c>
      <c r="Q608">
        <f>SUMIF(TArticle[تاریخ],TDays[[#This Row],[تاریخ]],TArticle[تراکنش برنامه ریزی شده])</f>
        <v>0</v>
      </c>
    </row>
    <row r="609" spans="1:17" x14ac:dyDescent="0.25">
      <c r="A609" s="3" t="s">
        <v>795</v>
      </c>
      <c r="B609" t="str">
        <f>RIGHT(TDays[[#This Row],[تاریخ]],2)</f>
        <v>27</v>
      </c>
      <c r="C609" t="str">
        <f>RIGHT(LEFT(TDays[[#This Row],[تاریخ]],7),2)</f>
        <v>08</v>
      </c>
      <c r="D609" t="str">
        <f>LEFT(TDays[[#This Row],[تاریخ]],4)</f>
        <v>1402</v>
      </c>
      <c r="E609" t="str">
        <f>LEFT(TDays[[#This Row],[تاریخ]],7)</f>
        <v>1402-08</v>
      </c>
      <c r="F609">
        <v>0</v>
      </c>
      <c r="G609" s="15" t="str">
        <f>VLOOKUP(TDays[[#This Row],[کد روز هفته]],TDaysOfTheWeek[],2,FALSE)</f>
        <v>شنبه</v>
      </c>
      <c r="H609" s="15">
        <f>IFERROR(IF(E608&lt;&gt;E609,1,INT(H608)+IF(TDays[[#This Row],[کد روز هفته]]=0,1,0)),1)</f>
        <v>5</v>
      </c>
      <c r="I609">
        <f>-SUMIF(TArticle[تاریخ],TDays[[#This Row],[تاریخ]],TArticle[هزینه])</f>
        <v>0</v>
      </c>
      <c r="J609">
        <f>SUMIF(TArticle[تاریخ],TDays[[#This Row],[تاریخ]],TArticle[درآمد تتا])</f>
        <v>0</v>
      </c>
      <c r="K609">
        <f>SUMIF(TArticle[تاریخ],TDays[[#This Row],[تاریخ]],TArticle[اسنپ])</f>
        <v>0</v>
      </c>
      <c r="L609">
        <f>-SUMIF(TArticle[تاریخ],TDays[[#This Row],[تاریخ]],TArticle[پرداخت بدهی])</f>
        <v>0</v>
      </c>
      <c r="M609">
        <f>SUMIF(TArticle[تاریخ],TDays[[#This Row],[تاریخ]],TArticle[افزایش بدهی])</f>
        <v>0</v>
      </c>
      <c r="N609">
        <f>-SUMIF(TArticle[تاریخ],TDays[[#This Row],[تاریخ]],TArticle[افزایش سرمایه])</f>
        <v>0</v>
      </c>
      <c r="O609">
        <f>SUMIF(TArticle[تاریخ],TDays[[#This Row],[تاریخ]],TArticle[تعداد تراکنش انجام شده])</f>
        <v>0</v>
      </c>
      <c r="P609">
        <f>INT(((TDays[[#This Row],[ماه]]-1)*31+TDays[[#This Row],[روز]]+1)/7)+1</f>
        <v>36</v>
      </c>
      <c r="Q609">
        <f>SUMIF(TArticle[تاریخ],TDays[[#This Row],[تاریخ]],TArticle[تراکنش برنامه ریزی شده])</f>
        <v>0</v>
      </c>
    </row>
    <row r="610" spans="1:17" x14ac:dyDescent="0.25">
      <c r="A610" s="3" t="s">
        <v>796</v>
      </c>
      <c r="B610" t="str">
        <f>RIGHT(TDays[[#This Row],[تاریخ]],2)</f>
        <v>28</v>
      </c>
      <c r="C610" t="str">
        <f>RIGHT(LEFT(TDays[[#This Row],[تاریخ]],7),2)</f>
        <v>08</v>
      </c>
      <c r="D610" t="str">
        <f>LEFT(TDays[[#This Row],[تاریخ]],4)</f>
        <v>1402</v>
      </c>
      <c r="E610" t="str">
        <f>LEFT(TDays[[#This Row],[تاریخ]],7)</f>
        <v>1402-08</v>
      </c>
      <c r="F610">
        <v>1</v>
      </c>
      <c r="G610" s="15" t="str">
        <f>VLOOKUP(TDays[[#This Row],[کد روز هفته]],TDaysOfTheWeek[],2,FALSE)</f>
        <v>یکشنبه</v>
      </c>
      <c r="H610" s="15">
        <f>IFERROR(IF(E609&lt;&gt;E610,1,INT(H609)+IF(TDays[[#This Row],[کد روز هفته]]=0,1,0)),1)</f>
        <v>5</v>
      </c>
      <c r="I610">
        <f>-SUMIF(TArticle[تاریخ],TDays[[#This Row],[تاریخ]],TArticle[هزینه])</f>
        <v>0</v>
      </c>
      <c r="J610">
        <f>SUMIF(TArticle[تاریخ],TDays[[#This Row],[تاریخ]],TArticle[درآمد تتا])</f>
        <v>0</v>
      </c>
      <c r="K610">
        <f>SUMIF(TArticle[تاریخ],TDays[[#This Row],[تاریخ]],TArticle[اسنپ])</f>
        <v>0</v>
      </c>
      <c r="L610">
        <f>-SUMIF(TArticle[تاریخ],TDays[[#This Row],[تاریخ]],TArticle[پرداخت بدهی])</f>
        <v>0</v>
      </c>
      <c r="M610">
        <f>SUMIF(TArticle[تاریخ],TDays[[#This Row],[تاریخ]],TArticle[افزایش بدهی])</f>
        <v>0</v>
      </c>
      <c r="N610">
        <f>-SUMIF(TArticle[تاریخ],TDays[[#This Row],[تاریخ]],TArticle[افزایش سرمایه])</f>
        <v>0</v>
      </c>
      <c r="O610">
        <f>SUMIF(TArticle[تاریخ],TDays[[#This Row],[تاریخ]],TArticle[تعداد تراکنش انجام شده])</f>
        <v>0</v>
      </c>
      <c r="P610">
        <f>INT(((TDays[[#This Row],[ماه]]-1)*31+TDays[[#This Row],[روز]]+1)/7)+1</f>
        <v>36</v>
      </c>
      <c r="Q610">
        <f>SUMIF(TArticle[تاریخ],TDays[[#This Row],[تاریخ]],TArticle[تراکنش برنامه ریزی شده])</f>
        <v>1</v>
      </c>
    </row>
    <row r="611" spans="1:17" x14ac:dyDescent="0.25">
      <c r="A611" s="3" t="s">
        <v>797</v>
      </c>
      <c r="B611" t="str">
        <f>RIGHT(TDays[[#This Row],[تاریخ]],2)</f>
        <v>29</v>
      </c>
      <c r="C611" t="str">
        <f>RIGHT(LEFT(TDays[[#This Row],[تاریخ]],7),2)</f>
        <v>08</v>
      </c>
      <c r="D611" t="str">
        <f>LEFT(TDays[[#This Row],[تاریخ]],4)</f>
        <v>1402</v>
      </c>
      <c r="E611" t="str">
        <f>LEFT(TDays[[#This Row],[تاریخ]],7)</f>
        <v>1402-08</v>
      </c>
      <c r="F611">
        <v>2</v>
      </c>
      <c r="G611" s="15" t="str">
        <f>VLOOKUP(TDays[[#This Row],[کد روز هفته]],TDaysOfTheWeek[],2,FALSE)</f>
        <v>دوشنبه</v>
      </c>
      <c r="H611" s="15">
        <f>IFERROR(IF(E610&lt;&gt;E611,1,INT(H610)+IF(TDays[[#This Row],[کد روز هفته]]=0,1,0)),1)</f>
        <v>5</v>
      </c>
      <c r="I611">
        <f>-SUMIF(TArticle[تاریخ],TDays[[#This Row],[تاریخ]],TArticle[هزینه])</f>
        <v>0</v>
      </c>
      <c r="J611">
        <f>SUMIF(TArticle[تاریخ],TDays[[#This Row],[تاریخ]],TArticle[درآمد تتا])</f>
        <v>0</v>
      </c>
      <c r="K611">
        <f>SUMIF(TArticle[تاریخ],TDays[[#This Row],[تاریخ]],TArticle[اسنپ])</f>
        <v>0</v>
      </c>
      <c r="L611">
        <f>-SUMIF(TArticle[تاریخ],TDays[[#This Row],[تاریخ]],TArticle[پرداخت بدهی])</f>
        <v>0</v>
      </c>
      <c r="M611">
        <f>SUMIF(TArticle[تاریخ],TDays[[#This Row],[تاریخ]],TArticle[افزایش بدهی])</f>
        <v>0</v>
      </c>
      <c r="N611">
        <f>-SUMIF(TArticle[تاریخ],TDays[[#This Row],[تاریخ]],TArticle[افزایش سرمایه])</f>
        <v>0</v>
      </c>
      <c r="O611">
        <f>SUMIF(TArticle[تاریخ],TDays[[#This Row],[تاریخ]],TArticle[تعداد تراکنش انجام شده])</f>
        <v>0</v>
      </c>
      <c r="P611">
        <f>INT(((TDays[[#This Row],[ماه]]-1)*31+TDays[[#This Row],[روز]]+1)/7)+1</f>
        <v>36</v>
      </c>
      <c r="Q611">
        <f>SUMIF(TArticle[تاریخ],TDays[[#This Row],[تاریخ]],TArticle[تراکنش برنامه ریزی شده])</f>
        <v>0</v>
      </c>
    </row>
    <row r="612" spans="1:17" x14ac:dyDescent="0.25">
      <c r="A612" s="3" t="s">
        <v>798</v>
      </c>
      <c r="B612" t="str">
        <f>RIGHT(TDays[[#This Row],[تاریخ]],2)</f>
        <v>30</v>
      </c>
      <c r="C612" t="str">
        <f>RIGHT(LEFT(TDays[[#This Row],[تاریخ]],7),2)</f>
        <v>08</v>
      </c>
      <c r="D612" t="str">
        <f>LEFT(TDays[[#This Row],[تاریخ]],4)</f>
        <v>1402</v>
      </c>
      <c r="E612" t="str">
        <f>LEFT(TDays[[#This Row],[تاریخ]],7)</f>
        <v>1402-08</v>
      </c>
      <c r="F612">
        <v>3</v>
      </c>
      <c r="G612" s="15" t="str">
        <f>VLOOKUP(TDays[[#This Row],[کد روز هفته]],TDaysOfTheWeek[],2,FALSE)</f>
        <v>سه شنبه</v>
      </c>
      <c r="H612" s="15">
        <f>IFERROR(IF(E611&lt;&gt;E612,1,INT(H611)+IF(TDays[[#This Row],[کد روز هفته]]=0,1,0)),1)</f>
        <v>5</v>
      </c>
      <c r="I612">
        <f>-SUMIF(TArticle[تاریخ],TDays[[#This Row],[تاریخ]],TArticle[هزینه])</f>
        <v>0</v>
      </c>
      <c r="J612">
        <f>SUMIF(TArticle[تاریخ],TDays[[#This Row],[تاریخ]],TArticle[درآمد تتا])</f>
        <v>0</v>
      </c>
      <c r="K612">
        <f>SUMIF(TArticle[تاریخ],TDays[[#This Row],[تاریخ]],TArticle[اسنپ])</f>
        <v>0</v>
      </c>
      <c r="L612">
        <f>-SUMIF(TArticle[تاریخ],TDays[[#This Row],[تاریخ]],TArticle[پرداخت بدهی])</f>
        <v>0</v>
      </c>
      <c r="M612">
        <f>SUMIF(TArticle[تاریخ],TDays[[#This Row],[تاریخ]],TArticle[افزایش بدهی])</f>
        <v>0</v>
      </c>
      <c r="N612">
        <f>-SUMIF(TArticle[تاریخ],TDays[[#This Row],[تاریخ]],TArticle[افزایش سرمایه])</f>
        <v>0</v>
      </c>
      <c r="O612">
        <f>SUMIF(TArticle[تاریخ],TDays[[#This Row],[تاریخ]],TArticle[تعداد تراکنش انجام شده])</f>
        <v>0</v>
      </c>
      <c r="P612">
        <f>INT(((TDays[[#This Row],[ماه]]-1)*31+TDays[[#This Row],[روز]]+1)/7)+1</f>
        <v>36</v>
      </c>
      <c r="Q612">
        <f>SUMIF(TArticle[تاریخ],TDays[[#This Row],[تاریخ]],TArticle[تراکنش برنامه ریزی شده])</f>
        <v>0</v>
      </c>
    </row>
    <row r="613" spans="1:17" x14ac:dyDescent="0.25">
      <c r="A613" s="3" t="s">
        <v>799</v>
      </c>
      <c r="B613" t="str">
        <f>RIGHT(TDays[[#This Row],[تاریخ]],2)</f>
        <v>01</v>
      </c>
      <c r="C613" t="str">
        <f>RIGHT(LEFT(TDays[[#This Row],[تاریخ]],7),2)</f>
        <v>09</v>
      </c>
      <c r="D613" t="str">
        <f>LEFT(TDays[[#This Row],[تاریخ]],4)</f>
        <v>1402</v>
      </c>
      <c r="E613" t="str">
        <f>LEFT(TDays[[#This Row],[تاریخ]],7)</f>
        <v>1402-09</v>
      </c>
      <c r="F613">
        <v>4</v>
      </c>
      <c r="G613" s="15" t="str">
        <f>VLOOKUP(TDays[[#This Row],[کد روز هفته]],TDaysOfTheWeek[],2,FALSE)</f>
        <v>چهارشنبه</v>
      </c>
      <c r="H613" s="15">
        <f>IFERROR(IF(E612&lt;&gt;E613,1,INT(H612)+IF(TDays[[#This Row],[کد روز هفته]]=0,1,0)),1)</f>
        <v>1</v>
      </c>
      <c r="I613">
        <f>-SUMIF(TArticle[تاریخ],TDays[[#This Row],[تاریخ]],TArticle[هزینه])</f>
        <v>0</v>
      </c>
      <c r="J613">
        <f>SUMIF(TArticle[تاریخ],TDays[[#This Row],[تاریخ]],TArticle[درآمد تتا])</f>
        <v>0</v>
      </c>
      <c r="K613">
        <f>SUMIF(TArticle[تاریخ],TDays[[#This Row],[تاریخ]],TArticle[اسنپ])</f>
        <v>0</v>
      </c>
      <c r="L613">
        <f>-SUMIF(TArticle[تاریخ],TDays[[#This Row],[تاریخ]],TArticle[پرداخت بدهی])</f>
        <v>0</v>
      </c>
      <c r="M613">
        <f>SUMIF(TArticle[تاریخ],TDays[[#This Row],[تاریخ]],TArticle[افزایش بدهی])</f>
        <v>0</v>
      </c>
      <c r="N613">
        <f>-SUMIF(TArticle[تاریخ],TDays[[#This Row],[تاریخ]],TArticle[افزایش سرمایه])</f>
        <v>0</v>
      </c>
      <c r="O613">
        <f>SUMIF(TArticle[تاریخ],TDays[[#This Row],[تاریخ]],TArticle[تعداد تراکنش انجام شده])</f>
        <v>0</v>
      </c>
      <c r="P613">
        <f>INT(((TDays[[#This Row],[ماه]]-1)*31+TDays[[#This Row],[روز]]+1)/7)+1</f>
        <v>36</v>
      </c>
      <c r="Q613">
        <f>SUMIF(TArticle[تاریخ],TDays[[#This Row],[تاریخ]],TArticle[تراکنش برنامه ریزی شده])</f>
        <v>2</v>
      </c>
    </row>
    <row r="614" spans="1:17" x14ac:dyDescent="0.25">
      <c r="A614" s="3" t="s">
        <v>800</v>
      </c>
      <c r="B614" t="str">
        <f>RIGHT(TDays[[#This Row],[تاریخ]],2)</f>
        <v>02</v>
      </c>
      <c r="C614" t="str">
        <f>RIGHT(LEFT(TDays[[#This Row],[تاریخ]],7),2)</f>
        <v>09</v>
      </c>
      <c r="D614" t="str">
        <f>LEFT(TDays[[#This Row],[تاریخ]],4)</f>
        <v>1402</v>
      </c>
      <c r="E614" t="str">
        <f>LEFT(TDays[[#This Row],[تاریخ]],7)</f>
        <v>1402-09</v>
      </c>
      <c r="F614">
        <v>5</v>
      </c>
      <c r="G614" s="15" t="str">
        <f>VLOOKUP(TDays[[#This Row],[کد روز هفته]],TDaysOfTheWeek[],2,FALSE)</f>
        <v>پنجشنبه</v>
      </c>
      <c r="H614" s="15">
        <f>IFERROR(IF(E613&lt;&gt;E614,1,INT(H613)+IF(TDays[[#This Row],[کد روز هفته]]=0,1,0)),1)</f>
        <v>1</v>
      </c>
      <c r="I614">
        <f>-SUMIF(TArticle[تاریخ],TDays[[#This Row],[تاریخ]],TArticle[هزینه])</f>
        <v>0</v>
      </c>
      <c r="J614">
        <f>SUMIF(TArticle[تاریخ],TDays[[#This Row],[تاریخ]],TArticle[درآمد تتا])</f>
        <v>0</v>
      </c>
      <c r="K614">
        <f>SUMIF(TArticle[تاریخ],TDays[[#This Row],[تاریخ]],TArticle[اسنپ])</f>
        <v>0</v>
      </c>
      <c r="L614">
        <f>-SUMIF(TArticle[تاریخ],TDays[[#This Row],[تاریخ]],TArticle[پرداخت بدهی])</f>
        <v>0</v>
      </c>
      <c r="M614">
        <f>SUMIF(TArticle[تاریخ],TDays[[#This Row],[تاریخ]],TArticle[افزایش بدهی])</f>
        <v>0</v>
      </c>
      <c r="N614">
        <f>-SUMIF(TArticle[تاریخ],TDays[[#This Row],[تاریخ]],TArticle[افزایش سرمایه])</f>
        <v>0</v>
      </c>
      <c r="O614">
        <f>SUMIF(TArticle[تاریخ],TDays[[#This Row],[تاریخ]],TArticle[تعداد تراکنش انجام شده])</f>
        <v>0</v>
      </c>
      <c r="P614">
        <f>INT(((TDays[[#This Row],[ماه]]-1)*31+TDays[[#This Row],[روز]]+1)/7)+1</f>
        <v>36</v>
      </c>
      <c r="Q614">
        <f>SUMIF(TArticle[تاریخ],TDays[[#This Row],[تاریخ]],TArticle[تراکنش برنامه ریزی شده])</f>
        <v>0</v>
      </c>
    </row>
    <row r="615" spans="1:17" x14ac:dyDescent="0.25">
      <c r="A615" s="3" t="s">
        <v>801</v>
      </c>
      <c r="B615" t="str">
        <f>RIGHT(TDays[[#This Row],[تاریخ]],2)</f>
        <v>03</v>
      </c>
      <c r="C615" t="str">
        <f>RIGHT(LEFT(TDays[[#This Row],[تاریخ]],7),2)</f>
        <v>09</v>
      </c>
      <c r="D615" t="str">
        <f>LEFT(TDays[[#This Row],[تاریخ]],4)</f>
        <v>1402</v>
      </c>
      <c r="E615" t="str">
        <f>LEFT(TDays[[#This Row],[تاریخ]],7)</f>
        <v>1402-09</v>
      </c>
      <c r="F615">
        <v>6</v>
      </c>
      <c r="G615" s="15" t="str">
        <f>VLOOKUP(TDays[[#This Row],[کد روز هفته]],TDaysOfTheWeek[],2,FALSE)</f>
        <v>جمعه</v>
      </c>
      <c r="H615" s="15">
        <f>IFERROR(IF(E614&lt;&gt;E615,1,INT(H614)+IF(TDays[[#This Row],[کد روز هفته]]=0,1,0)),1)</f>
        <v>1</v>
      </c>
      <c r="I615">
        <f>-SUMIF(TArticle[تاریخ],TDays[[#This Row],[تاریخ]],TArticle[هزینه])</f>
        <v>0</v>
      </c>
      <c r="J615">
        <f>SUMIF(TArticle[تاریخ],TDays[[#This Row],[تاریخ]],TArticle[درآمد تتا])</f>
        <v>0</v>
      </c>
      <c r="K615">
        <f>SUMIF(TArticle[تاریخ],TDays[[#This Row],[تاریخ]],TArticle[اسنپ])</f>
        <v>0</v>
      </c>
      <c r="L615">
        <f>-SUMIF(TArticle[تاریخ],TDays[[#This Row],[تاریخ]],TArticle[پرداخت بدهی])</f>
        <v>0</v>
      </c>
      <c r="M615">
        <f>SUMIF(TArticle[تاریخ],TDays[[#This Row],[تاریخ]],TArticle[افزایش بدهی])</f>
        <v>0</v>
      </c>
      <c r="N615">
        <f>-SUMIF(TArticle[تاریخ],TDays[[#This Row],[تاریخ]],TArticle[افزایش سرمایه])</f>
        <v>0</v>
      </c>
      <c r="O615">
        <f>SUMIF(TArticle[تاریخ],TDays[[#This Row],[تاریخ]],TArticle[تعداد تراکنش انجام شده])</f>
        <v>0</v>
      </c>
      <c r="P615">
        <f>INT(((TDays[[#This Row],[ماه]]-1)*31+TDays[[#This Row],[روز]]+1)/7)+1</f>
        <v>37</v>
      </c>
      <c r="Q615">
        <f>SUMIF(TArticle[تاریخ],TDays[[#This Row],[تاریخ]],TArticle[تراکنش برنامه ریزی شده])</f>
        <v>3</v>
      </c>
    </row>
    <row r="616" spans="1:17" x14ac:dyDescent="0.25">
      <c r="A616" s="3" t="s">
        <v>802</v>
      </c>
      <c r="B616" t="str">
        <f>RIGHT(TDays[[#This Row],[تاریخ]],2)</f>
        <v>04</v>
      </c>
      <c r="C616" t="str">
        <f>RIGHT(LEFT(TDays[[#This Row],[تاریخ]],7),2)</f>
        <v>09</v>
      </c>
      <c r="D616" t="str">
        <f>LEFT(TDays[[#This Row],[تاریخ]],4)</f>
        <v>1402</v>
      </c>
      <c r="E616" t="str">
        <f>LEFT(TDays[[#This Row],[تاریخ]],7)</f>
        <v>1402-09</v>
      </c>
      <c r="F616">
        <v>0</v>
      </c>
      <c r="G616" s="15" t="str">
        <f>VLOOKUP(TDays[[#This Row],[کد روز هفته]],TDaysOfTheWeek[],2,FALSE)</f>
        <v>شنبه</v>
      </c>
      <c r="H616" s="15">
        <f>IFERROR(IF(E615&lt;&gt;E616,1,INT(H615)+IF(TDays[[#This Row],[کد روز هفته]]=0,1,0)),1)</f>
        <v>2</v>
      </c>
      <c r="I616">
        <f>-SUMIF(TArticle[تاریخ],TDays[[#This Row],[تاریخ]],TArticle[هزینه])</f>
        <v>0</v>
      </c>
      <c r="J616">
        <f>SUMIF(TArticle[تاریخ],TDays[[#This Row],[تاریخ]],TArticle[درآمد تتا])</f>
        <v>0</v>
      </c>
      <c r="K616">
        <f>SUMIF(TArticle[تاریخ],TDays[[#This Row],[تاریخ]],TArticle[اسنپ])</f>
        <v>0</v>
      </c>
      <c r="L616">
        <f>-SUMIF(TArticle[تاریخ],TDays[[#This Row],[تاریخ]],TArticle[پرداخت بدهی])</f>
        <v>0</v>
      </c>
      <c r="M616">
        <f>SUMIF(TArticle[تاریخ],TDays[[#This Row],[تاریخ]],TArticle[افزایش بدهی])</f>
        <v>0</v>
      </c>
      <c r="N616">
        <f>-SUMIF(TArticle[تاریخ],TDays[[#This Row],[تاریخ]],TArticle[افزایش سرمایه])</f>
        <v>0</v>
      </c>
      <c r="O616">
        <f>SUMIF(TArticle[تاریخ],TDays[[#This Row],[تاریخ]],TArticle[تعداد تراکنش انجام شده])</f>
        <v>0</v>
      </c>
      <c r="P616">
        <f>INT(((TDays[[#This Row],[ماه]]-1)*31+TDays[[#This Row],[روز]]+1)/7)+1</f>
        <v>37</v>
      </c>
      <c r="Q616">
        <f>SUMIF(TArticle[تاریخ],TDays[[#This Row],[تاریخ]],TArticle[تراکنش برنامه ریزی شده])</f>
        <v>1</v>
      </c>
    </row>
    <row r="617" spans="1:17" x14ac:dyDescent="0.25">
      <c r="A617" s="3" t="s">
        <v>803</v>
      </c>
      <c r="B617" t="str">
        <f>RIGHT(TDays[[#This Row],[تاریخ]],2)</f>
        <v>05</v>
      </c>
      <c r="C617" t="str">
        <f>RIGHT(LEFT(TDays[[#This Row],[تاریخ]],7),2)</f>
        <v>09</v>
      </c>
      <c r="D617" t="str">
        <f>LEFT(TDays[[#This Row],[تاریخ]],4)</f>
        <v>1402</v>
      </c>
      <c r="E617" t="str">
        <f>LEFT(TDays[[#This Row],[تاریخ]],7)</f>
        <v>1402-09</v>
      </c>
      <c r="F617">
        <v>1</v>
      </c>
      <c r="G617" s="15" t="str">
        <f>VLOOKUP(TDays[[#This Row],[کد روز هفته]],TDaysOfTheWeek[],2,FALSE)</f>
        <v>یکشنبه</v>
      </c>
      <c r="H617" s="15">
        <f>IFERROR(IF(E616&lt;&gt;E617,1,INT(H616)+IF(TDays[[#This Row],[کد روز هفته]]=0,1,0)),1)</f>
        <v>2</v>
      </c>
      <c r="I617">
        <f>-SUMIF(TArticle[تاریخ],TDays[[#This Row],[تاریخ]],TArticle[هزینه])</f>
        <v>0</v>
      </c>
      <c r="J617">
        <f>SUMIF(TArticle[تاریخ],TDays[[#This Row],[تاریخ]],TArticle[درآمد تتا])</f>
        <v>0</v>
      </c>
      <c r="K617">
        <f>SUMIF(TArticle[تاریخ],TDays[[#This Row],[تاریخ]],TArticle[اسنپ])</f>
        <v>0</v>
      </c>
      <c r="L617">
        <f>-SUMIF(TArticle[تاریخ],TDays[[#This Row],[تاریخ]],TArticle[پرداخت بدهی])</f>
        <v>0</v>
      </c>
      <c r="M617">
        <f>SUMIF(TArticle[تاریخ],TDays[[#This Row],[تاریخ]],TArticle[افزایش بدهی])</f>
        <v>0</v>
      </c>
      <c r="N617">
        <f>-SUMIF(TArticle[تاریخ],TDays[[#This Row],[تاریخ]],TArticle[افزایش سرمایه])</f>
        <v>0</v>
      </c>
      <c r="O617">
        <f>SUMIF(TArticle[تاریخ],TDays[[#This Row],[تاریخ]],TArticle[تعداد تراکنش انجام شده])</f>
        <v>0</v>
      </c>
      <c r="P617">
        <f>INT(((TDays[[#This Row],[ماه]]-1)*31+TDays[[#This Row],[روز]]+1)/7)+1</f>
        <v>37</v>
      </c>
      <c r="Q617">
        <f>SUMIF(TArticle[تاریخ],TDays[[#This Row],[تاریخ]],TArticle[تراکنش برنامه ریزی شده])</f>
        <v>0</v>
      </c>
    </row>
    <row r="618" spans="1:17" x14ac:dyDescent="0.25">
      <c r="A618" s="3" t="s">
        <v>804</v>
      </c>
      <c r="B618" t="str">
        <f>RIGHT(TDays[[#This Row],[تاریخ]],2)</f>
        <v>06</v>
      </c>
      <c r="C618" t="str">
        <f>RIGHT(LEFT(TDays[[#This Row],[تاریخ]],7),2)</f>
        <v>09</v>
      </c>
      <c r="D618" t="str">
        <f>LEFT(TDays[[#This Row],[تاریخ]],4)</f>
        <v>1402</v>
      </c>
      <c r="E618" t="str">
        <f>LEFT(TDays[[#This Row],[تاریخ]],7)</f>
        <v>1402-09</v>
      </c>
      <c r="F618">
        <v>2</v>
      </c>
      <c r="G618" s="15" t="str">
        <f>VLOOKUP(TDays[[#This Row],[کد روز هفته]],TDaysOfTheWeek[],2,FALSE)</f>
        <v>دوشنبه</v>
      </c>
      <c r="H618" s="15">
        <f>IFERROR(IF(E617&lt;&gt;E618,1,INT(H617)+IF(TDays[[#This Row],[کد روز هفته]]=0,1,0)),1)</f>
        <v>2</v>
      </c>
      <c r="I618">
        <f>-SUMIF(TArticle[تاریخ],TDays[[#This Row],[تاریخ]],TArticle[هزینه])</f>
        <v>0</v>
      </c>
      <c r="J618">
        <f>SUMIF(TArticle[تاریخ],TDays[[#This Row],[تاریخ]],TArticle[درآمد تتا])</f>
        <v>0</v>
      </c>
      <c r="K618">
        <f>SUMIF(TArticle[تاریخ],TDays[[#This Row],[تاریخ]],TArticle[اسنپ])</f>
        <v>0</v>
      </c>
      <c r="L618">
        <f>-SUMIF(TArticle[تاریخ],TDays[[#This Row],[تاریخ]],TArticle[پرداخت بدهی])</f>
        <v>0</v>
      </c>
      <c r="M618">
        <f>SUMIF(TArticle[تاریخ],TDays[[#This Row],[تاریخ]],TArticle[افزایش بدهی])</f>
        <v>0</v>
      </c>
      <c r="N618">
        <f>-SUMIF(TArticle[تاریخ],TDays[[#This Row],[تاریخ]],TArticle[افزایش سرمایه])</f>
        <v>0</v>
      </c>
      <c r="O618">
        <f>SUMIF(TArticle[تاریخ],TDays[[#This Row],[تاریخ]],TArticle[تعداد تراکنش انجام شده])</f>
        <v>0</v>
      </c>
      <c r="P618">
        <f>INT(((TDays[[#This Row],[ماه]]-1)*31+TDays[[#This Row],[روز]]+1)/7)+1</f>
        <v>37</v>
      </c>
      <c r="Q618">
        <f>SUMIF(TArticle[تاریخ],TDays[[#This Row],[تاریخ]],TArticle[تراکنش برنامه ریزی شده])</f>
        <v>0</v>
      </c>
    </row>
    <row r="619" spans="1:17" x14ac:dyDescent="0.25">
      <c r="A619" s="3" t="s">
        <v>805</v>
      </c>
      <c r="B619" t="str">
        <f>RIGHT(TDays[[#This Row],[تاریخ]],2)</f>
        <v>07</v>
      </c>
      <c r="C619" t="str">
        <f>RIGHT(LEFT(TDays[[#This Row],[تاریخ]],7),2)</f>
        <v>09</v>
      </c>
      <c r="D619" t="str">
        <f>LEFT(TDays[[#This Row],[تاریخ]],4)</f>
        <v>1402</v>
      </c>
      <c r="E619" t="str">
        <f>LEFT(TDays[[#This Row],[تاریخ]],7)</f>
        <v>1402-09</v>
      </c>
      <c r="F619">
        <v>3</v>
      </c>
      <c r="G619" s="15" t="str">
        <f>VLOOKUP(TDays[[#This Row],[کد روز هفته]],TDaysOfTheWeek[],2,FALSE)</f>
        <v>سه شنبه</v>
      </c>
      <c r="H619" s="15">
        <f>IFERROR(IF(E618&lt;&gt;E619,1,INT(H618)+IF(TDays[[#This Row],[کد روز هفته]]=0,1,0)),1)</f>
        <v>2</v>
      </c>
      <c r="I619">
        <f>-SUMIF(TArticle[تاریخ],TDays[[#This Row],[تاریخ]],TArticle[هزینه])</f>
        <v>0</v>
      </c>
      <c r="J619">
        <f>SUMIF(TArticle[تاریخ],TDays[[#This Row],[تاریخ]],TArticle[درآمد تتا])</f>
        <v>0</v>
      </c>
      <c r="K619">
        <f>SUMIF(TArticle[تاریخ],TDays[[#This Row],[تاریخ]],TArticle[اسنپ])</f>
        <v>0</v>
      </c>
      <c r="L619">
        <f>-SUMIF(TArticle[تاریخ],TDays[[#This Row],[تاریخ]],TArticle[پرداخت بدهی])</f>
        <v>0</v>
      </c>
      <c r="M619">
        <f>SUMIF(TArticle[تاریخ],TDays[[#This Row],[تاریخ]],TArticle[افزایش بدهی])</f>
        <v>0</v>
      </c>
      <c r="N619">
        <f>-SUMIF(TArticle[تاریخ],TDays[[#This Row],[تاریخ]],TArticle[افزایش سرمایه])</f>
        <v>0</v>
      </c>
      <c r="O619">
        <f>SUMIF(TArticle[تاریخ],TDays[[#This Row],[تاریخ]],TArticle[تعداد تراکنش انجام شده])</f>
        <v>0</v>
      </c>
      <c r="P619">
        <f>INT(((TDays[[#This Row],[ماه]]-1)*31+TDays[[#This Row],[روز]]+1)/7)+1</f>
        <v>37</v>
      </c>
      <c r="Q619">
        <f>SUMIF(TArticle[تاریخ],TDays[[#This Row],[تاریخ]],TArticle[تراکنش برنامه ریزی شده])</f>
        <v>0</v>
      </c>
    </row>
    <row r="620" spans="1:17" x14ac:dyDescent="0.25">
      <c r="A620" s="3" t="s">
        <v>806</v>
      </c>
      <c r="B620" t="str">
        <f>RIGHT(TDays[[#This Row],[تاریخ]],2)</f>
        <v>08</v>
      </c>
      <c r="C620" t="str">
        <f>RIGHT(LEFT(TDays[[#This Row],[تاریخ]],7),2)</f>
        <v>09</v>
      </c>
      <c r="D620" t="str">
        <f>LEFT(TDays[[#This Row],[تاریخ]],4)</f>
        <v>1402</v>
      </c>
      <c r="E620" t="str">
        <f>LEFT(TDays[[#This Row],[تاریخ]],7)</f>
        <v>1402-09</v>
      </c>
      <c r="F620">
        <v>4</v>
      </c>
      <c r="G620" s="15" t="str">
        <f>VLOOKUP(TDays[[#This Row],[کد روز هفته]],TDaysOfTheWeek[],2,FALSE)</f>
        <v>چهارشنبه</v>
      </c>
      <c r="H620" s="15">
        <f>IFERROR(IF(E619&lt;&gt;E620,1,INT(H619)+IF(TDays[[#This Row],[کد روز هفته]]=0,1,0)),1)</f>
        <v>2</v>
      </c>
      <c r="I620">
        <f>-SUMIF(TArticle[تاریخ],TDays[[#This Row],[تاریخ]],TArticle[هزینه])</f>
        <v>0</v>
      </c>
      <c r="J620">
        <f>SUMIF(TArticle[تاریخ],TDays[[#This Row],[تاریخ]],TArticle[درآمد تتا])</f>
        <v>0</v>
      </c>
      <c r="K620">
        <f>SUMIF(TArticle[تاریخ],TDays[[#This Row],[تاریخ]],TArticle[اسنپ])</f>
        <v>0</v>
      </c>
      <c r="L620">
        <f>-SUMIF(TArticle[تاریخ],TDays[[#This Row],[تاریخ]],TArticle[پرداخت بدهی])</f>
        <v>0</v>
      </c>
      <c r="M620">
        <f>SUMIF(TArticle[تاریخ],TDays[[#This Row],[تاریخ]],TArticle[افزایش بدهی])</f>
        <v>0</v>
      </c>
      <c r="N620">
        <f>-SUMIF(TArticle[تاریخ],TDays[[#This Row],[تاریخ]],TArticle[افزایش سرمایه])</f>
        <v>0</v>
      </c>
      <c r="O620">
        <f>SUMIF(TArticle[تاریخ],TDays[[#This Row],[تاریخ]],TArticle[تعداد تراکنش انجام شده])</f>
        <v>0</v>
      </c>
      <c r="P620">
        <f>INT(((TDays[[#This Row],[ماه]]-1)*31+TDays[[#This Row],[روز]]+1)/7)+1</f>
        <v>37</v>
      </c>
      <c r="Q620">
        <f>SUMIF(TArticle[تاریخ],TDays[[#This Row],[تاریخ]],TArticle[تراکنش برنامه ریزی شده])</f>
        <v>0</v>
      </c>
    </row>
    <row r="621" spans="1:17" x14ac:dyDescent="0.25">
      <c r="A621" s="3" t="s">
        <v>807</v>
      </c>
      <c r="B621" t="str">
        <f>RIGHT(TDays[[#This Row],[تاریخ]],2)</f>
        <v>09</v>
      </c>
      <c r="C621" t="str">
        <f>RIGHT(LEFT(TDays[[#This Row],[تاریخ]],7),2)</f>
        <v>09</v>
      </c>
      <c r="D621" t="str">
        <f>LEFT(TDays[[#This Row],[تاریخ]],4)</f>
        <v>1402</v>
      </c>
      <c r="E621" t="str">
        <f>LEFT(TDays[[#This Row],[تاریخ]],7)</f>
        <v>1402-09</v>
      </c>
      <c r="F621">
        <v>5</v>
      </c>
      <c r="G621" s="15" t="str">
        <f>VLOOKUP(TDays[[#This Row],[کد روز هفته]],TDaysOfTheWeek[],2,FALSE)</f>
        <v>پنجشنبه</v>
      </c>
      <c r="H621" s="15">
        <f>IFERROR(IF(E620&lt;&gt;E621,1,INT(H620)+IF(TDays[[#This Row],[کد روز هفته]]=0,1,0)),1)</f>
        <v>2</v>
      </c>
      <c r="I621">
        <f>-SUMIF(TArticle[تاریخ],TDays[[#This Row],[تاریخ]],TArticle[هزینه])</f>
        <v>0</v>
      </c>
      <c r="J621">
        <f>SUMIF(TArticle[تاریخ],TDays[[#This Row],[تاریخ]],TArticle[درآمد تتا])</f>
        <v>0</v>
      </c>
      <c r="K621">
        <f>SUMIF(TArticle[تاریخ],TDays[[#This Row],[تاریخ]],TArticle[اسنپ])</f>
        <v>0</v>
      </c>
      <c r="L621">
        <f>-SUMIF(TArticle[تاریخ],TDays[[#This Row],[تاریخ]],TArticle[پرداخت بدهی])</f>
        <v>0</v>
      </c>
      <c r="M621">
        <f>SUMIF(TArticle[تاریخ],TDays[[#This Row],[تاریخ]],TArticle[افزایش بدهی])</f>
        <v>0</v>
      </c>
      <c r="N621">
        <f>-SUMIF(TArticle[تاریخ],TDays[[#This Row],[تاریخ]],TArticle[افزایش سرمایه])</f>
        <v>0</v>
      </c>
      <c r="O621">
        <f>SUMIF(TArticle[تاریخ],TDays[[#This Row],[تاریخ]],TArticle[تعداد تراکنش انجام شده])</f>
        <v>0</v>
      </c>
      <c r="P621">
        <f>INT(((TDays[[#This Row],[ماه]]-1)*31+TDays[[#This Row],[روز]]+1)/7)+1</f>
        <v>37</v>
      </c>
      <c r="Q621">
        <f>SUMIF(TArticle[تاریخ],TDays[[#This Row],[تاریخ]],TArticle[تراکنش برنامه ریزی شده])</f>
        <v>1</v>
      </c>
    </row>
    <row r="622" spans="1:17" x14ac:dyDescent="0.25">
      <c r="A622" s="3" t="s">
        <v>808</v>
      </c>
      <c r="B622" t="str">
        <f>RIGHT(TDays[[#This Row],[تاریخ]],2)</f>
        <v>10</v>
      </c>
      <c r="C622" t="str">
        <f>RIGHT(LEFT(TDays[[#This Row],[تاریخ]],7),2)</f>
        <v>09</v>
      </c>
      <c r="D622" t="str">
        <f>LEFT(TDays[[#This Row],[تاریخ]],4)</f>
        <v>1402</v>
      </c>
      <c r="E622" t="str">
        <f>LEFT(TDays[[#This Row],[تاریخ]],7)</f>
        <v>1402-09</v>
      </c>
      <c r="F622">
        <v>6</v>
      </c>
      <c r="G622" s="15" t="str">
        <f>VLOOKUP(TDays[[#This Row],[کد روز هفته]],TDaysOfTheWeek[],2,FALSE)</f>
        <v>جمعه</v>
      </c>
      <c r="H622" s="15">
        <f>IFERROR(IF(E621&lt;&gt;E622,1,INT(H621)+IF(TDays[[#This Row],[کد روز هفته]]=0,1,0)),1)</f>
        <v>2</v>
      </c>
      <c r="I622">
        <f>-SUMIF(TArticle[تاریخ],TDays[[#This Row],[تاریخ]],TArticle[هزینه])</f>
        <v>0</v>
      </c>
      <c r="J622">
        <f>SUMIF(TArticle[تاریخ],TDays[[#This Row],[تاریخ]],TArticle[درآمد تتا])</f>
        <v>0</v>
      </c>
      <c r="K622">
        <f>SUMIF(TArticle[تاریخ],TDays[[#This Row],[تاریخ]],TArticle[اسنپ])</f>
        <v>0</v>
      </c>
      <c r="L622">
        <f>-SUMIF(TArticle[تاریخ],TDays[[#This Row],[تاریخ]],TArticle[پرداخت بدهی])</f>
        <v>0</v>
      </c>
      <c r="M622">
        <f>SUMIF(TArticle[تاریخ],TDays[[#This Row],[تاریخ]],TArticle[افزایش بدهی])</f>
        <v>0</v>
      </c>
      <c r="N622">
        <f>-SUMIF(TArticle[تاریخ],TDays[[#This Row],[تاریخ]],TArticle[افزایش سرمایه])</f>
        <v>0</v>
      </c>
      <c r="O622">
        <f>SUMIF(TArticle[تاریخ],TDays[[#This Row],[تاریخ]],TArticle[تعداد تراکنش انجام شده])</f>
        <v>0</v>
      </c>
      <c r="P622">
        <f>INT(((TDays[[#This Row],[ماه]]-1)*31+TDays[[#This Row],[روز]]+1)/7)+1</f>
        <v>38</v>
      </c>
      <c r="Q622">
        <f>SUMIF(TArticle[تاریخ],TDays[[#This Row],[تاریخ]],TArticle[تراکنش برنامه ریزی شده])</f>
        <v>0</v>
      </c>
    </row>
    <row r="623" spans="1:17" x14ac:dyDescent="0.25">
      <c r="A623" s="3" t="s">
        <v>809</v>
      </c>
      <c r="B623" t="str">
        <f>RIGHT(TDays[[#This Row],[تاریخ]],2)</f>
        <v>11</v>
      </c>
      <c r="C623" t="str">
        <f>RIGHT(LEFT(TDays[[#This Row],[تاریخ]],7),2)</f>
        <v>09</v>
      </c>
      <c r="D623" t="str">
        <f>LEFT(TDays[[#This Row],[تاریخ]],4)</f>
        <v>1402</v>
      </c>
      <c r="E623" t="str">
        <f>LEFT(TDays[[#This Row],[تاریخ]],7)</f>
        <v>1402-09</v>
      </c>
      <c r="F623">
        <v>0</v>
      </c>
      <c r="G623" s="15" t="str">
        <f>VLOOKUP(TDays[[#This Row],[کد روز هفته]],TDaysOfTheWeek[],2,FALSE)</f>
        <v>شنبه</v>
      </c>
      <c r="H623" s="15">
        <f>IFERROR(IF(E622&lt;&gt;E623,1,INT(H622)+IF(TDays[[#This Row],[کد روز هفته]]=0,1,0)),1)</f>
        <v>3</v>
      </c>
      <c r="I623">
        <f>-SUMIF(TArticle[تاریخ],TDays[[#This Row],[تاریخ]],TArticle[هزینه])</f>
        <v>0</v>
      </c>
      <c r="J623">
        <f>SUMIF(TArticle[تاریخ],TDays[[#This Row],[تاریخ]],TArticle[درآمد تتا])</f>
        <v>0</v>
      </c>
      <c r="K623">
        <f>SUMIF(TArticle[تاریخ],TDays[[#This Row],[تاریخ]],TArticle[اسنپ])</f>
        <v>0</v>
      </c>
      <c r="L623">
        <f>-SUMIF(TArticle[تاریخ],TDays[[#This Row],[تاریخ]],TArticle[پرداخت بدهی])</f>
        <v>0</v>
      </c>
      <c r="M623">
        <f>SUMIF(TArticle[تاریخ],TDays[[#This Row],[تاریخ]],TArticle[افزایش بدهی])</f>
        <v>0</v>
      </c>
      <c r="N623">
        <f>-SUMIF(TArticle[تاریخ],TDays[[#This Row],[تاریخ]],TArticle[افزایش سرمایه])</f>
        <v>0</v>
      </c>
      <c r="O623">
        <f>SUMIF(TArticle[تاریخ],TDays[[#This Row],[تاریخ]],TArticle[تعداد تراکنش انجام شده])</f>
        <v>0</v>
      </c>
      <c r="P623">
        <f>INT(((TDays[[#This Row],[ماه]]-1)*31+TDays[[#This Row],[روز]]+1)/7)+1</f>
        <v>38</v>
      </c>
      <c r="Q623">
        <f>SUMIF(TArticle[تاریخ],TDays[[#This Row],[تاریخ]],TArticle[تراکنش برنامه ریزی شده])</f>
        <v>1</v>
      </c>
    </row>
    <row r="624" spans="1:17" x14ac:dyDescent="0.25">
      <c r="A624" s="3" t="s">
        <v>810</v>
      </c>
      <c r="B624" t="str">
        <f>RIGHT(TDays[[#This Row],[تاریخ]],2)</f>
        <v>12</v>
      </c>
      <c r="C624" t="str">
        <f>RIGHT(LEFT(TDays[[#This Row],[تاریخ]],7),2)</f>
        <v>09</v>
      </c>
      <c r="D624" t="str">
        <f>LEFT(TDays[[#This Row],[تاریخ]],4)</f>
        <v>1402</v>
      </c>
      <c r="E624" t="str">
        <f>LEFT(TDays[[#This Row],[تاریخ]],7)</f>
        <v>1402-09</v>
      </c>
      <c r="F624">
        <v>1</v>
      </c>
      <c r="G624" s="15" t="str">
        <f>VLOOKUP(TDays[[#This Row],[کد روز هفته]],TDaysOfTheWeek[],2,FALSE)</f>
        <v>یکشنبه</v>
      </c>
      <c r="H624" s="15">
        <f>IFERROR(IF(E623&lt;&gt;E624,1,INT(H623)+IF(TDays[[#This Row],[کد روز هفته]]=0,1,0)),1)</f>
        <v>3</v>
      </c>
      <c r="I624">
        <f>-SUMIF(TArticle[تاریخ],TDays[[#This Row],[تاریخ]],TArticle[هزینه])</f>
        <v>0</v>
      </c>
      <c r="J624">
        <f>SUMIF(TArticle[تاریخ],TDays[[#This Row],[تاریخ]],TArticle[درآمد تتا])</f>
        <v>0</v>
      </c>
      <c r="K624">
        <f>SUMIF(TArticle[تاریخ],TDays[[#This Row],[تاریخ]],TArticle[اسنپ])</f>
        <v>0</v>
      </c>
      <c r="L624">
        <f>-SUMIF(TArticle[تاریخ],TDays[[#This Row],[تاریخ]],TArticle[پرداخت بدهی])</f>
        <v>0</v>
      </c>
      <c r="M624">
        <f>SUMIF(TArticle[تاریخ],TDays[[#This Row],[تاریخ]],TArticle[افزایش بدهی])</f>
        <v>0</v>
      </c>
      <c r="N624">
        <f>-SUMIF(TArticle[تاریخ],TDays[[#This Row],[تاریخ]],TArticle[افزایش سرمایه])</f>
        <v>0</v>
      </c>
      <c r="O624">
        <f>SUMIF(TArticle[تاریخ],TDays[[#This Row],[تاریخ]],TArticle[تعداد تراکنش انجام شده])</f>
        <v>0</v>
      </c>
      <c r="P624">
        <f>INT(((TDays[[#This Row],[ماه]]-1)*31+TDays[[#This Row],[روز]]+1)/7)+1</f>
        <v>38</v>
      </c>
      <c r="Q624">
        <f>SUMIF(TArticle[تاریخ],TDays[[#This Row],[تاریخ]],TArticle[تراکنش برنامه ریزی شده])</f>
        <v>0</v>
      </c>
    </row>
    <row r="625" spans="1:17" x14ac:dyDescent="0.25">
      <c r="A625" s="3" t="s">
        <v>811</v>
      </c>
      <c r="B625" t="str">
        <f>RIGHT(TDays[[#This Row],[تاریخ]],2)</f>
        <v>13</v>
      </c>
      <c r="C625" t="str">
        <f>RIGHT(LEFT(TDays[[#This Row],[تاریخ]],7),2)</f>
        <v>09</v>
      </c>
      <c r="D625" t="str">
        <f>LEFT(TDays[[#This Row],[تاریخ]],4)</f>
        <v>1402</v>
      </c>
      <c r="E625" t="str">
        <f>LEFT(TDays[[#This Row],[تاریخ]],7)</f>
        <v>1402-09</v>
      </c>
      <c r="F625">
        <v>2</v>
      </c>
      <c r="G625" s="15" t="str">
        <f>VLOOKUP(TDays[[#This Row],[کد روز هفته]],TDaysOfTheWeek[],2,FALSE)</f>
        <v>دوشنبه</v>
      </c>
      <c r="H625" s="15">
        <f>IFERROR(IF(E624&lt;&gt;E625,1,INT(H624)+IF(TDays[[#This Row],[کد روز هفته]]=0,1,0)),1)</f>
        <v>3</v>
      </c>
      <c r="I625">
        <f>-SUMIF(TArticle[تاریخ],TDays[[#This Row],[تاریخ]],TArticle[هزینه])</f>
        <v>0</v>
      </c>
      <c r="J625">
        <f>SUMIF(TArticle[تاریخ],TDays[[#This Row],[تاریخ]],TArticle[درآمد تتا])</f>
        <v>0</v>
      </c>
      <c r="K625">
        <f>SUMIF(TArticle[تاریخ],TDays[[#This Row],[تاریخ]],TArticle[اسنپ])</f>
        <v>0</v>
      </c>
      <c r="L625">
        <f>-SUMIF(TArticle[تاریخ],TDays[[#This Row],[تاریخ]],TArticle[پرداخت بدهی])</f>
        <v>0</v>
      </c>
      <c r="M625">
        <f>SUMIF(TArticle[تاریخ],TDays[[#This Row],[تاریخ]],TArticle[افزایش بدهی])</f>
        <v>0</v>
      </c>
      <c r="N625">
        <f>-SUMIF(TArticle[تاریخ],TDays[[#This Row],[تاریخ]],TArticle[افزایش سرمایه])</f>
        <v>0</v>
      </c>
      <c r="O625">
        <f>SUMIF(TArticle[تاریخ],TDays[[#This Row],[تاریخ]],TArticle[تعداد تراکنش انجام شده])</f>
        <v>0</v>
      </c>
      <c r="P625">
        <f>INT(((TDays[[#This Row],[ماه]]-1)*31+TDays[[#This Row],[روز]]+1)/7)+1</f>
        <v>38</v>
      </c>
      <c r="Q625">
        <f>SUMIF(TArticle[تاریخ],TDays[[#This Row],[تاریخ]],TArticle[تراکنش برنامه ریزی شده])</f>
        <v>0</v>
      </c>
    </row>
    <row r="626" spans="1:17" x14ac:dyDescent="0.25">
      <c r="A626" s="3" t="s">
        <v>812</v>
      </c>
      <c r="B626" t="str">
        <f>RIGHT(TDays[[#This Row],[تاریخ]],2)</f>
        <v>14</v>
      </c>
      <c r="C626" t="str">
        <f>RIGHT(LEFT(TDays[[#This Row],[تاریخ]],7),2)</f>
        <v>09</v>
      </c>
      <c r="D626" t="str">
        <f>LEFT(TDays[[#This Row],[تاریخ]],4)</f>
        <v>1402</v>
      </c>
      <c r="E626" t="str">
        <f>LEFT(TDays[[#This Row],[تاریخ]],7)</f>
        <v>1402-09</v>
      </c>
      <c r="F626">
        <v>3</v>
      </c>
      <c r="G626" s="15" t="str">
        <f>VLOOKUP(TDays[[#This Row],[کد روز هفته]],TDaysOfTheWeek[],2,FALSE)</f>
        <v>سه شنبه</v>
      </c>
      <c r="H626" s="15">
        <f>IFERROR(IF(E625&lt;&gt;E626,1,INT(H625)+IF(TDays[[#This Row],[کد روز هفته]]=0,1,0)),1)</f>
        <v>3</v>
      </c>
      <c r="I626">
        <f>-SUMIF(TArticle[تاریخ],TDays[[#This Row],[تاریخ]],TArticle[هزینه])</f>
        <v>0</v>
      </c>
      <c r="J626">
        <f>SUMIF(TArticle[تاریخ],TDays[[#This Row],[تاریخ]],TArticle[درآمد تتا])</f>
        <v>0</v>
      </c>
      <c r="K626">
        <f>SUMIF(TArticle[تاریخ],TDays[[#This Row],[تاریخ]],TArticle[اسنپ])</f>
        <v>0</v>
      </c>
      <c r="L626">
        <f>-SUMIF(TArticle[تاریخ],TDays[[#This Row],[تاریخ]],TArticle[پرداخت بدهی])</f>
        <v>0</v>
      </c>
      <c r="M626">
        <f>SUMIF(TArticle[تاریخ],TDays[[#This Row],[تاریخ]],TArticle[افزایش بدهی])</f>
        <v>0</v>
      </c>
      <c r="N626">
        <f>-SUMIF(TArticle[تاریخ],TDays[[#This Row],[تاریخ]],TArticle[افزایش سرمایه])</f>
        <v>0</v>
      </c>
      <c r="O626">
        <f>SUMIF(TArticle[تاریخ],TDays[[#This Row],[تاریخ]],TArticle[تعداد تراکنش انجام شده])</f>
        <v>0</v>
      </c>
      <c r="P626">
        <f>INT(((TDays[[#This Row],[ماه]]-1)*31+TDays[[#This Row],[روز]]+1)/7)+1</f>
        <v>38</v>
      </c>
      <c r="Q626">
        <f>SUMIF(TArticle[تاریخ],TDays[[#This Row],[تاریخ]],TArticle[تراکنش برنامه ریزی شده])</f>
        <v>0</v>
      </c>
    </row>
    <row r="627" spans="1:17" x14ac:dyDescent="0.25">
      <c r="A627" s="3" t="s">
        <v>813</v>
      </c>
      <c r="B627" t="str">
        <f>RIGHT(TDays[[#This Row],[تاریخ]],2)</f>
        <v>15</v>
      </c>
      <c r="C627" t="str">
        <f>RIGHT(LEFT(TDays[[#This Row],[تاریخ]],7),2)</f>
        <v>09</v>
      </c>
      <c r="D627" t="str">
        <f>LEFT(TDays[[#This Row],[تاریخ]],4)</f>
        <v>1402</v>
      </c>
      <c r="E627" t="str">
        <f>LEFT(TDays[[#This Row],[تاریخ]],7)</f>
        <v>1402-09</v>
      </c>
      <c r="F627">
        <v>4</v>
      </c>
      <c r="G627" s="15" t="str">
        <f>VLOOKUP(TDays[[#This Row],[کد روز هفته]],TDaysOfTheWeek[],2,FALSE)</f>
        <v>چهارشنبه</v>
      </c>
      <c r="H627" s="15">
        <f>IFERROR(IF(E626&lt;&gt;E627,1,INT(H626)+IF(TDays[[#This Row],[کد روز هفته]]=0,1,0)),1)</f>
        <v>3</v>
      </c>
      <c r="I627">
        <f>-SUMIF(TArticle[تاریخ],TDays[[#This Row],[تاریخ]],TArticle[هزینه])</f>
        <v>0</v>
      </c>
      <c r="J627">
        <f>SUMIF(TArticle[تاریخ],TDays[[#This Row],[تاریخ]],TArticle[درآمد تتا])</f>
        <v>0</v>
      </c>
      <c r="K627">
        <f>SUMIF(TArticle[تاریخ],TDays[[#This Row],[تاریخ]],TArticle[اسنپ])</f>
        <v>0</v>
      </c>
      <c r="L627">
        <f>-SUMIF(TArticle[تاریخ],TDays[[#This Row],[تاریخ]],TArticle[پرداخت بدهی])</f>
        <v>0</v>
      </c>
      <c r="M627">
        <f>SUMIF(TArticle[تاریخ],TDays[[#This Row],[تاریخ]],TArticle[افزایش بدهی])</f>
        <v>0</v>
      </c>
      <c r="N627">
        <f>-SUMIF(TArticle[تاریخ],TDays[[#This Row],[تاریخ]],TArticle[افزایش سرمایه])</f>
        <v>0</v>
      </c>
      <c r="O627">
        <f>SUMIF(TArticle[تاریخ],TDays[[#This Row],[تاریخ]],TArticle[تعداد تراکنش انجام شده])</f>
        <v>0</v>
      </c>
      <c r="P627">
        <f>INT(((TDays[[#This Row],[ماه]]-1)*31+TDays[[#This Row],[روز]]+1)/7)+1</f>
        <v>38</v>
      </c>
      <c r="Q627">
        <f>SUMIF(TArticle[تاریخ],TDays[[#This Row],[تاریخ]],TArticle[تراکنش برنامه ریزی شده])</f>
        <v>0</v>
      </c>
    </row>
    <row r="628" spans="1:17" x14ac:dyDescent="0.25">
      <c r="A628" s="3" t="s">
        <v>814</v>
      </c>
      <c r="B628" t="str">
        <f>RIGHT(TDays[[#This Row],[تاریخ]],2)</f>
        <v>16</v>
      </c>
      <c r="C628" t="str">
        <f>RIGHT(LEFT(TDays[[#This Row],[تاریخ]],7),2)</f>
        <v>09</v>
      </c>
      <c r="D628" t="str">
        <f>LEFT(TDays[[#This Row],[تاریخ]],4)</f>
        <v>1402</v>
      </c>
      <c r="E628" t="str">
        <f>LEFT(TDays[[#This Row],[تاریخ]],7)</f>
        <v>1402-09</v>
      </c>
      <c r="F628">
        <v>5</v>
      </c>
      <c r="G628" s="15" t="str">
        <f>VLOOKUP(TDays[[#This Row],[کد روز هفته]],TDaysOfTheWeek[],2,FALSE)</f>
        <v>پنجشنبه</v>
      </c>
      <c r="H628" s="15">
        <f>IFERROR(IF(E627&lt;&gt;E628,1,INT(H627)+IF(TDays[[#This Row],[کد روز هفته]]=0,1,0)),1)</f>
        <v>3</v>
      </c>
      <c r="I628">
        <f>-SUMIF(TArticle[تاریخ],TDays[[#This Row],[تاریخ]],TArticle[هزینه])</f>
        <v>0</v>
      </c>
      <c r="J628">
        <f>SUMIF(TArticle[تاریخ],TDays[[#This Row],[تاریخ]],TArticle[درآمد تتا])</f>
        <v>0</v>
      </c>
      <c r="K628">
        <f>SUMIF(TArticle[تاریخ],TDays[[#This Row],[تاریخ]],TArticle[اسنپ])</f>
        <v>0</v>
      </c>
      <c r="L628">
        <f>-SUMIF(TArticle[تاریخ],TDays[[#This Row],[تاریخ]],TArticle[پرداخت بدهی])</f>
        <v>0</v>
      </c>
      <c r="M628">
        <f>SUMIF(TArticle[تاریخ],TDays[[#This Row],[تاریخ]],TArticle[افزایش بدهی])</f>
        <v>0</v>
      </c>
      <c r="N628">
        <f>-SUMIF(TArticle[تاریخ],TDays[[#This Row],[تاریخ]],TArticle[افزایش سرمایه])</f>
        <v>0</v>
      </c>
      <c r="O628">
        <f>SUMIF(TArticle[تاریخ],TDays[[#This Row],[تاریخ]],TArticle[تعداد تراکنش انجام شده])</f>
        <v>0</v>
      </c>
      <c r="P628">
        <f>INT(((TDays[[#This Row],[ماه]]-1)*31+TDays[[#This Row],[روز]]+1)/7)+1</f>
        <v>38</v>
      </c>
      <c r="Q628">
        <f>SUMIF(TArticle[تاریخ],TDays[[#This Row],[تاریخ]],TArticle[تراکنش برنامه ریزی شده])</f>
        <v>0</v>
      </c>
    </row>
    <row r="629" spans="1:17" x14ac:dyDescent="0.25">
      <c r="A629" s="3" t="s">
        <v>815</v>
      </c>
      <c r="B629" t="str">
        <f>RIGHT(TDays[[#This Row],[تاریخ]],2)</f>
        <v>17</v>
      </c>
      <c r="C629" t="str">
        <f>RIGHT(LEFT(TDays[[#This Row],[تاریخ]],7),2)</f>
        <v>09</v>
      </c>
      <c r="D629" t="str">
        <f>LEFT(TDays[[#This Row],[تاریخ]],4)</f>
        <v>1402</v>
      </c>
      <c r="E629" t="str">
        <f>LEFT(TDays[[#This Row],[تاریخ]],7)</f>
        <v>1402-09</v>
      </c>
      <c r="F629">
        <v>6</v>
      </c>
      <c r="G629" s="15" t="str">
        <f>VLOOKUP(TDays[[#This Row],[کد روز هفته]],TDaysOfTheWeek[],2,FALSE)</f>
        <v>جمعه</v>
      </c>
      <c r="H629" s="15">
        <f>IFERROR(IF(E628&lt;&gt;E629,1,INT(H628)+IF(TDays[[#This Row],[کد روز هفته]]=0,1,0)),1)</f>
        <v>3</v>
      </c>
      <c r="I629">
        <f>-SUMIF(TArticle[تاریخ],TDays[[#This Row],[تاریخ]],TArticle[هزینه])</f>
        <v>0</v>
      </c>
      <c r="J629">
        <f>SUMIF(TArticle[تاریخ],TDays[[#This Row],[تاریخ]],TArticle[درآمد تتا])</f>
        <v>0</v>
      </c>
      <c r="K629">
        <f>SUMIF(TArticle[تاریخ],TDays[[#This Row],[تاریخ]],TArticle[اسنپ])</f>
        <v>0</v>
      </c>
      <c r="L629">
        <f>-SUMIF(TArticle[تاریخ],TDays[[#This Row],[تاریخ]],TArticle[پرداخت بدهی])</f>
        <v>0</v>
      </c>
      <c r="M629">
        <f>SUMIF(TArticle[تاریخ],TDays[[#This Row],[تاریخ]],TArticle[افزایش بدهی])</f>
        <v>0</v>
      </c>
      <c r="N629">
        <f>-SUMIF(TArticle[تاریخ],TDays[[#This Row],[تاریخ]],TArticle[افزایش سرمایه])</f>
        <v>0</v>
      </c>
      <c r="O629">
        <f>SUMIF(TArticle[تاریخ],TDays[[#This Row],[تاریخ]],TArticle[تعداد تراکنش انجام شده])</f>
        <v>0</v>
      </c>
      <c r="P629">
        <f>INT(((TDays[[#This Row],[ماه]]-1)*31+TDays[[#This Row],[روز]]+1)/7)+1</f>
        <v>39</v>
      </c>
      <c r="Q629">
        <f>SUMIF(TArticle[تاریخ],TDays[[#This Row],[تاریخ]],TArticle[تراکنش برنامه ریزی شده])</f>
        <v>1</v>
      </c>
    </row>
    <row r="630" spans="1:17" x14ac:dyDescent="0.25">
      <c r="A630" s="3" t="s">
        <v>816</v>
      </c>
      <c r="B630" t="str">
        <f>RIGHT(TDays[[#This Row],[تاریخ]],2)</f>
        <v>18</v>
      </c>
      <c r="C630" t="str">
        <f>RIGHT(LEFT(TDays[[#This Row],[تاریخ]],7),2)</f>
        <v>09</v>
      </c>
      <c r="D630" t="str">
        <f>LEFT(TDays[[#This Row],[تاریخ]],4)</f>
        <v>1402</v>
      </c>
      <c r="E630" t="str">
        <f>LEFT(TDays[[#This Row],[تاریخ]],7)</f>
        <v>1402-09</v>
      </c>
      <c r="F630">
        <v>0</v>
      </c>
      <c r="G630" s="15" t="str">
        <f>VLOOKUP(TDays[[#This Row],[کد روز هفته]],TDaysOfTheWeek[],2,FALSE)</f>
        <v>شنبه</v>
      </c>
      <c r="H630" s="15">
        <f>IFERROR(IF(E629&lt;&gt;E630,1,INT(H629)+IF(TDays[[#This Row],[کد روز هفته]]=0,1,0)),1)</f>
        <v>4</v>
      </c>
      <c r="I630">
        <f>-SUMIF(TArticle[تاریخ],TDays[[#This Row],[تاریخ]],TArticle[هزینه])</f>
        <v>0</v>
      </c>
      <c r="J630">
        <f>SUMIF(TArticle[تاریخ],TDays[[#This Row],[تاریخ]],TArticle[درآمد تتا])</f>
        <v>0</v>
      </c>
      <c r="K630">
        <f>SUMIF(TArticle[تاریخ],TDays[[#This Row],[تاریخ]],TArticle[اسنپ])</f>
        <v>0</v>
      </c>
      <c r="L630">
        <f>-SUMIF(TArticle[تاریخ],TDays[[#This Row],[تاریخ]],TArticle[پرداخت بدهی])</f>
        <v>0</v>
      </c>
      <c r="M630">
        <f>SUMIF(TArticle[تاریخ],TDays[[#This Row],[تاریخ]],TArticle[افزایش بدهی])</f>
        <v>0</v>
      </c>
      <c r="N630">
        <f>-SUMIF(TArticle[تاریخ],TDays[[#This Row],[تاریخ]],TArticle[افزایش سرمایه])</f>
        <v>0</v>
      </c>
      <c r="O630">
        <f>SUMIF(TArticle[تاریخ],TDays[[#This Row],[تاریخ]],TArticle[تعداد تراکنش انجام شده])</f>
        <v>0</v>
      </c>
      <c r="P630">
        <f>INT(((TDays[[#This Row],[ماه]]-1)*31+TDays[[#This Row],[روز]]+1)/7)+1</f>
        <v>39</v>
      </c>
      <c r="Q630">
        <f>SUMIF(TArticle[تاریخ],TDays[[#This Row],[تاریخ]],TArticle[تراکنش برنامه ریزی شده])</f>
        <v>0</v>
      </c>
    </row>
    <row r="631" spans="1:17" x14ac:dyDescent="0.25">
      <c r="A631" s="3" t="s">
        <v>817</v>
      </c>
      <c r="B631" t="str">
        <f>RIGHT(TDays[[#This Row],[تاریخ]],2)</f>
        <v>19</v>
      </c>
      <c r="C631" t="str">
        <f>RIGHT(LEFT(TDays[[#This Row],[تاریخ]],7),2)</f>
        <v>09</v>
      </c>
      <c r="D631" t="str">
        <f>LEFT(TDays[[#This Row],[تاریخ]],4)</f>
        <v>1402</v>
      </c>
      <c r="E631" t="str">
        <f>LEFT(TDays[[#This Row],[تاریخ]],7)</f>
        <v>1402-09</v>
      </c>
      <c r="F631">
        <v>1</v>
      </c>
      <c r="G631" s="15" t="str">
        <f>VLOOKUP(TDays[[#This Row],[کد روز هفته]],TDaysOfTheWeek[],2,FALSE)</f>
        <v>یکشنبه</v>
      </c>
      <c r="H631" s="15">
        <f>IFERROR(IF(E630&lt;&gt;E631,1,INT(H630)+IF(TDays[[#This Row],[کد روز هفته]]=0,1,0)),1)</f>
        <v>4</v>
      </c>
      <c r="I631">
        <f>-SUMIF(TArticle[تاریخ],TDays[[#This Row],[تاریخ]],TArticle[هزینه])</f>
        <v>0</v>
      </c>
      <c r="J631">
        <f>SUMIF(TArticle[تاریخ],TDays[[#This Row],[تاریخ]],TArticle[درآمد تتا])</f>
        <v>0</v>
      </c>
      <c r="K631">
        <f>SUMIF(TArticle[تاریخ],TDays[[#This Row],[تاریخ]],TArticle[اسنپ])</f>
        <v>0</v>
      </c>
      <c r="L631">
        <f>-SUMIF(TArticle[تاریخ],TDays[[#This Row],[تاریخ]],TArticle[پرداخت بدهی])</f>
        <v>0</v>
      </c>
      <c r="M631">
        <f>SUMIF(TArticle[تاریخ],TDays[[#This Row],[تاریخ]],TArticle[افزایش بدهی])</f>
        <v>0</v>
      </c>
      <c r="N631">
        <f>-SUMIF(TArticle[تاریخ],TDays[[#This Row],[تاریخ]],TArticle[افزایش سرمایه])</f>
        <v>0</v>
      </c>
      <c r="O631">
        <f>SUMIF(TArticle[تاریخ],TDays[[#This Row],[تاریخ]],TArticle[تعداد تراکنش انجام شده])</f>
        <v>0</v>
      </c>
      <c r="P631">
        <f>INT(((TDays[[#This Row],[ماه]]-1)*31+TDays[[#This Row],[روز]]+1)/7)+1</f>
        <v>39</v>
      </c>
      <c r="Q631">
        <f>SUMIF(TArticle[تاریخ],TDays[[#This Row],[تاریخ]],TArticle[تراکنش برنامه ریزی شده])</f>
        <v>0</v>
      </c>
    </row>
    <row r="632" spans="1:17" x14ac:dyDescent="0.25">
      <c r="A632" s="3" t="s">
        <v>818</v>
      </c>
      <c r="B632" t="str">
        <f>RIGHT(TDays[[#This Row],[تاریخ]],2)</f>
        <v>20</v>
      </c>
      <c r="C632" t="str">
        <f>RIGHT(LEFT(TDays[[#This Row],[تاریخ]],7),2)</f>
        <v>09</v>
      </c>
      <c r="D632" t="str">
        <f>LEFT(TDays[[#This Row],[تاریخ]],4)</f>
        <v>1402</v>
      </c>
      <c r="E632" t="str">
        <f>LEFT(TDays[[#This Row],[تاریخ]],7)</f>
        <v>1402-09</v>
      </c>
      <c r="F632">
        <v>2</v>
      </c>
      <c r="G632" s="15" t="str">
        <f>VLOOKUP(TDays[[#This Row],[کد روز هفته]],TDaysOfTheWeek[],2,FALSE)</f>
        <v>دوشنبه</v>
      </c>
      <c r="H632" s="15">
        <f>IFERROR(IF(E631&lt;&gt;E632,1,INT(H631)+IF(TDays[[#This Row],[کد روز هفته]]=0,1,0)),1)</f>
        <v>4</v>
      </c>
      <c r="I632">
        <f>-SUMIF(TArticle[تاریخ],TDays[[#This Row],[تاریخ]],TArticle[هزینه])</f>
        <v>0</v>
      </c>
      <c r="J632">
        <f>SUMIF(TArticle[تاریخ],TDays[[#This Row],[تاریخ]],TArticle[درآمد تتا])</f>
        <v>0</v>
      </c>
      <c r="K632">
        <f>SUMIF(TArticle[تاریخ],TDays[[#This Row],[تاریخ]],TArticle[اسنپ])</f>
        <v>0</v>
      </c>
      <c r="L632">
        <f>-SUMIF(TArticle[تاریخ],TDays[[#This Row],[تاریخ]],TArticle[پرداخت بدهی])</f>
        <v>0</v>
      </c>
      <c r="M632">
        <f>SUMIF(TArticle[تاریخ],TDays[[#This Row],[تاریخ]],TArticle[افزایش بدهی])</f>
        <v>0</v>
      </c>
      <c r="N632">
        <f>-SUMIF(TArticle[تاریخ],TDays[[#This Row],[تاریخ]],TArticle[افزایش سرمایه])</f>
        <v>0</v>
      </c>
      <c r="O632">
        <f>SUMIF(TArticle[تاریخ],TDays[[#This Row],[تاریخ]],TArticle[تعداد تراکنش انجام شده])</f>
        <v>0</v>
      </c>
      <c r="P632">
        <f>INT(((TDays[[#This Row],[ماه]]-1)*31+TDays[[#This Row],[روز]]+1)/7)+1</f>
        <v>39</v>
      </c>
      <c r="Q632">
        <f>SUMIF(TArticle[تاریخ],TDays[[#This Row],[تاریخ]],TArticle[تراکنش برنامه ریزی شده])</f>
        <v>1</v>
      </c>
    </row>
    <row r="633" spans="1:17" x14ac:dyDescent="0.25">
      <c r="A633" s="3" t="s">
        <v>819</v>
      </c>
      <c r="B633" t="str">
        <f>RIGHT(TDays[[#This Row],[تاریخ]],2)</f>
        <v>21</v>
      </c>
      <c r="C633" t="str">
        <f>RIGHT(LEFT(TDays[[#This Row],[تاریخ]],7),2)</f>
        <v>09</v>
      </c>
      <c r="D633" t="str">
        <f>LEFT(TDays[[#This Row],[تاریخ]],4)</f>
        <v>1402</v>
      </c>
      <c r="E633" t="str">
        <f>LEFT(TDays[[#This Row],[تاریخ]],7)</f>
        <v>1402-09</v>
      </c>
      <c r="F633">
        <v>3</v>
      </c>
      <c r="G633" s="15" t="str">
        <f>VLOOKUP(TDays[[#This Row],[کد روز هفته]],TDaysOfTheWeek[],2,FALSE)</f>
        <v>سه شنبه</v>
      </c>
      <c r="H633" s="15">
        <f>IFERROR(IF(E632&lt;&gt;E633,1,INT(H632)+IF(TDays[[#This Row],[کد روز هفته]]=0,1,0)),1)</f>
        <v>4</v>
      </c>
      <c r="I633">
        <f>-SUMIF(TArticle[تاریخ],TDays[[#This Row],[تاریخ]],TArticle[هزینه])</f>
        <v>0</v>
      </c>
      <c r="J633">
        <f>SUMIF(TArticle[تاریخ],TDays[[#This Row],[تاریخ]],TArticle[درآمد تتا])</f>
        <v>0</v>
      </c>
      <c r="K633">
        <f>SUMIF(TArticle[تاریخ],TDays[[#This Row],[تاریخ]],TArticle[اسنپ])</f>
        <v>0</v>
      </c>
      <c r="L633">
        <f>-SUMIF(TArticle[تاریخ],TDays[[#This Row],[تاریخ]],TArticle[پرداخت بدهی])</f>
        <v>0</v>
      </c>
      <c r="M633">
        <f>SUMIF(TArticle[تاریخ],TDays[[#This Row],[تاریخ]],TArticle[افزایش بدهی])</f>
        <v>0</v>
      </c>
      <c r="N633">
        <f>-SUMIF(TArticle[تاریخ],TDays[[#This Row],[تاریخ]],TArticle[افزایش سرمایه])</f>
        <v>0</v>
      </c>
      <c r="O633">
        <f>SUMIF(TArticle[تاریخ],TDays[[#This Row],[تاریخ]],TArticle[تعداد تراکنش انجام شده])</f>
        <v>0</v>
      </c>
      <c r="P633">
        <f>INT(((TDays[[#This Row],[ماه]]-1)*31+TDays[[#This Row],[روز]]+1)/7)+1</f>
        <v>39</v>
      </c>
      <c r="Q633">
        <f>SUMIF(TArticle[تاریخ],TDays[[#This Row],[تاریخ]],TArticle[تراکنش برنامه ریزی شده])</f>
        <v>0</v>
      </c>
    </row>
    <row r="634" spans="1:17" x14ac:dyDescent="0.25">
      <c r="A634" s="3" t="s">
        <v>820</v>
      </c>
      <c r="B634" t="str">
        <f>RIGHT(TDays[[#This Row],[تاریخ]],2)</f>
        <v>22</v>
      </c>
      <c r="C634" t="str">
        <f>RIGHT(LEFT(TDays[[#This Row],[تاریخ]],7),2)</f>
        <v>09</v>
      </c>
      <c r="D634" t="str">
        <f>LEFT(TDays[[#This Row],[تاریخ]],4)</f>
        <v>1402</v>
      </c>
      <c r="E634" t="str">
        <f>LEFT(TDays[[#This Row],[تاریخ]],7)</f>
        <v>1402-09</v>
      </c>
      <c r="F634">
        <v>4</v>
      </c>
      <c r="G634" s="15" t="str">
        <f>VLOOKUP(TDays[[#This Row],[کد روز هفته]],TDaysOfTheWeek[],2,FALSE)</f>
        <v>چهارشنبه</v>
      </c>
      <c r="H634" s="15">
        <f>IFERROR(IF(E633&lt;&gt;E634,1,INT(H633)+IF(TDays[[#This Row],[کد روز هفته]]=0,1,0)),1)</f>
        <v>4</v>
      </c>
      <c r="I634">
        <f>-SUMIF(TArticle[تاریخ],TDays[[#This Row],[تاریخ]],TArticle[هزینه])</f>
        <v>0</v>
      </c>
      <c r="J634">
        <f>SUMIF(TArticle[تاریخ],TDays[[#This Row],[تاریخ]],TArticle[درآمد تتا])</f>
        <v>0</v>
      </c>
      <c r="K634">
        <f>SUMIF(TArticle[تاریخ],TDays[[#This Row],[تاریخ]],TArticle[اسنپ])</f>
        <v>0</v>
      </c>
      <c r="L634">
        <f>-SUMIF(TArticle[تاریخ],TDays[[#This Row],[تاریخ]],TArticle[پرداخت بدهی])</f>
        <v>0</v>
      </c>
      <c r="M634">
        <f>SUMIF(TArticle[تاریخ],TDays[[#This Row],[تاریخ]],TArticle[افزایش بدهی])</f>
        <v>0</v>
      </c>
      <c r="N634">
        <f>-SUMIF(TArticle[تاریخ],TDays[[#This Row],[تاریخ]],TArticle[افزایش سرمایه])</f>
        <v>0</v>
      </c>
      <c r="O634">
        <f>SUMIF(TArticle[تاریخ],TDays[[#This Row],[تاریخ]],TArticle[تعداد تراکنش انجام شده])</f>
        <v>0</v>
      </c>
      <c r="P634">
        <f>INT(((TDays[[#This Row],[ماه]]-1)*31+TDays[[#This Row],[روز]]+1)/7)+1</f>
        <v>39</v>
      </c>
      <c r="Q634">
        <f>SUMIF(TArticle[تاریخ],TDays[[#This Row],[تاریخ]],TArticle[تراکنش برنامه ریزی شده])</f>
        <v>0</v>
      </c>
    </row>
    <row r="635" spans="1:17" x14ac:dyDescent="0.25">
      <c r="A635" s="3" t="s">
        <v>821</v>
      </c>
      <c r="B635" t="str">
        <f>RIGHT(TDays[[#This Row],[تاریخ]],2)</f>
        <v>23</v>
      </c>
      <c r="C635" t="str">
        <f>RIGHT(LEFT(TDays[[#This Row],[تاریخ]],7),2)</f>
        <v>09</v>
      </c>
      <c r="D635" t="str">
        <f>LEFT(TDays[[#This Row],[تاریخ]],4)</f>
        <v>1402</v>
      </c>
      <c r="E635" t="str">
        <f>LEFT(TDays[[#This Row],[تاریخ]],7)</f>
        <v>1402-09</v>
      </c>
      <c r="F635">
        <v>5</v>
      </c>
      <c r="G635" s="15" t="str">
        <f>VLOOKUP(TDays[[#This Row],[کد روز هفته]],TDaysOfTheWeek[],2,FALSE)</f>
        <v>پنجشنبه</v>
      </c>
      <c r="H635" s="15">
        <f>IFERROR(IF(E634&lt;&gt;E635,1,INT(H634)+IF(TDays[[#This Row],[کد روز هفته]]=0,1,0)),1)</f>
        <v>4</v>
      </c>
      <c r="I635">
        <f>-SUMIF(TArticle[تاریخ],TDays[[#This Row],[تاریخ]],TArticle[هزینه])</f>
        <v>0</v>
      </c>
      <c r="J635">
        <f>SUMIF(TArticle[تاریخ],TDays[[#This Row],[تاریخ]],TArticle[درآمد تتا])</f>
        <v>0</v>
      </c>
      <c r="K635">
        <f>SUMIF(TArticle[تاریخ],TDays[[#This Row],[تاریخ]],TArticle[اسنپ])</f>
        <v>0</v>
      </c>
      <c r="L635">
        <f>-SUMIF(TArticle[تاریخ],TDays[[#This Row],[تاریخ]],TArticle[پرداخت بدهی])</f>
        <v>0</v>
      </c>
      <c r="M635">
        <f>SUMIF(TArticle[تاریخ],TDays[[#This Row],[تاریخ]],TArticle[افزایش بدهی])</f>
        <v>0</v>
      </c>
      <c r="N635">
        <f>-SUMIF(TArticle[تاریخ],TDays[[#This Row],[تاریخ]],TArticle[افزایش سرمایه])</f>
        <v>0</v>
      </c>
      <c r="O635">
        <f>SUMIF(TArticle[تاریخ],TDays[[#This Row],[تاریخ]],TArticle[تعداد تراکنش انجام شده])</f>
        <v>0</v>
      </c>
      <c r="P635">
        <f>INT(((TDays[[#This Row],[ماه]]-1)*31+TDays[[#This Row],[روز]]+1)/7)+1</f>
        <v>39</v>
      </c>
      <c r="Q635">
        <f>SUMIF(TArticle[تاریخ],TDays[[#This Row],[تاریخ]],TArticle[تراکنش برنامه ریزی شده])</f>
        <v>0</v>
      </c>
    </row>
    <row r="636" spans="1:17" x14ac:dyDescent="0.25">
      <c r="A636" s="3" t="s">
        <v>822</v>
      </c>
      <c r="B636" t="str">
        <f>RIGHT(TDays[[#This Row],[تاریخ]],2)</f>
        <v>24</v>
      </c>
      <c r="C636" t="str">
        <f>RIGHT(LEFT(TDays[[#This Row],[تاریخ]],7),2)</f>
        <v>09</v>
      </c>
      <c r="D636" t="str">
        <f>LEFT(TDays[[#This Row],[تاریخ]],4)</f>
        <v>1402</v>
      </c>
      <c r="E636" t="str">
        <f>LEFT(TDays[[#This Row],[تاریخ]],7)</f>
        <v>1402-09</v>
      </c>
      <c r="F636">
        <v>6</v>
      </c>
      <c r="G636" s="15" t="str">
        <f>VLOOKUP(TDays[[#This Row],[کد روز هفته]],TDaysOfTheWeek[],2,FALSE)</f>
        <v>جمعه</v>
      </c>
      <c r="H636" s="15">
        <f>IFERROR(IF(E635&lt;&gt;E636,1,INT(H635)+IF(TDays[[#This Row],[کد روز هفته]]=0,1,0)),1)</f>
        <v>4</v>
      </c>
      <c r="I636">
        <f>-SUMIF(TArticle[تاریخ],TDays[[#This Row],[تاریخ]],TArticle[هزینه])</f>
        <v>0</v>
      </c>
      <c r="J636">
        <f>SUMIF(TArticle[تاریخ],TDays[[#This Row],[تاریخ]],TArticle[درآمد تتا])</f>
        <v>0</v>
      </c>
      <c r="K636">
        <f>SUMIF(TArticle[تاریخ],TDays[[#This Row],[تاریخ]],TArticle[اسنپ])</f>
        <v>0</v>
      </c>
      <c r="L636">
        <f>-SUMIF(TArticle[تاریخ],TDays[[#This Row],[تاریخ]],TArticle[پرداخت بدهی])</f>
        <v>0</v>
      </c>
      <c r="M636">
        <f>SUMIF(TArticle[تاریخ],TDays[[#This Row],[تاریخ]],TArticle[افزایش بدهی])</f>
        <v>0</v>
      </c>
      <c r="N636">
        <f>-SUMIF(TArticle[تاریخ],TDays[[#This Row],[تاریخ]],TArticle[افزایش سرمایه])</f>
        <v>0</v>
      </c>
      <c r="O636">
        <f>SUMIF(TArticle[تاریخ],TDays[[#This Row],[تاریخ]],TArticle[تعداد تراکنش انجام شده])</f>
        <v>0</v>
      </c>
      <c r="P636">
        <f>INT(((TDays[[#This Row],[ماه]]-1)*31+TDays[[#This Row],[روز]]+1)/7)+1</f>
        <v>40</v>
      </c>
      <c r="Q636">
        <f>SUMIF(TArticle[تاریخ],TDays[[#This Row],[تاریخ]],TArticle[تراکنش برنامه ریزی شده])</f>
        <v>0</v>
      </c>
    </row>
    <row r="637" spans="1:17" x14ac:dyDescent="0.25">
      <c r="A637" s="3" t="s">
        <v>823</v>
      </c>
      <c r="B637" t="str">
        <f>RIGHT(TDays[[#This Row],[تاریخ]],2)</f>
        <v>25</v>
      </c>
      <c r="C637" t="str">
        <f>RIGHT(LEFT(TDays[[#This Row],[تاریخ]],7),2)</f>
        <v>09</v>
      </c>
      <c r="D637" t="str">
        <f>LEFT(TDays[[#This Row],[تاریخ]],4)</f>
        <v>1402</v>
      </c>
      <c r="E637" t="str">
        <f>LEFT(TDays[[#This Row],[تاریخ]],7)</f>
        <v>1402-09</v>
      </c>
      <c r="F637">
        <v>0</v>
      </c>
      <c r="G637" s="15" t="str">
        <f>VLOOKUP(TDays[[#This Row],[کد روز هفته]],TDaysOfTheWeek[],2,FALSE)</f>
        <v>شنبه</v>
      </c>
      <c r="H637" s="15">
        <f>IFERROR(IF(E636&lt;&gt;E637,1,INT(H636)+IF(TDays[[#This Row],[کد روز هفته]]=0,1,0)),1)</f>
        <v>5</v>
      </c>
      <c r="I637">
        <f>-SUMIF(TArticle[تاریخ],TDays[[#This Row],[تاریخ]],TArticle[هزینه])</f>
        <v>0</v>
      </c>
      <c r="J637">
        <f>SUMIF(TArticle[تاریخ],TDays[[#This Row],[تاریخ]],TArticle[درآمد تتا])</f>
        <v>0</v>
      </c>
      <c r="K637">
        <f>SUMIF(TArticle[تاریخ],TDays[[#This Row],[تاریخ]],TArticle[اسنپ])</f>
        <v>0</v>
      </c>
      <c r="L637">
        <f>-SUMIF(TArticle[تاریخ],TDays[[#This Row],[تاریخ]],TArticle[پرداخت بدهی])</f>
        <v>0</v>
      </c>
      <c r="M637">
        <f>SUMIF(TArticle[تاریخ],TDays[[#This Row],[تاریخ]],TArticle[افزایش بدهی])</f>
        <v>0</v>
      </c>
      <c r="N637">
        <f>-SUMIF(TArticle[تاریخ],TDays[[#This Row],[تاریخ]],TArticle[افزایش سرمایه])</f>
        <v>0</v>
      </c>
      <c r="O637">
        <f>SUMIF(TArticle[تاریخ],TDays[[#This Row],[تاریخ]],TArticle[تعداد تراکنش انجام شده])</f>
        <v>0</v>
      </c>
      <c r="P637">
        <f>INT(((TDays[[#This Row],[ماه]]-1)*31+TDays[[#This Row],[روز]]+1)/7)+1</f>
        <v>40</v>
      </c>
      <c r="Q637">
        <f>SUMIF(TArticle[تاریخ],TDays[[#This Row],[تاریخ]],TArticle[تراکنش برنامه ریزی شده])</f>
        <v>0</v>
      </c>
    </row>
    <row r="638" spans="1:17" x14ac:dyDescent="0.25">
      <c r="A638" s="3" t="s">
        <v>824</v>
      </c>
      <c r="B638" t="str">
        <f>RIGHT(TDays[[#This Row],[تاریخ]],2)</f>
        <v>26</v>
      </c>
      <c r="C638" t="str">
        <f>RIGHT(LEFT(TDays[[#This Row],[تاریخ]],7),2)</f>
        <v>09</v>
      </c>
      <c r="D638" t="str">
        <f>LEFT(TDays[[#This Row],[تاریخ]],4)</f>
        <v>1402</v>
      </c>
      <c r="E638" t="str">
        <f>LEFT(TDays[[#This Row],[تاریخ]],7)</f>
        <v>1402-09</v>
      </c>
      <c r="F638">
        <v>1</v>
      </c>
      <c r="G638" s="15" t="str">
        <f>VLOOKUP(TDays[[#This Row],[کد روز هفته]],TDaysOfTheWeek[],2,FALSE)</f>
        <v>یکشنبه</v>
      </c>
      <c r="H638" s="15">
        <f>IFERROR(IF(E637&lt;&gt;E638,1,INT(H637)+IF(TDays[[#This Row],[کد روز هفته]]=0,1,0)),1)</f>
        <v>5</v>
      </c>
      <c r="I638">
        <f>-SUMIF(TArticle[تاریخ],TDays[[#This Row],[تاریخ]],TArticle[هزینه])</f>
        <v>0</v>
      </c>
      <c r="J638">
        <f>SUMIF(TArticle[تاریخ],TDays[[#This Row],[تاریخ]],TArticle[درآمد تتا])</f>
        <v>0</v>
      </c>
      <c r="K638">
        <f>SUMIF(TArticle[تاریخ],TDays[[#This Row],[تاریخ]],TArticle[اسنپ])</f>
        <v>0</v>
      </c>
      <c r="L638">
        <f>-SUMIF(TArticle[تاریخ],TDays[[#This Row],[تاریخ]],TArticle[پرداخت بدهی])</f>
        <v>0</v>
      </c>
      <c r="M638">
        <f>SUMIF(TArticle[تاریخ],TDays[[#This Row],[تاریخ]],TArticle[افزایش بدهی])</f>
        <v>0</v>
      </c>
      <c r="N638">
        <f>-SUMIF(TArticle[تاریخ],TDays[[#This Row],[تاریخ]],TArticle[افزایش سرمایه])</f>
        <v>0</v>
      </c>
      <c r="O638">
        <f>SUMIF(TArticle[تاریخ],TDays[[#This Row],[تاریخ]],TArticle[تعداد تراکنش انجام شده])</f>
        <v>0</v>
      </c>
      <c r="P638">
        <f>INT(((TDays[[#This Row],[ماه]]-1)*31+TDays[[#This Row],[روز]]+1)/7)+1</f>
        <v>40</v>
      </c>
      <c r="Q638">
        <f>SUMIF(TArticle[تاریخ],TDays[[#This Row],[تاریخ]],TArticle[تراکنش برنامه ریزی شده])</f>
        <v>0</v>
      </c>
    </row>
    <row r="639" spans="1:17" x14ac:dyDescent="0.25">
      <c r="A639" s="3" t="s">
        <v>825</v>
      </c>
      <c r="B639" t="str">
        <f>RIGHT(TDays[[#This Row],[تاریخ]],2)</f>
        <v>27</v>
      </c>
      <c r="C639" t="str">
        <f>RIGHT(LEFT(TDays[[#This Row],[تاریخ]],7),2)</f>
        <v>09</v>
      </c>
      <c r="D639" t="str">
        <f>LEFT(TDays[[#This Row],[تاریخ]],4)</f>
        <v>1402</v>
      </c>
      <c r="E639" t="str">
        <f>LEFT(TDays[[#This Row],[تاریخ]],7)</f>
        <v>1402-09</v>
      </c>
      <c r="F639">
        <v>2</v>
      </c>
      <c r="G639" s="15" t="str">
        <f>VLOOKUP(TDays[[#This Row],[کد روز هفته]],TDaysOfTheWeek[],2,FALSE)</f>
        <v>دوشنبه</v>
      </c>
      <c r="H639" s="15">
        <f>IFERROR(IF(E638&lt;&gt;E639,1,INT(H638)+IF(TDays[[#This Row],[کد روز هفته]]=0,1,0)),1)</f>
        <v>5</v>
      </c>
      <c r="I639">
        <f>-SUMIF(TArticle[تاریخ],TDays[[#This Row],[تاریخ]],TArticle[هزینه])</f>
        <v>0</v>
      </c>
      <c r="J639">
        <f>SUMIF(TArticle[تاریخ],TDays[[#This Row],[تاریخ]],TArticle[درآمد تتا])</f>
        <v>0</v>
      </c>
      <c r="K639">
        <f>SUMIF(TArticle[تاریخ],TDays[[#This Row],[تاریخ]],TArticle[اسنپ])</f>
        <v>0</v>
      </c>
      <c r="L639">
        <f>-SUMIF(TArticle[تاریخ],TDays[[#This Row],[تاریخ]],TArticle[پرداخت بدهی])</f>
        <v>0</v>
      </c>
      <c r="M639">
        <f>SUMIF(TArticle[تاریخ],TDays[[#This Row],[تاریخ]],TArticle[افزایش بدهی])</f>
        <v>0</v>
      </c>
      <c r="N639">
        <f>-SUMIF(TArticle[تاریخ],TDays[[#This Row],[تاریخ]],TArticle[افزایش سرمایه])</f>
        <v>0</v>
      </c>
      <c r="O639">
        <f>SUMIF(TArticle[تاریخ],TDays[[#This Row],[تاریخ]],TArticle[تعداد تراکنش انجام شده])</f>
        <v>0</v>
      </c>
      <c r="P639">
        <f>INT(((TDays[[#This Row],[ماه]]-1)*31+TDays[[#This Row],[روز]]+1)/7)+1</f>
        <v>40</v>
      </c>
      <c r="Q639">
        <f>SUMIF(TArticle[تاریخ],TDays[[#This Row],[تاریخ]],TArticle[تراکنش برنامه ریزی شده])</f>
        <v>0</v>
      </c>
    </row>
    <row r="640" spans="1:17" x14ac:dyDescent="0.25">
      <c r="A640" s="3" t="s">
        <v>826</v>
      </c>
      <c r="B640" t="str">
        <f>RIGHT(TDays[[#This Row],[تاریخ]],2)</f>
        <v>28</v>
      </c>
      <c r="C640" t="str">
        <f>RIGHT(LEFT(TDays[[#This Row],[تاریخ]],7),2)</f>
        <v>09</v>
      </c>
      <c r="D640" t="str">
        <f>LEFT(TDays[[#This Row],[تاریخ]],4)</f>
        <v>1402</v>
      </c>
      <c r="E640" t="str">
        <f>LEFT(TDays[[#This Row],[تاریخ]],7)</f>
        <v>1402-09</v>
      </c>
      <c r="F640">
        <v>3</v>
      </c>
      <c r="G640" s="15" t="str">
        <f>VLOOKUP(TDays[[#This Row],[کد روز هفته]],TDaysOfTheWeek[],2,FALSE)</f>
        <v>سه شنبه</v>
      </c>
      <c r="H640" s="15">
        <f>IFERROR(IF(E639&lt;&gt;E640,1,INT(H639)+IF(TDays[[#This Row],[کد روز هفته]]=0,1,0)),1)</f>
        <v>5</v>
      </c>
      <c r="I640">
        <f>-SUMIF(TArticle[تاریخ],TDays[[#This Row],[تاریخ]],TArticle[هزینه])</f>
        <v>0</v>
      </c>
      <c r="J640">
        <f>SUMIF(TArticle[تاریخ],TDays[[#This Row],[تاریخ]],TArticle[درآمد تتا])</f>
        <v>0</v>
      </c>
      <c r="K640">
        <f>SUMIF(TArticle[تاریخ],TDays[[#This Row],[تاریخ]],TArticle[اسنپ])</f>
        <v>0</v>
      </c>
      <c r="L640">
        <f>-SUMIF(TArticle[تاریخ],TDays[[#This Row],[تاریخ]],TArticle[پرداخت بدهی])</f>
        <v>0</v>
      </c>
      <c r="M640">
        <f>SUMIF(TArticle[تاریخ],TDays[[#This Row],[تاریخ]],TArticle[افزایش بدهی])</f>
        <v>0</v>
      </c>
      <c r="N640">
        <f>-SUMIF(TArticle[تاریخ],TDays[[#This Row],[تاریخ]],TArticle[افزایش سرمایه])</f>
        <v>0</v>
      </c>
      <c r="O640">
        <f>SUMIF(TArticle[تاریخ],TDays[[#This Row],[تاریخ]],TArticle[تعداد تراکنش انجام شده])</f>
        <v>0</v>
      </c>
      <c r="P640">
        <f>INT(((TDays[[#This Row],[ماه]]-1)*31+TDays[[#This Row],[روز]]+1)/7)+1</f>
        <v>40</v>
      </c>
      <c r="Q640">
        <f>SUMIF(TArticle[تاریخ],TDays[[#This Row],[تاریخ]],TArticle[تراکنش برنامه ریزی شده])</f>
        <v>1</v>
      </c>
    </row>
    <row r="641" spans="1:17" x14ac:dyDescent="0.25">
      <c r="A641" s="3" t="s">
        <v>827</v>
      </c>
      <c r="B641" t="str">
        <f>RIGHT(TDays[[#This Row],[تاریخ]],2)</f>
        <v>29</v>
      </c>
      <c r="C641" t="str">
        <f>RIGHT(LEFT(TDays[[#This Row],[تاریخ]],7),2)</f>
        <v>09</v>
      </c>
      <c r="D641" t="str">
        <f>LEFT(TDays[[#This Row],[تاریخ]],4)</f>
        <v>1402</v>
      </c>
      <c r="E641" t="str">
        <f>LEFT(TDays[[#This Row],[تاریخ]],7)</f>
        <v>1402-09</v>
      </c>
      <c r="F641">
        <v>4</v>
      </c>
      <c r="G641" s="15" t="str">
        <f>VLOOKUP(TDays[[#This Row],[کد روز هفته]],TDaysOfTheWeek[],2,FALSE)</f>
        <v>چهارشنبه</v>
      </c>
      <c r="H641" s="15">
        <f>IFERROR(IF(E640&lt;&gt;E641,1,INT(H640)+IF(TDays[[#This Row],[کد روز هفته]]=0,1,0)),1)</f>
        <v>5</v>
      </c>
      <c r="I641">
        <f>-SUMIF(TArticle[تاریخ],TDays[[#This Row],[تاریخ]],TArticle[هزینه])</f>
        <v>0</v>
      </c>
      <c r="J641">
        <f>SUMIF(TArticle[تاریخ],TDays[[#This Row],[تاریخ]],TArticle[درآمد تتا])</f>
        <v>0</v>
      </c>
      <c r="K641">
        <f>SUMIF(TArticle[تاریخ],TDays[[#This Row],[تاریخ]],TArticle[اسنپ])</f>
        <v>0</v>
      </c>
      <c r="L641">
        <f>-SUMIF(TArticle[تاریخ],TDays[[#This Row],[تاریخ]],TArticle[پرداخت بدهی])</f>
        <v>0</v>
      </c>
      <c r="M641">
        <f>SUMIF(TArticle[تاریخ],TDays[[#This Row],[تاریخ]],TArticle[افزایش بدهی])</f>
        <v>0</v>
      </c>
      <c r="N641">
        <f>-SUMIF(TArticle[تاریخ],TDays[[#This Row],[تاریخ]],TArticle[افزایش سرمایه])</f>
        <v>0</v>
      </c>
      <c r="O641">
        <f>SUMIF(TArticle[تاریخ],TDays[[#This Row],[تاریخ]],TArticle[تعداد تراکنش انجام شده])</f>
        <v>0</v>
      </c>
      <c r="P641">
        <f>INT(((TDays[[#This Row],[ماه]]-1)*31+TDays[[#This Row],[روز]]+1)/7)+1</f>
        <v>40</v>
      </c>
      <c r="Q641">
        <f>SUMIF(TArticle[تاریخ],TDays[[#This Row],[تاریخ]],TArticle[تراکنش برنامه ریزی شده])</f>
        <v>0</v>
      </c>
    </row>
    <row r="642" spans="1:17" x14ac:dyDescent="0.25">
      <c r="A642" s="3" t="s">
        <v>828</v>
      </c>
      <c r="B642" t="str">
        <f>RIGHT(TDays[[#This Row],[تاریخ]],2)</f>
        <v>30</v>
      </c>
      <c r="C642" t="str">
        <f>RIGHT(LEFT(TDays[[#This Row],[تاریخ]],7),2)</f>
        <v>09</v>
      </c>
      <c r="D642" t="str">
        <f>LEFT(TDays[[#This Row],[تاریخ]],4)</f>
        <v>1402</v>
      </c>
      <c r="E642" t="str">
        <f>LEFT(TDays[[#This Row],[تاریخ]],7)</f>
        <v>1402-09</v>
      </c>
      <c r="F642">
        <v>5</v>
      </c>
      <c r="G642" s="15" t="str">
        <f>VLOOKUP(TDays[[#This Row],[کد روز هفته]],TDaysOfTheWeek[],2,FALSE)</f>
        <v>پنجشنبه</v>
      </c>
      <c r="H642" s="15">
        <f>IFERROR(IF(E641&lt;&gt;E642,1,INT(H641)+IF(TDays[[#This Row],[کد روز هفته]]=0,1,0)),1)</f>
        <v>5</v>
      </c>
      <c r="I642">
        <f>-SUMIF(TArticle[تاریخ],TDays[[#This Row],[تاریخ]],TArticle[هزینه])</f>
        <v>0</v>
      </c>
      <c r="J642">
        <f>SUMIF(TArticle[تاریخ],TDays[[#This Row],[تاریخ]],TArticle[درآمد تتا])</f>
        <v>0</v>
      </c>
      <c r="K642">
        <f>SUMIF(TArticle[تاریخ],TDays[[#This Row],[تاریخ]],TArticle[اسنپ])</f>
        <v>0</v>
      </c>
      <c r="L642">
        <f>-SUMIF(TArticle[تاریخ],TDays[[#This Row],[تاریخ]],TArticle[پرداخت بدهی])</f>
        <v>0</v>
      </c>
      <c r="M642">
        <f>SUMIF(TArticle[تاریخ],TDays[[#This Row],[تاریخ]],TArticle[افزایش بدهی])</f>
        <v>0</v>
      </c>
      <c r="N642">
        <f>-SUMIF(TArticle[تاریخ],TDays[[#This Row],[تاریخ]],TArticle[افزایش سرمایه])</f>
        <v>0</v>
      </c>
      <c r="O642">
        <f>SUMIF(TArticle[تاریخ],TDays[[#This Row],[تاریخ]],TArticle[تعداد تراکنش انجام شده])</f>
        <v>0</v>
      </c>
      <c r="P642">
        <f>INT(((TDays[[#This Row],[ماه]]-1)*31+TDays[[#This Row],[روز]]+1)/7)+1</f>
        <v>40</v>
      </c>
      <c r="Q642">
        <f>SUMIF(TArticle[تاریخ],TDays[[#This Row],[تاریخ]],TArticle[تراکنش برنامه ریزی شده])</f>
        <v>0</v>
      </c>
    </row>
    <row r="643" spans="1:17" x14ac:dyDescent="0.25">
      <c r="A643" s="3" t="s">
        <v>829</v>
      </c>
      <c r="B643" t="str">
        <f>RIGHT(TDays[[#This Row],[تاریخ]],2)</f>
        <v>01</v>
      </c>
      <c r="C643" t="str">
        <f>RIGHT(LEFT(TDays[[#This Row],[تاریخ]],7),2)</f>
        <v>10</v>
      </c>
      <c r="D643" t="str">
        <f>LEFT(TDays[[#This Row],[تاریخ]],4)</f>
        <v>1402</v>
      </c>
      <c r="E643" t="str">
        <f>LEFT(TDays[[#This Row],[تاریخ]],7)</f>
        <v>1402-10</v>
      </c>
      <c r="F643">
        <v>6</v>
      </c>
      <c r="G643" s="15" t="str">
        <f>VLOOKUP(TDays[[#This Row],[کد روز هفته]],TDaysOfTheWeek[],2,FALSE)</f>
        <v>جمعه</v>
      </c>
      <c r="H643" s="15">
        <f>IFERROR(IF(E642&lt;&gt;E643,1,INT(H642)+IF(TDays[[#This Row],[کد روز هفته]]=0,1,0)),1)</f>
        <v>1</v>
      </c>
      <c r="I643">
        <f>-SUMIF(TArticle[تاریخ],TDays[[#This Row],[تاریخ]],TArticle[هزینه])</f>
        <v>0</v>
      </c>
      <c r="J643">
        <f>SUMIF(TArticle[تاریخ],TDays[[#This Row],[تاریخ]],TArticle[درآمد تتا])</f>
        <v>0</v>
      </c>
      <c r="K643">
        <f>SUMIF(TArticle[تاریخ],TDays[[#This Row],[تاریخ]],TArticle[اسنپ])</f>
        <v>0</v>
      </c>
      <c r="L643">
        <f>-SUMIF(TArticle[تاریخ],TDays[[#This Row],[تاریخ]],TArticle[پرداخت بدهی])</f>
        <v>0</v>
      </c>
      <c r="M643">
        <f>SUMIF(TArticle[تاریخ],TDays[[#This Row],[تاریخ]],TArticle[افزایش بدهی])</f>
        <v>0</v>
      </c>
      <c r="N643">
        <f>-SUMIF(TArticle[تاریخ],TDays[[#This Row],[تاریخ]],TArticle[افزایش سرمایه])</f>
        <v>0</v>
      </c>
      <c r="O643">
        <f>SUMIF(TArticle[تاریخ],TDays[[#This Row],[تاریخ]],TArticle[تعداد تراکنش انجام شده])</f>
        <v>0</v>
      </c>
      <c r="P643">
        <f>INT(((TDays[[#This Row],[ماه]]-1)*31+TDays[[#This Row],[روز]]+1)/7)+1</f>
        <v>41</v>
      </c>
      <c r="Q643">
        <f>SUMIF(TArticle[تاریخ],TDays[[#This Row],[تاریخ]],TArticle[تراکنش برنامه ریزی شده])</f>
        <v>2</v>
      </c>
    </row>
    <row r="644" spans="1:17" x14ac:dyDescent="0.25">
      <c r="A644" s="3" t="s">
        <v>830</v>
      </c>
      <c r="B644" t="str">
        <f>RIGHT(TDays[[#This Row],[تاریخ]],2)</f>
        <v>02</v>
      </c>
      <c r="C644" t="str">
        <f>RIGHT(LEFT(TDays[[#This Row],[تاریخ]],7),2)</f>
        <v>10</v>
      </c>
      <c r="D644" t="str">
        <f>LEFT(TDays[[#This Row],[تاریخ]],4)</f>
        <v>1402</v>
      </c>
      <c r="E644" t="str">
        <f>LEFT(TDays[[#This Row],[تاریخ]],7)</f>
        <v>1402-10</v>
      </c>
      <c r="F644">
        <v>0</v>
      </c>
      <c r="G644" s="15" t="str">
        <f>VLOOKUP(TDays[[#This Row],[کد روز هفته]],TDaysOfTheWeek[],2,FALSE)</f>
        <v>شنبه</v>
      </c>
      <c r="H644" s="15">
        <f>IFERROR(IF(E643&lt;&gt;E644,1,INT(H643)+IF(TDays[[#This Row],[کد روز هفته]]=0,1,0)),1)</f>
        <v>2</v>
      </c>
      <c r="I644">
        <f>-SUMIF(TArticle[تاریخ],TDays[[#This Row],[تاریخ]],TArticle[هزینه])</f>
        <v>0</v>
      </c>
      <c r="J644">
        <f>SUMIF(TArticle[تاریخ],TDays[[#This Row],[تاریخ]],TArticle[درآمد تتا])</f>
        <v>0</v>
      </c>
      <c r="K644">
        <f>SUMIF(TArticle[تاریخ],TDays[[#This Row],[تاریخ]],TArticle[اسنپ])</f>
        <v>0</v>
      </c>
      <c r="L644">
        <f>-SUMIF(TArticle[تاریخ],TDays[[#This Row],[تاریخ]],TArticle[پرداخت بدهی])</f>
        <v>0</v>
      </c>
      <c r="M644">
        <f>SUMIF(TArticle[تاریخ],TDays[[#This Row],[تاریخ]],TArticle[افزایش بدهی])</f>
        <v>0</v>
      </c>
      <c r="N644">
        <f>-SUMIF(TArticle[تاریخ],TDays[[#This Row],[تاریخ]],TArticle[افزایش سرمایه])</f>
        <v>0</v>
      </c>
      <c r="O644">
        <f>SUMIF(TArticle[تاریخ],TDays[[#This Row],[تاریخ]],TArticle[تعداد تراکنش انجام شده])</f>
        <v>0</v>
      </c>
      <c r="P644">
        <f>INT(((TDays[[#This Row],[ماه]]-1)*31+TDays[[#This Row],[روز]]+1)/7)+1</f>
        <v>41</v>
      </c>
      <c r="Q644">
        <f>SUMIF(TArticle[تاریخ],TDays[[#This Row],[تاریخ]],TArticle[تراکنش برنامه ریزی شده])</f>
        <v>0</v>
      </c>
    </row>
    <row r="645" spans="1:17" x14ac:dyDescent="0.25">
      <c r="A645" s="3" t="s">
        <v>831</v>
      </c>
      <c r="B645" t="str">
        <f>RIGHT(TDays[[#This Row],[تاریخ]],2)</f>
        <v>03</v>
      </c>
      <c r="C645" t="str">
        <f>RIGHT(LEFT(TDays[[#This Row],[تاریخ]],7),2)</f>
        <v>10</v>
      </c>
      <c r="D645" t="str">
        <f>LEFT(TDays[[#This Row],[تاریخ]],4)</f>
        <v>1402</v>
      </c>
      <c r="E645" t="str">
        <f>LEFT(TDays[[#This Row],[تاریخ]],7)</f>
        <v>1402-10</v>
      </c>
      <c r="F645">
        <v>1</v>
      </c>
      <c r="G645" s="15" t="str">
        <f>VLOOKUP(TDays[[#This Row],[کد روز هفته]],TDaysOfTheWeek[],2,FALSE)</f>
        <v>یکشنبه</v>
      </c>
      <c r="H645" s="15">
        <f>IFERROR(IF(E644&lt;&gt;E645,1,INT(H644)+IF(TDays[[#This Row],[کد روز هفته]]=0,1,0)),1)</f>
        <v>2</v>
      </c>
      <c r="I645">
        <f>-SUMIF(TArticle[تاریخ],TDays[[#This Row],[تاریخ]],TArticle[هزینه])</f>
        <v>0</v>
      </c>
      <c r="J645">
        <f>SUMIF(TArticle[تاریخ],TDays[[#This Row],[تاریخ]],TArticle[درآمد تتا])</f>
        <v>0</v>
      </c>
      <c r="K645">
        <f>SUMIF(TArticle[تاریخ],TDays[[#This Row],[تاریخ]],TArticle[اسنپ])</f>
        <v>0</v>
      </c>
      <c r="L645">
        <f>-SUMIF(TArticle[تاریخ],TDays[[#This Row],[تاریخ]],TArticle[پرداخت بدهی])</f>
        <v>0</v>
      </c>
      <c r="M645">
        <f>SUMIF(TArticle[تاریخ],TDays[[#This Row],[تاریخ]],TArticle[افزایش بدهی])</f>
        <v>0</v>
      </c>
      <c r="N645">
        <f>-SUMIF(TArticle[تاریخ],TDays[[#This Row],[تاریخ]],TArticle[افزایش سرمایه])</f>
        <v>0</v>
      </c>
      <c r="O645">
        <f>SUMIF(TArticle[تاریخ],TDays[[#This Row],[تاریخ]],TArticle[تعداد تراکنش انجام شده])</f>
        <v>0</v>
      </c>
      <c r="P645">
        <f>INT(((TDays[[#This Row],[ماه]]-1)*31+TDays[[#This Row],[روز]]+1)/7)+1</f>
        <v>41</v>
      </c>
      <c r="Q645">
        <f>SUMIF(TArticle[تاریخ],TDays[[#This Row],[تاریخ]],TArticle[تراکنش برنامه ریزی شده])</f>
        <v>3</v>
      </c>
    </row>
    <row r="646" spans="1:17" x14ac:dyDescent="0.25">
      <c r="A646" s="3" t="s">
        <v>832</v>
      </c>
      <c r="B646" t="str">
        <f>RIGHT(TDays[[#This Row],[تاریخ]],2)</f>
        <v>04</v>
      </c>
      <c r="C646" t="str">
        <f>RIGHT(LEFT(TDays[[#This Row],[تاریخ]],7),2)</f>
        <v>10</v>
      </c>
      <c r="D646" t="str">
        <f>LEFT(TDays[[#This Row],[تاریخ]],4)</f>
        <v>1402</v>
      </c>
      <c r="E646" t="str">
        <f>LEFT(TDays[[#This Row],[تاریخ]],7)</f>
        <v>1402-10</v>
      </c>
      <c r="F646">
        <v>2</v>
      </c>
      <c r="G646" s="15" t="str">
        <f>VLOOKUP(TDays[[#This Row],[کد روز هفته]],TDaysOfTheWeek[],2,FALSE)</f>
        <v>دوشنبه</v>
      </c>
      <c r="H646" s="15">
        <f>IFERROR(IF(E645&lt;&gt;E646,1,INT(H645)+IF(TDays[[#This Row],[کد روز هفته]]=0,1,0)),1)</f>
        <v>2</v>
      </c>
      <c r="I646">
        <f>-SUMIF(TArticle[تاریخ],TDays[[#This Row],[تاریخ]],TArticle[هزینه])</f>
        <v>0</v>
      </c>
      <c r="J646">
        <f>SUMIF(TArticle[تاریخ],TDays[[#This Row],[تاریخ]],TArticle[درآمد تتا])</f>
        <v>0</v>
      </c>
      <c r="K646">
        <f>SUMIF(TArticle[تاریخ],TDays[[#This Row],[تاریخ]],TArticle[اسنپ])</f>
        <v>0</v>
      </c>
      <c r="L646">
        <f>-SUMIF(TArticle[تاریخ],TDays[[#This Row],[تاریخ]],TArticle[پرداخت بدهی])</f>
        <v>0</v>
      </c>
      <c r="M646">
        <f>SUMIF(TArticle[تاریخ],TDays[[#This Row],[تاریخ]],TArticle[افزایش بدهی])</f>
        <v>0</v>
      </c>
      <c r="N646">
        <f>-SUMIF(TArticle[تاریخ],TDays[[#This Row],[تاریخ]],TArticle[افزایش سرمایه])</f>
        <v>0</v>
      </c>
      <c r="O646">
        <f>SUMIF(TArticle[تاریخ],TDays[[#This Row],[تاریخ]],TArticle[تعداد تراکنش انجام شده])</f>
        <v>0</v>
      </c>
      <c r="P646">
        <f>INT(((TDays[[#This Row],[ماه]]-1)*31+TDays[[#This Row],[روز]]+1)/7)+1</f>
        <v>41</v>
      </c>
      <c r="Q646">
        <f>SUMIF(TArticle[تاریخ],TDays[[#This Row],[تاریخ]],TArticle[تراکنش برنامه ریزی شده])</f>
        <v>1</v>
      </c>
    </row>
    <row r="647" spans="1:17" x14ac:dyDescent="0.25">
      <c r="A647" s="3" t="s">
        <v>833</v>
      </c>
      <c r="B647" t="str">
        <f>RIGHT(TDays[[#This Row],[تاریخ]],2)</f>
        <v>05</v>
      </c>
      <c r="C647" t="str">
        <f>RIGHT(LEFT(TDays[[#This Row],[تاریخ]],7),2)</f>
        <v>10</v>
      </c>
      <c r="D647" t="str">
        <f>LEFT(TDays[[#This Row],[تاریخ]],4)</f>
        <v>1402</v>
      </c>
      <c r="E647" t="str">
        <f>LEFT(TDays[[#This Row],[تاریخ]],7)</f>
        <v>1402-10</v>
      </c>
      <c r="F647">
        <v>3</v>
      </c>
      <c r="G647" s="15" t="str">
        <f>VLOOKUP(TDays[[#This Row],[کد روز هفته]],TDaysOfTheWeek[],2,FALSE)</f>
        <v>سه شنبه</v>
      </c>
      <c r="H647" s="15">
        <f>IFERROR(IF(E646&lt;&gt;E647,1,INT(H646)+IF(TDays[[#This Row],[کد روز هفته]]=0,1,0)),1)</f>
        <v>2</v>
      </c>
      <c r="I647">
        <f>-SUMIF(TArticle[تاریخ],TDays[[#This Row],[تاریخ]],TArticle[هزینه])</f>
        <v>0</v>
      </c>
      <c r="J647">
        <f>SUMIF(TArticle[تاریخ],TDays[[#This Row],[تاریخ]],TArticle[درآمد تتا])</f>
        <v>0</v>
      </c>
      <c r="K647">
        <f>SUMIF(TArticle[تاریخ],TDays[[#This Row],[تاریخ]],TArticle[اسنپ])</f>
        <v>0</v>
      </c>
      <c r="L647">
        <f>-SUMIF(TArticle[تاریخ],TDays[[#This Row],[تاریخ]],TArticle[پرداخت بدهی])</f>
        <v>0</v>
      </c>
      <c r="M647">
        <f>SUMIF(TArticle[تاریخ],TDays[[#This Row],[تاریخ]],TArticle[افزایش بدهی])</f>
        <v>0</v>
      </c>
      <c r="N647">
        <f>-SUMIF(TArticle[تاریخ],TDays[[#This Row],[تاریخ]],TArticle[افزایش سرمایه])</f>
        <v>0</v>
      </c>
      <c r="O647">
        <f>SUMIF(TArticle[تاریخ],TDays[[#This Row],[تاریخ]],TArticle[تعداد تراکنش انجام شده])</f>
        <v>0</v>
      </c>
      <c r="P647">
        <f>INT(((TDays[[#This Row],[ماه]]-1)*31+TDays[[#This Row],[روز]]+1)/7)+1</f>
        <v>41</v>
      </c>
      <c r="Q647">
        <f>SUMIF(TArticle[تاریخ],TDays[[#This Row],[تاریخ]],TArticle[تراکنش برنامه ریزی شده])</f>
        <v>0</v>
      </c>
    </row>
    <row r="648" spans="1:17" x14ac:dyDescent="0.25">
      <c r="A648" s="3" t="s">
        <v>834</v>
      </c>
      <c r="B648" t="str">
        <f>RIGHT(TDays[[#This Row],[تاریخ]],2)</f>
        <v>06</v>
      </c>
      <c r="C648" t="str">
        <f>RIGHT(LEFT(TDays[[#This Row],[تاریخ]],7),2)</f>
        <v>10</v>
      </c>
      <c r="D648" t="str">
        <f>LEFT(TDays[[#This Row],[تاریخ]],4)</f>
        <v>1402</v>
      </c>
      <c r="E648" t="str">
        <f>LEFT(TDays[[#This Row],[تاریخ]],7)</f>
        <v>1402-10</v>
      </c>
      <c r="F648">
        <v>4</v>
      </c>
      <c r="G648" s="15" t="str">
        <f>VLOOKUP(TDays[[#This Row],[کد روز هفته]],TDaysOfTheWeek[],2,FALSE)</f>
        <v>چهارشنبه</v>
      </c>
      <c r="H648" s="15">
        <f>IFERROR(IF(E647&lt;&gt;E648,1,INT(H647)+IF(TDays[[#This Row],[کد روز هفته]]=0,1,0)),1)</f>
        <v>2</v>
      </c>
      <c r="I648">
        <f>-SUMIF(TArticle[تاریخ],TDays[[#This Row],[تاریخ]],TArticle[هزینه])</f>
        <v>0</v>
      </c>
      <c r="J648">
        <f>SUMIF(TArticle[تاریخ],TDays[[#This Row],[تاریخ]],TArticle[درآمد تتا])</f>
        <v>0</v>
      </c>
      <c r="K648">
        <f>SUMIF(TArticle[تاریخ],TDays[[#This Row],[تاریخ]],TArticle[اسنپ])</f>
        <v>0</v>
      </c>
      <c r="L648">
        <f>-SUMIF(TArticle[تاریخ],TDays[[#This Row],[تاریخ]],TArticle[پرداخت بدهی])</f>
        <v>0</v>
      </c>
      <c r="M648">
        <f>SUMIF(TArticle[تاریخ],TDays[[#This Row],[تاریخ]],TArticle[افزایش بدهی])</f>
        <v>0</v>
      </c>
      <c r="N648">
        <f>-SUMIF(TArticle[تاریخ],TDays[[#This Row],[تاریخ]],TArticle[افزایش سرمایه])</f>
        <v>0</v>
      </c>
      <c r="O648">
        <f>SUMIF(TArticle[تاریخ],TDays[[#This Row],[تاریخ]],TArticle[تعداد تراکنش انجام شده])</f>
        <v>0</v>
      </c>
      <c r="P648">
        <f>INT(((TDays[[#This Row],[ماه]]-1)*31+TDays[[#This Row],[روز]]+1)/7)+1</f>
        <v>41</v>
      </c>
      <c r="Q648">
        <f>SUMIF(TArticle[تاریخ],TDays[[#This Row],[تاریخ]],TArticle[تراکنش برنامه ریزی شده])</f>
        <v>0</v>
      </c>
    </row>
    <row r="649" spans="1:17" x14ac:dyDescent="0.25">
      <c r="A649" s="3" t="s">
        <v>835</v>
      </c>
      <c r="B649" t="str">
        <f>RIGHT(TDays[[#This Row],[تاریخ]],2)</f>
        <v>07</v>
      </c>
      <c r="C649" t="str">
        <f>RIGHT(LEFT(TDays[[#This Row],[تاریخ]],7),2)</f>
        <v>10</v>
      </c>
      <c r="D649" t="str">
        <f>LEFT(TDays[[#This Row],[تاریخ]],4)</f>
        <v>1402</v>
      </c>
      <c r="E649" t="str">
        <f>LEFT(TDays[[#This Row],[تاریخ]],7)</f>
        <v>1402-10</v>
      </c>
      <c r="F649">
        <v>5</v>
      </c>
      <c r="G649" s="15" t="str">
        <f>VLOOKUP(TDays[[#This Row],[کد روز هفته]],TDaysOfTheWeek[],2,FALSE)</f>
        <v>پنجشنبه</v>
      </c>
      <c r="H649" s="15">
        <f>IFERROR(IF(E648&lt;&gt;E649,1,INT(H648)+IF(TDays[[#This Row],[کد روز هفته]]=0,1,0)),1)</f>
        <v>2</v>
      </c>
      <c r="I649">
        <f>-SUMIF(TArticle[تاریخ],TDays[[#This Row],[تاریخ]],TArticle[هزینه])</f>
        <v>0</v>
      </c>
      <c r="J649">
        <f>SUMIF(TArticle[تاریخ],TDays[[#This Row],[تاریخ]],TArticle[درآمد تتا])</f>
        <v>0</v>
      </c>
      <c r="K649">
        <f>SUMIF(TArticle[تاریخ],TDays[[#This Row],[تاریخ]],TArticle[اسنپ])</f>
        <v>0</v>
      </c>
      <c r="L649">
        <f>-SUMIF(TArticle[تاریخ],TDays[[#This Row],[تاریخ]],TArticle[پرداخت بدهی])</f>
        <v>0</v>
      </c>
      <c r="M649">
        <f>SUMIF(TArticle[تاریخ],TDays[[#This Row],[تاریخ]],TArticle[افزایش بدهی])</f>
        <v>0</v>
      </c>
      <c r="N649">
        <f>-SUMIF(TArticle[تاریخ],TDays[[#This Row],[تاریخ]],TArticle[افزایش سرمایه])</f>
        <v>0</v>
      </c>
      <c r="O649">
        <f>SUMIF(TArticle[تاریخ],TDays[[#This Row],[تاریخ]],TArticle[تعداد تراکنش انجام شده])</f>
        <v>0</v>
      </c>
      <c r="P649">
        <f>INT(((TDays[[#This Row],[ماه]]-1)*31+TDays[[#This Row],[روز]]+1)/7)+1</f>
        <v>42</v>
      </c>
      <c r="Q649">
        <f>SUMIF(TArticle[تاریخ],TDays[[#This Row],[تاریخ]],TArticle[تراکنش برنامه ریزی شده])</f>
        <v>0</v>
      </c>
    </row>
    <row r="650" spans="1:17" x14ac:dyDescent="0.25">
      <c r="A650" s="3" t="s">
        <v>836</v>
      </c>
      <c r="B650" t="str">
        <f>RIGHT(TDays[[#This Row],[تاریخ]],2)</f>
        <v>08</v>
      </c>
      <c r="C650" t="str">
        <f>RIGHT(LEFT(TDays[[#This Row],[تاریخ]],7),2)</f>
        <v>10</v>
      </c>
      <c r="D650" t="str">
        <f>LEFT(TDays[[#This Row],[تاریخ]],4)</f>
        <v>1402</v>
      </c>
      <c r="E650" t="str">
        <f>LEFT(TDays[[#This Row],[تاریخ]],7)</f>
        <v>1402-10</v>
      </c>
      <c r="F650">
        <v>6</v>
      </c>
      <c r="G650" s="15" t="str">
        <f>VLOOKUP(TDays[[#This Row],[کد روز هفته]],TDaysOfTheWeek[],2,FALSE)</f>
        <v>جمعه</v>
      </c>
      <c r="H650" s="15">
        <f>IFERROR(IF(E649&lt;&gt;E650,1,INT(H649)+IF(TDays[[#This Row],[کد روز هفته]]=0,1,0)),1)</f>
        <v>2</v>
      </c>
      <c r="I650">
        <f>-SUMIF(TArticle[تاریخ],TDays[[#This Row],[تاریخ]],TArticle[هزینه])</f>
        <v>0</v>
      </c>
      <c r="J650">
        <f>SUMIF(TArticle[تاریخ],TDays[[#This Row],[تاریخ]],TArticle[درآمد تتا])</f>
        <v>0</v>
      </c>
      <c r="K650">
        <f>SUMIF(TArticle[تاریخ],TDays[[#This Row],[تاریخ]],TArticle[اسنپ])</f>
        <v>0</v>
      </c>
      <c r="L650">
        <f>-SUMIF(TArticle[تاریخ],TDays[[#This Row],[تاریخ]],TArticle[پرداخت بدهی])</f>
        <v>0</v>
      </c>
      <c r="M650">
        <f>SUMIF(TArticle[تاریخ],TDays[[#This Row],[تاریخ]],TArticle[افزایش بدهی])</f>
        <v>0</v>
      </c>
      <c r="N650">
        <f>-SUMIF(TArticle[تاریخ],TDays[[#This Row],[تاریخ]],TArticle[افزایش سرمایه])</f>
        <v>0</v>
      </c>
      <c r="O650">
        <f>SUMIF(TArticle[تاریخ],TDays[[#This Row],[تاریخ]],TArticle[تعداد تراکنش انجام شده])</f>
        <v>0</v>
      </c>
      <c r="P650">
        <f>INT(((TDays[[#This Row],[ماه]]-1)*31+TDays[[#This Row],[روز]]+1)/7)+1</f>
        <v>42</v>
      </c>
      <c r="Q650">
        <f>SUMIF(TArticle[تاریخ],TDays[[#This Row],[تاریخ]],TArticle[تراکنش برنامه ریزی شده])</f>
        <v>0</v>
      </c>
    </row>
    <row r="651" spans="1:17" x14ac:dyDescent="0.25">
      <c r="A651" s="3" t="s">
        <v>837</v>
      </c>
      <c r="B651" t="str">
        <f>RIGHT(TDays[[#This Row],[تاریخ]],2)</f>
        <v>09</v>
      </c>
      <c r="C651" t="str">
        <f>RIGHT(LEFT(TDays[[#This Row],[تاریخ]],7),2)</f>
        <v>10</v>
      </c>
      <c r="D651" t="str">
        <f>LEFT(TDays[[#This Row],[تاریخ]],4)</f>
        <v>1402</v>
      </c>
      <c r="E651" t="str">
        <f>LEFT(TDays[[#This Row],[تاریخ]],7)</f>
        <v>1402-10</v>
      </c>
      <c r="F651">
        <v>0</v>
      </c>
      <c r="G651" s="15" t="str">
        <f>VLOOKUP(TDays[[#This Row],[کد روز هفته]],TDaysOfTheWeek[],2,FALSE)</f>
        <v>شنبه</v>
      </c>
      <c r="H651" s="15">
        <f>IFERROR(IF(E650&lt;&gt;E651,1,INT(H650)+IF(TDays[[#This Row],[کد روز هفته]]=0,1,0)),1)</f>
        <v>3</v>
      </c>
      <c r="I651">
        <f>-SUMIF(TArticle[تاریخ],TDays[[#This Row],[تاریخ]],TArticle[هزینه])</f>
        <v>0</v>
      </c>
      <c r="J651">
        <f>SUMIF(TArticle[تاریخ],TDays[[#This Row],[تاریخ]],TArticle[درآمد تتا])</f>
        <v>0</v>
      </c>
      <c r="K651">
        <f>SUMIF(TArticle[تاریخ],TDays[[#This Row],[تاریخ]],TArticle[اسنپ])</f>
        <v>0</v>
      </c>
      <c r="L651">
        <f>-SUMIF(TArticle[تاریخ],TDays[[#This Row],[تاریخ]],TArticle[پرداخت بدهی])</f>
        <v>0</v>
      </c>
      <c r="M651">
        <f>SUMIF(TArticle[تاریخ],TDays[[#This Row],[تاریخ]],TArticle[افزایش بدهی])</f>
        <v>0</v>
      </c>
      <c r="N651">
        <f>-SUMIF(TArticle[تاریخ],TDays[[#This Row],[تاریخ]],TArticle[افزایش سرمایه])</f>
        <v>0</v>
      </c>
      <c r="O651">
        <f>SUMIF(TArticle[تاریخ],TDays[[#This Row],[تاریخ]],TArticle[تعداد تراکنش انجام شده])</f>
        <v>0</v>
      </c>
      <c r="P651">
        <f>INT(((TDays[[#This Row],[ماه]]-1)*31+TDays[[#This Row],[روز]]+1)/7)+1</f>
        <v>42</v>
      </c>
      <c r="Q651">
        <f>SUMIF(TArticle[تاریخ],TDays[[#This Row],[تاریخ]],TArticle[تراکنش برنامه ریزی شده])</f>
        <v>1</v>
      </c>
    </row>
    <row r="652" spans="1:17" x14ac:dyDescent="0.25">
      <c r="A652" s="3" t="s">
        <v>838</v>
      </c>
      <c r="B652" t="str">
        <f>RIGHT(TDays[[#This Row],[تاریخ]],2)</f>
        <v>10</v>
      </c>
      <c r="C652" t="str">
        <f>RIGHT(LEFT(TDays[[#This Row],[تاریخ]],7),2)</f>
        <v>10</v>
      </c>
      <c r="D652" t="str">
        <f>LEFT(TDays[[#This Row],[تاریخ]],4)</f>
        <v>1402</v>
      </c>
      <c r="E652" t="str">
        <f>LEFT(TDays[[#This Row],[تاریخ]],7)</f>
        <v>1402-10</v>
      </c>
      <c r="F652">
        <v>1</v>
      </c>
      <c r="G652" s="15" t="str">
        <f>VLOOKUP(TDays[[#This Row],[کد روز هفته]],TDaysOfTheWeek[],2,FALSE)</f>
        <v>یکشنبه</v>
      </c>
      <c r="H652" s="15">
        <f>IFERROR(IF(E651&lt;&gt;E652,1,INT(H651)+IF(TDays[[#This Row],[کد روز هفته]]=0,1,0)),1)</f>
        <v>3</v>
      </c>
      <c r="I652">
        <f>-SUMIF(TArticle[تاریخ],TDays[[#This Row],[تاریخ]],TArticle[هزینه])</f>
        <v>0</v>
      </c>
      <c r="J652">
        <f>SUMIF(TArticle[تاریخ],TDays[[#This Row],[تاریخ]],TArticle[درآمد تتا])</f>
        <v>0</v>
      </c>
      <c r="K652">
        <f>SUMIF(TArticle[تاریخ],TDays[[#This Row],[تاریخ]],TArticle[اسنپ])</f>
        <v>0</v>
      </c>
      <c r="L652">
        <f>-SUMIF(TArticle[تاریخ],TDays[[#This Row],[تاریخ]],TArticle[پرداخت بدهی])</f>
        <v>0</v>
      </c>
      <c r="M652">
        <f>SUMIF(TArticle[تاریخ],TDays[[#This Row],[تاریخ]],TArticle[افزایش بدهی])</f>
        <v>0</v>
      </c>
      <c r="N652">
        <f>-SUMIF(TArticle[تاریخ],TDays[[#This Row],[تاریخ]],TArticle[افزایش سرمایه])</f>
        <v>0</v>
      </c>
      <c r="O652">
        <f>SUMIF(TArticle[تاریخ],TDays[[#This Row],[تاریخ]],TArticle[تعداد تراکنش انجام شده])</f>
        <v>0</v>
      </c>
      <c r="P652">
        <f>INT(((TDays[[#This Row],[ماه]]-1)*31+TDays[[#This Row],[روز]]+1)/7)+1</f>
        <v>42</v>
      </c>
      <c r="Q652">
        <f>SUMIF(TArticle[تاریخ],TDays[[#This Row],[تاریخ]],TArticle[تراکنش برنامه ریزی شده])</f>
        <v>0</v>
      </c>
    </row>
    <row r="653" spans="1:17" x14ac:dyDescent="0.25">
      <c r="A653" s="3" t="s">
        <v>839</v>
      </c>
      <c r="B653" t="str">
        <f>RIGHT(TDays[[#This Row],[تاریخ]],2)</f>
        <v>11</v>
      </c>
      <c r="C653" t="str">
        <f>RIGHT(LEFT(TDays[[#This Row],[تاریخ]],7),2)</f>
        <v>10</v>
      </c>
      <c r="D653" t="str">
        <f>LEFT(TDays[[#This Row],[تاریخ]],4)</f>
        <v>1402</v>
      </c>
      <c r="E653" t="str">
        <f>LEFT(TDays[[#This Row],[تاریخ]],7)</f>
        <v>1402-10</v>
      </c>
      <c r="F653">
        <v>2</v>
      </c>
      <c r="G653" s="15" t="str">
        <f>VLOOKUP(TDays[[#This Row],[کد روز هفته]],TDaysOfTheWeek[],2,FALSE)</f>
        <v>دوشنبه</v>
      </c>
      <c r="H653" s="15">
        <f>IFERROR(IF(E652&lt;&gt;E653,1,INT(H652)+IF(TDays[[#This Row],[کد روز هفته]]=0,1,0)),1)</f>
        <v>3</v>
      </c>
      <c r="I653">
        <f>-SUMIF(TArticle[تاریخ],TDays[[#This Row],[تاریخ]],TArticle[هزینه])</f>
        <v>0</v>
      </c>
      <c r="J653">
        <f>SUMIF(TArticle[تاریخ],TDays[[#This Row],[تاریخ]],TArticle[درآمد تتا])</f>
        <v>0</v>
      </c>
      <c r="K653">
        <f>SUMIF(TArticle[تاریخ],TDays[[#This Row],[تاریخ]],TArticle[اسنپ])</f>
        <v>0</v>
      </c>
      <c r="L653">
        <f>-SUMIF(TArticle[تاریخ],TDays[[#This Row],[تاریخ]],TArticle[پرداخت بدهی])</f>
        <v>0</v>
      </c>
      <c r="M653">
        <f>SUMIF(TArticle[تاریخ],TDays[[#This Row],[تاریخ]],TArticle[افزایش بدهی])</f>
        <v>0</v>
      </c>
      <c r="N653">
        <f>-SUMIF(TArticle[تاریخ],TDays[[#This Row],[تاریخ]],TArticle[افزایش سرمایه])</f>
        <v>0</v>
      </c>
      <c r="O653">
        <f>SUMIF(TArticle[تاریخ],TDays[[#This Row],[تاریخ]],TArticle[تعداد تراکنش انجام شده])</f>
        <v>0</v>
      </c>
      <c r="P653">
        <f>INT(((TDays[[#This Row],[ماه]]-1)*31+TDays[[#This Row],[روز]]+1)/7)+1</f>
        <v>42</v>
      </c>
      <c r="Q653">
        <f>SUMIF(TArticle[تاریخ],TDays[[#This Row],[تاریخ]],TArticle[تراکنش برنامه ریزی شده])</f>
        <v>1</v>
      </c>
    </row>
    <row r="654" spans="1:17" x14ac:dyDescent="0.25">
      <c r="A654" s="3" t="s">
        <v>840</v>
      </c>
      <c r="B654" t="str">
        <f>RIGHT(TDays[[#This Row],[تاریخ]],2)</f>
        <v>12</v>
      </c>
      <c r="C654" t="str">
        <f>RIGHT(LEFT(TDays[[#This Row],[تاریخ]],7),2)</f>
        <v>10</v>
      </c>
      <c r="D654" t="str">
        <f>LEFT(TDays[[#This Row],[تاریخ]],4)</f>
        <v>1402</v>
      </c>
      <c r="E654" t="str">
        <f>LEFT(TDays[[#This Row],[تاریخ]],7)</f>
        <v>1402-10</v>
      </c>
      <c r="F654">
        <v>3</v>
      </c>
      <c r="G654" s="15" t="str">
        <f>VLOOKUP(TDays[[#This Row],[کد روز هفته]],TDaysOfTheWeek[],2,FALSE)</f>
        <v>سه شنبه</v>
      </c>
      <c r="H654" s="15">
        <f>IFERROR(IF(E653&lt;&gt;E654,1,INT(H653)+IF(TDays[[#This Row],[کد روز هفته]]=0,1,0)),1)</f>
        <v>3</v>
      </c>
      <c r="I654">
        <f>-SUMIF(TArticle[تاریخ],TDays[[#This Row],[تاریخ]],TArticle[هزینه])</f>
        <v>0</v>
      </c>
      <c r="J654">
        <f>SUMIF(TArticle[تاریخ],TDays[[#This Row],[تاریخ]],TArticle[درآمد تتا])</f>
        <v>0</v>
      </c>
      <c r="K654">
        <f>SUMIF(TArticle[تاریخ],TDays[[#This Row],[تاریخ]],TArticle[اسنپ])</f>
        <v>0</v>
      </c>
      <c r="L654">
        <f>-SUMIF(TArticle[تاریخ],TDays[[#This Row],[تاریخ]],TArticle[پرداخت بدهی])</f>
        <v>0</v>
      </c>
      <c r="M654">
        <f>SUMIF(TArticle[تاریخ],TDays[[#This Row],[تاریخ]],TArticle[افزایش بدهی])</f>
        <v>0</v>
      </c>
      <c r="N654">
        <f>-SUMIF(TArticle[تاریخ],TDays[[#This Row],[تاریخ]],TArticle[افزایش سرمایه])</f>
        <v>0</v>
      </c>
      <c r="O654">
        <f>SUMIF(TArticle[تاریخ],TDays[[#This Row],[تاریخ]],TArticle[تعداد تراکنش انجام شده])</f>
        <v>0</v>
      </c>
      <c r="P654">
        <f>INT(((TDays[[#This Row],[ماه]]-1)*31+TDays[[#This Row],[روز]]+1)/7)+1</f>
        <v>42</v>
      </c>
      <c r="Q654">
        <f>SUMIF(TArticle[تاریخ],TDays[[#This Row],[تاریخ]],TArticle[تراکنش برنامه ریزی شده])</f>
        <v>0</v>
      </c>
    </row>
    <row r="655" spans="1:17" x14ac:dyDescent="0.25">
      <c r="A655" s="3" t="s">
        <v>841</v>
      </c>
      <c r="B655" t="str">
        <f>RIGHT(TDays[[#This Row],[تاریخ]],2)</f>
        <v>13</v>
      </c>
      <c r="C655" t="str">
        <f>RIGHT(LEFT(TDays[[#This Row],[تاریخ]],7),2)</f>
        <v>10</v>
      </c>
      <c r="D655" t="str">
        <f>LEFT(TDays[[#This Row],[تاریخ]],4)</f>
        <v>1402</v>
      </c>
      <c r="E655" t="str">
        <f>LEFT(TDays[[#This Row],[تاریخ]],7)</f>
        <v>1402-10</v>
      </c>
      <c r="F655">
        <v>4</v>
      </c>
      <c r="G655" s="15" t="str">
        <f>VLOOKUP(TDays[[#This Row],[کد روز هفته]],TDaysOfTheWeek[],2,FALSE)</f>
        <v>چهارشنبه</v>
      </c>
      <c r="H655" s="15">
        <f>IFERROR(IF(E654&lt;&gt;E655,1,INT(H654)+IF(TDays[[#This Row],[کد روز هفته]]=0,1,0)),1)</f>
        <v>3</v>
      </c>
      <c r="I655">
        <f>-SUMIF(TArticle[تاریخ],TDays[[#This Row],[تاریخ]],TArticle[هزینه])</f>
        <v>0</v>
      </c>
      <c r="J655">
        <f>SUMIF(TArticle[تاریخ],TDays[[#This Row],[تاریخ]],TArticle[درآمد تتا])</f>
        <v>0</v>
      </c>
      <c r="K655">
        <f>SUMIF(TArticle[تاریخ],TDays[[#This Row],[تاریخ]],TArticle[اسنپ])</f>
        <v>0</v>
      </c>
      <c r="L655">
        <f>-SUMIF(TArticle[تاریخ],TDays[[#This Row],[تاریخ]],TArticle[پرداخت بدهی])</f>
        <v>0</v>
      </c>
      <c r="M655">
        <f>SUMIF(TArticle[تاریخ],TDays[[#This Row],[تاریخ]],TArticle[افزایش بدهی])</f>
        <v>0</v>
      </c>
      <c r="N655">
        <f>-SUMIF(TArticle[تاریخ],TDays[[#This Row],[تاریخ]],TArticle[افزایش سرمایه])</f>
        <v>0</v>
      </c>
      <c r="O655">
        <f>SUMIF(TArticle[تاریخ],TDays[[#This Row],[تاریخ]],TArticle[تعداد تراکنش انجام شده])</f>
        <v>0</v>
      </c>
      <c r="P655">
        <f>INT(((TDays[[#This Row],[ماه]]-1)*31+TDays[[#This Row],[روز]]+1)/7)+1</f>
        <v>42</v>
      </c>
      <c r="Q655">
        <f>SUMIF(TArticle[تاریخ],TDays[[#This Row],[تاریخ]],TArticle[تراکنش برنامه ریزی شده])</f>
        <v>0</v>
      </c>
    </row>
    <row r="656" spans="1:17" x14ac:dyDescent="0.25">
      <c r="A656" s="3" t="s">
        <v>842</v>
      </c>
      <c r="B656" t="str">
        <f>RIGHT(TDays[[#This Row],[تاریخ]],2)</f>
        <v>14</v>
      </c>
      <c r="C656" t="str">
        <f>RIGHT(LEFT(TDays[[#This Row],[تاریخ]],7),2)</f>
        <v>10</v>
      </c>
      <c r="D656" t="str">
        <f>LEFT(TDays[[#This Row],[تاریخ]],4)</f>
        <v>1402</v>
      </c>
      <c r="E656" t="str">
        <f>LEFT(TDays[[#This Row],[تاریخ]],7)</f>
        <v>1402-10</v>
      </c>
      <c r="F656">
        <v>5</v>
      </c>
      <c r="G656" s="15" t="str">
        <f>VLOOKUP(TDays[[#This Row],[کد روز هفته]],TDaysOfTheWeek[],2,FALSE)</f>
        <v>پنجشنبه</v>
      </c>
      <c r="H656" s="15">
        <f>IFERROR(IF(E655&lt;&gt;E656,1,INT(H655)+IF(TDays[[#This Row],[کد روز هفته]]=0,1,0)),1)</f>
        <v>3</v>
      </c>
      <c r="I656">
        <f>-SUMIF(TArticle[تاریخ],TDays[[#This Row],[تاریخ]],TArticle[هزینه])</f>
        <v>0</v>
      </c>
      <c r="J656">
        <f>SUMIF(TArticle[تاریخ],TDays[[#This Row],[تاریخ]],TArticle[درآمد تتا])</f>
        <v>0</v>
      </c>
      <c r="K656">
        <f>SUMIF(TArticle[تاریخ],TDays[[#This Row],[تاریخ]],TArticle[اسنپ])</f>
        <v>0</v>
      </c>
      <c r="L656">
        <f>-SUMIF(TArticle[تاریخ],TDays[[#This Row],[تاریخ]],TArticle[پرداخت بدهی])</f>
        <v>0</v>
      </c>
      <c r="M656">
        <f>SUMIF(TArticle[تاریخ],TDays[[#This Row],[تاریخ]],TArticle[افزایش بدهی])</f>
        <v>0</v>
      </c>
      <c r="N656">
        <f>-SUMIF(TArticle[تاریخ],TDays[[#This Row],[تاریخ]],TArticle[افزایش سرمایه])</f>
        <v>0</v>
      </c>
      <c r="O656">
        <f>SUMIF(TArticle[تاریخ],TDays[[#This Row],[تاریخ]],TArticle[تعداد تراکنش انجام شده])</f>
        <v>0</v>
      </c>
      <c r="P656">
        <f>INT(((TDays[[#This Row],[ماه]]-1)*31+TDays[[#This Row],[روز]]+1)/7)+1</f>
        <v>43</v>
      </c>
      <c r="Q656">
        <f>SUMIF(TArticle[تاریخ],TDays[[#This Row],[تاریخ]],TArticle[تراکنش برنامه ریزی شده])</f>
        <v>0</v>
      </c>
    </row>
    <row r="657" spans="1:17" x14ac:dyDescent="0.25">
      <c r="A657" s="3" t="s">
        <v>843</v>
      </c>
      <c r="B657" t="str">
        <f>RIGHT(TDays[[#This Row],[تاریخ]],2)</f>
        <v>15</v>
      </c>
      <c r="C657" t="str">
        <f>RIGHT(LEFT(TDays[[#This Row],[تاریخ]],7),2)</f>
        <v>10</v>
      </c>
      <c r="D657" t="str">
        <f>LEFT(TDays[[#This Row],[تاریخ]],4)</f>
        <v>1402</v>
      </c>
      <c r="E657" t="str">
        <f>LEFT(TDays[[#This Row],[تاریخ]],7)</f>
        <v>1402-10</v>
      </c>
      <c r="F657">
        <v>6</v>
      </c>
      <c r="G657" s="15" t="str">
        <f>VLOOKUP(TDays[[#This Row],[کد روز هفته]],TDaysOfTheWeek[],2,FALSE)</f>
        <v>جمعه</v>
      </c>
      <c r="H657" s="15">
        <f>IFERROR(IF(E656&lt;&gt;E657,1,INT(H656)+IF(TDays[[#This Row],[کد روز هفته]]=0,1,0)),1)</f>
        <v>3</v>
      </c>
      <c r="I657">
        <f>-SUMIF(TArticle[تاریخ],TDays[[#This Row],[تاریخ]],TArticle[هزینه])</f>
        <v>0</v>
      </c>
      <c r="J657">
        <f>SUMIF(TArticle[تاریخ],TDays[[#This Row],[تاریخ]],TArticle[درآمد تتا])</f>
        <v>0</v>
      </c>
      <c r="K657">
        <f>SUMIF(TArticle[تاریخ],TDays[[#This Row],[تاریخ]],TArticle[اسنپ])</f>
        <v>0</v>
      </c>
      <c r="L657">
        <f>-SUMIF(TArticle[تاریخ],TDays[[#This Row],[تاریخ]],TArticle[پرداخت بدهی])</f>
        <v>0</v>
      </c>
      <c r="M657">
        <f>SUMIF(TArticle[تاریخ],TDays[[#This Row],[تاریخ]],TArticle[افزایش بدهی])</f>
        <v>0</v>
      </c>
      <c r="N657">
        <f>-SUMIF(TArticle[تاریخ],TDays[[#This Row],[تاریخ]],TArticle[افزایش سرمایه])</f>
        <v>0</v>
      </c>
      <c r="O657">
        <f>SUMIF(TArticle[تاریخ],TDays[[#This Row],[تاریخ]],TArticle[تعداد تراکنش انجام شده])</f>
        <v>0</v>
      </c>
      <c r="P657">
        <f>INT(((TDays[[#This Row],[ماه]]-1)*31+TDays[[#This Row],[روز]]+1)/7)+1</f>
        <v>43</v>
      </c>
      <c r="Q657">
        <f>SUMIF(TArticle[تاریخ],TDays[[#This Row],[تاریخ]],TArticle[تراکنش برنامه ریزی شده])</f>
        <v>0</v>
      </c>
    </row>
    <row r="658" spans="1:17" x14ac:dyDescent="0.25">
      <c r="A658" s="3" t="s">
        <v>844</v>
      </c>
      <c r="B658" t="str">
        <f>RIGHT(TDays[[#This Row],[تاریخ]],2)</f>
        <v>16</v>
      </c>
      <c r="C658" t="str">
        <f>RIGHT(LEFT(TDays[[#This Row],[تاریخ]],7),2)</f>
        <v>10</v>
      </c>
      <c r="D658" t="str">
        <f>LEFT(TDays[[#This Row],[تاریخ]],4)</f>
        <v>1402</v>
      </c>
      <c r="E658" t="str">
        <f>LEFT(TDays[[#This Row],[تاریخ]],7)</f>
        <v>1402-10</v>
      </c>
      <c r="F658">
        <v>0</v>
      </c>
      <c r="G658" s="15" t="str">
        <f>VLOOKUP(TDays[[#This Row],[کد روز هفته]],TDaysOfTheWeek[],2,FALSE)</f>
        <v>شنبه</v>
      </c>
      <c r="H658" s="15">
        <f>IFERROR(IF(E657&lt;&gt;E658,1,INT(H657)+IF(TDays[[#This Row],[کد روز هفته]]=0,1,0)),1)</f>
        <v>4</v>
      </c>
      <c r="I658">
        <f>-SUMIF(TArticle[تاریخ],TDays[[#This Row],[تاریخ]],TArticle[هزینه])</f>
        <v>0</v>
      </c>
      <c r="J658">
        <f>SUMIF(TArticle[تاریخ],TDays[[#This Row],[تاریخ]],TArticle[درآمد تتا])</f>
        <v>0</v>
      </c>
      <c r="K658">
        <f>SUMIF(TArticle[تاریخ],TDays[[#This Row],[تاریخ]],TArticle[اسنپ])</f>
        <v>0</v>
      </c>
      <c r="L658">
        <f>-SUMIF(TArticle[تاریخ],TDays[[#This Row],[تاریخ]],TArticle[پرداخت بدهی])</f>
        <v>0</v>
      </c>
      <c r="M658">
        <f>SUMIF(TArticle[تاریخ],TDays[[#This Row],[تاریخ]],TArticle[افزایش بدهی])</f>
        <v>0</v>
      </c>
      <c r="N658">
        <f>-SUMIF(TArticle[تاریخ],TDays[[#This Row],[تاریخ]],TArticle[افزایش سرمایه])</f>
        <v>0</v>
      </c>
      <c r="O658">
        <f>SUMIF(TArticle[تاریخ],TDays[[#This Row],[تاریخ]],TArticle[تعداد تراکنش انجام شده])</f>
        <v>0</v>
      </c>
      <c r="P658">
        <f>INT(((TDays[[#This Row],[ماه]]-1)*31+TDays[[#This Row],[روز]]+1)/7)+1</f>
        <v>43</v>
      </c>
      <c r="Q658">
        <f>SUMIF(TArticle[تاریخ],TDays[[#This Row],[تاریخ]],TArticle[تراکنش برنامه ریزی شده])</f>
        <v>0</v>
      </c>
    </row>
    <row r="659" spans="1:17" x14ac:dyDescent="0.25">
      <c r="A659" s="3" t="s">
        <v>845</v>
      </c>
      <c r="B659" t="str">
        <f>RIGHT(TDays[[#This Row],[تاریخ]],2)</f>
        <v>17</v>
      </c>
      <c r="C659" t="str">
        <f>RIGHT(LEFT(TDays[[#This Row],[تاریخ]],7),2)</f>
        <v>10</v>
      </c>
      <c r="D659" t="str">
        <f>LEFT(TDays[[#This Row],[تاریخ]],4)</f>
        <v>1402</v>
      </c>
      <c r="E659" t="str">
        <f>LEFT(TDays[[#This Row],[تاریخ]],7)</f>
        <v>1402-10</v>
      </c>
      <c r="F659">
        <v>1</v>
      </c>
      <c r="G659" s="15" t="str">
        <f>VLOOKUP(TDays[[#This Row],[کد روز هفته]],TDaysOfTheWeek[],2,FALSE)</f>
        <v>یکشنبه</v>
      </c>
      <c r="H659" s="15">
        <f>IFERROR(IF(E658&lt;&gt;E659,1,INT(H658)+IF(TDays[[#This Row],[کد روز هفته]]=0,1,0)),1)</f>
        <v>4</v>
      </c>
      <c r="I659">
        <f>-SUMIF(TArticle[تاریخ],TDays[[#This Row],[تاریخ]],TArticle[هزینه])</f>
        <v>0</v>
      </c>
      <c r="J659">
        <f>SUMIF(TArticle[تاریخ],TDays[[#This Row],[تاریخ]],TArticle[درآمد تتا])</f>
        <v>0</v>
      </c>
      <c r="K659">
        <f>SUMIF(TArticle[تاریخ],TDays[[#This Row],[تاریخ]],TArticle[اسنپ])</f>
        <v>0</v>
      </c>
      <c r="L659">
        <f>-SUMIF(TArticle[تاریخ],TDays[[#This Row],[تاریخ]],TArticle[پرداخت بدهی])</f>
        <v>0</v>
      </c>
      <c r="M659">
        <f>SUMIF(TArticle[تاریخ],TDays[[#This Row],[تاریخ]],TArticle[افزایش بدهی])</f>
        <v>0</v>
      </c>
      <c r="N659">
        <f>-SUMIF(TArticle[تاریخ],TDays[[#This Row],[تاریخ]],TArticle[افزایش سرمایه])</f>
        <v>0</v>
      </c>
      <c r="O659">
        <f>SUMIF(TArticle[تاریخ],TDays[[#This Row],[تاریخ]],TArticle[تعداد تراکنش انجام شده])</f>
        <v>0</v>
      </c>
      <c r="P659">
        <f>INT(((TDays[[#This Row],[ماه]]-1)*31+TDays[[#This Row],[روز]]+1)/7)+1</f>
        <v>43</v>
      </c>
      <c r="Q659">
        <f>SUMIF(TArticle[تاریخ],TDays[[#This Row],[تاریخ]],TArticle[تراکنش برنامه ریزی شده])</f>
        <v>1</v>
      </c>
    </row>
    <row r="660" spans="1:17" x14ac:dyDescent="0.25">
      <c r="A660" s="3" t="s">
        <v>846</v>
      </c>
      <c r="B660" t="str">
        <f>RIGHT(TDays[[#This Row],[تاریخ]],2)</f>
        <v>18</v>
      </c>
      <c r="C660" t="str">
        <f>RIGHT(LEFT(TDays[[#This Row],[تاریخ]],7),2)</f>
        <v>10</v>
      </c>
      <c r="D660" t="str">
        <f>LEFT(TDays[[#This Row],[تاریخ]],4)</f>
        <v>1402</v>
      </c>
      <c r="E660" t="str">
        <f>LEFT(TDays[[#This Row],[تاریخ]],7)</f>
        <v>1402-10</v>
      </c>
      <c r="F660">
        <v>2</v>
      </c>
      <c r="G660" s="15" t="str">
        <f>VLOOKUP(TDays[[#This Row],[کد روز هفته]],TDaysOfTheWeek[],2,FALSE)</f>
        <v>دوشنبه</v>
      </c>
      <c r="H660" s="15">
        <f>IFERROR(IF(E659&lt;&gt;E660,1,INT(H659)+IF(TDays[[#This Row],[کد روز هفته]]=0,1,0)),1)</f>
        <v>4</v>
      </c>
      <c r="I660">
        <f>-SUMIF(TArticle[تاریخ],TDays[[#This Row],[تاریخ]],TArticle[هزینه])</f>
        <v>0</v>
      </c>
      <c r="J660">
        <f>SUMIF(TArticle[تاریخ],TDays[[#This Row],[تاریخ]],TArticle[درآمد تتا])</f>
        <v>0</v>
      </c>
      <c r="K660">
        <f>SUMIF(TArticle[تاریخ],TDays[[#This Row],[تاریخ]],TArticle[اسنپ])</f>
        <v>0</v>
      </c>
      <c r="L660">
        <f>-SUMIF(TArticle[تاریخ],TDays[[#This Row],[تاریخ]],TArticle[پرداخت بدهی])</f>
        <v>0</v>
      </c>
      <c r="M660">
        <f>SUMIF(TArticle[تاریخ],TDays[[#This Row],[تاریخ]],TArticle[افزایش بدهی])</f>
        <v>0</v>
      </c>
      <c r="N660">
        <f>-SUMIF(TArticle[تاریخ],TDays[[#This Row],[تاریخ]],TArticle[افزایش سرمایه])</f>
        <v>0</v>
      </c>
      <c r="O660">
        <f>SUMIF(TArticle[تاریخ],TDays[[#This Row],[تاریخ]],TArticle[تعداد تراکنش انجام شده])</f>
        <v>0</v>
      </c>
      <c r="P660">
        <f>INT(((TDays[[#This Row],[ماه]]-1)*31+TDays[[#This Row],[روز]]+1)/7)+1</f>
        <v>43</v>
      </c>
      <c r="Q660">
        <f>SUMIF(TArticle[تاریخ],TDays[[#This Row],[تاریخ]],TArticle[تراکنش برنامه ریزی شده])</f>
        <v>0</v>
      </c>
    </row>
    <row r="661" spans="1:17" x14ac:dyDescent="0.25">
      <c r="A661" s="3" t="s">
        <v>847</v>
      </c>
      <c r="B661" t="str">
        <f>RIGHT(TDays[[#This Row],[تاریخ]],2)</f>
        <v>19</v>
      </c>
      <c r="C661" t="str">
        <f>RIGHT(LEFT(TDays[[#This Row],[تاریخ]],7),2)</f>
        <v>10</v>
      </c>
      <c r="D661" t="str">
        <f>LEFT(TDays[[#This Row],[تاریخ]],4)</f>
        <v>1402</v>
      </c>
      <c r="E661" t="str">
        <f>LEFT(TDays[[#This Row],[تاریخ]],7)</f>
        <v>1402-10</v>
      </c>
      <c r="F661">
        <v>3</v>
      </c>
      <c r="G661" s="15" t="str">
        <f>VLOOKUP(TDays[[#This Row],[کد روز هفته]],TDaysOfTheWeek[],2,FALSE)</f>
        <v>سه شنبه</v>
      </c>
      <c r="H661" s="15">
        <f>IFERROR(IF(E660&lt;&gt;E661,1,INT(H660)+IF(TDays[[#This Row],[کد روز هفته]]=0,1,0)),1)</f>
        <v>4</v>
      </c>
      <c r="I661">
        <f>-SUMIF(TArticle[تاریخ],TDays[[#This Row],[تاریخ]],TArticle[هزینه])</f>
        <v>0</v>
      </c>
      <c r="J661">
        <f>SUMIF(TArticle[تاریخ],TDays[[#This Row],[تاریخ]],TArticle[درآمد تتا])</f>
        <v>0</v>
      </c>
      <c r="K661">
        <f>SUMIF(TArticle[تاریخ],TDays[[#This Row],[تاریخ]],TArticle[اسنپ])</f>
        <v>0</v>
      </c>
      <c r="L661">
        <f>-SUMIF(TArticle[تاریخ],TDays[[#This Row],[تاریخ]],TArticle[پرداخت بدهی])</f>
        <v>0</v>
      </c>
      <c r="M661">
        <f>SUMIF(TArticle[تاریخ],TDays[[#This Row],[تاریخ]],TArticle[افزایش بدهی])</f>
        <v>0</v>
      </c>
      <c r="N661">
        <f>-SUMIF(TArticle[تاریخ],TDays[[#This Row],[تاریخ]],TArticle[افزایش سرمایه])</f>
        <v>0</v>
      </c>
      <c r="O661">
        <f>SUMIF(TArticle[تاریخ],TDays[[#This Row],[تاریخ]],TArticle[تعداد تراکنش انجام شده])</f>
        <v>0</v>
      </c>
      <c r="P661">
        <f>INT(((TDays[[#This Row],[ماه]]-1)*31+TDays[[#This Row],[روز]]+1)/7)+1</f>
        <v>43</v>
      </c>
      <c r="Q661">
        <f>SUMIF(TArticle[تاریخ],TDays[[#This Row],[تاریخ]],TArticle[تراکنش برنامه ریزی شده])</f>
        <v>0</v>
      </c>
    </row>
    <row r="662" spans="1:17" x14ac:dyDescent="0.25">
      <c r="A662" s="3" t="s">
        <v>848</v>
      </c>
      <c r="B662" t="str">
        <f>RIGHT(TDays[[#This Row],[تاریخ]],2)</f>
        <v>20</v>
      </c>
      <c r="C662" t="str">
        <f>RIGHT(LEFT(TDays[[#This Row],[تاریخ]],7),2)</f>
        <v>10</v>
      </c>
      <c r="D662" t="str">
        <f>LEFT(TDays[[#This Row],[تاریخ]],4)</f>
        <v>1402</v>
      </c>
      <c r="E662" t="str">
        <f>LEFT(TDays[[#This Row],[تاریخ]],7)</f>
        <v>1402-10</v>
      </c>
      <c r="F662">
        <v>4</v>
      </c>
      <c r="G662" s="15" t="str">
        <f>VLOOKUP(TDays[[#This Row],[کد روز هفته]],TDaysOfTheWeek[],2,FALSE)</f>
        <v>چهارشنبه</v>
      </c>
      <c r="H662" s="15">
        <f>IFERROR(IF(E661&lt;&gt;E662,1,INT(H661)+IF(TDays[[#This Row],[کد روز هفته]]=0,1,0)),1)</f>
        <v>4</v>
      </c>
      <c r="I662">
        <f>-SUMIF(TArticle[تاریخ],TDays[[#This Row],[تاریخ]],TArticle[هزینه])</f>
        <v>0</v>
      </c>
      <c r="J662">
        <f>SUMIF(TArticle[تاریخ],TDays[[#This Row],[تاریخ]],TArticle[درآمد تتا])</f>
        <v>0</v>
      </c>
      <c r="K662">
        <f>SUMIF(TArticle[تاریخ],TDays[[#This Row],[تاریخ]],TArticle[اسنپ])</f>
        <v>0</v>
      </c>
      <c r="L662">
        <f>-SUMIF(TArticle[تاریخ],TDays[[#This Row],[تاریخ]],TArticle[پرداخت بدهی])</f>
        <v>0</v>
      </c>
      <c r="M662">
        <f>SUMIF(TArticle[تاریخ],TDays[[#This Row],[تاریخ]],TArticle[افزایش بدهی])</f>
        <v>0</v>
      </c>
      <c r="N662">
        <f>-SUMIF(TArticle[تاریخ],TDays[[#This Row],[تاریخ]],TArticle[افزایش سرمایه])</f>
        <v>0</v>
      </c>
      <c r="O662">
        <f>SUMIF(TArticle[تاریخ],TDays[[#This Row],[تاریخ]],TArticle[تعداد تراکنش انجام شده])</f>
        <v>0</v>
      </c>
      <c r="P662">
        <f>INT(((TDays[[#This Row],[ماه]]-1)*31+TDays[[#This Row],[روز]]+1)/7)+1</f>
        <v>43</v>
      </c>
      <c r="Q662">
        <f>SUMIF(TArticle[تاریخ],TDays[[#This Row],[تاریخ]],TArticle[تراکنش برنامه ریزی شده])</f>
        <v>1</v>
      </c>
    </row>
    <row r="663" spans="1:17" x14ac:dyDescent="0.25">
      <c r="A663" s="3" t="s">
        <v>849</v>
      </c>
      <c r="B663" t="str">
        <f>RIGHT(TDays[[#This Row],[تاریخ]],2)</f>
        <v>21</v>
      </c>
      <c r="C663" t="str">
        <f>RIGHT(LEFT(TDays[[#This Row],[تاریخ]],7),2)</f>
        <v>10</v>
      </c>
      <c r="D663" t="str">
        <f>LEFT(TDays[[#This Row],[تاریخ]],4)</f>
        <v>1402</v>
      </c>
      <c r="E663" t="str">
        <f>LEFT(TDays[[#This Row],[تاریخ]],7)</f>
        <v>1402-10</v>
      </c>
      <c r="F663">
        <v>5</v>
      </c>
      <c r="G663" s="15" t="str">
        <f>VLOOKUP(TDays[[#This Row],[کد روز هفته]],TDaysOfTheWeek[],2,FALSE)</f>
        <v>پنجشنبه</v>
      </c>
      <c r="H663" s="15">
        <f>IFERROR(IF(E662&lt;&gt;E663,1,INT(H662)+IF(TDays[[#This Row],[کد روز هفته]]=0,1,0)),1)</f>
        <v>4</v>
      </c>
      <c r="I663">
        <f>-SUMIF(TArticle[تاریخ],TDays[[#This Row],[تاریخ]],TArticle[هزینه])</f>
        <v>0</v>
      </c>
      <c r="J663">
        <f>SUMIF(TArticle[تاریخ],TDays[[#This Row],[تاریخ]],TArticle[درآمد تتا])</f>
        <v>0</v>
      </c>
      <c r="K663">
        <f>SUMIF(TArticle[تاریخ],TDays[[#This Row],[تاریخ]],TArticle[اسنپ])</f>
        <v>0</v>
      </c>
      <c r="L663">
        <f>-SUMIF(TArticle[تاریخ],TDays[[#This Row],[تاریخ]],TArticle[پرداخت بدهی])</f>
        <v>0</v>
      </c>
      <c r="M663">
        <f>SUMIF(TArticle[تاریخ],TDays[[#This Row],[تاریخ]],TArticle[افزایش بدهی])</f>
        <v>0</v>
      </c>
      <c r="N663">
        <f>-SUMIF(TArticle[تاریخ],TDays[[#This Row],[تاریخ]],TArticle[افزایش سرمایه])</f>
        <v>0</v>
      </c>
      <c r="O663">
        <f>SUMIF(TArticle[تاریخ],TDays[[#This Row],[تاریخ]],TArticle[تعداد تراکنش انجام شده])</f>
        <v>0</v>
      </c>
      <c r="P663">
        <f>INT(((TDays[[#This Row],[ماه]]-1)*31+TDays[[#This Row],[روز]]+1)/7)+1</f>
        <v>44</v>
      </c>
      <c r="Q663">
        <f>SUMIF(TArticle[تاریخ],TDays[[#This Row],[تاریخ]],TArticle[تراکنش برنامه ریزی شده])</f>
        <v>0</v>
      </c>
    </row>
    <row r="664" spans="1:17" x14ac:dyDescent="0.25">
      <c r="A664" s="3" t="s">
        <v>850</v>
      </c>
      <c r="B664" t="str">
        <f>RIGHT(TDays[[#This Row],[تاریخ]],2)</f>
        <v>22</v>
      </c>
      <c r="C664" t="str">
        <f>RIGHT(LEFT(TDays[[#This Row],[تاریخ]],7),2)</f>
        <v>10</v>
      </c>
      <c r="D664" t="str">
        <f>LEFT(TDays[[#This Row],[تاریخ]],4)</f>
        <v>1402</v>
      </c>
      <c r="E664" t="str">
        <f>LEFT(TDays[[#This Row],[تاریخ]],7)</f>
        <v>1402-10</v>
      </c>
      <c r="F664">
        <v>6</v>
      </c>
      <c r="G664" s="15" t="str">
        <f>VLOOKUP(TDays[[#This Row],[کد روز هفته]],TDaysOfTheWeek[],2,FALSE)</f>
        <v>جمعه</v>
      </c>
      <c r="H664" s="15">
        <f>IFERROR(IF(E663&lt;&gt;E664,1,INT(H663)+IF(TDays[[#This Row],[کد روز هفته]]=0,1,0)),1)</f>
        <v>4</v>
      </c>
      <c r="I664">
        <f>-SUMIF(TArticle[تاریخ],TDays[[#This Row],[تاریخ]],TArticle[هزینه])</f>
        <v>0</v>
      </c>
      <c r="J664">
        <f>SUMIF(TArticle[تاریخ],TDays[[#This Row],[تاریخ]],TArticle[درآمد تتا])</f>
        <v>0</v>
      </c>
      <c r="K664">
        <f>SUMIF(TArticle[تاریخ],TDays[[#This Row],[تاریخ]],TArticle[اسنپ])</f>
        <v>0</v>
      </c>
      <c r="L664">
        <f>-SUMIF(TArticle[تاریخ],TDays[[#This Row],[تاریخ]],TArticle[پرداخت بدهی])</f>
        <v>0</v>
      </c>
      <c r="M664">
        <f>SUMIF(TArticle[تاریخ],TDays[[#This Row],[تاریخ]],TArticle[افزایش بدهی])</f>
        <v>0</v>
      </c>
      <c r="N664">
        <f>-SUMIF(TArticle[تاریخ],TDays[[#This Row],[تاریخ]],TArticle[افزایش سرمایه])</f>
        <v>0</v>
      </c>
      <c r="O664">
        <f>SUMIF(TArticle[تاریخ],TDays[[#This Row],[تاریخ]],TArticle[تعداد تراکنش انجام شده])</f>
        <v>0</v>
      </c>
      <c r="P664">
        <f>INT(((TDays[[#This Row],[ماه]]-1)*31+TDays[[#This Row],[روز]]+1)/7)+1</f>
        <v>44</v>
      </c>
      <c r="Q664">
        <f>SUMIF(TArticle[تاریخ],TDays[[#This Row],[تاریخ]],TArticle[تراکنش برنامه ریزی شده])</f>
        <v>0</v>
      </c>
    </row>
    <row r="665" spans="1:17" x14ac:dyDescent="0.25">
      <c r="A665" s="3" t="s">
        <v>851</v>
      </c>
      <c r="B665" t="str">
        <f>RIGHT(TDays[[#This Row],[تاریخ]],2)</f>
        <v>23</v>
      </c>
      <c r="C665" t="str">
        <f>RIGHT(LEFT(TDays[[#This Row],[تاریخ]],7),2)</f>
        <v>10</v>
      </c>
      <c r="D665" t="str">
        <f>LEFT(TDays[[#This Row],[تاریخ]],4)</f>
        <v>1402</v>
      </c>
      <c r="E665" t="str">
        <f>LEFT(TDays[[#This Row],[تاریخ]],7)</f>
        <v>1402-10</v>
      </c>
      <c r="F665">
        <v>0</v>
      </c>
      <c r="G665" s="15" t="str">
        <f>VLOOKUP(TDays[[#This Row],[کد روز هفته]],TDaysOfTheWeek[],2,FALSE)</f>
        <v>شنبه</v>
      </c>
      <c r="H665" s="15">
        <f>IFERROR(IF(E664&lt;&gt;E665,1,INT(H664)+IF(TDays[[#This Row],[کد روز هفته]]=0,1,0)),1)</f>
        <v>5</v>
      </c>
      <c r="I665">
        <f>-SUMIF(TArticle[تاریخ],TDays[[#This Row],[تاریخ]],TArticle[هزینه])</f>
        <v>0</v>
      </c>
      <c r="J665">
        <f>SUMIF(TArticle[تاریخ],TDays[[#This Row],[تاریخ]],TArticle[درآمد تتا])</f>
        <v>0</v>
      </c>
      <c r="K665">
        <f>SUMIF(TArticle[تاریخ],TDays[[#This Row],[تاریخ]],TArticle[اسنپ])</f>
        <v>0</v>
      </c>
      <c r="L665">
        <f>-SUMIF(TArticle[تاریخ],TDays[[#This Row],[تاریخ]],TArticle[پرداخت بدهی])</f>
        <v>0</v>
      </c>
      <c r="M665">
        <f>SUMIF(TArticle[تاریخ],TDays[[#This Row],[تاریخ]],TArticle[افزایش بدهی])</f>
        <v>0</v>
      </c>
      <c r="N665">
        <f>-SUMIF(TArticle[تاریخ],TDays[[#This Row],[تاریخ]],TArticle[افزایش سرمایه])</f>
        <v>0</v>
      </c>
      <c r="O665">
        <f>SUMIF(TArticle[تاریخ],TDays[[#This Row],[تاریخ]],TArticle[تعداد تراکنش انجام شده])</f>
        <v>0</v>
      </c>
      <c r="P665">
        <f>INT(((TDays[[#This Row],[ماه]]-1)*31+TDays[[#This Row],[روز]]+1)/7)+1</f>
        <v>44</v>
      </c>
      <c r="Q665">
        <f>SUMIF(TArticle[تاریخ],TDays[[#This Row],[تاریخ]],TArticle[تراکنش برنامه ریزی شده])</f>
        <v>0</v>
      </c>
    </row>
    <row r="666" spans="1:17" x14ac:dyDescent="0.25">
      <c r="A666" s="3" t="s">
        <v>852</v>
      </c>
      <c r="B666" t="str">
        <f>RIGHT(TDays[[#This Row],[تاریخ]],2)</f>
        <v>24</v>
      </c>
      <c r="C666" t="str">
        <f>RIGHT(LEFT(TDays[[#This Row],[تاریخ]],7),2)</f>
        <v>10</v>
      </c>
      <c r="D666" t="str">
        <f>LEFT(TDays[[#This Row],[تاریخ]],4)</f>
        <v>1402</v>
      </c>
      <c r="E666" t="str">
        <f>LEFT(TDays[[#This Row],[تاریخ]],7)</f>
        <v>1402-10</v>
      </c>
      <c r="F666">
        <v>1</v>
      </c>
      <c r="G666" s="15" t="str">
        <f>VLOOKUP(TDays[[#This Row],[کد روز هفته]],TDaysOfTheWeek[],2,FALSE)</f>
        <v>یکشنبه</v>
      </c>
      <c r="H666" s="15">
        <f>IFERROR(IF(E665&lt;&gt;E666,1,INT(H665)+IF(TDays[[#This Row],[کد روز هفته]]=0,1,0)),1)</f>
        <v>5</v>
      </c>
      <c r="I666">
        <f>-SUMIF(TArticle[تاریخ],TDays[[#This Row],[تاریخ]],TArticle[هزینه])</f>
        <v>0</v>
      </c>
      <c r="J666">
        <f>SUMIF(TArticle[تاریخ],TDays[[#This Row],[تاریخ]],TArticle[درآمد تتا])</f>
        <v>0</v>
      </c>
      <c r="K666">
        <f>SUMIF(TArticle[تاریخ],TDays[[#This Row],[تاریخ]],TArticle[اسنپ])</f>
        <v>0</v>
      </c>
      <c r="L666">
        <f>-SUMIF(TArticle[تاریخ],TDays[[#This Row],[تاریخ]],TArticle[پرداخت بدهی])</f>
        <v>0</v>
      </c>
      <c r="M666">
        <f>SUMIF(TArticle[تاریخ],TDays[[#This Row],[تاریخ]],TArticle[افزایش بدهی])</f>
        <v>0</v>
      </c>
      <c r="N666">
        <f>-SUMIF(TArticle[تاریخ],TDays[[#This Row],[تاریخ]],TArticle[افزایش سرمایه])</f>
        <v>0</v>
      </c>
      <c r="O666">
        <f>SUMIF(TArticle[تاریخ],TDays[[#This Row],[تاریخ]],TArticle[تعداد تراکنش انجام شده])</f>
        <v>0</v>
      </c>
      <c r="P666">
        <f>INT(((TDays[[#This Row],[ماه]]-1)*31+TDays[[#This Row],[روز]]+1)/7)+1</f>
        <v>44</v>
      </c>
      <c r="Q666">
        <f>SUMIF(TArticle[تاریخ],TDays[[#This Row],[تاریخ]],TArticle[تراکنش برنامه ریزی شده])</f>
        <v>0</v>
      </c>
    </row>
    <row r="667" spans="1:17" x14ac:dyDescent="0.25">
      <c r="A667" s="3" t="s">
        <v>853</v>
      </c>
      <c r="B667" t="str">
        <f>RIGHT(TDays[[#This Row],[تاریخ]],2)</f>
        <v>25</v>
      </c>
      <c r="C667" t="str">
        <f>RIGHT(LEFT(TDays[[#This Row],[تاریخ]],7),2)</f>
        <v>10</v>
      </c>
      <c r="D667" t="str">
        <f>LEFT(TDays[[#This Row],[تاریخ]],4)</f>
        <v>1402</v>
      </c>
      <c r="E667" t="str">
        <f>LEFT(TDays[[#This Row],[تاریخ]],7)</f>
        <v>1402-10</v>
      </c>
      <c r="F667">
        <v>2</v>
      </c>
      <c r="G667" s="15" t="str">
        <f>VLOOKUP(TDays[[#This Row],[کد روز هفته]],TDaysOfTheWeek[],2,FALSE)</f>
        <v>دوشنبه</v>
      </c>
      <c r="H667" s="15">
        <f>IFERROR(IF(E666&lt;&gt;E667,1,INT(H666)+IF(TDays[[#This Row],[کد روز هفته]]=0,1,0)),1)</f>
        <v>5</v>
      </c>
      <c r="I667">
        <f>-SUMIF(TArticle[تاریخ],TDays[[#This Row],[تاریخ]],TArticle[هزینه])</f>
        <v>0</v>
      </c>
      <c r="J667">
        <f>SUMIF(TArticle[تاریخ],TDays[[#This Row],[تاریخ]],TArticle[درآمد تتا])</f>
        <v>0</v>
      </c>
      <c r="K667">
        <f>SUMIF(TArticle[تاریخ],TDays[[#This Row],[تاریخ]],TArticle[اسنپ])</f>
        <v>0</v>
      </c>
      <c r="L667">
        <f>-SUMIF(TArticle[تاریخ],TDays[[#This Row],[تاریخ]],TArticle[پرداخت بدهی])</f>
        <v>0</v>
      </c>
      <c r="M667">
        <f>SUMIF(TArticle[تاریخ],TDays[[#This Row],[تاریخ]],TArticle[افزایش بدهی])</f>
        <v>0</v>
      </c>
      <c r="N667">
        <f>-SUMIF(TArticle[تاریخ],TDays[[#This Row],[تاریخ]],TArticle[افزایش سرمایه])</f>
        <v>0</v>
      </c>
      <c r="O667">
        <f>SUMIF(TArticle[تاریخ],TDays[[#This Row],[تاریخ]],TArticle[تعداد تراکنش انجام شده])</f>
        <v>0</v>
      </c>
      <c r="P667">
        <f>INT(((TDays[[#This Row],[ماه]]-1)*31+TDays[[#This Row],[روز]]+1)/7)+1</f>
        <v>44</v>
      </c>
      <c r="Q667">
        <f>SUMIF(TArticle[تاریخ],TDays[[#This Row],[تاریخ]],TArticle[تراکنش برنامه ریزی شده])</f>
        <v>0</v>
      </c>
    </row>
    <row r="668" spans="1:17" x14ac:dyDescent="0.25">
      <c r="A668" s="3" t="s">
        <v>854</v>
      </c>
      <c r="B668" t="str">
        <f>RIGHT(TDays[[#This Row],[تاریخ]],2)</f>
        <v>26</v>
      </c>
      <c r="C668" t="str">
        <f>RIGHT(LEFT(TDays[[#This Row],[تاریخ]],7),2)</f>
        <v>10</v>
      </c>
      <c r="D668" t="str">
        <f>LEFT(TDays[[#This Row],[تاریخ]],4)</f>
        <v>1402</v>
      </c>
      <c r="E668" t="str">
        <f>LEFT(TDays[[#This Row],[تاریخ]],7)</f>
        <v>1402-10</v>
      </c>
      <c r="F668">
        <v>3</v>
      </c>
      <c r="G668" s="15" t="str">
        <f>VLOOKUP(TDays[[#This Row],[کد روز هفته]],TDaysOfTheWeek[],2,FALSE)</f>
        <v>سه شنبه</v>
      </c>
      <c r="H668" s="15">
        <f>IFERROR(IF(E667&lt;&gt;E668,1,INT(H667)+IF(TDays[[#This Row],[کد روز هفته]]=0,1,0)),1)</f>
        <v>5</v>
      </c>
      <c r="I668">
        <f>-SUMIF(TArticle[تاریخ],TDays[[#This Row],[تاریخ]],TArticle[هزینه])</f>
        <v>0</v>
      </c>
      <c r="J668">
        <f>SUMIF(TArticle[تاریخ],TDays[[#This Row],[تاریخ]],TArticle[درآمد تتا])</f>
        <v>0</v>
      </c>
      <c r="K668">
        <f>SUMIF(TArticle[تاریخ],TDays[[#This Row],[تاریخ]],TArticle[اسنپ])</f>
        <v>0</v>
      </c>
      <c r="L668">
        <f>-SUMIF(TArticle[تاریخ],TDays[[#This Row],[تاریخ]],TArticle[پرداخت بدهی])</f>
        <v>0</v>
      </c>
      <c r="M668">
        <f>SUMIF(TArticle[تاریخ],TDays[[#This Row],[تاریخ]],TArticle[افزایش بدهی])</f>
        <v>0</v>
      </c>
      <c r="N668">
        <f>-SUMIF(TArticle[تاریخ],TDays[[#This Row],[تاریخ]],TArticle[افزایش سرمایه])</f>
        <v>0</v>
      </c>
      <c r="O668">
        <f>SUMIF(TArticle[تاریخ],TDays[[#This Row],[تاریخ]],TArticle[تعداد تراکنش انجام شده])</f>
        <v>0</v>
      </c>
      <c r="P668">
        <f>INT(((TDays[[#This Row],[ماه]]-1)*31+TDays[[#This Row],[روز]]+1)/7)+1</f>
        <v>44</v>
      </c>
      <c r="Q668">
        <f>SUMIF(TArticle[تاریخ],TDays[[#This Row],[تاریخ]],TArticle[تراکنش برنامه ریزی شده])</f>
        <v>0</v>
      </c>
    </row>
    <row r="669" spans="1:17" x14ac:dyDescent="0.25">
      <c r="A669" s="3" t="s">
        <v>855</v>
      </c>
      <c r="B669" t="str">
        <f>RIGHT(TDays[[#This Row],[تاریخ]],2)</f>
        <v>27</v>
      </c>
      <c r="C669" t="str">
        <f>RIGHT(LEFT(TDays[[#This Row],[تاریخ]],7),2)</f>
        <v>10</v>
      </c>
      <c r="D669" t="str">
        <f>LEFT(TDays[[#This Row],[تاریخ]],4)</f>
        <v>1402</v>
      </c>
      <c r="E669" t="str">
        <f>LEFT(TDays[[#This Row],[تاریخ]],7)</f>
        <v>1402-10</v>
      </c>
      <c r="F669">
        <v>4</v>
      </c>
      <c r="G669" s="15" t="str">
        <f>VLOOKUP(TDays[[#This Row],[کد روز هفته]],TDaysOfTheWeek[],2,FALSE)</f>
        <v>چهارشنبه</v>
      </c>
      <c r="H669" s="15">
        <f>IFERROR(IF(E668&lt;&gt;E669,1,INT(H668)+IF(TDays[[#This Row],[کد روز هفته]]=0,1,0)),1)</f>
        <v>5</v>
      </c>
      <c r="I669">
        <f>-SUMIF(TArticle[تاریخ],TDays[[#This Row],[تاریخ]],TArticle[هزینه])</f>
        <v>0</v>
      </c>
      <c r="J669">
        <f>SUMIF(TArticle[تاریخ],TDays[[#This Row],[تاریخ]],TArticle[درآمد تتا])</f>
        <v>0</v>
      </c>
      <c r="K669">
        <f>SUMIF(TArticle[تاریخ],TDays[[#This Row],[تاریخ]],TArticle[اسنپ])</f>
        <v>0</v>
      </c>
      <c r="L669">
        <f>-SUMIF(TArticle[تاریخ],TDays[[#This Row],[تاریخ]],TArticle[پرداخت بدهی])</f>
        <v>0</v>
      </c>
      <c r="M669">
        <f>SUMIF(TArticle[تاریخ],TDays[[#This Row],[تاریخ]],TArticle[افزایش بدهی])</f>
        <v>0</v>
      </c>
      <c r="N669">
        <f>-SUMIF(TArticle[تاریخ],TDays[[#This Row],[تاریخ]],TArticle[افزایش سرمایه])</f>
        <v>0</v>
      </c>
      <c r="O669">
        <f>SUMIF(TArticle[تاریخ],TDays[[#This Row],[تاریخ]],TArticle[تعداد تراکنش انجام شده])</f>
        <v>0</v>
      </c>
      <c r="P669">
        <f>INT(((TDays[[#This Row],[ماه]]-1)*31+TDays[[#This Row],[روز]]+1)/7)+1</f>
        <v>44</v>
      </c>
      <c r="Q669">
        <f>SUMIF(TArticle[تاریخ],TDays[[#This Row],[تاریخ]],TArticle[تراکنش برنامه ریزی شده])</f>
        <v>0</v>
      </c>
    </row>
    <row r="670" spans="1:17" x14ac:dyDescent="0.25">
      <c r="A670" s="3" t="s">
        <v>856</v>
      </c>
      <c r="B670" t="str">
        <f>RIGHT(TDays[[#This Row],[تاریخ]],2)</f>
        <v>28</v>
      </c>
      <c r="C670" t="str">
        <f>RIGHT(LEFT(TDays[[#This Row],[تاریخ]],7),2)</f>
        <v>10</v>
      </c>
      <c r="D670" t="str">
        <f>LEFT(TDays[[#This Row],[تاریخ]],4)</f>
        <v>1402</v>
      </c>
      <c r="E670" t="str">
        <f>LEFT(TDays[[#This Row],[تاریخ]],7)</f>
        <v>1402-10</v>
      </c>
      <c r="F670">
        <v>5</v>
      </c>
      <c r="G670" s="15" t="str">
        <f>VLOOKUP(TDays[[#This Row],[کد روز هفته]],TDaysOfTheWeek[],2,FALSE)</f>
        <v>پنجشنبه</v>
      </c>
      <c r="H670" s="15">
        <f>IFERROR(IF(E669&lt;&gt;E670,1,INT(H669)+IF(TDays[[#This Row],[کد روز هفته]]=0,1,0)),1)</f>
        <v>5</v>
      </c>
      <c r="I670">
        <f>-SUMIF(TArticle[تاریخ],TDays[[#This Row],[تاریخ]],TArticle[هزینه])</f>
        <v>0</v>
      </c>
      <c r="J670">
        <f>SUMIF(TArticle[تاریخ],TDays[[#This Row],[تاریخ]],TArticle[درآمد تتا])</f>
        <v>0</v>
      </c>
      <c r="K670">
        <f>SUMIF(TArticle[تاریخ],TDays[[#This Row],[تاریخ]],TArticle[اسنپ])</f>
        <v>0</v>
      </c>
      <c r="L670">
        <f>-SUMIF(TArticle[تاریخ],TDays[[#This Row],[تاریخ]],TArticle[پرداخت بدهی])</f>
        <v>0</v>
      </c>
      <c r="M670">
        <f>SUMIF(TArticle[تاریخ],TDays[[#This Row],[تاریخ]],TArticle[افزایش بدهی])</f>
        <v>0</v>
      </c>
      <c r="N670">
        <f>-SUMIF(TArticle[تاریخ],TDays[[#This Row],[تاریخ]],TArticle[افزایش سرمایه])</f>
        <v>0</v>
      </c>
      <c r="O670">
        <f>SUMIF(TArticle[تاریخ],TDays[[#This Row],[تاریخ]],TArticle[تعداد تراکنش انجام شده])</f>
        <v>0</v>
      </c>
      <c r="P670">
        <f>INT(((TDays[[#This Row],[ماه]]-1)*31+TDays[[#This Row],[روز]]+1)/7)+1</f>
        <v>45</v>
      </c>
      <c r="Q670">
        <f>SUMIF(TArticle[تاریخ],TDays[[#This Row],[تاریخ]],TArticle[تراکنش برنامه ریزی شده])</f>
        <v>1</v>
      </c>
    </row>
    <row r="671" spans="1:17" x14ac:dyDescent="0.25">
      <c r="A671" s="3" t="s">
        <v>857</v>
      </c>
      <c r="B671" t="str">
        <f>RIGHT(TDays[[#This Row],[تاریخ]],2)</f>
        <v>29</v>
      </c>
      <c r="C671" t="str">
        <f>RIGHT(LEFT(TDays[[#This Row],[تاریخ]],7),2)</f>
        <v>10</v>
      </c>
      <c r="D671" t="str">
        <f>LEFT(TDays[[#This Row],[تاریخ]],4)</f>
        <v>1402</v>
      </c>
      <c r="E671" t="str">
        <f>LEFT(TDays[[#This Row],[تاریخ]],7)</f>
        <v>1402-10</v>
      </c>
      <c r="F671">
        <v>6</v>
      </c>
      <c r="G671" s="15" t="str">
        <f>VLOOKUP(TDays[[#This Row],[کد روز هفته]],TDaysOfTheWeek[],2,FALSE)</f>
        <v>جمعه</v>
      </c>
      <c r="H671" s="15">
        <f>IFERROR(IF(E670&lt;&gt;E671,1,INT(H670)+IF(TDays[[#This Row],[کد روز هفته]]=0,1,0)),1)</f>
        <v>5</v>
      </c>
      <c r="I671">
        <f>-SUMIF(TArticle[تاریخ],TDays[[#This Row],[تاریخ]],TArticle[هزینه])</f>
        <v>0</v>
      </c>
      <c r="J671">
        <f>SUMIF(TArticle[تاریخ],TDays[[#This Row],[تاریخ]],TArticle[درآمد تتا])</f>
        <v>0</v>
      </c>
      <c r="K671">
        <f>SUMIF(TArticle[تاریخ],TDays[[#This Row],[تاریخ]],TArticle[اسنپ])</f>
        <v>0</v>
      </c>
      <c r="L671">
        <f>-SUMIF(TArticle[تاریخ],TDays[[#This Row],[تاریخ]],TArticle[پرداخت بدهی])</f>
        <v>0</v>
      </c>
      <c r="M671">
        <f>SUMIF(TArticle[تاریخ],TDays[[#This Row],[تاریخ]],TArticle[افزایش بدهی])</f>
        <v>0</v>
      </c>
      <c r="N671">
        <f>-SUMIF(TArticle[تاریخ],TDays[[#This Row],[تاریخ]],TArticle[افزایش سرمایه])</f>
        <v>0</v>
      </c>
      <c r="O671">
        <f>SUMIF(TArticle[تاریخ],TDays[[#This Row],[تاریخ]],TArticle[تعداد تراکنش انجام شده])</f>
        <v>0</v>
      </c>
      <c r="P671">
        <f>INT(((TDays[[#This Row],[ماه]]-1)*31+TDays[[#This Row],[روز]]+1)/7)+1</f>
        <v>45</v>
      </c>
      <c r="Q671">
        <f>SUMIF(TArticle[تاریخ],TDays[[#This Row],[تاریخ]],TArticle[تراکنش برنامه ریزی شده])</f>
        <v>0</v>
      </c>
    </row>
    <row r="672" spans="1:17" x14ac:dyDescent="0.25">
      <c r="A672" s="3" t="s">
        <v>858</v>
      </c>
      <c r="B672" t="str">
        <f>RIGHT(TDays[[#This Row],[تاریخ]],2)</f>
        <v>30</v>
      </c>
      <c r="C672" t="str">
        <f>RIGHT(LEFT(TDays[[#This Row],[تاریخ]],7),2)</f>
        <v>10</v>
      </c>
      <c r="D672" t="str">
        <f>LEFT(TDays[[#This Row],[تاریخ]],4)</f>
        <v>1402</v>
      </c>
      <c r="E672" t="str">
        <f>LEFT(TDays[[#This Row],[تاریخ]],7)</f>
        <v>1402-10</v>
      </c>
      <c r="F672">
        <v>0</v>
      </c>
      <c r="G672" s="15" t="str">
        <f>VLOOKUP(TDays[[#This Row],[کد روز هفته]],TDaysOfTheWeek[],2,FALSE)</f>
        <v>شنبه</v>
      </c>
      <c r="H672" s="15">
        <f>IFERROR(IF(E671&lt;&gt;E672,1,INT(H671)+IF(TDays[[#This Row],[کد روز هفته]]=0,1,0)),1)</f>
        <v>6</v>
      </c>
      <c r="I672">
        <f>-SUMIF(TArticle[تاریخ],TDays[[#This Row],[تاریخ]],TArticle[هزینه])</f>
        <v>0</v>
      </c>
      <c r="J672">
        <f>SUMIF(TArticle[تاریخ],TDays[[#This Row],[تاریخ]],TArticle[درآمد تتا])</f>
        <v>0</v>
      </c>
      <c r="K672">
        <f>SUMIF(TArticle[تاریخ],TDays[[#This Row],[تاریخ]],TArticle[اسنپ])</f>
        <v>0</v>
      </c>
      <c r="L672">
        <f>-SUMIF(TArticle[تاریخ],TDays[[#This Row],[تاریخ]],TArticle[پرداخت بدهی])</f>
        <v>0</v>
      </c>
      <c r="M672">
        <f>SUMIF(TArticle[تاریخ],TDays[[#This Row],[تاریخ]],TArticle[افزایش بدهی])</f>
        <v>0</v>
      </c>
      <c r="N672">
        <f>-SUMIF(TArticle[تاریخ],TDays[[#This Row],[تاریخ]],TArticle[افزایش سرمایه])</f>
        <v>0</v>
      </c>
      <c r="O672">
        <f>SUMIF(TArticle[تاریخ],TDays[[#This Row],[تاریخ]],TArticle[تعداد تراکنش انجام شده])</f>
        <v>0</v>
      </c>
      <c r="P672">
        <f>INT(((TDays[[#This Row],[ماه]]-1)*31+TDays[[#This Row],[روز]]+1)/7)+1</f>
        <v>45</v>
      </c>
      <c r="Q672">
        <f>SUMIF(TArticle[تاریخ],TDays[[#This Row],[تاریخ]],TArticle[تراکنش برنامه ریزی شده])</f>
        <v>0</v>
      </c>
    </row>
    <row r="673" spans="1:17" x14ac:dyDescent="0.25">
      <c r="A673" s="3" t="s">
        <v>859</v>
      </c>
      <c r="B673" t="str">
        <f>RIGHT(TDays[[#This Row],[تاریخ]],2)</f>
        <v>01</v>
      </c>
      <c r="C673" t="str">
        <f>RIGHT(LEFT(TDays[[#This Row],[تاریخ]],7),2)</f>
        <v>11</v>
      </c>
      <c r="D673" t="str">
        <f>LEFT(TDays[[#This Row],[تاریخ]],4)</f>
        <v>1402</v>
      </c>
      <c r="E673" t="str">
        <f>LEFT(TDays[[#This Row],[تاریخ]],7)</f>
        <v>1402-11</v>
      </c>
      <c r="F673">
        <v>1</v>
      </c>
      <c r="G673" s="15" t="str">
        <f>VLOOKUP(TDays[[#This Row],[کد روز هفته]],TDaysOfTheWeek[],2,FALSE)</f>
        <v>یکشنبه</v>
      </c>
      <c r="H673" s="15">
        <f>IFERROR(IF(E672&lt;&gt;E673,1,INT(H672)+IF(TDays[[#This Row],[کد روز هفته]]=0,1,0)),1)</f>
        <v>1</v>
      </c>
      <c r="I673">
        <f>-SUMIF(TArticle[تاریخ],TDays[[#This Row],[تاریخ]],TArticle[هزینه])</f>
        <v>0</v>
      </c>
      <c r="J673">
        <f>SUMIF(TArticle[تاریخ],TDays[[#This Row],[تاریخ]],TArticle[درآمد تتا])</f>
        <v>0</v>
      </c>
      <c r="K673">
        <f>SUMIF(TArticle[تاریخ],TDays[[#This Row],[تاریخ]],TArticle[اسنپ])</f>
        <v>0</v>
      </c>
      <c r="L673">
        <f>-SUMIF(TArticle[تاریخ],TDays[[#This Row],[تاریخ]],TArticle[پرداخت بدهی])</f>
        <v>0</v>
      </c>
      <c r="M673">
        <f>SUMIF(TArticle[تاریخ],TDays[[#This Row],[تاریخ]],TArticle[افزایش بدهی])</f>
        <v>0</v>
      </c>
      <c r="N673">
        <f>-SUMIF(TArticle[تاریخ],TDays[[#This Row],[تاریخ]],TArticle[افزایش سرمایه])</f>
        <v>0</v>
      </c>
      <c r="O673">
        <f>SUMIF(TArticle[تاریخ],TDays[[#This Row],[تاریخ]],TArticle[تعداد تراکنش انجام شده])</f>
        <v>0</v>
      </c>
      <c r="P673">
        <f>INT(((TDays[[#This Row],[ماه]]-1)*31+TDays[[#This Row],[روز]]+1)/7)+1</f>
        <v>45</v>
      </c>
      <c r="Q673">
        <f>SUMIF(TArticle[تاریخ],TDays[[#This Row],[تاریخ]],TArticle[تراکنش برنامه ریزی شده])</f>
        <v>2</v>
      </c>
    </row>
    <row r="674" spans="1:17" x14ac:dyDescent="0.25">
      <c r="A674" s="3" t="s">
        <v>860</v>
      </c>
      <c r="B674" t="str">
        <f>RIGHT(TDays[[#This Row],[تاریخ]],2)</f>
        <v>02</v>
      </c>
      <c r="C674" t="str">
        <f>RIGHT(LEFT(TDays[[#This Row],[تاریخ]],7),2)</f>
        <v>11</v>
      </c>
      <c r="D674" t="str">
        <f>LEFT(TDays[[#This Row],[تاریخ]],4)</f>
        <v>1402</v>
      </c>
      <c r="E674" t="str">
        <f>LEFT(TDays[[#This Row],[تاریخ]],7)</f>
        <v>1402-11</v>
      </c>
      <c r="F674">
        <v>2</v>
      </c>
      <c r="G674" s="15" t="str">
        <f>VLOOKUP(TDays[[#This Row],[کد روز هفته]],TDaysOfTheWeek[],2,FALSE)</f>
        <v>دوشنبه</v>
      </c>
      <c r="H674" s="15">
        <f>IFERROR(IF(E673&lt;&gt;E674,1,INT(H673)+IF(TDays[[#This Row],[کد روز هفته]]=0,1,0)),1)</f>
        <v>1</v>
      </c>
      <c r="I674">
        <f>-SUMIF(TArticle[تاریخ],TDays[[#This Row],[تاریخ]],TArticle[هزینه])</f>
        <v>0</v>
      </c>
      <c r="J674">
        <f>SUMIF(TArticle[تاریخ],TDays[[#This Row],[تاریخ]],TArticle[درآمد تتا])</f>
        <v>0</v>
      </c>
      <c r="K674">
        <f>SUMIF(TArticle[تاریخ],TDays[[#This Row],[تاریخ]],TArticle[اسنپ])</f>
        <v>0</v>
      </c>
      <c r="L674">
        <f>-SUMIF(TArticle[تاریخ],TDays[[#This Row],[تاریخ]],TArticle[پرداخت بدهی])</f>
        <v>0</v>
      </c>
      <c r="M674">
        <f>SUMIF(TArticle[تاریخ],TDays[[#This Row],[تاریخ]],TArticle[افزایش بدهی])</f>
        <v>0</v>
      </c>
      <c r="N674">
        <f>-SUMIF(TArticle[تاریخ],TDays[[#This Row],[تاریخ]],TArticle[افزایش سرمایه])</f>
        <v>0</v>
      </c>
      <c r="O674">
        <f>SUMIF(TArticle[تاریخ],TDays[[#This Row],[تاریخ]],TArticle[تعداد تراکنش انجام شده])</f>
        <v>0</v>
      </c>
      <c r="P674">
        <f>INT(((TDays[[#This Row],[ماه]]-1)*31+TDays[[#This Row],[روز]]+1)/7)+1</f>
        <v>45</v>
      </c>
      <c r="Q674">
        <f>SUMIF(TArticle[تاریخ],TDays[[#This Row],[تاریخ]],TArticle[تراکنش برنامه ریزی شده])</f>
        <v>0</v>
      </c>
    </row>
    <row r="675" spans="1:17" x14ac:dyDescent="0.25">
      <c r="A675" s="3" t="s">
        <v>861</v>
      </c>
      <c r="B675" t="str">
        <f>RIGHT(TDays[[#This Row],[تاریخ]],2)</f>
        <v>03</v>
      </c>
      <c r="C675" t="str">
        <f>RIGHT(LEFT(TDays[[#This Row],[تاریخ]],7),2)</f>
        <v>11</v>
      </c>
      <c r="D675" t="str">
        <f>LEFT(TDays[[#This Row],[تاریخ]],4)</f>
        <v>1402</v>
      </c>
      <c r="E675" t="str">
        <f>LEFT(TDays[[#This Row],[تاریخ]],7)</f>
        <v>1402-11</v>
      </c>
      <c r="F675">
        <v>3</v>
      </c>
      <c r="G675" s="15" t="str">
        <f>VLOOKUP(TDays[[#This Row],[کد روز هفته]],TDaysOfTheWeek[],2,FALSE)</f>
        <v>سه شنبه</v>
      </c>
      <c r="H675" s="15">
        <f>IFERROR(IF(E674&lt;&gt;E675,1,INT(H674)+IF(TDays[[#This Row],[کد روز هفته]]=0,1,0)),1)</f>
        <v>1</v>
      </c>
      <c r="I675">
        <f>-SUMIF(TArticle[تاریخ],TDays[[#This Row],[تاریخ]],TArticle[هزینه])</f>
        <v>0</v>
      </c>
      <c r="J675">
        <f>SUMIF(TArticle[تاریخ],TDays[[#This Row],[تاریخ]],TArticle[درآمد تتا])</f>
        <v>0</v>
      </c>
      <c r="K675">
        <f>SUMIF(TArticle[تاریخ],TDays[[#This Row],[تاریخ]],TArticle[اسنپ])</f>
        <v>0</v>
      </c>
      <c r="L675">
        <f>-SUMIF(TArticle[تاریخ],TDays[[#This Row],[تاریخ]],TArticle[پرداخت بدهی])</f>
        <v>0</v>
      </c>
      <c r="M675">
        <f>SUMIF(TArticle[تاریخ],TDays[[#This Row],[تاریخ]],TArticle[افزایش بدهی])</f>
        <v>0</v>
      </c>
      <c r="N675">
        <f>-SUMIF(TArticle[تاریخ],TDays[[#This Row],[تاریخ]],TArticle[افزایش سرمایه])</f>
        <v>0</v>
      </c>
      <c r="O675">
        <f>SUMIF(TArticle[تاریخ],TDays[[#This Row],[تاریخ]],TArticle[تعداد تراکنش انجام شده])</f>
        <v>0</v>
      </c>
      <c r="P675">
        <f>INT(((TDays[[#This Row],[ماه]]-1)*31+TDays[[#This Row],[روز]]+1)/7)+1</f>
        <v>45</v>
      </c>
      <c r="Q675">
        <f>SUMIF(TArticle[تاریخ],TDays[[#This Row],[تاریخ]],TArticle[تراکنش برنامه ریزی شده])</f>
        <v>3</v>
      </c>
    </row>
    <row r="676" spans="1:17" x14ac:dyDescent="0.25">
      <c r="A676" s="3" t="s">
        <v>862</v>
      </c>
      <c r="B676" t="str">
        <f>RIGHT(TDays[[#This Row],[تاریخ]],2)</f>
        <v>04</v>
      </c>
      <c r="C676" t="str">
        <f>RIGHT(LEFT(TDays[[#This Row],[تاریخ]],7),2)</f>
        <v>11</v>
      </c>
      <c r="D676" t="str">
        <f>LEFT(TDays[[#This Row],[تاریخ]],4)</f>
        <v>1402</v>
      </c>
      <c r="E676" t="str">
        <f>LEFT(TDays[[#This Row],[تاریخ]],7)</f>
        <v>1402-11</v>
      </c>
      <c r="F676">
        <v>4</v>
      </c>
      <c r="G676" s="15" t="str">
        <f>VLOOKUP(TDays[[#This Row],[کد روز هفته]],TDaysOfTheWeek[],2,FALSE)</f>
        <v>چهارشنبه</v>
      </c>
      <c r="H676" s="15">
        <f>IFERROR(IF(E675&lt;&gt;E676,1,INT(H675)+IF(TDays[[#This Row],[کد روز هفته]]=0,1,0)),1)</f>
        <v>1</v>
      </c>
      <c r="I676">
        <f>-SUMIF(TArticle[تاریخ],TDays[[#This Row],[تاریخ]],TArticle[هزینه])</f>
        <v>0</v>
      </c>
      <c r="J676">
        <f>SUMIF(TArticle[تاریخ],TDays[[#This Row],[تاریخ]],TArticle[درآمد تتا])</f>
        <v>0</v>
      </c>
      <c r="K676">
        <f>SUMIF(TArticle[تاریخ],TDays[[#This Row],[تاریخ]],TArticle[اسنپ])</f>
        <v>0</v>
      </c>
      <c r="L676">
        <f>-SUMIF(TArticle[تاریخ],TDays[[#This Row],[تاریخ]],TArticle[پرداخت بدهی])</f>
        <v>0</v>
      </c>
      <c r="M676">
        <f>SUMIF(TArticle[تاریخ],TDays[[#This Row],[تاریخ]],TArticle[افزایش بدهی])</f>
        <v>0</v>
      </c>
      <c r="N676">
        <f>-SUMIF(TArticle[تاریخ],TDays[[#This Row],[تاریخ]],TArticle[افزایش سرمایه])</f>
        <v>0</v>
      </c>
      <c r="O676">
        <f>SUMIF(TArticle[تاریخ],TDays[[#This Row],[تاریخ]],TArticle[تعداد تراکنش انجام شده])</f>
        <v>0</v>
      </c>
      <c r="P676">
        <f>INT(((TDays[[#This Row],[ماه]]-1)*31+TDays[[#This Row],[روز]]+1)/7)+1</f>
        <v>46</v>
      </c>
      <c r="Q676">
        <f>SUMIF(TArticle[تاریخ],TDays[[#This Row],[تاریخ]],TArticle[تراکنش برنامه ریزی شده])</f>
        <v>1</v>
      </c>
    </row>
    <row r="677" spans="1:17" x14ac:dyDescent="0.25">
      <c r="A677" s="3" t="s">
        <v>863</v>
      </c>
      <c r="B677" t="str">
        <f>RIGHT(TDays[[#This Row],[تاریخ]],2)</f>
        <v>05</v>
      </c>
      <c r="C677" t="str">
        <f>RIGHT(LEFT(TDays[[#This Row],[تاریخ]],7),2)</f>
        <v>11</v>
      </c>
      <c r="D677" t="str">
        <f>LEFT(TDays[[#This Row],[تاریخ]],4)</f>
        <v>1402</v>
      </c>
      <c r="E677" t="str">
        <f>LEFT(TDays[[#This Row],[تاریخ]],7)</f>
        <v>1402-11</v>
      </c>
      <c r="F677">
        <v>5</v>
      </c>
      <c r="G677" s="15" t="str">
        <f>VLOOKUP(TDays[[#This Row],[کد روز هفته]],TDaysOfTheWeek[],2,FALSE)</f>
        <v>پنجشنبه</v>
      </c>
      <c r="H677" s="15">
        <f>IFERROR(IF(E676&lt;&gt;E677,1,INT(H676)+IF(TDays[[#This Row],[کد روز هفته]]=0,1,0)),1)</f>
        <v>1</v>
      </c>
      <c r="I677">
        <f>-SUMIF(TArticle[تاریخ],TDays[[#This Row],[تاریخ]],TArticle[هزینه])</f>
        <v>0</v>
      </c>
      <c r="J677">
        <f>SUMIF(TArticle[تاریخ],TDays[[#This Row],[تاریخ]],TArticle[درآمد تتا])</f>
        <v>0</v>
      </c>
      <c r="K677">
        <f>SUMIF(TArticle[تاریخ],TDays[[#This Row],[تاریخ]],TArticle[اسنپ])</f>
        <v>0</v>
      </c>
      <c r="L677">
        <f>-SUMIF(TArticle[تاریخ],TDays[[#This Row],[تاریخ]],TArticle[پرداخت بدهی])</f>
        <v>0</v>
      </c>
      <c r="M677">
        <f>SUMIF(TArticle[تاریخ],TDays[[#This Row],[تاریخ]],TArticle[افزایش بدهی])</f>
        <v>0</v>
      </c>
      <c r="N677">
        <f>-SUMIF(TArticle[تاریخ],TDays[[#This Row],[تاریخ]],TArticle[افزایش سرمایه])</f>
        <v>0</v>
      </c>
      <c r="O677">
        <f>SUMIF(TArticle[تاریخ],TDays[[#This Row],[تاریخ]],TArticle[تعداد تراکنش انجام شده])</f>
        <v>0</v>
      </c>
      <c r="P677">
        <f>INT(((TDays[[#This Row],[ماه]]-1)*31+TDays[[#This Row],[روز]]+1)/7)+1</f>
        <v>46</v>
      </c>
      <c r="Q677">
        <f>SUMIF(TArticle[تاریخ],TDays[[#This Row],[تاریخ]],TArticle[تراکنش برنامه ریزی شده])</f>
        <v>0</v>
      </c>
    </row>
    <row r="678" spans="1:17" x14ac:dyDescent="0.25">
      <c r="A678" s="3" t="s">
        <v>864</v>
      </c>
      <c r="B678" t="str">
        <f>RIGHT(TDays[[#This Row],[تاریخ]],2)</f>
        <v>06</v>
      </c>
      <c r="C678" t="str">
        <f>RIGHT(LEFT(TDays[[#This Row],[تاریخ]],7),2)</f>
        <v>11</v>
      </c>
      <c r="D678" t="str">
        <f>LEFT(TDays[[#This Row],[تاریخ]],4)</f>
        <v>1402</v>
      </c>
      <c r="E678" t="str">
        <f>LEFT(TDays[[#This Row],[تاریخ]],7)</f>
        <v>1402-11</v>
      </c>
      <c r="F678">
        <v>6</v>
      </c>
      <c r="G678" s="15" t="str">
        <f>VLOOKUP(TDays[[#This Row],[کد روز هفته]],TDaysOfTheWeek[],2,FALSE)</f>
        <v>جمعه</v>
      </c>
      <c r="H678" s="15">
        <f>IFERROR(IF(E677&lt;&gt;E678,1,INT(H677)+IF(TDays[[#This Row],[کد روز هفته]]=0,1,0)),1)</f>
        <v>1</v>
      </c>
      <c r="I678">
        <f>-SUMIF(TArticle[تاریخ],TDays[[#This Row],[تاریخ]],TArticle[هزینه])</f>
        <v>0</v>
      </c>
      <c r="J678">
        <f>SUMIF(TArticle[تاریخ],TDays[[#This Row],[تاریخ]],TArticle[درآمد تتا])</f>
        <v>0</v>
      </c>
      <c r="K678">
        <f>SUMIF(TArticle[تاریخ],TDays[[#This Row],[تاریخ]],TArticle[اسنپ])</f>
        <v>0</v>
      </c>
      <c r="L678">
        <f>-SUMIF(TArticle[تاریخ],TDays[[#This Row],[تاریخ]],TArticle[پرداخت بدهی])</f>
        <v>0</v>
      </c>
      <c r="M678">
        <f>SUMIF(TArticle[تاریخ],TDays[[#This Row],[تاریخ]],TArticle[افزایش بدهی])</f>
        <v>0</v>
      </c>
      <c r="N678">
        <f>-SUMIF(TArticle[تاریخ],TDays[[#This Row],[تاریخ]],TArticle[افزایش سرمایه])</f>
        <v>0</v>
      </c>
      <c r="O678">
        <f>SUMIF(TArticle[تاریخ],TDays[[#This Row],[تاریخ]],TArticle[تعداد تراکنش انجام شده])</f>
        <v>0</v>
      </c>
      <c r="P678">
        <f>INT(((TDays[[#This Row],[ماه]]-1)*31+TDays[[#This Row],[روز]]+1)/7)+1</f>
        <v>46</v>
      </c>
      <c r="Q678">
        <f>SUMIF(TArticle[تاریخ],TDays[[#This Row],[تاریخ]],TArticle[تراکنش برنامه ریزی شده])</f>
        <v>0</v>
      </c>
    </row>
    <row r="679" spans="1:17" x14ac:dyDescent="0.25">
      <c r="A679" s="3" t="s">
        <v>865</v>
      </c>
      <c r="B679" t="str">
        <f>RIGHT(TDays[[#This Row],[تاریخ]],2)</f>
        <v>07</v>
      </c>
      <c r="C679" t="str">
        <f>RIGHT(LEFT(TDays[[#This Row],[تاریخ]],7),2)</f>
        <v>11</v>
      </c>
      <c r="D679" t="str">
        <f>LEFT(TDays[[#This Row],[تاریخ]],4)</f>
        <v>1402</v>
      </c>
      <c r="E679" t="str">
        <f>LEFT(TDays[[#This Row],[تاریخ]],7)</f>
        <v>1402-11</v>
      </c>
      <c r="F679">
        <v>0</v>
      </c>
      <c r="G679" s="15" t="str">
        <f>VLOOKUP(TDays[[#This Row],[کد روز هفته]],TDaysOfTheWeek[],2,FALSE)</f>
        <v>شنبه</v>
      </c>
      <c r="H679" s="15">
        <f>IFERROR(IF(E678&lt;&gt;E679,1,INT(H678)+IF(TDays[[#This Row],[کد روز هفته]]=0,1,0)),1)</f>
        <v>2</v>
      </c>
      <c r="I679">
        <f>-SUMIF(TArticle[تاریخ],TDays[[#This Row],[تاریخ]],TArticle[هزینه])</f>
        <v>0</v>
      </c>
      <c r="J679">
        <f>SUMIF(TArticle[تاریخ],TDays[[#This Row],[تاریخ]],TArticle[درآمد تتا])</f>
        <v>0</v>
      </c>
      <c r="K679">
        <f>SUMIF(TArticle[تاریخ],TDays[[#This Row],[تاریخ]],TArticle[اسنپ])</f>
        <v>0</v>
      </c>
      <c r="L679">
        <f>-SUMIF(TArticle[تاریخ],TDays[[#This Row],[تاریخ]],TArticle[پرداخت بدهی])</f>
        <v>0</v>
      </c>
      <c r="M679">
        <f>SUMIF(TArticle[تاریخ],TDays[[#This Row],[تاریخ]],TArticle[افزایش بدهی])</f>
        <v>0</v>
      </c>
      <c r="N679">
        <f>-SUMIF(TArticle[تاریخ],TDays[[#This Row],[تاریخ]],TArticle[افزایش سرمایه])</f>
        <v>0</v>
      </c>
      <c r="O679">
        <f>SUMIF(TArticle[تاریخ],TDays[[#This Row],[تاریخ]],TArticle[تعداد تراکنش انجام شده])</f>
        <v>0</v>
      </c>
      <c r="P679">
        <f>INT(((TDays[[#This Row],[ماه]]-1)*31+TDays[[#This Row],[روز]]+1)/7)+1</f>
        <v>46</v>
      </c>
      <c r="Q679">
        <f>SUMIF(TArticle[تاریخ],TDays[[#This Row],[تاریخ]],TArticle[تراکنش برنامه ریزی شده])</f>
        <v>0</v>
      </c>
    </row>
    <row r="680" spans="1:17" x14ac:dyDescent="0.25">
      <c r="A680" s="3" t="s">
        <v>866</v>
      </c>
      <c r="B680" t="str">
        <f>RIGHT(TDays[[#This Row],[تاریخ]],2)</f>
        <v>08</v>
      </c>
      <c r="C680" t="str">
        <f>RIGHT(LEFT(TDays[[#This Row],[تاریخ]],7),2)</f>
        <v>11</v>
      </c>
      <c r="D680" t="str">
        <f>LEFT(TDays[[#This Row],[تاریخ]],4)</f>
        <v>1402</v>
      </c>
      <c r="E680" t="str">
        <f>LEFT(TDays[[#This Row],[تاریخ]],7)</f>
        <v>1402-11</v>
      </c>
      <c r="F680">
        <v>1</v>
      </c>
      <c r="G680" s="15" t="str">
        <f>VLOOKUP(TDays[[#This Row],[کد روز هفته]],TDaysOfTheWeek[],2,FALSE)</f>
        <v>یکشنبه</v>
      </c>
      <c r="H680" s="15">
        <f>IFERROR(IF(E679&lt;&gt;E680,1,INT(H679)+IF(TDays[[#This Row],[کد روز هفته]]=0,1,0)),1)</f>
        <v>2</v>
      </c>
      <c r="I680">
        <f>-SUMIF(TArticle[تاریخ],TDays[[#This Row],[تاریخ]],TArticle[هزینه])</f>
        <v>0</v>
      </c>
      <c r="J680">
        <f>SUMIF(TArticle[تاریخ],TDays[[#This Row],[تاریخ]],TArticle[درآمد تتا])</f>
        <v>0</v>
      </c>
      <c r="K680">
        <f>SUMIF(TArticle[تاریخ],TDays[[#This Row],[تاریخ]],TArticle[اسنپ])</f>
        <v>0</v>
      </c>
      <c r="L680">
        <f>-SUMIF(TArticle[تاریخ],TDays[[#This Row],[تاریخ]],TArticle[پرداخت بدهی])</f>
        <v>0</v>
      </c>
      <c r="M680">
        <f>SUMIF(TArticle[تاریخ],TDays[[#This Row],[تاریخ]],TArticle[افزایش بدهی])</f>
        <v>0</v>
      </c>
      <c r="N680">
        <f>-SUMIF(TArticle[تاریخ],TDays[[#This Row],[تاریخ]],TArticle[افزایش سرمایه])</f>
        <v>0</v>
      </c>
      <c r="O680">
        <f>SUMIF(TArticle[تاریخ],TDays[[#This Row],[تاریخ]],TArticle[تعداد تراکنش انجام شده])</f>
        <v>0</v>
      </c>
      <c r="P680">
        <f>INT(((TDays[[#This Row],[ماه]]-1)*31+TDays[[#This Row],[روز]]+1)/7)+1</f>
        <v>46</v>
      </c>
      <c r="Q680">
        <f>SUMIF(TArticle[تاریخ],TDays[[#This Row],[تاریخ]],TArticle[تراکنش برنامه ریزی شده])</f>
        <v>0</v>
      </c>
    </row>
    <row r="681" spans="1:17" x14ac:dyDescent="0.25">
      <c r="A681" s="3" t="s">
        <v>867</v>
      </c>
      <c r="B681" t="str">
        <f>RIGHT(TDays[[#This Row],[تاریخ]],2)</f>
        <v>09</v>
      </c>
      <c r="C681" t="str">
        <f>RIGHT(LEFT(TDays[[#This Row],[تاریخ]],7),2)</f>
        <v>11</v>
      </c>
      <c r="D681" t="str">
        <f>LEFT(TDays[[#This Row],[تاریخ]],4)</f>
        <v>1402</v>
      </c>
      <c r="E681" t="str">
        <f>LEFT(TDays[[#This Row],[تاریخ]],7)</f>
        <v>1402-11</v>
      </c>
      <c r="F681">
        <v>2</v>
      </c>
      <c r="G681" s="15" t="str">
        <f>VLOOKUP(TDays[[#This Row],[کد روز هفته]],TDaysOfTheWeek[],2,FALSE)</f>
        <v>دوشنبه</v>
      </c>
      <c r="H681" s="15">
        <f>IFERROR(IF(E680&lt;&gt;E681,1,INT(H680)+IF(TDays[[#This Row],[کد روز هفته]]=0,1,0)),1)</f>
        <v>2</v>
      </c>
      <c r="I681">
        <f>-SUMIF(TArticle[تاریخ],TDays[[#This Row],[تاریخ]],TArticle[هزینه])</f>
        <v>0</v>
      </c>
      <c r="J681">
        <f>SUMIF(TArticle[تاریخ],TDays[[#This Row],[تاریخ]],TArticle[درآمد تتا])</f>
        <v>0</v>
      </c>
      <c r="K681">
        <f>SUMIF(TArticle[تاریخ],TDays[[#This Row],[تاریخ]],TArticle[اسنپ])</f>
        <v>0</v>
      </c>
      <c r="L681">
        <f>-SUMIF(TArticle[تاریخ],TDays[[#This Row],[تاریخ]],TArticle[پرداخت بدهی])</f>
        <v>0</v>
      </c>
      <c r="M681">
        <f>SUMIF(TArticle[تاریخ],TDays[[#This Row],[تاریخ]],TArticle[افزایش بدهی])</f>
        <v>0</v>
      </c>
      <c r="N681">
        <f>-SUMIF(TArticle[تاریخ],TDays[[#This Row],[تاریخ]],TArticle[افزایش سرمایه])</f>
        <v>0</v>
      </c>
      <c r="O681">
        <f>SUMIF(TArticle[تاریخ],TDays[[#This Row],[تاریخ]],TArticle[تعداد تراکنش انجام شده])</f>
        <v>0</v>
      </c>
      <c r="P681">
        <f>INT(((TDays[[#This Row],[ماه]]-1)*31+TDays[[#This Row],[روز]]+1)/7)+1</f>
        <v>46</v>
      </c>
      <c r="Q681">
        <f>SUMIF(TArticle[تاریخ],TDays[[#This Row],[تاریخ]],TArticle[تراکنش برنامه ریزی شده])</f>
        <v>1</v>
      </c>
    </row>
    <row r="682" spans="1:17" x14ac:dyDescent="0.25">
      <c r="A682" s="3" t="s">
        <v>868</v>
      </c>
      <c r="B682" t="str">
        <f>RIGHT(TDays[[#This Row],[تاریخ]],2)</f>
        <v>10</v>
      </c>
      <c r="C682" t="str">
        <f>RIGHT(LEFT(TDays[[#This Row],[تاریخ]],7),2)</f>
        <v>11</v>
      </c>
      <c r="D682" t="str">
        <f>LEFT(TDays[[#This Row],[تاریخ]],4)</f>
        <v>1402</v>
      </c>
      <c r="E682" t="str">
        <f>LEFT(TDays[[#This Row],[تاریخ]],7)</f>
        <v>1402-11</v>
      </c>
      <c r="F682">
        <v>3</v>
      </c>
      <c r="G682" s="15" t="str">
        <f>VLOOKUP(TDays[[#This Row],[کد روز هفته]],TDaysOfTheWeek[],2,FALSE)</f>
        <v>سه شنبه</v>
      </c>
      <c r="H682" s="15">
        <f>IFERROR(IF(E681&lt;&gt;E682,1,INT(H681)+IF(TDays[[#This Row],[کد روز هفته]]=0,1,0)),1)</f>
        <v>2</v>
      </c>
      <c r="I682">
        <f>-SUMIF(TArticle[تاریخ],TDays[[#This Row],[تاریخ]],TArticle[هزینه])</f>
        <v>0</v>
      </c>
      <c r="J682">
        <f>SUMIF(TArticle[تاریخ],TDays[[#This Row],[تاریخ]],TArticle[درآمد تتا])</f>
        <v>0</v>
      </c>
      <c r="K682">
        <f>SUMIF(TArticle[تاریخ],TDays[[#This Row],[تاریخ]],TArticle[اسنپ])</f>
        <v>0</v>
      </c>
      <c r="L682">
        <f>-SUMIF(TArticle[تاریخ],TDays[[#This Row],[تاریخ]],TArticle[پرداخت بدهی])</f>
        <v>0</v>
      </c>
      <c r="M682">
        <f>SUMIF(TArticle[تاریخ],TDays[[#This Row],[تاریخ]],TArticle[افزایش بدهی])</f>
        <v>0</v>
      </c>
      <c r="N682">
        <f>-SUMIF(TArticle[تاریخ],TDays[[#This Row],[تاریخ]],TArticle[افزایش سرمایه])</f>
        <v>0</v>
      </c>
      <c r="O682">
        <f>SUMIF(TArticle[تاریخ],TDays[[#This Row],[تاریخ]],TArticle[تعداد تراکنش انجام شده])</f>
        <v>0</v>
      </c>
      <c r="P682">
        <f>INT(((TDays[[#This Row],[ماه]]-1)*31+TDays[[#This Row],[روز]]+1)/7)+1</f>
        <v>46</v>
      </c>
      <c r="Q682">
        <f>SUMIF(TArticle[تاریخ],TDays[[#This Row],[تاریخ]],TArticle[تراکنش برنامه ریزی شده])</f>
        <v>0</v>
      </c>
    </row>
    <row r="683" spans="1:17" x14ac:dyDescent="0.25">
      <c r="A683" s="3" t="s">
        <v>869</v>
      </c>
      <c r="B683" t="str">
        <f>RIGHT(TDays[[#This Row],[تاریخ]],2)</f>
        <v>11</v>
      </c>
      <c r="C683" t="str">
        <f>RIGHT(LEFT(TDays[[#This Row],[تاریخ]],7),2)</f>
        <v>11</v>
      </c>
      <c r="D683" t="str">
        <f>LEFT(TDays[[#This Row],[تاریخ]],4)</f>
        <v>1402</v>
      </c>
      <c r="E683" t="str">
        <f>LEFT(TDays[[#This Row],[تاریخ]],7)</f>
        <v>1402-11</v>
      </c>
      <c r="F683">
        <v>4</v>
      </c>
      <c r="G683" s="15" t="str">
        <f>VLOOKUP(TDays[[#This Row],[کد روز هفته]],TDaysOfTheWeek[],2,FALSE)</f>
        <v>چهارشنبه</v>
      </c>
      <c r="H683" s="15">
        <f>IFERROR(IF(E682&lt;&gt;E683,1,INT(H682)+IF(TDays[[#This Row],[کد روز هفته]]=0,1,0)),1)</f>
        <v>2</v>
      </c>
      <c r="I683">
        <f>-SUMIF(TArticle[تاریخ],TDays[[#This Row],[تاریخ]],TArticle[هزینه])</f>
        <v>0</v>
      </c>
      <c r="J683">
        <f>SUMIF(TArticle[تاریخ],TDays[[#This Row],[تاریخ]],TArticle[درآمد تتا])</f>
        <v>0</v>
      </c>
      <c r="K683">
        <f>SUMIF(TArticle[تاریخ],TDays[[#This Row],[تاریخ]],TArticle[اسنپ])</f>
        <v>0</v>
      </c>
      <c r="L683">
        <f>-SUMIF(TArticle[تاریخ],TDays[[#This Row],[تاریخ]],TArticle[پرداخت بدهی])</f>
        <v>0</v>
      </c>
      <c r="M683">
        <f>SUMIF(TArticle[تاریخ],TDays[[#This Row],[تاریخ]],TArticle[افزایش بدهی])</f>
        <v>0</v>
      </c>
      <c r="N683">
        <f>-SUMIF(TArticle[تاریخ],TDays[[#This Row],[تاریخ]],TArticle[افزایش سرمایه])</f>
        <v>0</v>
      </c>
      <c r="O683">
        <f>SUMIF(TArticle[تاریخ],TDays[[#This Row],[تاریخ]],TArticle[تعداد تراکنش انجام شده])</f>
        <v>0</v>
      </c>
      <c r="P683">
        <f>INT(((TDays[[#This Row],[ماه]]-1)*31+TDays[[#This Row],[روز]]+1)/7)+1</f>
        <v>47</v>
      </c>
      <c r="Q683">
        <f>SUMIF(TArticle[تاریخ],TDays[[#This Row],[تاریخ]],TArticle[تراکنش برنامه ریزی شده])</f>
        <v>1</v>
      </c>
    </row>
    <row r="684" spans="1:17" x14ac:dyDescent="0.25">
      <c r="A684" s="3" t="s">
        <v>870</v>
      </c>
      <c r="B684" t="str">
        <f>RIGHT(TDays[[#This Row],[تاریخ]],2)</f>
        <v>12</v>
      </c>
      <c r="C684" t="str">
        <f>RIGHT(LEFT(TDays[[#This Row],[تاریخ]],7),2)</f>
        <v>11</v>
      </c>
      <c r="D684" t="str">
        <f>LEFT(TDays[[#This Row],[تاریخ]],4)</f>
        <v>1402</v>
      </c>
      <c r="E684" t="str">
        <f>LEFT(TDays[[#This Row],[تاریخ]],7)</f>
        <v>1402-11</v>
      </c>
      <c r="F684">
        <v>5</v>
      </c>
      <c r="G684" s="15" t="str">
        <f>VLOOKUP(TDays[[#This Row],[کد روز هفته]],TDaysOfTheWeek[],2,FALSE)</f>
        <v>پنجشنبه</v>
      </c>
      <c r="H684" s="15">
        <f>IFERROR(IF(E683&lt;&gt;E684,1,INT(H683)+IF(TDays[[#This Row],[کد روز هفته]]=0,1,0)),1)</f>
        <v>2</v>
      </c>
      <c r="I684">
        <f>-SUMIF(TArticle[تاریخ],TDays[[#This Row],[تاریخ]],TArticle[هزینه])</f>
        <v>0</v>
      </c>
      <c r="J684">
        <f>SUMIF(TArticle[تاریخ],TDays[[#This Row],[تاریخ]],TArticle[درآمد تتا])</f>
        <v>0</v>
      </c>
      <c r="K684">
        <f>SUMIF(TArticle[تاریخ],TDays[[#This Row],[تاریخ]],TArticle[اسنپ])</f>
        <v>0</v>
      </c>
      <c r="L684">
        <f>-SUMIF(TArticle[تاریخ],TDays[[#This Row],[تاریخ]],TArticle[پرداخت بدهی])</f>
        <v>0</v>
      </c>
      <c r="M684">
        <f>SUMIF(TArticle[تاریخ],TDays[[#This Row],[تاریخ]],TArticle[افزایش بدهی])</f>
        <v>0</v>
      </c>
      <c r="N684">
        <f>-SUMIF(TArticle[تاریخ],TDays[[#This Row],[تاریخ]],TArticle[افزایش سرمایه])</f>
        <v>0</v>
      </c>
      <c r="O684">
        <f>SUMIF(TArticle[تاریخ],TDays[[#This Row],[تاریخ]],TArticle[تعداد تراکنش انجام شده])</f>
        <v>0</v>
      </c>
      <c r="P684">
        <f>INT(((TDays[[#This Row],[ماه]]-1)*31+TDays[[#This Row],[روز]]+1)/7)+1</f>
        <v>47</v>
      </c>
      <c r="Q684">
        <f>SUMIF(TArticle[تاریخ],TDays[[#This Row],[تاریخ]],TArticle[تراکنش برنامه ریزی شده])</f>
        <v>0</v>
      </c>
    </row>
    <row r="685" spans="1:17" x14ac:dyDescent="0.25">
      <c r="A685" s="3" t="s">
        <v>871</v>
      </c>
      <c r="B685" t="str">
        <f>RIGHT(TDays[[#This Row],[تاریخ]],2)</f>
        <v>13</v>
      </c>
      <c r="C685" t="str">
        <f>RIGHT(LEFT(TDays[[#This Row],[تاریخ]],7),2)</f>
        <v>11</v>
      </c>
      <c r="D685" t="str">
        <f>LEFT(TDays[[#This Row],[تاریخ]],4)</f>
        <v>1402</v>
      </c>
      <c r="E685" t="str">
        <f>LEFT(TDays[[#This Row],[تاریخ]],7)</f>
        <v>1402-11</v>
      </c>
      <c r="F685">
        <v>6</v>
      </c>
      <c r="G685" s="15" t="str">
        <f>VLOOKUP(TDays[[#This Row],[کد روز هفته]],TDaysOfTheWeek[],2,FALSE)</f>
        <v>جمعه</v>
      </c>
      <c r="H685" s="15">
        <f>IFERROR(IF(E684&lt;&gt;E685,1,INT(H684)+IF(TDays[[#This Row],[کد روز هفته]]=0,1,0)),1)</f>
        <v>2</v>
      </c>
      <c r="I685">
        <f>-SUMIF(TArticle[تاریخ],TDays[[#This Row],[تاریخ]],TArticle[هزینه])</f>
        <v>0</v>
      </c>
      <c r="J685">
        <f>SUMIF(TArticle[تاریخ],TDays[[#This Row],[تاریخ]],TArticle[درآمد تتا])</f>
        <v>0</v>
      </c>
      <c r="K685">
        <f>SUMIF(TArticle[تاریخ],TDays[[#This Row],[تاریخ]],TArticle[اسنپ])</f>
        <v>0</v>
      </c>
      <c r="L685">
        <f>-SUMIF(TArticle[تاریخ],TDays[[#This Row],[تاریخ]],TArticle[پرداخت بدهی])</f>
        <v>0</v>
      </c>
      <c r="M685">
        <f>SUMIF(TArticle[تاریخ],TDays[[#This Row],[تاریخ]],TArticle[افزایش بدهی])</f>
        <v>0</v>
      </c>
      <c r="N685">
        <f>-SUMIF(TArticle[تاریخ],TDays[[#This Row],[تاریخ]],TArticle[افزایش سرمایه])</f>
        <v>0</v>
      </c>
      <c r="O685">
        <f>SUMIF(TArticle[تاریخ],TDays[[#This Row],[تاریخ]],TArticle[تعداد تراکنش انجام شده])</f>
        <v>0</v>
      </c>
      <c r="P685">
        <f>INT(((TDays[[#This Row],[ماه]]-1)*31+TDays[[#This Row],[روز]]+1)/7)+1</f>
        <v>47</v>
      </c>
      <c r="Q685">
        <f>SUMIF(TArticle[تاریخ],TDays[[#This Row],[تاریخ]],TArticle[تراکنش برنامه ریزی شده])</f>
        <v>0</v>
      </c>
    </row>
    <row r="686" spans="1:17" x14ac:dyDescent="0.25">
      <c r="A686" s="3" t="s">
        <v>872</v>
      </c>
      <c r="B686" t="str">
        <f>RIGHT(TDays[[#This Row],[تاریخ]],2)</f>
        <v>14</v>
      </c>
      <c r="C686" t="str">
        <f>RIGHT(LEFT(TDays[[#This Row],[تاریخ]],7),2)</f>
        <v>11</v>
      </c>
      <c r="D686" t="str">
        <f>LEFT(TDays[[#This Row],[تاریخ]],4)</f>
        <v>1402</v>
      </c>
      <c r="E686" t="str">
        <f>LEFT(TDays[[#This Row],[تاریخ]],7)</f>
        <v>1402-11</v>
      </c>
      <c r="F686">
        <v>0</v>
      </c>
      <c r="G686" s="15" t="str">
        <f>VLOOKUP(TDays[[#This Row],[کد روز هفته]],TDaysOfTheWeek[],2,FALSE)</f>
        <v>شنبه</v>
      </c>
      <c r="H686" s="15">
        <f>IFERROR(IF(E685&lt;&gt;E686,1,INT(H685)+IF(TDays[[#This Row],[کد روز هفته]]=0,1,0)),1)</f>
        <v>3</v>
      </c>
      <c r="I686">
        <f>-SUMIF(TArticle[تاریخ],TDays[[#This Row],[تاریخ]],TArticle[هزینه])</f>
        <v>0</v>
      </c>
      <c r="J686">
        <f>SUMIF(TArticle[تاریخ],TDays[[#This Row],[تاریخ]],TArticle[درآمد تتا])</f>
        <v>0</v>
      </c>
      <c r="K686">
        <f>SUMIF(TArticle[تاریخ],TDays[[#This Row],[تاریخ]],TArticle[اسنپ])</f>
        <v>0</v>
      </c>
      <c r="L686">
        <f>-SUMIF(TArticle[تاریخ],TDays[[#This Row],[تاریخ]],TArticle[پرداخت بدهی])</f>
        <v>0</v>
      </c>
      <c r="M686">
        <f>SUMIF(TArticle[تاریخ],TDays[[#This Row],[تاریخ]],TArticle[افزایش بدهی])</f>
        <v>0</v>
      </c>
      <c r="N686">
        <f>-SUMIF(TArticle[تاریخ],TDays[[#This Row],[تاریخ]],TArticle[افزایش سرمایه])</f>
        <v>0</v>
      </c>
      <c r="O686">
        <f>SUMIF(TArticle[تاریخ],TDays[[#This Row],[تاریخ]],TArticle[تعداد تراکنش انجام شده])</f>
        <v>0</v>
      </c>
      <c r="P686">
        <f>INT(((TDays[[#This Row],[ماه]]-1)*31+TDays[[#This Row],[روز]]+1)/7)+1</f>
        <v>47</v>
      </c>
      <c r="Q686">
        <f>SUMIF(TArticle[تاریخ],TDays[[#This Row],[تاریخ]],TArticle[تراکنش برنامه ریزی شده])</f>
        <v>0</v>
      </c>
    </row>
    <row r="687" spans="1:17" x14ac:dyDescent="0.25">
      <c r="A687" s="3" t="s">
        <v>873</v>
      </c>
      <c r="B687" t="str">
        <f>RIGHT(TDays[[#This Row],[تاریخ]],2)</f>
        <v>15</v>
      </c>
      <c r="C687" t="str">
        <f>RIGHT(LEFT(TDays[[#This Row],[تاریخ]],7),2)</f>
        <v>11</v>
      </c>
      <c r="D687" t="str">
        <f>LEFT(TDays[[#This Row],[تاریخ]],4)</f>
        <v>1402</v>
      </c>
      <c r="E687" t="str">
        <f>LEFT(TDays[[#This Row],[تاریخ]],7)</f>
        <v>1402-11</v>
      </c>
      <c r="F687">
        <v>1</v>
      </c>
      <c r="G687" s="15" t="str">
        <f>VLOOKUP(TDays[[#This Row],[کد روز هفته]],TDaysOfTheWeek[],2,FALSE)</f>
        <v>یکشنبه</v>
      </c>
      <c r="H687" s="15">
        <f>IFERROR(IF(E686&lt;&gt;E687,1,INT(H686)+IF(TDays[[#This Row],[کد روز هفته]]=0,1,0)),1)</f>
        <v>3</v>
      </c>
      <c r="I687">
        <f>-SUMIF(TArticle[تاریخ],TDays[[#This Row],[تاریخ]],TArticle[هزینه])</f>
        <v>0</v>
      </c>
      <c r="J687">
        <f>SUMIF(TArticle[تاریخ],TDays[[#This Row],[تاریخ]],TArticle[درآمد تتا])</f>
        <v>0</v>
      </c>
      <c r="K687">
        <f>SUMIF(TArticle[تاریخ],TDays[[#This Row],[تاریخ]],TArticle[اسنپ])</f>
        <v>0</v>
      </c>
      <c r="L687">
        <f>-SUMIF(TArticle[تاریخ],TDays[[#This Row],[تاریخ]],TArticle[پرداخت بدهی])</f>
        <v>0</v>
      </c>
      <c r="M687">
        <f>SUMIF(TArticle[تاریخ],TDays[[#This Row],[تاریخ]],TArticle[افزایش بدهی])</f>
        <v>0</v>
      </c>
      <c r="N687">
        <f>-SUMIF(TArticle[تاریخ],TDays[[#This Row],[تاریخ]],TArticle[افزایش سرمایه])</f>
        <v>0</v>
      </c>
      <c r="O687">
        <f>SUMIF(TArticle[تاریخ],TDays[[#This Row],[تاریخ]],TArticle[تعداد تراکنش انجام شده])</f>
        <v>0</v>
      </c>
      <c r="P687">
        <f>INT(((TDays[[#This Row],[ماه]]-1)*31+TDays[[#This Row],[روز]]+1)/7)+1</f>
        <v>47</v>
      </c>
      <c r="Q687">
        <f>SUMIF(TArticle[تاریخ],TDays[[#This Row],[تاریخ]],TArticle[تراکنش برنامه ریزی شده])</f>
        <v>0</v>
      </c>
    </row>
    <row r="688" spans="1:17" x14ac:dyDescent="0.25">
      <c r="A688" s="3" t="s">
        <v>874</v>
      </c>
      <c r="B688" t="str">
        <f>RIGHT(TDays[[#This Row],[تاریخ]],2)</f>
        <v>16</v>
      </c>
      <c r="C688" t="str">
        <f>RIGHT(LEFT(TDays[[#This Row],[تاریخ]],7),2)</f>
        <v>11</v>
      </c>
      <c r="D688" t="str">
        <f>LEFT(TDays[[#This Row],[تاریخ]],4)</f>
        <v>1402</v>
      </c>
      <c r="E688" t="str">
        <f>LEFT(TDays[[#This Row],[تاریخ]],7)</f>
        <v>1402-11</v>
      </c>
      <c r="F688">
        <v>2</v>
      </c>
      <c r="G688" s="15" t="str">
        <f>VLOOKUP(TDays[[#This Row],[کد روز هفته]],TDaysOfTheWeek[],2,FALSE)</f>
        <v>دوشنبه</v>
      </c>
      <c r="H688" s="15">
        <f>IFERROR(IF(E687&lt;&gt;E688,1,INT(H687)+IF(TDays[[#This Row],[کد روز هفته]]=0,1,0)),1)</f>
        <v>3</v>
      </c>
      <c r="I688">
        <f>-SUMIF(TArticle[تاریخ],TDays[[#This Row],[تاریخ]],TArticle[هزینه])</f>
        <v>0</v>
      </c>
      <c r="J688">
        <f>SUMIF(TArticle[تاریخ],TDays[[#This Row],[تاریخ]],TArticle[درآمد تتا])</f>
        <v>0</v>
      </c>
      <c r="K688">
        <f>SUMIF(TArticle[تاریخ],TDays[[#This Row],[تاریخ]],TArticle[اسنپ])</f>
        <v>0</v>
      </c>
      <c r="L688">
        <f>-SUMIF(TArticle[تاریخ],TDays[[#This Row],[تاریخ]],TArticle[پرداخت بدهی])</f>
        <v>0</v>
      </c>
      <c r="M688">
        <f>SUMIF(TArticle[تاریخ],TDays[[#This Row],[تاریخ]],TArticle[افزایش بدهی])</f>
        <v>0</v>
      </c>
      <c r="N688">
        <f>-SUMIF(TArticle[تاریخ],TDays[[#This Row],[تاریخ]],TArticle[افزایش سرمایه])</f>
        <v>0</v>
      </c>
      <c r="O688">
        <f>SUMIF(TArticle[تاریخ],TDays[[#This Row],[تاریخ]],TArticle[تعداد تراکنش انجام شده])</f>
        <v>0</v>
      </c>
      <c r="P688">
        <f>INT(((TDays[[#This Row],[ماه]]-1)*31+TDays[[#This Row],[روز]]+1)/7)+1</f>
        <v>47</v>
      </c>
      <c r="Q688">
        <f>SUMIF(TArticle[تاریخ],TDays[[#This Row],[تاریخ]],TArticle[تراکنش برنامه ریزی شده])</f>
        <v>0</v>
      </c>
    </row>
    <row r="689" spans="1:17" x14ac:dyDescent="0.25">
      <c r="A689" s="3" t="s">
        <v>875</v>
      </c>
      <c r="B689" t="str">
        <f>RIGHT(TDays[[#This Row],[تاریخ]],2)</f>
        <v>17</v>
      </c>
      <c r="C689" t="str">
        <f>RIGHT(LEFT(TDays[[#This Row],[تاریخ]],7),2)</f>
        <v>11</v>
      </c>
      <c r="D689" t="str">
        <f>LEFT(TDays[[#This Row],[تاریخ]],4)</f>
        <v>1402</v>
      </c>
      <c r="E689" t="str">
        <f>LEFT(TDays[[#This Row],[تاریخ]],7)</f>
        <v>1402-11</v>
      </c>
      <c r="F689">
        <v>3</v>
      </c>
      <c r="G689" s="15" t="str">
        <f>VLOOKUP(TDays[[#This Row],[کد روز هفته]],TDaysOfTheWeek[],2,FALSE)</f>
        <v>سه شنبه</v>
      </c>
      <c r="H689" s="15">
        <f>IFERROR(IF(E688&lt;&gt;E689,1,INT(H688)+IF(TDays[[#This Row],[کد روز هفته]]=0,1,0)),1)</f>
        <v>3</v>
      </c>
      <c r="I689">
        <f>-SUMIF(TArticle[تاریخ],TDays[[#This Row],[تاریخ]],TArticle[هزینه])</f>
        <v>0</v>
      </c>
      <c r="J689">
        <f>SUMIF(TArticle[تاریخ],TDays[[#This Row],[تاریخ]],TArticle[درآمد تتا])</f>
        <v>0</v>
      </c>
      <c r="K689">
        <f>SUMIF(TArticle[تاریخ],TDays[[#This Row],[تاریخ]],TArticle[اسنپ])</f>
        <v>0</v>
      </c>
      <c r="L689">
        <f>-SUMIF(TArticle[تاریخ],TDays[[#This Row],[تاریخ]],TArticle[پرداخت بدهی])</f>
        <v>0</v>
      </c>
      <c r="M689">
        <f>SUMIF(TArticle[تاریخ],TDays[[#This Row],[تاریخ]],TArticle[افزایش بدهی])</f>
        <v>0</v>
      </c>
      <c r="N689">
        <f>-SUMIF(TArticle[تاریخ],TDays[[#This Row],[تاریخ]],TArticle[افزایش سرمایه])</f>
        <v>0</v>
      </c>
      <c r="O689">
        <f>SUMIF(TArticle[تاریخ],TDays[[#This Row],[تاریخ]],TArticle[تعداد تراکنش انجام شده])</f>
        <v>0</v>
      </c>
      <c r="P689">
        <f>INT(((TDays[[#This Row],[ماه]]-1)*31+TDays[[#This Row],[روز]]+1)/7)+1</f>
        <v>47</v>
      </c>
      <c r="Q689">
        <f>SUMIF(TArticle[تاریخ],TDays[[#This Row],[تاریخ]],TArticle[تراکنش برنامه ریزی شده])</f>
        <v>1</v>
      </c>
    </row>
    <row r="690" spans="1:17" x14ac:dyDescent="0.25">
      <c r="A690" s="3" t="s">
        <v>876</v>
      </c>
      <c r="B690" t="str">
        <f>RIGHT(TDays[[#This Row],[تاریخ]],2)</f>
        <v>18</v>
      </c>
      <c r="C690" t="str">
        <f>RIGHT(LEFT(TDays[[#This Row],[تاریخ]],7),2)</f>
        <v>11</v>
      </c>
      <c r="D690" t="str">
        <f>LEFT(TDays[[#This Row],[تاریخ]],4)</f>
        <v>1402</v>
      </c>
      <c r="E690" t="str">
        <f>LEFT(TDays[[#This Row],[تاریخ]],7)</f>
        <v>1402-11</v>
      </c>
      <c r="F690">
        <v>4</v>
      </c>
      <c r="G690" s="15" t="str">
        <f>VLOOKUP(TDays[[#This Row],[کد روز هفته]],TDaysOfTheWeek[],2,FALSE)</f>
        <v>چهارشنبه</v>
      </c>
      <c r="H690" s="15">
        <f>IFERROR(IF(E689&lt;&gt;E690,1,INT(H689)+IF(TDays[[#This Row],[کد روز هفته]]=0,1,0)),1)</f>
        <v>3</v>
      </c>
      <c r="I690">
        <f>-SUMIF(TArticle[تاریخ],TDays[[#This Row],[تاریخ]],TArticle[هزینه])</f>
        <v>0</v>
      </c>
      <c r="J690">
        <f>SUMIF(TArticle[تاریخ],TDays[[#This Row],[تاریخ]],TArticle[درآمد تتا])</f>
        <v>0</v>
      </c>
      <c r="K690">
        <f>SUMIF(TArticle[تاریخ],TDays[[#This Row],[تاریخ]],TArticle[اسنپ])</f>
        <v>0</v>
      </c>
      <c r="L690">
        <f>-SUMIF(TArticle[تاریخ],TDays[[#This Row],[تاریخ]],TArticle[پرداخت بدهی])</f>
        <v>0</v>
      </c>
      <c r="M690">
        <f>SUMIF(TArticle[تاریخ],TDays[[#This Row],[تاریخ]],TArticle[افزایش بدهی])</f>
        <v>0</v>
      </c>
      <c r="N690">
        <f>-SUMIF(TArticle[تاریخ],TDays[[#This Row],[تاریخ]],TArticle[افزایش سرمایه])</f>
        <v>0</v>
      </c>
      <c r="O690">
        <f>SUMIF(TArticle[تاریخ],TDays[[#This Row],[تاریخ]],TArticle[تعداد تراکنش انجام شده])</f>
        <v>0</v>
      </c>
      <c r="P690">
        <f>INT(((TDays[[#This Row],[ماه]]-1)*31+TDays[[#This Row],[روز]]+1)/7)+1</f>
        <v>48</v>
      </c>
      <c r="Q690">
        <f>SUMIF(TArticle[تاریخ],TDays[[#This Row],[تاریخ]],TArticle[تراکنش برنامه ریزی شده])</f>
        <v>0</v>
      </c>
    </row>
    <row r="691" spans="1:17" x14ac:dyDescent="0.25">
      <c r="A691" s="3" t="s">
        <v>877</v>
      </c>
      <c r="B691" t="str">
        <f>RIGHT(TDays[[#This Row],[تاریخ]],2)</f>
        <v>19</v>
      </c>
      <c r="C691" t="str">
        <f>RIGHT(LEFT(TDays[[#This Row],[تاریخ]],7),2)</f>
        <v>11</v>
      </c>
      <c r="D691" t="str">
        <f>LEFT(TDays[[#This Row],[تاریخ]],4)</f>
        <v>1402</v>
      </c>
      <c r="E691" t="str">
        <f>LEFT(TDays[[#This Row],[تاریخ]],7)</f>
        <v>1402-11</v>
      </c>
      <c r="F691">
        <v>5</v>
      </c>
      <c r="G691" s="15" t="str">
        <f>VLOOKUP(TDays[[#This Row],[کد روز هفته]],TDaysOfTheWeek[],2,FALSE)</f>
        <v>پنجشنبه</v>
      </c>
      <c r="H691" s="15">
        <f>IFERROR(IF(E690&lt;&gt;E691,1,INT(H690)+IF(TDays[[#This Row],[کد روز هفته]]=0,1,0)),1)</f>
        <v>3</v>
      </c>
      <c r="I691">
        <f>-SUMIF(TArticle[تاریخ],TDays[[#This Row],[تاریخ]],TArticle[هزینه])</f>
        <v>0</v>
      </c>
      <c r="J691">
        <f>SUMIF(TArticle[تاریخ],TDays[[#This Row],[تاریخ]],TArticle[درآمد تتا])</f>
        <v>0</v>
      </c>
      <c r="K691">
        <f>SUMIF(TArticle[تاریخ],TDays[[#This Row],[تاریخ]],TArticle[اسنپ])</f>
        <v>0</v>
      </c>
      <c r="L691">
        <f>-SUMIF(TArticle[تاریخ],TDays[[#This Row],[تاریخ]],TArticle[پرداخت بدهی])</f>
        <v>0</v>
      </c>
      <c r="M691">
        <f>SUMIF(TArticle[تاریخ],TDays[[#This Row],[تاریخ]],TArticle[افزایش بدهی])</f>
        <v>0</v>
      </c>
      <c r="N691">
        <f>-SUMIF(TArticle[تاریخ],TDays[[#This Row],[تاریخ]],TArticle[افزایش سرمایه])</f>
        <v>0</v>
      </c>
      <c r="O691">
        <f>SUMIF(TArticle[تاریخ],TDays[[#This Row],[تاریخ]],TArticle[تعداد تراکنش انجام شده])</f>
        <v>0</v>
      </c>
      <c r="P691">
        <f>INT(((TDays[[#This Row],[ماه]]-1)*31+TDays[[#This Row],[روز]]+1)/7)+1</f>
        <v>48</v>
      </c>
      <c r="Q691">
        <f>SUMIF(TArticle[تاریخ],TDays[[#This Row],[تاریخ]],TArticle[تراکنش برنامه ریزی شده])</f>
        <v>0</v>
      </c>
    </row>
    <row r="692" spans="1:17" x14ac:dyDescent="0.25">
      <c r="A692" s="3" t="s">
        <v>878</v>
      </c>
      <c r="B692" t="str">
        <f>RIGHT(TDays[[#This Row],[تاریخ]],2)</f>
        <v>20</v>
      </c>
      <c r="C692" t="str">
        <f>RIGHT(LEFT(TDays[[#This Row],[تاریخ]],7),2)</f>
        <v>11</v>
      </c>
      <c r="D692" t="str">
        <f>LEFT(TDays[[#This Row],[تاریخ]],4)</f>
        <v>1402</v>
      </c>
      <c r="E692" t="str">
        <f>LEFT(TDays[[#This Row],[تاریخ]],7)</f>
        <v>1402-11</v>
      </c>
      <c r="F692">
        <v>6</v>
      </c>
      <c r="G692" s="15" t="str">
        <f>VLOOKUP(TDays[[#This Row],[کد روز هفته]],TDaysOfTheWeek[],2,FALSE)</f>
        <v>جمعه</v>
      </c>
      <c r="H692" s="15">
        <f>IFERROR(IF(E691&lt;&gt;E692,1,INT(H691)+IF(TDays[[#This Row],[کد روز هفته]]=0,1,0)),1)</f>
        <v>3</v>
      </c>
      <c r="I692">
        <f>-SUMIF(TArticle[تاریخ],TDays[[#This Row],[تاریخ]],TArticle[هزینه])</f>
        <v>0</v>
      </c>
      <c r="J692">
        <f>SUMIF(TArticle[تاریخ],TDays[[#This Row],[تاریخ]],TArticle[درآمد تتا])</f>
        <v>0</v>
      </c>
      <c r="K692">
        <f>SUMIF(TArticle[تاریخ],TDays[[#This Row],[تاریخ]],TArticle[اسنپ])</f>
        <v>0</v>
      </c>
      <c r="L692">
        <f>-SUMIF(TArticle[تاریخ],TDays[[#This Row],[تاریخ]],TArticle[پرداخت بدهی])</f>
        <v>0</v>
      </c>
      <c r="M692">
        <f>SUMIF(TArticle[تاریخ],TDays[[#This Row],[تاریخ]],TArticle[افزایش بدهی])</f>
        <v>0</v>
      </c>
      <c r="N692">
        <f>-SUMIF(TArticle[تاریخ],TDays[[#This Row],[تاریخ]],TArticle[افزایش سرمایه])</f>
        <v>0</v>
      </c>
      <c r="O692">
        <f>SUMIF(TArticle[تاریخ],TDays[[#This Row],[تاریخ]],TArticle[تعداد تراکنش انجام شده])</f>
        <v>0</v>
      </c>
      <c r="P692">
        <f>INT(((TDays[[#This Row],[ماه]]-1)*31+TDays[[#This Row],[روز]]+1)/7)+1</f>
        <v>48</v>
      </c>
      <c r="Q692">
        <f>SUMIF(TArticle[تاریخ],TDays[[#This Row],[تاریخ]],TArticle[تراکنش برنامه ریزی شده])</f>
        <v>1</v>
      </c>
    </row>
    <row r="693" spans="1:17" x14ac:dyDescent="0.25">
      <c r="A693" s="3" t="s">
        <v>879</v>
      </c>
      <c r="B693" t="str">
        <f>RIGHT(TDays[[#This Row],[تاریخ]],2)</f>
        <v>21</v>
      </c>
      <c r="C693" t="str">
        <f>RIGHT(LEFT(TDays[[#This Row],[تاریخ]],7),2)</f>
        <v>11</v>
      </c>
      <c r="D693" t="str">
        <f>LEFT(TDays[[#This Row],[تاریخ]],4)</f>
        <v>1402</v>
      </c>
      <c r="E693" t="str">
        <f>LEFT(TDays[[#This Row],[تاریخ]],7)</f>
        <v>1402-11</v>
      </c>
      <c r="F693">
        <v>0</v>
      </c>
      <c r="G693" s="15" t="str">
        <f>VLOOKUP(TDays[[#This Row],[کد روز هفته]],TDaysOfTheWeek[],2,FALSE)</f>
        <v>شنبه</v>
      </c>
      <c r="H693" s="15">
        <f>IFERROR(IF(E692&lt;&gt;E693,1,INT(H692)+IF(TDays[[#This Row],[کد روز هفته]]=0,1,0)),1)</f>
        <v>4</v>
      </c>
      <c r="I693">
        <f>-SUMIF(TArticle[تاریخ],TDays[[#This Row],[تاریخ]],TArticle[هزینه])</f>
        <v>0</v>
      </c>
      <c r="J693">
        <f>SUMIF(TArticle[تاریخ],TDays[[#This Row],[تاریخ]],TArticle[درآمد تتا])</f>
        <v>0</v>
      </c>
      <c r="K693">
        <f>SUMIF(TArticle[تاریخ],TDays[[#This Row],[تاریخ]],TArticle[اسنپ])</f>
        <v>0</v>
      </c>
      <c r="L693">
        <f>-SUMIF(TArticle[تاریخ],TDays[[#This Row],[تاریخ]],TArticle[پرداخت بدهی])</f>
        <v>0</v>
      </c>
      <c r="M693">
        <f>SUMIF(TArticle[تاریخ],TDays[[#This Row],[تاریخ]],TArticle[افزایش بدهی])</f>
        <v>0</v>
      </c>
      <c r="N693">
        <f>-SUMIF(TArticle[تاریخ],TDays[[#This Row],[تاریخ]],TArticle[افزایش سرمایه])</f>
        <v>0</v>
      </c>
      <c r="O693">
        <f>SUMIF(TArticle[تاریخ],TDays[[#This Row],[تاریخ]],TArticle[تعداد تراکنش انجام شده])</f>
        <v>0</v>
      </c>
      <c r="P693">
        <f>INT(((TDays[[#This Row],[ماه]]-1)*31+TDays[[#This Row],[روز]]+1)/7)+1</f>
        <v>48</v>
      </c>
      <c r="Q693">
        <f>SUMIF(TArticle[تاریخ],TDays[[#This Row],[تاریخ]],TArticle[تراکنش برنامه ریزی شده])</f>
        <v>0</v>
      </c>
    </row>
    <row r="694" spans="1:17" x14ac:dyDescent="0.25">
      <c r="A694" s="3" t="s">
        <v>880</v>
      </c>
      <c r="B694" t="str">
        <f>RIGHT(TDays[[#This Row],[تاریخ]],2)</f>
        <v>22</v>
      </c>
      <c r="C694" t="str">
        <f>RIGHT(LEFT(TDays[[#This Row],[تاریخ]],7),2)</f>
        <v>11</v>
      </c>
      <c r="D694" t="str">
        <f>LEFT(TDays[[#This Row],[تاریخ]],4)</f>
        <v>1402</v>
      </c>
      <c r="E694" t="str">
        <f>LEFT(TDays[[#This Row],[تاریخ]],7)</f>
        <v>1402-11</v>
      </c>
      <c r="F694">
        <v>1</v>
      </c>
      <c r="G694" s="15" t="str">
        <f>VLOOKUP(TDays[[#This Row],[کد روز هفته]],TDaysOfTheWeek[],2,FALSE)</f>
        <v>یکشنبه</v>
      </c>
      <c r="H694" s="15">
        <f>IFERROR(IF(E693&lt;&gt;E694,1,INT(H693)+IF(TDays[[#This Row],[کد روز هفته]]=0,1,0)),1)</f>
        <v>4</v>
      </c>
      <c r="I694">
        <f>-SUMIF(TArticle[تاریخ],TDays[[#This Row],[تاریخ]],TArticle[هزینه])</f>
        <v>0</v>
      </c>
      <c r="J694">
        <f>SUMIF(TArticle[تاریخ],TDays[[#This Row],[تاریخ]],TArticle[درآمد تتا])</f>
        <v>0</v>
      </c>
      <c r="K694">
        <f>SUMIF(TArticle[تاریخ],TDays[[#This Row],[تاریخ]],TArticle[اسنپ])</f>
        <v>0</v>
      </c>
      <c r="L694">
        <f>-SUMIF(TArticle[تاریخ],TDays[[#This Row],[تاریخ]],TArticle[پرداخت بدهی])</f>
        <v>0</v>
      </c>
      <c r="M694">
        <f>SUMIF(TArticle[تاریخ],TDays[[#This Row],[تاریخ]],TArticle[افزایش بدهی])</f>
        <v>0</v>
      </c>
      <c r="N694">
        <f>-SUMIF(TArticle[تاریخ],TDays[[#This Row],[تاریخ]],TArticle[افزایش سرمایه])</f>
        <v>0</v>
      </c>
      <c r="O694">
        <f>SUMIF(TArticle[تاریخ],TDays[[#This Row],[تاریخ]],TArticle[تعداد تراکنش انجام شده])</f>
        <v>0</v>
      </c>
      <c r="P694">
        <f>INT(((TDays[[#This Row],[ماه]]-1)*31+TDays[[#This Row],[روز]]+1)/7)+1</f>
        <v>48</v>
      </c>
      <c r="Q694">
        <f>SUMIF(TArticle[تاریخ],TDays[[#This Row],[تاریخ]],TArticle[تراکنش برنامه ریزی شده])</f>
        <v>0</v>
      </c>
    </row>
    <row r="695" spans="1:17" x14ac:dyDescent="0.25">
      <c r="A695" s="3" t="s">
        <v>881</v>
      </c>
      <c r="B695" t="str">
        <f>RIGHT(TDays[[#This Row],[تاریخ]],2)</f>
        <v>23</v>
      </c>
      <c r="C695" t="str">
        <f>RIGHT(LEFT(TDays[[#This Row],[تاریخ]],7),2)</f>
        <v>11</v>
      </c>
      <c r="D695" t="str">
        <f>LEFT(TDays[[#This Row],[تاریخ]],4)</f>
        <v>1402</v>
      </c>
      <c r="E695" t="str">
        <f>LEFT(TDays[[#This Row],[تاریخ]],7)</f>
        <v>1402-11</v>
      </c>
      <c r="F695">
        <v>2</v>
      </c>
      <c r="G695" s="15" t="str">
        <f>VLOOKUP(TDays[[#This Row],[کد روز هفته]],TDaysOfTheWeek[],2,FALSE)</f>
        <v>دوشنبه</v>
      </c>
      <c r="H695" s="15">
        <f>IFERROR(IF(E694&lt;&gt;E695,1,INT(H694)+IF(TDays[[#This Row],[کد روز هفته]]=0,1,0)),1)</f>
        <v>4</v>
      </c>
      <c r="I695">
        <f>-SUMIF(TArticle[تاریخ],TDays[[#This Row],[تاریخ]],TArticle[هزینه])</f>
        <v>0</v>
      </c>
      <c r="J695">
        <f>SUMIF(TArticle[تاریخ],TDays[[#This Row],[تاریخ]],TArticle[درآمد تتا])</f>
        <v>0</v>
      </c>
      <c r="K695">
        <f>SUMIF(TArticle[تاریخ],TDays[[#This Row],[تاریخ]],TArticle[اسنپ])</f>
        <v>0</v>
      </c>
      <c r="L695">
        <f>-SUMIF(TArticle[تاریخ],TDays[[#This Row],[تاریخ]],TArticle[پرداخت بدهی])</f>
        <v>0</v>
      </c>
      <c r="M695">
        <f>SUMIF(TArticle[تاریخ],TDays[[#This Row],[تاریخ]],TArticle[افزایش بدهی])</f>
        <v>0</v>
      </c>
      <c r="N695">
        <f>-SUMIF(TArticle[تاریخ],TDays[[#This Row],[تاریخ]],TArticle[افزایش سرمایه])</f>
        <v>0</v>
      </c>
      <c r="O695">
        <f>SUMIF(TArticle[تاریخ],TDays[[#This Row],[تاریخ]],TArticle[تعداد تراکنش انجام شده])</f>
        <v>0</v>
      </c>
      <c r="P695">
        <f>INT(((TDays[[#This Row],[ماه]]-1)*31+TDays[[#This Row],[روز]]+1)/7)+1</f>
        <v>48</v>
      </c>
      <c r="Q695">
        <f>SUMIF(TArticle[تاریخ],TDays[[#This Row],[تاریخ]],TArticle[تراکنش برنامه ریزی شده])</f>
        <v>0</v>
      </c>
    </row>
    <row r="696" spans="1:17" x14ac:dyDescent="0.25">
      <c r="A696" s="3" t="s">
        <v>882</v>
      </c>
      <c r="B696" t="str">
        <f>RIGHT(TDays[[#This Row],[تاریخ]],2)</f>
        <v>24</v>
      </c>
      <c r="C696" t="str">
        <f>RIGHT(LEFT(TDays[[#This Row],[تاریخ]],7),2)</f>
        <v>11</v>
      </c>
      <c r="D696" t="str">
        <f>LEFT(TDays[[#This Row],[تاریخ]],4)</f>
        <v>1402</v>
      </c>
      <c r="E696" t="str">
        <f>LEFT(TDays[[#This Row],[تاریخ]],7)</f>
        <v>1402-11</v>
      </c>
      <c r="F696">
        <v>3</v>
      </c>
      <c r="G696" s="15" t="str">
        <f>VLOOKUP(TDays[[#This Row],[کد روز هفته]],TDaysOfTheWeek[],2,FALSE)</f>
        <v>سه شنبه</v>
      </c>
      <c r="H696" s="15">
        <f>IFERROR(IF(E695&lt;&gt;E696,1,INT(H695)+IF(TDays[[#This Row],[کد روز هفته]]=0,1,0)),1)</f>
        <v>4</v>
      </c>
      <c r="I696">
        <f>-SUMIF(TArticle[تاریخ],TDays[[#This Row],[تاریخ]],TArticle[هزینه])</f>
        <v>0</v>
      </c>
      <c r="J696">
        <f>SUMIF(TArticle[تاریخ],TDays[[#This Row],[تاریخ]],TArticle[درآمد تتا])</f>
        <v>0</v>
      </c>
      <c r="K696">
        <f>SUMIF(TArticle[تاریخ],TDays[[#This Row],[تاریخ]],TArticle[اسنپ])</f>
        <v>0</v>
      </c>
      <c r="L696">
        <f>-SUMIF(TArticle[تاریخ],TDays[[#This Row],[تاریخ]],TArticle[پرداخت بدهی])</f>
        <v>0</v>
      </c>
      <c r="M696">
        <f>SUMIF(TArticle[تاریخ],TDays[[#This Row],[تاریخ]],TArticle[افزایش بدهی])</f>
        <v>0</v>
      </c>
      <c r="N696">
        <f>-SUMIF(TArticle[تاریخ],TDays[[#This Row],[تاریخ]],TArticle[افزایش سرمایه])</f>
        <v>0</v>
      </c>
      <c r="O696">
        <f>SUMIF(TArticle[تاریخ],TDays[[#This Row],[تاریخ]],TArticle[تعداد تراکنش انجام شده])</f>
        <v>0</v>
      </c>
      <c r="P696">
        <f>INT(((TDays[[#This Row],[ماه]]-1)*31+TDays[[#This Row],[روز]]+1)/7)+1</f>
        <v>48</v>
      </c>
      <c r="Q696">
        <f>SUMIF(TArticle[تاریخ],TDays[[#This Row],[تاریخ]],TArticle[تراکنش برنامه ریزی شده])</f>
        <v>0</v>
      </c>
    </row>
    <row r="697" spans="1:17" x14ac:dyDescent="0.25">
      <c r="A697" s="3" t="s">
        <v>883</v>
      </c>
      <c r="B697" t="str">
        <f>RIGHT(TDays[[#This Row],[تاریخ]],2)</f>
        <v>25</v>
      </c>
      <c r="C697" t="str">
        <f>RIGHT(LEFT(TDays[[#This Row],[تاریخ]],7),2)</f>
        <v>11</v>
      </c>
      <c r="D697" t="str">
        <f>LEFT(TDays[[#This Row],[تاریخ]],4)</f>
        <v>1402</v>
      </c>
      <c r="E697" t="str">
        <f>LEFT(TDays[[#This Row],[تاریخ]],7)</f>
        <v>1402-11</v>
      </c>
      <c r="F697">
        <v>4</v>
      </c>
      <c r="G697" s="15" t="str">
        <f>VLOOKUP(TDays[[#This Row],[کد روز هفته]],TDaysOfTheWeek[],2,FALSE)</f>
        <v>چهارشنبه</v>
      </c>
      <c r="H697" s="15">
        <f>IFERROR(IF(E696&lt;&gt;E697,1,INT(H696)+IF(TDays[[#This Row],[کد روز هفته]]=0,1,0)),1)</f>
        <v>4</v>
      </c>
      <c r="I697">
        <f>-SUMIF(TArticle[تاریخ],TDays[[#This Row],[تاریخ]],TArticle[هزینه])</f>
        <v>0</v>
      </c>
      <c r="J697">
        <f>SUMIF(TArticle[تاریخ],TDays[[#This Row],[تاریخ]],TArticle[درآمد تتا])</f>
        <v>0</v>
      </c>
      <c r="K697">
        <f>SUMIF(TArticle[تاریخ],TDays[[#This Row],[تاریخ]],TArticle[اسنپ])</f>
        <v>0</v>
      </c>
      <c r="L697">
        <f>-SUMIF(TArticle[تاریخ],TDays[[#This Row],[تاریخ]],TArticle[پرداخت بدهی])</f>
        <v>0</v>
      </c>
      <c r="M697">
        <f>SUMIF(TArticle[تاریخ],TDays[[#This Row],[تاریخ]],TArticle[افزایش بدهی])</f>
        <v>0</v>
      </c>
      <c r="N697">
        <f>-SUMIF(TArticle[تاریخ],TDays[[#This Row],[تاریخ]],TArticle[افزایش سرمایه])</f>
        <v>0</v>
      </c>
      <c r="O697">
        <f>SUMIF(TArticle[تاریخ],TDays[[#This Row],[تاریخ]],TArticle[تعداد تراکنش انجام شده])</f>
        <v>0</v>
      </c>
      <c r="P697">
        <f>INT(((TDays[[#This Row],[ماه]]-1)*31+TDays[[#This Row],[روز]]+1)/7)+1</f>
        <v>49</v>
      </c>
      <c r="Q697">
        <f>SUMIF(TArticle[تاریخ],TDays[[#This Row],[تاریخ]],TArticle[تراکنش برنامه ریزی شده])</f>
        <v>0</v>
      </c>
    </row>
    <row r="698" spans="1:17" x14ac:dyDescent="0.25">
      <c r="A698" s="3" t="s">
        <v>884</v>
      </c>
      <c r="B698" t="str">
        <f>RIGHT(TDays[[#This Row],[تاریخ]],2)</f>
        <v>26</v>
      </c>
      <c r="C698" t="str">
        <f>RIGHT(LEFT(TDays[[#This Row],[تاریخ]],7),2)</f>
        <v>11</v>
      </c>
      <c r="D698" t="str">
        <f>LEFT(TDays[[#This Row],[تاریخ]],4)</f>
        <v>1402</v>
      </c>
      <c r="E698" t="str">
        <f>LEFT(TDays[[#This Row],[تاریخ]],7)</f>
        <v>1402-11</v>
      </c>
      <c r="F698">
        <v>5</v>
      </c>
      <c r="G698" s="15" t="str">
        <f>VLOOKUP(TDays[[#This Row],[کد روز هفته]],TDaysOfTheWeek[],2,FALSE)</f>
        <v>پنجشنبه</v>
      </c>
      <c r="H698" s="15">
        <f>IFERROR(IF(E697&lt;&gt;E698,1,INT(H697)+IF(TDays[[#This Row],[کد روز هفته]]=0,1,0)),1)</f>
        <v>4</v>
      </c>
      <c r="I698">
        <f>-SUMIF(TArticle[تاریخ],TDays[[#This Row],[تاریخ]],TArticle[هزینه])</f>
        <v>0</v>
      </c>
      <c r="J698">
        <f>SUMIF(TArticle[تاریخ],TDays[[#This Row],[تاریخ]],TArticle[درآمد تتا])</f>
        <v>0</v>
      </c>
      <c r="K698">
        <f>SUMIF(TArticle[تاریخ],TDays[[#This Row],[تاریخ]],TArticle[اسنپ])</f>
        <v>0</v>
      </c>
      <c r="L698">
        <f>-SUMIF(TArticle[تاریخ],TDays[[#This Row],[تاریخ]],TArticle[پرداخت بدهی])</f>
        <v>0</v>
      </c>
      <c r="M698">
        <f>SUMIF(TArticle[تاریخ],TDays[[#This Row],[تاریخ]],TArticle[افزایش بدهی])</f>
        <v>0</v>
      </c>
      <c r="N698">
        <f>-SUMIF(TArticle[تاریخ],TDays[[#This Row],[تاریخ]],TArticle[افزایش سرمایه])</f>
        <v>0</v>
      </c>
      <c r="O698">
        <f>SUMIF(TArticle[تاریخ],TDays[[#This Row],[تاریخ]],TArticle[تعداد تراکنش انجام شده])</f>
        <v>0</v>
      </c>
      <c r="P698">
        <f>INT(((TDays[[#This Row],[ماه]]-1)*31+TDays[[#This Row],[روز]]+1)/7)+1</f>
        <v>49</v>
      </c>
      <c r="Q698">
        <f>SUMIF(TArticle[تاریخ],TDays[[#This Row],[تاریخ]],TArticle[تراکنش برنامه ریزی شده])</f>
        <v>0</v>
      </c>
    </row>
    <row r="699" spans="1:17" x14ac:dyDescent="0.25">
      <c r="A699" s="3" t="s">
        <v>885</v>
      </c>
      <c r="B699" t="str">
        <f>RIGHT(TDays[[#This Row],[تاریخ]],2)</f>
        <v>27</v>
      </c>
      <c r="C699" t="str">
        <f>RIGHT(LEFT(TDays[[#This Row],[تاریخ]],7),2)</f>
        <v>11</v>
      </c>
      <c r="D699" t="str">
        <f>LEFT(TDays[[#This Row],[تاریخ]],4)</f>
        <v>1402</v>
      </c>
      <c r="E699" t="str">
        <f>LEFT(TDays[[#This Row],[تاریخ]],7)</f>
        <v>1402-11</v>
      </c>
      <c r="F699">
        <v>6</v>
      </c>
      <c r="G699" s="15" t="str">
        <f>VLOOKUP(TDays[[#This Row],[کد روز هفته]],TDaysOfTheWeek[],2,FALSE)</f>
        <v>جمعه</v>
      </c>
      <c r="H699" s="15">
        <f>IFERROR(IF(E698&lt;&gt;E699,1,INT(H698)+IF(TDays[[#This Row],[کد روز هفته]]=0,1,0)),1)</f>
        <v>4</v>
      </c>
      <c r="I699">
        <f>-SUMIF(TArticle[تاریخ],TDays[[#This Row],[تاریخ]],TArticle[هزینه])</f>
        <v>0</v>
      </c>
      <c r="J699">
        <f>SUMIF(TArticle[تاریخ],TDays[[#This Row],[تاریخ]],TArticle[درآمد تتا])</f>
        <v>0</v>
      </c>
      <c r="K699">
        <f>SUMIF(TArticle[تاریخ],TDays[[#This Row],[تاریخ]],TArticle[اسنپ])</f>
        <v>0</v>
      </c>
      <c r="L699">
        <f>-SUMIF(TArticle[تاریخ],TDays[[#This Row],[تاریخ]],TArticle[پرداخت بدهی])</f>
        <v>0</v>
      </c>
      <c r="M699">
        <f>SUMIF(TArticle[تاریخ],TDays[[#This Row],[تاریخ]],TArticle[افزایش بدهی])</f>
        <v>0</v>
      </c>
      <c r="N699">
        <f>-SUMIF(TArticle[تاریخ],TDays[[#This Row],[تاریخ]],TArticle[افزایش سرمایه])</f>
        <v>0</v>
      </c>
      <c r="O699">
        <f>SUMIF(TArticle[تاریخ],TDays[[#This Row],[تاریخ]],TArticle[تعداد تراکنش انجام شده])</f>
        <v>0</v>
      </c>
      <c r="P699">
        <f>INT(((TDays[[#This Row],[ماه]]-1)*31+TDays[[#This Row],[روز]]+1)/7)+1</f>
        <v>49</v>
      </c>
      <c r="Q699">
        <f>SUMIF(TArticle[تاریخ],TDays[[#This Row],[تاریخ]],TArticle[تراکنش برنامه ریزی شده])</f>
        <v>0</v>
      </c>
    </row>
    <row r="700" spans="1:17" x14ac:dyDescent="0.25">
      <c r="A700" s="3" t="s">
        <v>886</v>
      </c>
      <c r="B700" t="str">
        <f>RIGHT(TDays[[#This Row],[تاریخ]],2)</f>
        <v>28</v>
      </c>
      <c r="C700" t="str">
        <f>RIGHT(LEFT(TDays[[#This Row],[تاریخ]],7),2)</f>
        <v>11</v>
      </c>
      <c r="D700" t="str">
        <f>LEFT(TDays[[#This Row],[تاریخ]],4)</f>
        <v>1402</v>
      </c>
      <c r="E700" t="str">
        <f>LEFT(TDays[[#This Row],[تاریخ]],7)</f>
        <v>1402-11</v>
      </c>
      <c r="F700">
        <v>0</v>
      </c>
      <c r="G700" s="15" t="str">
        <f>VLOOKUP(TDays[[#This Row],[کد روز هفته]],TDaysOfTheWeek[],2,FALSE)</f>
        <v>شنبه</v>
      </c>
      <c r="H700" s="15">
        <f>IFERROR(IF(E699&lt;&gt;E700,1,INT(H699)+IF(TDays[[#This Row],[کد روز هفته]]=0,1,0)),1)</f>
        <v>5</v>
      </c>
      <c r="I700">
        <f>-SUMIF(TArticle[تاریخ],TDays[[#This Row],[تاریخ]],TArticle[هزینه])</f>
        <v>0</v>
      </c>
      <c r="J700">
        <f>SUMIF(TArticle[تاریخ],TDays[[#This Row],[تاریخ]],TArticle[درآمد تتا])</f>
        <v>0</v>
      </c>
      <c r="K700">
        <f>SUMIF(TArticle[تاریخ],TDays[[#This Row],[تاریخ]],TArticle[اسنپ])</f>
        <v>0</v>
      </c>
      <c r="L700">
        <f>-SUMIF(TArticle[تاریخ],TDays[[#This Row],[تاریخ]],TArticle[پرداخت بدهی])</f>
        <v>0</v>
      </c>
      <c r="M700">
        <f>SUMIF(TArticle[تاریخ],TDays[[#This Row],[تاریخ]],TArticle[افزایش بدهی])</f>
        <v>0</v>
      </c>
      <c r="N700">
        <f>-SUMIF(TArticle[تاریخ],TDays[[#This Row],[تاریخ]],TArticle[افزایش سرمایه])</f>
        <v>0</v>
      </c>
      <c r="O700">
        <f>SUMIF(TArticle[تاریخ],TDays[[#This Row],[تاریخ]],TArticle[تعداد تراکنش انجام شده])</f>
        <v>0</v>
      </c>
      <c r="P700">
        <f>INT(((TDays[[#This Row],[ماه]]-1)*31+TDays[[#This Row],[روز]]+1)/7)+1</f>
        <v>49</v>
      </c>
      <c r="Q700">
        <f>SUMIF(TArticle[تاریخ],TDays[[#This Row],[تاریخ]],TArticle[تراکنش برنامه ریزی شده])</f>
        <v>1</v>
      </c>
    </row>
    <row r="701" spans="1:17" x14ac:dyDescent="0.25">
      <c r="A701" s="3" t="s">
        <v>887</v>
      </c>
      <c r="B701" t="str">
        <f>RIGHT(TDays[[#This Row],[تاریخ]],2)</f>
        <v>29</v>
      </c>
      <c r="C701" t="str">
        <f>RIGHT(LEFT(TDays[[#This Row],[تاریخ]],7),2)</f>
        <v>11</v>
      </c>
      <c r="D701" t="str">
        <f>LEFT(TDays[[#This Row],[تاریخ]],4)</f>
        <v>1402</v>
      </c>
      <c r="E701" t="str">
        <f>LEFT(TDays[[#This Row],[تاریخ]],7)</f>
        <v>1402-11</v>
      </c>
      <c r="F701">
        <v>1</v>
      </c>
      <c r="G701" s="15" t="str">
        <f>VLOOKUP(TDays[[#This Row],[کد روز هفته]],TDaysOfTheWeek[],2,FALSE)</f>
        <v>یکشنبه</v>
      </c>
      <c r="H701" s="15">
        <f>IFERROR(IF(E700&lt;&gt;E701,1,INT(H700)+IF(TDays[[#This Row],[کد روز هفته]]=0,1,0)),1)</f>
        <v>5</v>
      </c>
      <c r="I701">
        <f>-SUMIF(TArticle[تاریخ],TDays[[#This Row],[تاریخ]],TArticle[هزینه])</f>
        <v>0</v>
      </c>
      <c r="J701">
        <f>SUMIF(TArticle[تاریخ],TDays[[#This Row],[تاریخ]],TArticle[درآمد تتا])</f>
        <v>0</v>
      </c>
      <c r="K701">
        <f>SUMIF(TArticle[تاریخ],TDays[[#This Row],[تاریخ]],TArticle[اسنپ])</f>
        <v>0</v>
      </c>
      <c r="L701">
        <f>-SUMIF(TArticle[تاریخ],TDays[[#This Row],[تاریخ]],TArticle[پرداخت بدهی])</f>
        <v>0</v>
      </c>
      <c r="M701">
        <f>SUMIF(TArticle[تاریخ],TDays[[#This Row],[تاریخ]],TArticle[افزایش بدهی])</f>
        <v>0</v>
      </c>
      <c r="N701">
        <f>-SUMIF(TArticle[تاریخ],TDays[[#This Row],[تاریخ]],TArticle[افزایش سرمایه])</f>
        <v>0</v>
      </c>
      <c r="O701">
        <f>SUMIF(TArticle[تاریخ],TDays[[#This Row],[تاریخ]],TArticle[تعداد تراکنش انجام شده])</f>
        <v>0</v>
      </c>
      <c r="P701">
        <f>INT(((TDays[[#This Row],[ماه]]-1)*31+TDays[[#This Row],[روز]]+1)/7)+1</f>
        <v>49</v>
      </c>
      <c r="Q701">
        <f>SUMIF(TArticle[تاریخ],TDays[[#This Row],[تاریخ]],TArticle[تراکنش برنامه ریزی شده])</f>
        <v>0</v>
      </c>
    </row>
    <row r="702" spans="1:17" x14ac:dyDescent="0.25">
      <c r="A702" s="3" t="s">
        <v>888</v>
      </c>
      <c r="B702" t="str">
        <f>RIGHT(TDays[[#This Row],[تاریخ]],2)</f>
        <v>30</v>
      </c>
      <c r="C702" t="str">
        <f>RIGHT(LEFT(TDays[[#This Row],[تاریخ]],7),2)</f>
        <v>11</v>
      </c>
      <c r="D702" t="str">
        <f>LEFT(TDays[[#This Row],[تاریخ]],4)</f>
        <v>1402</v>
      </c>
      <c r="E702" t="str">
        <f>LEFT(TDays[[#This Row],[تاریخ]],7)</f>
        <v>1402-11</v>
      </c>
      <c r="F702">
        <v>2</v>
      </c>
      <c r="G702" s="15" t="str">
        <f>VLOOKUP(TDays[[#This Row],[کد روز هفته]],TDaysOfTheWeek[],2,FALSE)</f>
        <v>دوشنبه</v>
      </c>
      <c r="H702" s="15">
        <f>IFERROR(IF(E701&lt;&gt;E702,1,INT(H701)+IF(TDays[[#This Row],[کد روز هفته]]=0,1,0)),1)</f>
        <v>5</v>
      </c>
      <c r="I702">
        <f>-SUMIF(TArticle[تاریخ],TDays[[#This Row],[تاریخ]],TArticle[هزینه])</f>
        <v>0</v>
      </c>
      <c r="J702">
        <f>SUMIF(TArticle[تاریخ],TDays[[#This Row],[تاریخ]],TArticle[درآمد تتا])</f>
        <v>0</v>
      </c>
      <c r="K702">
        <f>SUMIF(TArticle[تاریخ],TDays[[#This Row],[تاریخ]],TArticle[اسنپ])</f>
        <v>0</v>
      </c>
      <c r="L702">
        <f>-SUMIF(TArticle[تاریخ],TDays[[#This Row],[تاریخ]],TArticle[پرداخت بدهی])</f>
        <v>0</v>
      </c>
      <c r="M702">
        <f>SUMIF(TArticle[تاریخ],TDays[[#This Row],[تاریخ]],TArticle[افزایش بدهی])</f>
        <v>0</v>
      </c>
      <c r="N702">
        <f>-SUMIF(TArticle[تاریخ],TDays[[#This Row],[تاریخ]],TArticle[افزایش سرمایه])</f>
        <v>0</v>
      </c>
      <c r="O702">
        <f>SUMIF(TArticle[تاریخ],TDays[[#This Row],[تاریخ]],TArticle[تعداد تراکنش انجام شده])</f>
        <v>0</v>
      </c>
      <c r="P702">
        <f>INT(((TDays[[#This Row],[ماه]]-1)*31+TDays[[#This Row],[روز]]+1)/7)+1</f>
        <v>49</v>
      </c>
      <c r="Q702">
        <f>SUMIF(TArticle[تاریخ],TDays[[#This Row],[تاریخ]],TArticle[تراکنش برنامه ریزی شده])</f>
        <v>0</v>
      </c>
    </row>
    <row r="703" spans="1:17" x14ac:dyDescent="0.25">
      <c r="A703" s="3" t="s">
        <v>889</v>
      </c>
      <c r="B703" t="str">
        <f>RIGHT(TDays[[#This Row],[تاریخ]],2)</f>
        <v>01</v>
      </c>
      <c r="C703" t="str">
        <f>RIGHT(LEFT(TDays[[#This Row],[تاریخ]],7),2)</f>
        <v>12</v>
      </c>
      <c r="D703" t="str">
        <f>LEFT(TDays[[#This Row],[تاریخ]],4)</f>
        <v>1402</v>
      </c>
      <c r="E703" t="str">
        <f>LEFT(TDays[[#This Row],[تاریخ]],7)</f>
        <v>1402-12</v>
      </c>
      <c r="F703">
        <v>3</v>
      </c>
      <c r="G703" s="15" t="str">
        <f>VLOOKUP(TDays[[#This Row],[کد روز هفته]],TDaysOfTheWeek[],2,FALSE)</f>
        <v>سه شنبه</v>
      </c>
      <c r="H703" s="15">
        <f>IFERROR(IF(E702&lt;&gt;E703,1,INT(H702)+IF(TDays[[#This Row],[کد روز هفته]]=0,1,0)),1)</f>
        <v>1</v>
      </c>
      <c r="I703">
        <f>-SUMIF(TArticle[تاریخ],TDays[[#This Row],[تاریخ]],TArticle[هزینه])</f>
        <v>0</v>
      </c>
      <c r="J703">
        <f>SUMIF(TArticle[تاریخ],TDays[[#This Row],[تاریخ]],TArticle[درآمد تتا])</f>
        <v>0</v>
      </c>
      <c r="K703">
        <f>SUMIF(TArticle[تاریخ],TDays[[#This Row],[تاریخ]],TArticle[اسنپ])</f>
        <v>0</v>
      </c>
      <c r="L703">
        <f>-SUMIF(TArticle[تاریخ],TDays[[#This Row],[تاریخ]],TArticle[پرداخت بدهی])</f>
        <v>0</v>
      </c>
      <c r="M703">
        <f>SUMIF(TArticle[تاریخ],TDays[[#This Row],[تاریخ]],TArticle[افزایش بدهی])</f>
        <v>0</v>
      </c>
      <c r="N703">
        <f>-SUMIF(TArticle[تاریخ],TDays[[#This Row],[تاریخ]],TArticle[افزایش سرمایه])</f>
        <v>0</v>
      </c>
      <c r="O703">
        <f>SUMIF(TArticle[تاریخ],TDays[[#This Row],[تاریخ]],TArticle[تعداد تراکنش انجام شده])</f>
        <v>0</v>
      </c>
      <c r="P703">
        <f>INT(((TDays[[#This Row],[ماه]]-1)*31+TDays[[#This Row],[روز]]+1)/7)+1</f>
        <v>50</v>
      </c>
      <c r="Q703">
        <f>SUMIF(TArticle[تاریخ],TDays[[#This Row],[تاریخ]],TArticle[تراکنش برنامه ریزی شده])</f>
        <v>2</v>
      </c>
    </row>
    <row r="704" spans="1:17" x14ac:dyDescent="0.25">
      <c r="A704" s="3" t="s">
        <v>890</v>
      </c>
      <c r="B704" t="str">
        <f>RIGHT(TDays[[#This Row],[تاریخ]],2)</f>
        <v>02</v>
      </c>
      <c r="C704" t="str">
        <f>RIGHT(LEFT(TDays[[#This Row],[تاریخ]],7),2)</f>
        <v>12</v>
      </c>
      <c r="D704" t="str">
        <f>LEFT(TDays[[#This Row],[تاریخ]],4)</f>
        <v>1402</v>
      </c>
      <c r="E704" t="str">
        <f>LEFT(TDays[[#This Row],[تاریخ]],7)</f>
        <v>1402-12</v>
      </c>
      <c r="F704">
        <v>4</v>
      </c>
      <c r="G704" s="15" t="str">
        <f>VLOOKUP(TDays[[#This Row],[کد روز هفته]],TDaysOfTheWeek[],2,FALSE)</f>
        <v>چهارشنبه</v>
      </c>
      <c r="H704" s="15">
        <f>IFERROR(IF(E703&lt;&gt;E704,1,INT(H703)+IF(TDays[[#This Row],[کد روز هفته]]=0,1,0)),1)</f>
        <v>1</v>
      </c>
      <c r="I704">
        <f>-SUMIF(TArticle[تاریخ],TDays[[#This Row],[تاریخ]],TArticle[هزینه])</f>
        <v>0</v>
      </c>
      <c r="J704">
        <f>SUMIF(TArticle[تاریخ],TDays[[#This Row],[تاریخ]],TArticle[درآمد تتا])</f>
        <v>0</v>
      </c>
      <c r="K704">
        <f>SUMIF(TArticle[تاریخ],TDays[[#This Row],[تاریخ]],TArticle[اسنپ])</f>
        <v>0</v>
      </c>
      <c r="L704">
        <f>-SUMIF(TArticle[تاریخ],TDays[[#This Row],[تاریخ]],TArticle[پرداخت بدهی])</f>
        <v>0</v>
      </c>
      <c r="M704">
        <f>SUMIF(TArticle[تاریخ],TDays[[#This Row],[تاریخ]],TArticle[افزایش بدهی])</f>
        <v>0</v>
      </c>
      <c r="N704">
        <f>-SUMIF(TArticle[تاریخ],TDays[[#This Row],[تاریخ]],TArticle[افزایش سرمایه])</f>
        <v>0</v>
      </c>
      <c r="O704">
        <f>SUMIF(TArticle[تاریخ],TDays[[#This Row],[تاریخ]],TArticle[تعداد تراکنش انجام شده])</f>
        <v>0</v>
      </c>
      <c r="P704">
        <f>INT(((TDays[[#This Row],[ماه]]-1)*31+TDays[[#This Row],[روز]]+1)/7)+1</f>
        <v>50</v>
      </c>
      <c r="Q704">
        <f>SUMIF(TArticle[تاریخ],TDays[[#This Row],[تاریخ]],TArticle[تراکنش برنامه ریزی شده])</f>
        <v>0</v>
      </c>
    </row>
    <row r="705" spans="1:17" x14ac:dyDescent="0.25">
      <c r="A705" s="3" t="s">
        <v>891</v>
      </c>
      <c r="B705" t="str">
        <f>RIGHT(TDays[[#This Row],[تاریخ]],2)</f>
        <v>03</v>
      </c>
      <c r="C705" t="str">
        <f>RIGHT(LEFT(TDays[[#This Row],[تاریخ]],7),2)</f>
        <v>12</v>
      </c>
      <c r="D705" t="str">
        <f>LEFT(TDays[[#This Row],[تاریخ]],4)</f>
        <v>1402</v>
      </c>
      <c r="E705" t="str">
        <f>LEFT(TDays[[#This Row],[تاریخ]],7)</f>
        <v>1402-12</v>
      </c>
      <c r="F705">
        <v>5</v>
      </c>
      <c r="G705" s="15" t="str">
        <f>VLOOKUP(TDays[[#This Row],[کد روز هفته]],TDaysOfTheWeek[],2,FALSE)</f>
        <v>پنجشنبه</v>
      </c>
      <c r="H705" s="15">
        <f>IFERROR(IF(E704&lt;&gt;E705,1,INT(H704)+IF(TDays[[#This Row],[کد روز هفته]]=0,1,0)),1)</f>
        <v>1</v>
      </c>
      <c r="I705">
        <f>-SUMIF(TArticle[تاریخ],TDays[[#This Row],[تاریخ]],TArticle[هزینه])</f>
        <v>0</v>
      </c>
      <c r="J705">
        <f>SUMIF(TArticle[تاریخ],TDays[[#This Row],[تاریخ]],TArticle[درآمد تتا])</f>
        <v>0</v>
      </c>
      <c r="K705">
        <f>SUMIF(TArticle[تاریخ],TDays[[#This Row],[تاریخ]],TArticle[اسنپ])</f>
        <v>0</v>
      </c>
      <c r="L705">
        <f>-SUMIF(TArticle[تاریخ],TDays[[#This Row],[تاریخ]],TArticle[پرداخت بدهی])</f>
        <v>0</v>
      </c>
      <c r="M705">
        <f>SUMIF(TArticle[تاریخ],TDays[[#This Row],[تاریخ]],TArticle[افزایش بدهی])</f>
        <v>0</v>
      </c>
      <c r="N705">
        <f>-SUMIF(TArticle[تاریخ],TDays[[#This Row],[تاریخ]],TArticle[افزایش سرمایه])</f>
        <v>0</v>
      </c>
      <c r="O705">
        <f>SUMIF(TArticle[تاریخ],TDays[[#This Row],[تاریخ]],TArticle[تعداد تراکنش انجام شده])</f>
        <v>0</v>
      </c>
      <c r="P705">
        <f>INT(((TDays[[#This Row],[ماه]]-1)*31+TDays[[#This Row],[روز]]+1)/7)+1</f>
        <v>50</v>
      </c>
      <c r="Q705">
        <f>SUMIF(TArticle[تاریخ],TDays[[#This Row],[تاریخ]],TArticle[تراکنش برنامه ریزی شده])</f>
        <v>3</v>
      </c>
    </row>
    <row r="706" spans="1:17" x14ac:dyDescent="0.25">
      <c r="A706" s="3" t="s">
        <v>892</v>
      </c>
      <c r="B706" t="str">
        <f>RIGHT(TDays[[#This Row],[تاریخ]],2)</f>
        <v>04</v>
      </c>
      <c r="C706" t="str">
        <f>RIGHT(LEFT(TDays[[#This Row],[تاریخ]],7),2)</f>
        <v>12</v>
      </c>
      <c r="D706" t="str">
        <f>LEFT(TDays[[#This Row],[تاریخ]],4)</f>
        <v>1402</v>
      </c>
      <c r="E706" t="str">
        <f>LEFT(TDays[[#This Row],[تاریخ]],7)</f>
        <v>1402-12</v>
      </c>
      <c r="F706">
        <v>6</v>
      </c>
      <c r="G706" s="15" t="str">
        <f>VLOOKUP(TDays[[#This Row],[کد روز هفته]],TDaysOfTheWeek[],2,FALSE)</f>
        <v>جمعه</v>
      </c>
      <c r="H706" s="15">
        <f>IFERROR(IF(E705&lt;&gt;E706,1,INT(H705)+IF(TDays[[#This Row],[کد روز هفته]]=0,1,0)),1)</f>
        <v>1</v>
      </c>
      <c r="I706">
        <f>-SUMIF(TArticle[تاریخ],TDays[[#This Row],[تاریخ]],TArticle[هزینه])</f>
        <v>0</v>
      </c>
      <c r="J706">
        <f>SUMIF(TArticle[تاریخ],TDays[[#This Row],[تاریخ]],TArticle[درآمد تتا])</f>
        <v>0</v>
      </c>
      <c r="K706">
        <f>SUMIF(TArticle[تاریخ],TDays[[#This Row],[تاریخ]],TArticle[اسنپ])</f>
        <v>0</v>
      </c>
      <c r="L706">
        <f>-SUMIF(TArticle[تاریخ],TDays[[#This Row],[تاریخ]],TArticle[پرداخت بدهی])</f>
        <v>0</v>
      </c>
      <c r="M706">
        <f>SUMIF(TArticle[تاریخ],TDays[[#This Row],[تاریخ]],TArticle[افزایش بدهی])</f>
        <v>0</v>
      </c>
      <c r="N706">
        <f>-SUMIF(TArticle[تاریخ],TDays[[#This Row],[تاریخ]],TArticle[افزایش سرمایه])</f>
        <v>0</v>
      </c>
      <c r="O706">
        <f>SUMIF(TArticle[تاریخ],TDays[[#This Row],[تاریخ]],TArticle[تعداد تراکنش انجام شده])</f>
        <v>0</v>
      </c>
      <c r="P706">
        <f>INT(((TDays[[#This Row],[ماه]]-1)*31+TDays[[#This Row],[روز]]+1)/7)+1</f>
        <v>50</v>
      </c>
      <c r="Q706">
        <f>SUMIF(TArticle[تاریخ],TDays[[#This Row],[تاریخ]],TArticle[تراکنش برنامه ریزی شده])</f>
        <v>1</v>
      </c>
    </row>
    <row r="707" spans="1:17" x14ac:dyDescent="0.25">
      <c r="A707" s="3" t="s">
        <v>893</v>
      </c>
      <c r="B707" t="str">
        <f>RIGHT(TDays[[#This Row],[تاریخ]],2)</f>
        <v>05</v>
      </c>
      <c r="C707" t="str">
        <f>RIGHT(LEFT(TDays[[#This Row],[تاریخ]],7),2)</f>
        <v>12</v>
      </c>
      <c r="D707" t="str">
        <f>LEFT(TDays[[#This Row],[تاریخ]],4)</f>
        <v>1402</v>
      </c>
      <c r="E707" t="str">
        <f>LEFT(TDays[[#This Row],[تاریخ]],7)</f>
        <v>1402-12</v>
      </c>
      <c r="F707">
        <v>0</v>
      </c>
      <c r="G707" s="15" t="str">
        <f>VLOOKUP(TDays[[#This Row],[کد روز هفته]],TDaysOfTheWeek[],2,FALSE)</f>
        <v>شنبه</v>
      </c>
      <c r="H707" s="15">
        <f>IFERROR(IF(E706&lt;&gt;E707,1,INT(H706)+IF(TDays[[#This Row],[کد روز هفته]]=0,1,0)),1)</f>
        <v>2</v>
      </c>
      <c r="I707">
        <f>-SUMIF(TArticle[تاریخ],TDays[[#This Row],[تاریخ]],TArticle[هزینه])</f>
        <v>0</v>
      </c>
      <c r="J707">
        <f>SUMIF(TArticle[تاریخ],TDays[[#This Row],[تاریخ]],TArticle[درآمد تتا])</f>
        <v>0</v>
      </c>
      <c r="K707">
        <f>SUMIF(TArticle[تاریخ],TDays[[#This Row],[تاریخ]],TArticle[اسنپ])</f>
        <v>0</v>
      </c>
      <c r="L707">
        <f>-SUMIF(TArticle[تاریخ],TDays[[#This Row],[تاریخ]],TArticle[پرداخت بدهی])</f>
        <v>0</v>
      </c>
      <c r="M707">
        <f>SUMIF(TArticle[تاریخ],TDays[[#This Row],[تاریخ]],TArticle[افزایش بدهی])</f>
        <v>0</v>
      </c>
      <c r="N707">
        <f>-SUMIF(TArticle[تاریخ],TDays[[#This Row],[تاریخ]],TArticle[افزایش سرمایه])</f>
        <v>0</v>
      </c>
      <c r="O707">
        <f>SUMIF(TArticle[تاریخ],TDays[[#This Row],[تاریخ]],TArticle[تعداد تراکنش انجام شده])</f>
        <v>0</v>
      </c>
      <c r="P707">
        <f>INT(((TDays[[#This Row],[ماه]]-1)*31+TDays[[#This Row],[روز]]+1)/7)+1</f>
        <v>50</v>
      </c>
      <c r="Q707">
        <f>SUMIF(TArticle[تاریخ],TDays[[#This Row],[تاریخ]],TArticle[تراکنش برنامه ریزی شده])</f>
        <v>0</v>
      </c>
    </row>
    <row r="708" spans="1:17" x14ac:dyDescent="0.25">
      <c r="A708" s="3" t="s">
        <v>894</v>
      </c>
      <c r="B708" t="str">
        <f>RIGHT(TDays[[#This Row],[تاریخ]],2)</f>
        <v>06</v>
      </c>
      <c r="C708" t="str">
        <f>RIGHT(LEFT(TDays[[#This Row],[تاریخ]],7),2)</f>
        <v>12</v>
      </c>
      <c r="D708" t="str">
        <f>LEFT(TDays[[#This Row],[تاریخ]],4)</f>
        <v>1402</v>
      </c>
      <c r="E708" t="str">
        <f>LEFT(TDays[[#This Row],[تاریخ]],7)</f>
        <v>1402-12</v>
      </c>
      <c r="F708">
        <v>1</v>
      </c>
      <c r="G708" s="15" t="str">
        <f>VLOOKUP(TDays[[#This Row],[کد روز هفته]],TDaysOfTheWeek[],2,FALSE)</f>
        <v>یکشنبه</v>
      </c>
      <c r="H708" s="15">
        <f>IFERROR(IF(E707&lt;&gt;E708,1,INT(H707)+IF(TDays[[#This Row],[کد روز هفته]]=0,1,0)),1)</f>
        <v>2</v>
      </c>
      <c r="I708">
        <f>-SUMIF(TArticle[تاریخ],TDays[[#This Row],[تاریخ]],TArticle[هزینه])</f>
        <v>0</v>
      </c>
      <c r="J708">
        <f>SUMIF(TArticle[تاریخ],TDays[[#This Row],[تاریخ]],TArticle[درآمد تتا])</f>
        <v>0</v>
      </c>
      <c r="K708">
        <f>SUMIF(TArticle[تاریخ],TDays[[#This Row],[تاریخ]],TArticle[اسنپ])</f>
        <v>0</v>
      </c>
      <c r="L708">
        <f>-SUMIF(TArticle[تاریخ],TDays[[#This Row],[تاریخ]],TArticle[پرداخت بدهی])</f>
        <v>0</v>
      </c>
      <c r="M708">
        <f>SUMIF(TArticle[تاریخ],TDays[[#This Row],[تاریخ]],TArticle[افزایش بدهی])</f>
        <v>0</v>
      </c>
      <c r="N708">
        <f>-SUMIF(TArticle[تاریخ],TDays[[#This Row],[تاریخ]],TArticle[افزایش سرمایه])</f>
        <v>0</v>
      </c>
      <c r="O708">
        <f>SUMIF(TArticle[تاریخ],TDays[[#This Row],[تاریخ]],TArticle[تعداد تراکنش انجام شده])</f>
        <v>0</v>
      </c>
      <c r="P708">
        <f>INT(((TDays[[#This Row],[ماه]]-1)*31+TDays[[#This Row],[روز]]+1)/7)+1</f>
        <v>50</v>
      </c>
      <c r="Q708">
        <f>SUMIF(TArticle[تاریخ],TDays[[#This Row],[تاریخ]],TArticle[تراکنش برنامه ریزی شده])</f>
        <v>0</v>
      </c>
    </row>
    <row r="709" spans="1:17" x14ac:dyDescent="0.25">
      <c r="A709" s="3" t="s">
        <v>895</v>
      </c>
      <c r="B709" t="str">
        <f>RIGHT(TDays[[#This Row],[تاریخ]],2)</f>
        <v>07</v>
      </c>
      <c r="C709" t="str">
        <f>RIGHT(LEFT(TDays[[#This Row],[تاریخ]],7),2)</f>
        <v>12</v>
      </c>
      <c r="D709" t="str">
        <f>LEFT(TDays[[#This Row],[تاریخ]],4)</f>
        <v>1402</v>
      </c>
      <c r="E709" t="str">
        <f>LEFT(TDays[[#This Row],[تاریخ]],7)</f>
        <v>1402-12</v>
      </c>
      <c r="F709">
        <v>2</v>
      </c>
      <c r="G709" s="15" t="str">
        <f>VLOOKUP(TDays[[#This Row],[کد روز هفته]],TDaysOfTheWeek[],2,FALSE)</f>
        <v>دوشنبه</v>
      </c>
      <c r="H709" s="15">
        <f>IFERROR(IF(E708&lt;&gt;E709,1,INT(H708)+IF(TDays[[#This Row],[کد روز هفته]]=0,1,0)),1)</f>
        <v>2</v>
      </c>
      <c r="I709">
        <f>-SUMIF(TArticle[تاریخ],TDays[[#This Row],[تاریخ]],TArticle[هزینه])</f>
        <v>0</v>
      </c>
      <c r="J709">
        <f>SUMIF(TArticle[تاریخ],TDays[[#This Row],[تاریخ]],TArticle[درآمد تتا])</f>
        <v>0</v>
      </c>
      <c r="K709">
        <f>SUMIF(TArticle[تاریخ],TDays[[#This Row],[تاریخ]],TArticle[اسنپ])</f>
        <v>0</v>
      </c>
      <c r="L709">
        <f>-SUMIF(TArticle[تاریخ],TDays[[#This Row],[تاریخ]],TArticle[پرداخت بدهی])</f>
        <v>0</v>
      </c>
      <c r="M709">
        <f>SUMIF(TArticle[تاریخ],TDays[[#This Row],[تاریخ]],TArticle[افزایش بدهی])</f>
        <v>0</v>
      </c>
      <c r="N709">
        <f>-SUMIF(TArticle[تاریخ],TDays[[#This Row],[تاریخ]],TArticle[افزایش سرمایه])</f>
        <v>0</v>
      </c>
      <c r="O709">
        <f>SUMIF(TArticle[تاریخ],TDays[[#This Row],[تاریخ]],TArticle[تعداد تراکنش انجام شده])</f>
        <v>0</v>
      </c>
      <c r="P709">
        <f>INT(((TDays[[#This Row],[ماه]]-1)*31+TDays[[#This Row],[روز]]+1)/7)+1</f>
        <v>50</v>
      </c>
      <c r="Q709">
        <f>SUMIF(TArticle[تاریخ],TDays[[#This Row],[تاریخ]],TArticle[تراکنش برنامه ریزی شده])</f>
        <v>0</v>
      </c>
    </row>
    <row r="710" spans="1:17" x14ac:dyDescent="0.25">
      <c r="A710" s="3" t="s">
        <v>896</v>
      </c>
      <c r="B710" t="str">
        <f>RIGHT(TDays[[#This Row],[تاریخ]],2)</f>
        <v>08</v>
      </c>
      <c r="C710" t="str">
        <f>RIGHT(LEFT(TDays[[#This Row],[تاریخ]],7),2)</f>
        <v>12</v>
      </c>
      <c r="D710" t="str">
        <f>LEFT(TDays[[#This Row],[تاریخ]],4)</f>
        <v>1402</v>
      </c>
      <c r="E710" t="str">
        <f>LEFT(TDays[[#This Row],[تاریخ]],7)</f>
        <v>1402-12</v>
      </c>
      <c r="F710">
        <v>3</v>
      </c>
      <c r="G710" s="15" t="str">
        <f>VLOOKUP(TDays[[#This Row],[کد روز هفته]],TDaysOfTheWeek[],2,FALSE)</f>
        <v>سه شنبه</v>
      </c>
      <c r="H710" s="15">
        <f>IFERROR(IF(E709&lt;&gt;E710,1,INT(H709)+IF(TDays[[#This Row],[کد روز هفته]]=0,1,0)),1)</f>
        <v>2</v>
      </c>
      <c r="I710">
        <f>-SUMIF(TArticle[تاریخ],TDays[[#This Row],[تاریخ]],TArticle[هزینه])</f>
        <v>0</v>
      </c>
      <c r="J710">
        <f>SUMIF(TArticle[تاریخ],TDays[[#This Row],[تاریخ]],TArticle[درآمد تتا])</f>
        <v>0</v>
      </c>
      <c r="K710">
        <f>SUMIF(TArticle[تاریخ],TDays[[#This Row],[تاریخ]],TArticle[اسنپ])</f>
        <v>0</v>
      </c>
      <c r="L710">
        <f>-SUMIF(TArticle[تاریخ],TDays[[#This Row],[تاریخ]],TArticle[پرداخت بدهی])</f>
        <v>0</v>
      </c>
      <c r="M710">
        <f>SUMIF(TArticle[تاریخ],TDays[[#This Row],[تاریخ]],TArticle[افزایش بدهی])</f>
        <v>0</v>
      </c>
      <c r="N710">
        <f>-SUMIF(TArticle[تاریخ],TDays[[#This Row],[تاریخ]],TArticle[افزایش سرمایه])</f>
        <v>0</v>
      </c>
      <c r="O710">
        <f>SUMIF(TArticle[تاریخ],TDays[[#This Row],[تاریخ]],TArticle[تعداد تراکنش انجام شده])</f>
        <v>0</v>
      </c>
      <c r="P710">
        <f>INT(((TDays[[#This Row],[ماه]]-1)*31+TDays[[#This Row],[روز]]+1)/7)+1</f>
        <v>51</v>
      </c>
      <c r="Q710">
        <f>SUMIF(TArticle[تاریخ],TDays[[#This Row],[تاریخ]],TArticle[تراکنش برنامه ریزی شده])</f>
        <v>0</v>
      </c>
    </row>
    <row r="711" spans="1:17" x14ac:dyDescent="0.25">
      <c r="A711" s="3" t="s">
        <v>897</v>
      </c>
      <c r="B711" t="str">
        <f>RIGHT(TDays[[#This Row],[تاریخ]],2)</f>
        <v>09</v>
      </c>
      <c r="C711" t="str">
        <f>RIGHT(LEFT(TDays[[#This Row],[تاریخ]],7),2)</f>
        <v>12</v>
      </c>
      <c r="D711" t="str">
        <f>LEFT(TDays[[#This Row],[تاریخ]],4)</f>
        <v>1402</v>
      </c>
      <c r="E711" t="str">
        <f>LEFT(TDays[[#This Row],[تاریخ]],7)</f>
        <v>1402-12</v>
      </c>
      <c r="F711">
        <v>4</v>
      </c>
      <c r="G711" s="15" t="str">
        <f>VLOOKUP(TDays[[#This Row],[کد روز هفته]],TDaysOfTheWeek[],2,FALSE)</f>
        <v>چهارشنبه</v>
      </c>
      <c r="H711" s="15">
        <f>IFERROR(IF(E710&lt;&gt;E711,1,INT(H710)+IF(TDays[[#This Row],[کد روز هفته]]=0,1,0)),1)</f>
        <v>2</v>
      </c>
      <c r="I711">
        <f>-SUMIF(TArticle[تاریخ],TDays[[#This Row],[تاریخ]],TArticle[هزینه])</f>
        <v>0</v>
      </c>
      <c r="J711">
        <f>SUMIF(TArticle[تاریخ],TDays[[#This Row],[تاریخ]],TArticle[درآمد تتا])</f>
        <v>0</v>
      </c>
      <c r="K711">
        <f>SUMIF(TArticle[تاریخ],TDays[[#This Row],[تاریخ]],TArticle[اسنپ])</f>
        <v>0</v>
      </c>
      <c r="L711">
        <f>-SUMIF(TArticle[تاریخ],TDays[[#This Row],[تاریخ]],TArticle[پرداخت بدهی])</f>
        <v>0</v>
      </c>
      <c r="M711">
        <f>SUMIF(TArticle[تاریخ],TDays[[#This Row],[تاریخ]],TArticle[افزایش بدهی])</f>
        <v>0</v>
      </c>
      <c r="N711">
        <f>-SUMIF(TArticle[تاریخ],TDays[[#This Row],[تاریخ]],TArticle[افزایش سرمایه])</f>
        <v>0</v>
      </c>
      <c r="O711">
        <f>SUMIF(TArticle[تاریخ],TDays[[#This Row],[تاریخ]],TArticle[تعداد تراکنش انجام شده])</f>
        <v>0</v>
      </c>
      <c r="P711">
        <f>INT(((TDays[[#This Row],[ماه]]-1)*31+TDays[[#This Row],[روز]]+1)/7)+1</f>
        <v>51</v>
      </c>
      <c r="Q711">
        <f>SUMIF(TArticle[تاریخ],TDays[[#This Row],[تاریخ]],TArticle[تراکنش برنامه ریزی شده])</f>
        <v>1</v>
      </c>
    </row>
    <row r="712" spans="1:17" x14ac:dyDescent="0.25">
      <c r="A712" s="3" t="s">
        <v>898</v>
      </c>
      <c r="B712" t="str">
        <f>RIGHT(TDays[[#This Row],[تاریخ]],2)</f>
        <v>10</v>
      </c>
      <c r="C712" t="str">
        <f>RIGHT(LEFT(TDays[[#This Row],[تاریخ]],7),2)</f>
        <v>12</v>
      </c>
      <c r="D712" t="str">
        <f>LEFT(TDays[[#This Row],[تاریخ]],4)</f>
        <v>1402</v>
      </c>
      <c r="E712" t="str">
        <f>LEFT(TDays[[#This Row],[تاریخ]],7)</f>
        <v>1402-12</v>
      </c>
      <c r="F712">
        <v>5</v>
      </c>
      <c r="G712" s="15" t="str">
        <f>VLOOKUP(TDays[[#This Row],[کد روز هفته]],TDaysOfTheWeek[],2,FALSE)</f>
        <v>پنجشنبه</v>
      </c>
      <c r="H712" s="15">
        <f>IFERROR(IF(E711&lt;&gt;E712,1,INT(H711)+IF(TDays[[#This Row],[کد روز هفته]]=0,1,0)),1)</f>
        <v>2</v>
      </c>
      <c r="I712">
        <f>-SUMIF(TArticle[تاریخ],TDays[[#This Row],[تاریخ]],TArticle[هزینه])</f>
        <v>0</v>
      </c>
      <c r="J712">
        <f>SUMIF(TArticle[تاریخ],TDays[[#This Row],[تاریخ]],TArticle[درآمد تتا])</f>
        <v>0</v>
      </c>
      <c r="K712">
        <f>SUMIF(TArticle[تاریخ],TDays[[#This Row],[تاریخ]],TArticle[اسنپ])</f>
        <v>0</v>
      </c>
      <c r="L712">
        <f>-SUMIF(TArticle[تاریخ],TDays[[#This Row],[تاریخ]],TArticle[پرداخت بدهی])</f>
        <v>0</v>
      </c>
      <c r="M712">
        <f>SUMIF(TArticle[تاریخ],TDays[[#This Row],[تاریخ]],TArticle[افزایش بدهی])</f>
        <v>0</v>
      </c>
      <c r="N712">
        <f>-SUMIF(TArticle[تاریخ],TDays[[#This Row],[تاریخ]],TArticle[افزایش سرمایه])</f>
        <v>0</v>
      </c>
      <c r="O712">
        <f>SUMIF(TArticle[تاریخ],TDays[[#This Row],[تاریخ]],TArticle[تعداد تراکنش انجام شده])</f>
        <v>0</v>
      </c>
      <c r="P712">
        <f>INT(((TDays[[#This Row],[ماه]]-1)*31+TDays[[#This Row],[روز]]+1)/7)+1</f>
        <v>51</v>
      </c>
      <c r="Q712">
        <f>SUMIF(TArticle[تاریخ],TDays[[#This Row],[تاریخ]],TArticle[تراکنش برنامه ریزی شده])</f>
        <v>0</v>
      </c>
    </row>
    <row r="713" spans="1:17" x14ac:dyDescent="0.25">
      <c r="A713" s="3" t="s">
        <v>899</v>
      </c>
      <c r="B713" t="str">
        <f>RIGHT(TDays[[#This Row],[تاریخ]],2)</f>
        <v>11</v>
      </c>
      <c r="C713" t="str">
        <f>RIGHT(LEFT(TDays[[#This Row],[تاریخ]],7),2)</f>
        <v>12</v>
      </c>
      <c r="D713" t="str">
        <f>LEFT(TDays[[#This Row],[تاریخ]],4)</f>
        <v>1402</v>
      </c>
      <c r="E713" t="str">
        <f>LEFT(TDays[[#This Row],[تاریخ]],7)</f>
        <v>1402-12</v>
      </c>
      <c r="F713">
        <v>6</v>
      </c>
      <c r="G713" s="15" t="str">
        <f>VLOOKUP(TDays[[#This Row],[کد روز هفته]],TDaysOfTheWeek[],2,FALSE)</f>
        <v>جمعه</v>
      </c>
      <c r="H713" s="15">
        <f>IFERROR(IF(E712&lt;&gt;E713,1,INT(H712)+IF(TDays[[#This Row],[کد روز هفته]]=0,1,0)),1)</f>
        <v>2</v>
      </c>
      <c r="I713">
        <f>-SUMIF(TArticle[تاریخ],TDays[[#This Row],[تاریخ]],TArticle[هزینه])</f>
        <v>0</v>
      </c>
      <c r="J713">
        <f>SUMIF(TArticle[تاریخ],TDays[[#This Row],[تاریخ]],TArticle[درآمد تتا])</f>
        <v>0</v>
      </c>
      <c r="K713">
        <f>SUMIF(TArticle[تاریخ],TDays[[#This Row],[تاریخ]],TArticle[اسنپ])</f>
        <v>0</v>
      </c>
      <c r="L713">
        <f>-SUMIF(TArticle[تاریخ],TDays[[#This Row],[تاریخ]],TArticle[پرداخت بدهی])</f>
        <v>0</v>
      </c>
      <c r="M713">
        <f>SUMIF(TArticle[تاریخ],TDays[[#This Row],[تاریخ]],TArticle[افزایش بدهی])</f>
        <v>0</v>
      </c>
      <c r="N713">
        <f>-SUMIF(TArticle[تاریخ],TDays[[#This Row],[تاریخ]],TArticle[افزایش سرمایه])</f>
        <v>0</v>
      </c>
      <c r="O713">
        <f>SUMIF(TArticle[تاریخ],TDays[[#This Row],[تاریخ]],TArticle[تعداد تراکنش انجام شده])</f>
        <v>0</v>
      </c>
      <c r="P713">
        <f>INT(((TDays[[#This Row],[ماه]]-1)*31+TDays[[#This Row],[روز]]+1)/7)+1</f>
        <v>51</v>
      </c>
      <c r="Q713">
        <f>SUMIF(TArticle[تاریخ],TDays[[#This Row],[تاریخ]],TArticle[تراکنش برنامه ریزی شده])</f>
        <v>1</v>
      </c>
    </row>
    <row r="714" spans="1:17" x14ac:dyDescent="0.25">
      <c r="A714" s="3" t="s">
        <v>900</v>
      </c>
      <c r="B714" t="str">
        <f>RIGHT(TDays[[#This Row],[تاریخ]],2)</f>
        <v>12</v>
      </c>
      <c r="C714" t="str">
        <f>RIGHT(LEFT(TDays[[#This Row],[تاریخ]],7),2)</f>
        <v>12</v>
      </c>
      <c r="D714" t="str">
        <f>LEFT(TDays[[#This Row],[تاریخ]],4)</f>
        <v>1402</v>
      </c>
      <c r="E714" t="str">
        <f>LEFT(TDays[[#This Row],[تاریخ]],7)</f>
        <v>1402-12</v>
      </c>
      <c r="F714">
        <v>0</v>
      </c>
      <c r="G714" s="15" t="str">
        <f>VLOOKUP(TDays[[#This Row],[کد روز هفته]],TDaysOfTheWeek[],2,FALSE)</f>
        <v>شنبه</v>
      </c>
      <c r="H714" s="15">
        <f>IFERROR(IF(E713&lt;&gt;E714,1,INT(H713)+IF(TDays[[#This Row],[کد روز هفته]]=0,1,0)),1)</f>
        <v>3</v>
      </c>
      <c r="I714">
        <f>-SUMIF(TArticle[تاریخ],TDays[[#This Row],[تاریخ]],TArticle[هزینه])</f>
        <v>0</v>
      </c>
      <c r="J714">
        <f>SUMIF(TArticle[تاریخ],TDays[[#This Row],[تاریخ]],TArticle[درآمد تتا])</f>
        <v>0</v>
      </c>
      <c r="K714">
        <f>SUMIF(TArticle[تاریخ],TDays[[#This Row],[تاریخ]],TArticle[اسنپ])</f>
        <v>0</v>
      </c>
      <c r="L714">
        <f>-SUMIF(TArticle[تاریخ],TDays[[#This Row],[تاریخ]],TArticle[پرداخت بدهی])</f>
        <v>0</v>
      </c>
      <c r="M714">
        <f>SUMIF(TArticle[تاریخ],TDays[[#This Row],[تاریخ]],TArticle[افزایش بدهی])</f>
        <v>0</v>
      </c>
      <c r="N714">
        <f>-SUMIF(TArticle[تاریخ],TDays[[#This Row],[تاریخ]],TArticle[افزایش سرمایه])</f>
        <v>0</v>
      </c>
      <c r="O714">
        <f>SUMIF(TArticle[تاریخ],TDays[[#This Row],[تاریخ]],TArticle[تعداد تراکنش انجام شده])</f>
        <v>0</v>
      </c>
      <c r="P714">
        <f>INT(((TDays[[#This Row],[ماه]]-1)*31+TDays[[#This Row],[روز]]+1)/7)+1</f>
        <v>51</v>
      </c>
      <c r="Q714">
        <f>SUMIF(TArticle[تاریخ],TDays[[#This Row],[تاریخ]],TArticle[تراکنش برنامه ریزی شده])</f>
        <v>0</v>
      </c>
    </row>
    <row r="715" spans="1:17" x14ac:dyDescent="0.25">
      <c r="A715" s="3" t="s">
        <v>901</v>
      </c>
      <c r="B715" t="str">
        <f>RIGHT(TDays[[#This Row],[تاریخ]],2)</f>
        <v>13</v>
      </c>
      <c r="C715" t="str">
        <f>RIGHT(LEFT(TDays[[#This Row],[تاریخ]],7),2)</f>
        <v>12</v>
      </c>
      <c r="D715" t="str">
        <f>LEFT(TDays[[#This Row],[تاریخ]],4)</f>
        <v>1402</v>
      </c>
      <c r="E715" t="str">
        <f>LEFT(TDays[[#This Row],[تاریخ]],7)</f>
        <v>1402-12</v>
      </c>
      <c r="F715">
        <v>1</v>
      </c>
      <c r="G715" s="15" t="str">
        <f>VLOOKUP(TDays[[#This Row],[کد روز هفته]],TDaysOfTheWeek[],2,FALSE)</f>
        <v>یکشنبه</v>
      </c>
      <c r="H715" s="15">
        <f>IFERROR(IF(E714&lt;&gt;E715,1,INT(H714)+IF(TDays[[#This Row],[کد روز هفته]]=0,1,0)),1)</f>
        <v>3</v>
      </c>
      <c r="I715">
        <f>-SUMIF(TArticle[تاریخ],TDays[[#This Row],[تاریخ]],TArticle[هزینه])</f>
        <v>0</v>
      </c>
      <c r="J715">
        <f>SUMIF(TArticle[تاریخ],TDays[[#This Row],[تاریخ]],TArticle[درآمد تتا])</f>
        <v>0</v>
      </c>
      <c r="K715">
        <f>SUMIF(TArticle[تاریخ],TDays[[#This Row],[تاریخ]],TArticle[اسنپ])</f>
        <v>0</v>
      </c>
      <c r="L715">
        <f>-SUMIF(TArticle[تاریخ],TDays[[#This Row],[تاریخ]],TArticle[پرداخت بدهی])</f>
        <v>0</v>
      </c>
      <c r="M715">
        <f>SUMIF(TArticle[تاریخ],TDays[[#This Row],[تاریخ]],TArticle[افزایش بدهی])</f>
        <v>0</v>
      </c>
      <c r="N715">
        <f>-SUMIF(TArticle[تاریخ],TDays[[#This Row],[تاریخ]],TArticle[افزایش سرمایه])</f>
        <v>0</v>
      </c>
      <c r="O715">
        <f>SUMIF(TArticle[تاریخ],TDays[[#This Row],[تاریخ]],TArticle[تعداد تراکنش انجام شده])</f>
        <v>0</v>
      </c>
      <c r="P715">
        <f>INT(((TDays[[#This Row],[ماه]]-1)*31+TDays[[#This Row],[روز]]+1)/7)+1</f>
        <v>51</v>
      </c>
      <c r="Q715">
        <f>SUMIF(TArticle[تاریخ],TDays[[#This Row],[تاریخ]],TArticle[تراکنش برنامه ریزی شده])</f>
        <v>0</v>
      </c>
    </row>
    <row r="716" spans="1:17" x14ac:dyDescent="0.25">
      <c r="A716" s="3" t="s">
        <v>902</v>
      </c>
      <c r="B716" t="str">
        <f>RIGHT(TDays[[#This Row],[تاریخ]],2)</f>
        <v>14</v>
      </c>
      <c r="C716" t="str">
        <f>RIGHT(LEFT(TDays[[#This Row],[تاریخ]],7),2)</f>
        <v>12</v>
      </c>
      <c r="D716" t="str">
        <f>LEFT(TDays[[#This Row],[تاریخ]],4)</f>
        <v>1402</v>
      </c>
      <c r="E716" t="str">
        <f>LEFT(TDays[[#This Row],[تاریخ]],7)</f>
        <v>1402-12</v>
      </c>
      <c r="F716">
        <v>2</v>
      </c>
      <c r="G716" s="15" t="str">
        <f>VLOOKUP(TDays[[#This Row],[کد روز هفته]],TDaysOfTheWeek[],2,FALSE)</f>
        <v>دوشنبه</v>
      </c>
      <c r="H716" s="15">
        <f>IFERROR(IF(E715&lt;&gt;E716,1,INT(H715)+IF(TDays[[#This Row],[کد روز هفته]]=0,1,0)),1)</f>
        <v>3</v>
      </c>
      <c r="I716">
        <f>-SUMIF(TArticle[تاریخ],TDays[[#This Row],[تاریخ]],TArticle[هزینه])</f>
        <v>0</v>
      </c>
      <c r="J716">
        <f>SUMIF(TArticle[تاریخ],TDays[[#This Row],[تاریخ]],TArticle[درآمد تتا])</f>
        <v>0</v>
      </c>
      <c r="K716">
        <f>SUMIF(TArticle[تاریخ],TDays[[#This Row],[تاریخ]],TArticle[اسنپ])</f>
        <v>0</v>
      </c>
      <c r="L716">
        <f>-SUMIF(TArticle[تاریخ],TDays[[#This Row],[تاریخ]],TArticle[پرداخت بدهی])</f>
        <v>0</v>
      </c>
      <c r="M716">
        <f>SUMIF(TArticle[تاریخ],TDays[[#This Row],[تاریخ]],TArticle[افزایش بدهی])</f>
        <v>0</v>
      </c>
      <c r="N716">
        <f>-SUMIF(TArticle[تاریخ],TDays[[#This Row],[تاریخ]],TArticle[افزایش سرمایه])</f>
        <v>0</v>
      </c>
      <c r="O716">
        <f>SUMIF(TArticle[تاریخ],TDays[[#This Row],[تاریخ]],TArticle[تعداد تراکنش انجام شده])</f>
        <v>0</v>
      </c>
      <c r="P716">
        <f>INT(((TDays[[#This Row],[ماه]]-1)*31+TDays[[#This Row],[روز]]+1)/7)+1</f>
        <v>51</v>
      </c>
      <c r="Q716">
        <f>SUMIF(TArticle[تاریخ],TDays[[#This Row],[تاریخ]],TArticle[تراکنش برنامه ریزی شده])</f>
        <v>0</v>
      </c>
    </row>
    <row r="717" spans="1:17" x14ac:dyDescent="0.25">
      <c r="A717" s="3" t="s">
        <v>903</v>
      </c>
      <c r="B717" t="str">
        <f>RIGHT(TDays[[#This Row],[تاریخ]],2)</f>
        <v>15</v>
      </c>
      <c r="C717" t="str">
        <f>RIGHT(LEFT(TDays[[#This Row],[تاریخ]],7),2)</f>
        <v>12</v>
      </c>
      <c r="D717" t="str">
        <f>LEFT(TDays[[#This Row],[تاریخ]],4)</f>
        <v>1402</v>
      </c>
      <c r="E717" t="str">
        <f>LEFT(TDays[[#This Row],[تاریخ]],7)</f>
        <v>1402-12</v>
      </c>
      <c r="F717">
        <v>3</v>
      </c>
      <c r="G717" s="15" t="str">
        <f>VLOOKUP(TDays[[#This Row],[کد روز هفته]],TDaysOfTheWeek[],2,FALSE)</f>
        <v>سه شنبه</v>
      </c>
      <c r="H717" s="15">
        <f>IFERROR(IF(E716&lt;&gt;E717,1,INT(H716)+IF(TDays[[#This Row],[کد روز هفته]]=0,1,0)),1)</f>
        <v>3</v>
      </c>
      <c r="I717">
        <f>-SUMIF(TArticle[تاریخ],TDays[[#This Row],[تاریخ]],TArticle[هزینه])</f>
        <v>0</v>
      </c>
      <c r="J717">
        <f>SUMIF(TArticle[تاریخ],TDays[[#This Row],[تاریخ]],TArticle[درآمد تتا])</f>
        <v>0</v>
      </c>
      <c r="K717">
        <f>SUMIF(TArticle[تاریخ],TDays[[#This Row],[تاریخ]],TArticle[اسنپ])</f>
        <v>0</v>
      </c>
      <c r="L717">
        <f>-SUMIF(TArticle[تاریخ],TDays[[#This Row],[تاریخ]],TArticle[پرداخت بدهی])</f>
        <v>0</v>
      </c>
      <c r="M717">
        <f>SUMIF(TArticle[تاریخ],TDays[[#This Row],[تاریخ]],TArticle[افزایش بدهی])</f>
        <v>0</v>
      </c>
      <c r="N717">
        <f>-SUMIF(TArticle[تاریخ],TDays[[#This Row],[تاریخ]],TArticle[افزایش سرمایه])</f>
        <v>0</v>
      </c>
      <c r="O717">
        <f>SUMIF(TArticle[تاریخ],TDays[[#This Row],[تاریخ]],TArticle[تعداد تراکنش انجام شده])</f>
        <v>0</v>
      </c>
      <c r="P717">
        <f>INT(((TDays[[#This Row],[ماه]]-1)*31+TDays[[#This Row],[روز]]+1)/7)+1</f>
        <v>52</v>
      </c>
      <c r="Q717">
        <f>SUMIF(TArticle[تاریخ],TDays[[#This Row],[تاریخ]],TArticle[تراکنش برنامه ریزی شده])</f>
        <v>0</v>
      </c>
    </row>
    <row r="718" spans="1:17" x14ac:dyDescent="0.25">
      <c r="A718" s="3" t="s">
        <v>904</v>
      </c>
      <c r="B718" t="str">
        <f>RIGHT(TDays[[#This Row],[تاریخ]],2)</f>
        <v>16</v>
      </c>
      <c r="C718" t="str">
        <f>RIGHT(LEFT(TDays[[#This Row],[تاریخ]],7),2)</f>
        <v>12</v>
      </c>
      <c r="D718" t="str">
        <f>LEFT(TDays[[#This Row],[تاریخ]],4)</f>
        <v>1402</v>
      </c>
      <c r="E718" t="str">
        <f>LEFT(TDays[[#This Row],[تاریخ]],7)</f>
        <v>1402-12</v>
      </c>
      <c r="F718">
        <v>4</v>
      </c>
      <c r="G718" s="15" t="str">
        <f>VLOOKUP(TDays[[#This Row],[کد روز هفته]],TDaysOfTheWeek[],2,FALSE)</f>
        <v>چهارشنبه</v>
      </c>
      <c r="H718" s="15">
        <f>IFERROR(IF(E717&lt;&gt;E718,1,INT(H717)+IF(TDays[[#This Row],[کد روز هفته]]=0,1,0)),1)</f>
        <v>3</v>
      </c>
      <c r="I718">
        <f>-SUMIF(TArticle[تاریخ],TDays[[#This Row],[تاریخ]],TArticle[هزینه])</f>
        <v>0</v>
      </c>
      <c r="J718">
        <f>SUMIF(TArticle[تاریخ],TDays[[#This Row],[تاریخ]],TArticle[درآمد تتا])</f>
        <v>0</v>
      </c>
      <c r="K718">
        <f>SUMIF(TArticle[تاریخ],TDays[[#This Row],[تاریخ]],TArticle[اسنپ])</f>
        <v>0</v>
      </c>
      <c r="L718">
        <f>-SUMIF(TArticle[تاریخ],TDays[[#This Row],[تاریخ]],TArticle[پرداخت بدهی])</f>
        <v>0</v>
      </c>
      <c r="M718">
        <f>SUMIF(TArticle[تاریخ],TDays[[#This Row],[تاریخ]],TArticle[افزایش بدهی])</f>
        <v>0</v>
      </c>
      <c r="N718">
        <f>-SUMIF(TArticle[تاریخ],TDays[[#This Row],[تاریخ]],TArticle[افزایش سرمایه])</f>
        <v>0</v>
      </c>
      <c r="O718">
        <f>SUMIF(TArticle[تاریخ],TDays[[#This Row],[تاریخ]],TArticle[تعداد تراکنش انجام شده])</f>
        <v>0</v>
      </c>
      <c r="P718">
        <f>INT(((TDays[[#This Row],[ماه]]-1)*31+TDays[[#This Row],[روز]]+1)/7)+1</f>
        <v>52</v>
      </c>
      <c r="Q718">
        <f>SUMIF(TArticle[تاریخ],TDays[[#This Row],[تاریخ]],TArticle[تراکنش برنامه ریزی شده])</f>
        <v>0</v>
      </c>
    </row>
    <row r="719" spans="1:17" x14ac:dyDescent="0.25">
      <c r="A719" s="3" t="s">
        <v>905</v>
      </c>
      <c r="B719" t="str">
        <f>RIGHT(TDays[[#This Row],[تاریخ]],2)</f>
        <v>17</v>
      </c>
      <c r="C719" t="str">
        <f>RIGHT(LEFT(TDays[[#This Row],[تاریخ]],7),2)</f>
        <v>12</v>
      </c>
      <c r="D719" t="str">
        <f>LEFT(TDays[[#This Row],[تاریخ]],4)</f>
        <v>1402</v>
      </c>
      <c r="E719" t="str">
        <f>LEFT(TDays[[#This Row],[تاریخ]],7)</f>
        <v>1402-12</v>
      </c>
      <c r="F719">
        <v>5</v>
      </c>
      <c r="G719" s="15" t="str">
        <f>VLOOKUP(TDays[[#This Row],[کد روز هفته]],TDaysOfTheWeek[],2,FALSE)</f>
        <v>پنجشنبه</v>
      </c>
      <c r="H719" s="15">
        <f>IFERROR(IF(E718&lt;&gt;E719,1,INT(H718)+IF(TDays[[#This Row],[کد روز هفته]]=0,1,0)),1)</f>
        <v>3</v>
      </c>
      <c r="I719">
        <f>-SUMIF(TArticle[تاریخ],TDays[[#This Row],[تاریخ]],TArticle[هزینه])</f>
        <v>0</v>
      </c>
      <c r="J719">
        <f>SUMIF(TArticle[تاریخ],TDays[[#This Row],[تاریخ]],TArticle[درآمد تتا])</f>
        <v>0</v>
      </c>
      <c r="K719">
        <f>SUMIF(TArticle[تاریخ],TDays[[#This Row],[تاریخ]],TArticle[اسنپ])</f>
        <v>0</v>
      </c>
      <c r="L719">
        <f>-SUMIF(TArticle[تاریخ],TDays[[#This Row],[تاریخ]],TArticle[پرداخت بدهی])</f>
        <v>0</v>
      </c>
      <c r="M719">
        <f>SUMIF(TArticle[تاریخ],TDays[[#This Row],[تاریخ]],TArticle[افزایش بدهی])</f>
        <v>0</v>
      </c>
      <c r="N719">
        <f>-SUMIF(TArticle[تاریخ],TDays[[#This Row],[تاریخ]],TArticle[افزایش سرمایه])</f>
        <v>0</v>
      </c>
      <c r="O719">
        <f>SUMIF(TArticle[تاریخ],TDays[[#This Row],[تاریخ]],TArticle[تعداد تراکنش انجام شده])</f>
        <v>0</v>
      </c>
      <c r="P719">
        <f>INT(((TDays[[#This Row],[ماه]]-1)*31+TDays[[#This Row],[روز]]+1)/7)+1</f>
        <v>52</v>
      </c>
      <c r="Q719">
        <f>SUMIF(TArticle[تاریخ],TDays[[#This Row],[تاریخ]],TArticle[تراکنش برنامه ریزی شده])</f>
        <v>1</v>
      </c>
    </row>
    <row r="720" spans="1:17" x14ac:dyDescent="0.25">
      <c r="A720" s="3" t="s">
        <v>906</v>
      </c>
      <c r="B720" t="str">
        <f>RIGHT(TDays[[#This Row],[تاریخ]],2)</f>
        <v>18</v>
      </c>
      <c r="C720" t="str">
        <f>RIGHT(LEFT(TDays[[#This Row],[تاریخ]],7),2)</f>
        <v>12</v>
      </c>
      <c r="D720" t="str">
        <f>LEFT(TDays[[#This Row],[تاریخ]],4)</f>
        <v>1402</v>
      </c>
      <c r="E720" t="str">
        <f>LEFT(TDays[[#This Row],[تاریخ]],7)</f>
        <v>1402-12</v>
      </c>
      <c r="F720">
        <v>6</v>
      </c>
      <c r="G720" s="15" t="str">
        <f>VLOOKUP(TDays[[#This Row],[کد روز هفته]],TDaysOfTheWeek[],2,FALSE)</f>
        <v>جمعه</v>
      </c>
      <c r="H720" s="15">
        <f>IFERROR(IF(E719&lt;&gt;E720,1,INT(H719)+IF(TDays[[#This Row],[کد روز هفته]]=0,1,0)),1)</f>
        <v>3</v>
      </c>
      <c r="I720">
        <f>-SUMIF(TArticle[تاریخ],TDays[[#This Row],[تاریخ]],TArticle[هزینه])</f>
        <v>0</v>
      </c>
      <c r="J720">
        <f>SUMIF(TArticle[تاریخ],TDays[[#This Row],[تاریخ]],TArticle[درآمد تتا])</f>
        <v>0</v>
      </c>
      <c r="K720">
        <f>SUMIF(TArticle[تاریخ],TDays[[#This Row],[تاریخ]],TArticle[اسنپ])</f>
        <v>0</v>
      </c>
      <c r="L720">
        <f>-SUMIF(TArticle[تاریخ],TDays[[#This Row],[تاریخ]],TArticle[پرداخت بدهی])</f>
        <v>0</v>
      </c>
      <c r="M720">
        <f>SUMIF(TArticle[تاریخ],TDays[[#This Row],[تاریخ]],TArticle[افزایش بدهی])</f>
        <v>0</v>
      </c>
      <c r="N720">
        <f>-SUMIF(TArticle[تاریخ],TDays[[#This Row],[تاریخ]],TArticle[افزایش سرمایه])</f>
        <v>0</v>
      </c>
      <c r="O720">
        <f>SUMIF(TArticle[تاریخ],TDays[[#This Row],[تاریخ]],TArticle[تعداد تراکنش انجام شده])</f>
        <v>0</v>
      </c>
      <c r="P720">
        <f>INT(((TDays[[#This Row],[ماه]]-1)*31+TDays[[#This Row],[روز]]+1)/7)+1</f>
        <v>52</v>
      </c>
      <c r="Q720">
        <f>SUMIF(TArticle[تاریخ],TDays[[#This Row],[تاریخ]],TArticle[تراکنش برنامه ریزی شده])</f>
        <v>0</v>
      </c>
    </row>
    <row r="721" spans="1:17" x14ac:dyDescent="0.25">
      <c r="A721" s="3" t="s">
        <v>907</v>
      </c>
      <c r="B721" t="str">
        <f>RIGHT(TDays[[#This Row],[تاریخ]],2)</f>
        <v>19</v>
      </c>
      <c r="C721" t="str">
        <f>RIGHT(LEFT(TDays[[#This Row],[تاریخ]],7),2)</f>
        <v>12</v>
      </c>
      <c r="D721" t="str">
        <f>LEFT(TDays[[#This Row],[تاریخ]],4)</f>
        <v>1402</v>
      </c>
      <c r="E721" t="str">
        <f>LEFT(TDays[[#This Row],[تاریخ]],7)</f>
        <v>1402-12</v>
      </c>
      <c r="F721">
        <v>0</v>
      </c>
      <c r="G721" s="15" t="str">
        <f>VLOOKUP(TDays[[#This Row],[کد روز هفته]],TDaysOfTheWeek[],2,FALSE)</f>
        <v>شنبه</v>
      </c>
      <c r="H721" s="15">
        <f>IFERROR(IF(E720&lt;&gt;E721,1,INT(H720)+IF(TDays[[#This Row],[کد روز هفته]]=0,1,0)),1)</f>
        <v>4</v>
      </c>
      <c r="I721">
        <f>-SUMIF(TArticle[تاریخ],TDays[[#This Row],[تاریخ]],TArticle[هزینه])</f>
        <v>0</v>
      </c>
      <c r="J721">
        <f>SUMIF(TArticle[تاریخ],TDays[[#This Row],[تاریخ]],TArticle[درآمد تتا])</f>
        <v>0</v>
      </c>
      <c r="K721">
        <f>SUMIF(TArticle[تاریخ],TDays[[#This Row],[تاریخ]],TArticle[اسنپ])</f>
        <v>0</v>
      </c>
      <c r="L721">
        <f>-SUMIF(TArticle[تاریخ],TDays[[#This Row],[تاریخ]],TArticle[پرداخت بدهی])</f>
        <v>0</v>
      </c>
      <c r="M721">
        <f>SUMIF(TArticle[تاریخ],TDays[[#This Row],[تاریخ]],TArticle[افزایش بدهی])</f>
        <v>0</v>
      </c>
      <c r="N721">
        <f>-SUMIF(TArticle[تاریخ],TDays[[#This Row],[تاریخ]],TArticle[افزایش سرمایه])</f>
        <v>0</v>
      </c>
      <c r="O721">
        <f>SUMIF(TArticle[تاریخ],TDays[[#This Row],[تاریخ]],TArticle[تعداد تراکنش انجام شده])</f>
        <v>0</v>
      </c>
      <c r="P721">
        <f>INT(((TDays[[#This Row],[ماه]]-1)*31+TDays[[#This Row],[روز]]+1)/7)+1</f>
        <v>52</v>
      </c>
      <c r="Q721">
        <f>SUMIF(TArticle[تاریخ],TDays[[#This Row],[تاریخ]],TArticle[تراکنش برنامه ریزی شده])</f>
        <v>0</v>
      </c>
    </row>
    <row r="722" spans="1:17" x14ac:dyDescent="0.25">
      <c r="A722" s="3" t="s">
        <v>908</v>
      </c>
      <c r="B722" t="str">
        <f>RIGHT(TDays[[#This Row],[تاریخ]],2)</f>
        <v>20</v>
      </c>
      <c r="C722" t="str">
        <f>RIGHT(LEFT(TDays[[#This Row],[تاریخ]],7),2)</f>
        <v>12</v>
      </c>
      <c r="D722" t="str">
        <f>LEFT(TDays[[#This Row],[تاریخ]],4)</f>
        <v>1402</v>
      </c>
      <c r="E722" t="str">
        <f>LEFT(TDays[[#This Row],[تاریخ]],7)</f>
        <v>1402-12</v>
      </c>
      <c r="F722">
        <v>1</v>
      </c>
      <c r="G722" s="15" t="str">
        <f>VLOOKUP(TDays[[#This Row],[کد روز هفته]],TDaysOfTheWeek[],2,FALSE)</f>
        <v>یکشنبه</v>
      </c>
      <c r="H722" s="15">
        <f>IFERROR(IF(E721&lt;&gt;E722,1,INT(H721)+IF(TDays[[#This Row],[کد روز هفته]]=0,1,0)),1)</f>
        <v>4</v>
      </c>
      <c r="I722">
        <f>-SUMIF(TArticle[تاریخ],TDays[[#This Row],[تاریخ]],TArticle[هزینه])</f>
        <v>0</v>
      </c>
      <c r="J722">
        <f>SUMIF(TArticle[تاریخ],TDays[[#This Row],[تاریخ]],TArticle[درآمد تتا])</f>
        <v>0</v>
      </c>
      <c r="K722">
        <f>SUMIF(TArticle[تاریخ],TDays[[#This Row],[تاریخ]],TArticle[اسنپ])</f>
        <v>0</v>
      </c>
      <c r="L722">
        <f>-SUMIF(TArticle[تاریخ],TDays[[#This Row],[تاریخ]],TArticle[پرداخت بدهی])</f>
        <v>0</v>
      </c>
      <c r="M722">
        <f>SUMIF(TArticle[تاریخ],TDays[[#This Row],[تاریخ]],TArticle[افزایش بدهی])</f>
        <v>0</v>
      </c>
      <c r="N722">
        <f>-SUMIF(TArticle[تاریخ],TDays[[#This Row],[تاریخ]],TArticle[افزایش سرمایه])</f>
        <v>0</v>
      </c>
      <c r="O722">
        <f>SUMIF(TArticle[تاریخ],TDays[[#This Row],[تاریخ]],TArticle[تعداد تراکنش انجام شده])</f>
        <v>0</v>
      </c>
      <c r="P722">
        <f>INT(((TDays[[#This Row],[ماه]]-1)*31+TDays[[#This Row],[روز]]+1)/7)+1</f>
        <v>52</v>
      </c>
      <c r="Q722">
        <f>SUMIF(TArticle[تاریخ],TDays[[#This Row],[تاریخ]],TArticle[تراکنش برنامه ریزی شده])</f>
        <v>1</v>
      </c>
    </row>
    <row r="723" spans="1:17" x14ac:dyDescent="0.25">
      <c r="A723" s="3" t="s">
        <v>909</v>
      </c>
      <c r="B723" t="str">
        <f>RIGHT(TDays[[#This Row],[تاریخ]],2)</f>
        <v>21</v>
      </c>
      <c r="C723" t="str">
        <f>RIGHT(LEFT(TDays[[#This Row],[تاریخ]],7),2)</f>
        <v>12</v>
      </c>
      <c r="D723" t="str">
        <f>LEFT(TDays[[#This Row],[تاریخ]],4)</f>
        <v>1402</v>
      </c>
      <c r="E723" t="str">
        <f>LEFT(TDays[[#This Row],[تاریخ]],7)</f>
        <v>1402-12</v>
      </c>
      <c r="F723">
        <v>2</v>
      </c>
      <c r="G723" s="15" t="str">
        <f>VLOOKUP(TDays[[#This Row],[کد روز هفته]],TDaysOfTheWeek[],2,FALSE)</f>
        <v>دوشنبه</v>
      </c>
      <c r="H723" s="15">
        <f>IFERROR(IF(E722&lt;&gt;E723,1,INT(H722)+IF(TDays[[#This Row],[کد روز هفته]]=0,1,0)),1)</f>
        <v>4</v>
      </c>
      <c r="I723">
        <f>-SUMIF(TArticle[تاریخ],TDays[[#This Row],[تاریخ]],TArticle[هزینه])</f>
        <v>0</v>
      </c>
      <c r="J723">
        <f>SUMIF(TArticle[تاریخ],TDays[[#This Row],[تاریخ]],TArticle[درآمد تتا])</f>
        <v>0</v>
      </c>
      <c r="K723">
        <f>SUMIF(TArticle[تاریخ],TDays[[#This Row],[تاریخ]],TArticle[اسنپ])</f>
        <v>0</v>
      </c>
      <c r="L723">
        <f>-SUMIF(TArticle[تاریخ],TDays[[#This Row],[تاریخ]],TArticle[پرداخت بدهی])</f>
        <v>0</v>
      </c>
      <c r="M723">
        <f>SUMIF(TArticle[تاریخ],TDays[[#This Row],[تاریخ]],TArticle[افزایش بدهی])</f>
        <v>0</v>
      </c>
      <c r="N723">
        <f>-SUMIF(TArticle[تاریخ],TDays[[#This Row],[تاریخ]],TArticle[افزایش سرمایه])</f>
        <v>0</v>
      </c>
      <c r="O723">
        <f>SUMIF(TArticle[تاریخ],TDays[[#This Row],[تاریخ]],TArticle[تعداد تراکنش انجام شده])</f>
        <v>0</v>
      </c>
      <c r="P723">
        <f>INT(((TDays[[#This Row],[ماه]]-1)*31+TDays[[#This Row],[روز]]+1)/7)+1</f>
        <v>52</v>
      </c>
      <c r="Q723">
        <f>SUMIF(TArticle[تاریخ],TDays[[#This Row],[تاریخ]],TArticle[تراکنش برنامه ریزی شده])</f>
        <v>0</v>
      </c>
    </row>
    <row r="724" spans="1:17" x14ac:dyDescent="0.25">
      <c r="A724" s="3" t="s">
        <v>910</v>
      </c>
      <c r="B724" t="str">
        <f>RIGHT(TDays[[#This Row],[تاریخ]],2)</f>
        <v>22</v>
      </c>
      <c r="C724" t="str">
        <f>RIGHT(LEFT(TDays[[#This Row],[تاریخ]],7),2)</f>
        <v>12</v>
      </c>
      <c r="D724" t="str">
        <f>LEFT(TDays[[#This Row],[تاریخ]],4)</f>
        <v>1402</v>
      </c>
      <c r="E724" t="str">
        <f>LEFT(TDays[[#This Row],[تاریخ]],7)</f>
        <v>1402-12</v>
      </c>
      <c r="F724">
        <v>3</v>
      </c>
      <c r="G724" s="15" t="str">
        <f>VLOOKUP(TDays[[#This Row],[کد روز هفته]],TDaysOfTheWeek[],2,FALSE)</f>
        <v>سه شنبه</v>
      </c>
      <c r="H724" s="15">
        <f>IFERROR(IF(E723&lt;&gt;E724,1,INT(H723)+IF(TDays[[#This Row],[کد روز هفته]]=0,1,0)),1)</f>
        <v>4</v>
      </c>
      <c r="I724">
        <f>-SUMIF(TArticle[تاریخ],TDays[[#This Row],[تاریخ]],TArticle[هزینه])</f>
        <v>0</v>
      </c>
      <c r="J724">
        <f>SUMIF(TArticle[تاریخ],TDays[[#This Row],[تاریخ]],TArticle[درآمد تتا])</f>
        <v>0</v>
      </c>
      <c r="K724">
        <f>SUMIF(TArticle[تاریخ],TDays[[#This Row],[تاریخ]],TArticle[اسنپ])</f>
        <v>0</v>
      </c>
      <c r="L724">
        <f>-SUMIF(TArticle[تاریخ],TDays[[#This Row],[تاریخ]],TArticle[پرداخت بدهی])</f>
        <v>0</v>
      </c>
      <c r="M724">
        <f>SUMIF(TArticle[تاریخ],TDays[[#This Row],[تاریخ]],TArticle[افزایش بدهی])</f>
        <v>0</v>
      </c>
      <c r="N724">
        <f>-SUMIF(TArticle[تاریخ],TDays[[#This Row],[تاریخ]],TArticle[افزایش سرمایه])</f>
        <v>0</v>
      </c>
      <c r="O724">
        <f>SUMIF(TArticle[تاریخ],TDays[[#This Row],[تاریخ]],TArticle[تعداد تراکنش انجام شده])</f>
        <v>0</v>
      </c>
      <c r="P724">
        <f>INT(((TDays[[#This Row],[ماه]]-1)*31+TDays[[#This Row],[روز]]+1)/7)+1</f>
        <v>53</v>
      </c>
      <c r="Q724">
        <f>SUMIF(TArticle[تاریخ],TDays[[#This Row],[تاریخ]],TArticle[تراکنش برنامه ریزی شده])</f>
        <v>0</v>
      </c>
    </row>
    <row r="725" spans="1:17" x14ac:dyDescent="0.25">
      <c r="A725" s="3" t="s">
        <v>911</v>
      </c>
      <c r="B725" t="str">
        <f>RIGHT(TDays[[#This Row],[تاریخ]],2)</f>
        <v>23</v>
      </c>
      <c r="C725" t="str">
        <f>RIGHT(LEFT(TDays[[#This Row],[تاریخ]],7),2)</f>
        <v>12</v>
      </c>
      <c r="D725" t="str">
        <f>LEFT(TDays[[#This Row],[تاریخ]],4)</f>
        <v>1402</v>
      </c>
      <c r="E725" t="str">
        <f>LEFT(TDays[[#This Row],[تاریخ]],7)</f>
        <v>1402-12</v>
      </c>
      <c r="F725">
        <v>4</v>
      </c>
      <c r="G725" s="15" t="str">
        <f>VLOOKUP(TDays[[#This Row],[کد روز هفته]],TDaysOfTheWeek[],2,FALSE)</f>
        <v>چهارشنبه</v>
      </c>
      <c r="H725" s="15">
        <f>IFERROR(IF(E724&lt;&gt;E725,1,INT(H724)+IF(TDays[[#This Row],[کد روز هفته]]=0,1,0)),1)</f>
        <v>4</v>
      </c>
      <c r="I725">
        <f>-SUMIF(TArticle[تاریخ],TDays[[#This Row],[تاریخ]],TArticle[هزینه])</f>
        <v>0</v>
      </c>
      <c r="J725">
        <f>SUMIF(TArticle[تاریخ],TDays[[#This Row],[تاریخ]],TArticle[درآمد تتا])</f>
        <v>0</v>
      </c>
      <c r="K725">
        <f>SUMIF(TArticle[تاریخ],TDays[[#This Row],[تاریخ]],TArticle[اسنپ])</f>
        <v>0</v>
      </c>
      <c r="L725">
        <f>-SUMIF(TArticle[تاریخ],TDays[[#This Row],[تاریخ]],TArticle[پرداخت بدهی])</f>
        <v>0</v>
      </c>
      <c r="M725">
        <f>SUMIF(TArticle[تاریخ],TDays[[#This Row],[تاریخ]],TArticle[افزایش بدهی])</f>
        <v>0</v>
      </c>
      <c r="N725">
        <f>-SUMIF(TArticle[تاریخ],TDays[[#This Row],[تاریخ]],TArticle[افزایش سرمایه])</f>
        <v>0</v>
      </c>
      <c r="O725">
        <f>SUMIF(TArticle[تاریخ],TDays[[#This Row],[تاریخ]],TArticle[تعداد تراکنش انجام شده])</f>
        <v>0</v>
      </c>
      <c r="P725">
        <f>INT(((TDays[[#This Row],[ماه]]-1)*31+TDays[[#This Row],[روز]]+1)/7)+1</f>
        <v>53</v>
      </c>
      <c r="Q725">
        <f>SUMIF(TArticle[تاریخ],TDays[[#This Row],[تاریخ]],TArticle[تراکنش برنامه ریزی شده])</f>
        <v>0</v>
      </c>
    </row>
    <row r="726" spans="1:17" x14ac:dyDescent="0.25">
      <c r="A726" s="3" t="s">
        <v>912</v>
      </c>
      <c r="B726" t="str">
        <f>RIGHT(TDays[[#This Row],[تاریخ]],2)</f>
        <v>24</v>
      </c>
      <c r="C726" t="str">
        <f>RIGHT(LEFT(TDays[[#This Row],[تاریخ]],7),2)</f>
        <v>12</v>
      </c>
      <c r="D726" t="str">
        <f>LEFT(TDays[[#This Row],[تاریخ]],4)</f>
        <v>1402</v>
      </c>
      <c r="E726" t="str">
        <f>LEFT(TDays[[#This Row],[تاریخ]],7)</f>
        <v>1402-12</v>
      </c>
      <c r="F726">
        <v>5</v>
      </c>
      <c r="G726" s="15" t="str">
        <f>VLOOKUP(TDays[[#This Row],[کد روز هفته]],TDaysOfTheWeek[],2,FALSE)</f>
        <v>پنجشنبه</v>
      </c>
      <c r="H726" s="15">
        <f>IFERROR(IF(E725&lt;&gt;E726,1,INT(H725)+IF(TDays[[#This Row],[کد روز هفته]]=0,1,0)),1)</f>
        <v>4</v>
      </c>
      <c r="I726">
        <f>-SUMIF(TArticle[تاریخ],TDays[[#This Row],[تاریخ]],TArticle[هزینه])</f>
        <v>0</v>
      </c>
      <c r="J726">
        <f>SUMIF(TArticle[تاریخ],TDays[[#This Row],[تاریخ]],TArticle[درآمد تتا])</f>
        <v>0</v>
      </c>
      <c r="K726">
        <f>SUMIF(TArticle[تاریخ],TDays[[#This Row],[تاریخ]],TArticle[اسنپ])</f>
        <v>0</v>
      </c>
      <c r="L726">
        <f>-SUMIF(TArticle[تاریخ],TDays[[#This Row],[تاریخ]],TArticle[پرداخت بدهی])</f>
        <v>0</v>
      </c>
      <c r="M726">
        <f>SUMIF(TArticle[تاریخ],TDays[[#This Row],[تاریخ]],TArticle[افزایش بدهی])</f>
        <v>0</v>
      </c>
      <c r="N726">
        <f>-SUMIF(TArticle[تاریخ],TDays[[#This Row],[تاریخ]],TArticle[افزایش سرمایه])</f>
        <v>0</v>
      </c>
      <c r="O726">
        <f>SUMIF(TArticle[تاریخ],TDays[[#This Row],[تاریخ]],TArticle[تعداد تراکنش انجام شده])</f>
        <v>0</v>
      </c>
      <c r="P726">
        <f>INT(((TDays[[#This Row],[ماه]]-1)*31+TDays[[#This Row],[روز]]+1)/7)+1</f>
        <v>53</v>
      </c>
      <c r="Q726">
        <f>SUMIF(TArticle[تاریخ],TDays[[#This Row],[تاریخ]],TArticle[تراکنش برنامه ریزی شده])</f>
        <v>0</v>
      </c>
    </row>
    <row r="727" spans="1:17" x14ac:dyDescent="0.25">
      <c r="A727" s="3" t="s">
        <v>913</v>
      </c>
      <c r="B727" t="str">
        <f>RIGHT(TDays[[#This Row],[تاریخ]],2)</f>
        <v>25</v>
      </c>
      <c r="C727" t="str">
        <f>RIGHT(LEFT(TDays[[#This Row],[تاریخ]],7),2)</f>
        <v>12</v>
      </c>
      <c r="D727" t="str">
        <f>LEFT(TDays[[#This Row],[تاریخ]],4)</f>
        <v>1402</v>
      </c>
      <c r="E727" t="str">
        <f>LEFT(TDays[[#This Row],[تاریخ]],7)</f>
        <v>1402-12</v>
      </c>
      <c r="F727">
        <v>6</v>
      </c>
      <c r="G727" s="15" t="str">
        <f>VLOOKUP(TDays[[#This Row],[کد روز هفته]],TDaysOfTheWeek[],2,FALSE)</f>
        <v>جمعه</v>
      </c>
      <c r="H727" s="15">
        <f>IFERROR(IF(E726&lt;&gt;E727,1,INT(H726)+IF(TDays[[#This Row],[کد روز هفته]]=0,1,0)),1)</f>
        <v>4</v>
      </c>
      <c r="I727">
        <f>-SUMIF(TArticle[تاریخ],TDays[[#This Row],[تاریخ]],TArticle[هزینه])</f>
        <v>0</v>
      </c>
      <c r="J727">
        <f>SUMIF(TArticle[تاریخ],TDays[[#This Row],[تاریخ]],TArticle[درآمد تتا])</f>
        <v>0</v>
      </c>
      <c r="K727">
        <f>SUMIF(TArticle[تاریخ],TDays[[#This Row],[تاریخ]],TArticle[اسنپ])</f>
        <v>0</v>
      </c>
      <c r="L727">
        <f>-SUMIF(TArticle[تاریخ],TDays[[#This Row],[تاریخ]],TArticle[پرداخت بدهی])</f>
        <v>0</v>
      </c>
      <c r="M727">
        <f>SUMIF(TArticle[تاریخ],TDays[[#This Row],[تاریخ]],TArticle[افزایش بدهی])</f>
        <v>0</v>
      </c>
      <c r="N727">
        <f>-SUMIF(TArticle[تاریخ],TDays[[#This Row],[تاریخ]],TArticle[افزایش سرمایه])</f>
        <v>0</v>
      </c>
      <c r="O727">
        <f>SUMIF(TArticle[تاریخ],TDays[[#This Row],[تاریخ]],TArticle[تعداد تراکنش انجام شده])</f>
        <v>0</v>
      </c>
      <c r="P727">
        <f>INT(((TDays[[#This Row],[ماه]]-1)*31+TDays[[#This Row],[روز]]+1)/7)+1</f>
        <v>53</v>
      </c>
      <c r="Q727">
        <f>SUMIF(TArticle[تاریخ],TDays[[#This Row],[تاریخ]],TArticle[تراکنش برنامه ریزی شده])</f>
        <v>0</v>
      </c>
    </row>
    <row r="728" spans="1:17" x14ac:dyDescent="0.25">
      <c r="A728" s="3" t="s">
        <v>914</v>
      </c>
      <c r="B728" t="str">
        <f>RIGHT(TDays[[#This Row],[تاریخ]],2)</f>
        <v>26</v>
      </c>
      <c r="C728" t="str">
        <f>RIGHT(LEFT(TDays[[#This Row],[تاریخ]],7),2)</f>
        <v>12</v>
      </c>
      <c r="D728" t="str">
        <f>LEFT(TDays[[#This Row],[تاریخ]],4)</f>
        <v>1402</v>
      </c>
      <c r="E728" t="str">
        <f>LEFT(TDays[[#This Row],[تاریخ]],7)</f>
        <v>1402-12</v>
      </c>
      <c r="F728">
        <v>0</v>
      </c>
      <c r="G728" s="15" t="str">
        <f>VLOOKUP(TDays[[#This Row],[کد روز هفته]],TDaysOfTheWeek[],2,FALSE)</f>
        <v>شنبه</v>
      </c>
      <c r="H728" s="15">
        <f>IFERROR(IF(E727&lt;&gt;E728,1,INT(H727)+IF(TDays[[#This Row],[کد روز هفته]]=0,1,0)),1)</f>
        <v>5</v>
      </c>
      <c r="I728">
        <f>-SUMIF(TArticle[تاریخ],TDays[[#This Row],[تاریخ]],TArticle[هزینه])</f>
        <v>0</v>
      </c>
      <c r="J728">
        <f>SUMIF(TArticle[تاریخ],TDays[[#This Row],[تاریخ]],TArticle[درآمد تتا])</f>
        <v>0</v>
      </c>
      <c r="K728">
        <f>SUMIF(TArticle[تاریخ],TDays[[#This Row],[تاریخ]],TArticle[اسنپ])</f>
        <v>0</v>
      </c>
      <c r="L728">
        <f>-SUMIF(TArticle[تاریخ],TDays[[#This Row],[تاریخ]],TArticle[پرداخت بدهی])</f>
        <v>0</v>
      </c>
      <c r="M728">
        <f>SUMIF(TArticle[تاریخ],TDays[[#This Row],[تاریخ]],TArticle[افزایش بدهی])</f>
        <v>0</v>
      </c>
      <c r="N728">
        <f>-SUMIF(TArticle[تاریخ],TDays[[#This Row],[تاریخ]],TArticle[افزایش سرمایه])</f>
        <v>0</v>
      </c>
      <c r="O728">
        <f>SUMIF(TArticle[تاریخ],TDays[[#This Row],[تاریخ]],TArticle[تعداد تراکنش انجام شده])</f>
        <v>0</v>
      </c>
      <c r="P728">
        <f>INT(((TDays[[#This Row],[ماه]]-1)*31+TDays[[#This Row],[روز]]+1)/7)+1</f>
        <v>53</v>
      </c>
      <c r="Q728">
        <f>SUMIF(TArticle[تاریخ],TDays[[#This Row],[تاریخ]],TArticle[تراکنش برنامه ریزی شده])</f>
        <v>0</v>
      </c>
    </row>
    <row r="729" spans="1:17" x14ac:dyDescent="0.25">
      <c r="A729" s="3" t="s">
        <v>915</v>
      </c>
      <c r="B729" t="str">
        <f>RIGHT(TDays[[#This Row],[تاریخ]],2)</f>
        <v>27</v>
      </c>
      <c r="C729" t="str">
        <f>RIGHT(LEFT(TDays[[#This Row],[تاریخ]],7),2)</f>
        <v>12</v>
      </c>
      <c r="D729" t="str">
        <f>LEFT(TDays[[#This Row],[تاریخ]],4)</f>
        <v>1402</v>
      </c>
      <c r="E729" t="str">
        <f>LEFT(TDays[[#This Row],[تاریخ]],7)</f>
        <v>1402-12</v>
      </c>
      <c r="F729">
        <v>1</v>
      </c>
      <c r="G729" s="15" t="str">
        <f>VLOOKUP(TDays[[#This Row],[کد روز هفته]],TDaysOfTheWeek[],2,FALSE)</f>
        <v>یکشنبه</v>
      </c>
      <c r="H729" s="15">
        <f>IFERROR(IF(E728&lt;&gt;E729,1,INT(H728)+IF(TDays[[#This Row],[کد روز هفته]]=0,1,0)),1)</f>
        <v>5</v>
      </c>
      <c r="I729">
        <f>-SUMIF(TArticle[تاریخ],TDays[[#This Row],[تاریخ]],TArticle[هزینه])</f>
        <v>0</v>
      </c>
      <c r="J729">
        <f>SUMIF(TArticle[تاریخ],TDays[[#This Row],[تاریخ]],TArticle[درآمد تتا])</f>
        <v>0</v>
      </c>
      <c r="K729">
        <f>SUMIF(TArticle[تاریخ],TDays[[#This Row],[تاریخ]],TArticle[اسنپ])</f>
        <v>0</v>
      </c>
      <c r="L729">
        <f>-SUMIF(TArticle[تاریخ],TDays[[#This Row],[تاریخ]],TArticle[پرداخت بدهی])</f>
        <v>0</v>
      </c>
      <c r="M729">
        <f>SUMIF(TArticle[تاریخ],TDays[[#This Row],[تاریخ]],TArticle[افزایش بدهی])</f>
        <v>0</v>
      </c>
      <c r="N729">
        <f>-SUMIF(TArticle[تاریخ],TDays[[#This Row],[تاریخ]],TArticle[افزایش سرمایه])</f>
        <v>0</v>
      </c>
      <c r="O729">
        <f>SUMIF(TArticle[تاریخ],TDays[[#This Row],[تاریخ]],TArticle[تعداد تراکنش انجام شده])</f>
        <v>0</v>
      </c>
      <c r="P729">
        <f>INT(((TDays[[#This Row],[ماه]]-1)*31+TDays[[#This Row],[روز]]+1)/7)+1</f>
        <v>53</v>
      </c>
      <c r="Q729">
        <f>SUMIF(TArticle[تاریخ],TDays[[#This Row],[تاریخ]],TArticle[تراکنش برنامه ریزی شده])</f>
        <v>0</v>
      </c>
    </row>
    <row r="730" spans="1:17" x14ac:dyDescent="0.25">
      <c r="A730" s="3" t="s">
        <v>916</v>
      </c>
      <c r="B730" t="str">
        <f>RIGHT(TDays[[#This Row],[تاریخ]],2)</f>
        <v>28</v>
      </c>
      <c r="C730" t="str">
        <f>RIGHT(LEFT(TDays[[#This Row],[تاریخ]],7),2)</f>
        <v>12</v>
      </c>
      <c r="D730" t="str">
        <f>LEFT(TDays[[#This Row],[تاریخ]],4)</f>
        <v>1402</v>
      </c>
      <c r="E730" t="str">
        <f>LEFT(TDays[[#This Row],[تاریخ]],7)</f>
        <v>1402-12</v>
      </c>
      <c r="F730">
        <v>2</v>
      </c>
      <c r="G730" s="15" t="str">
        <f>VLOOKUP(TDays[[#This Row],[کد روز هفته]],TDaysOfTheWeek[],2,FALSE)</f>
        <v>دوشنبه</v>
      </c>
      <c r="H730" s="15">
        <f>IFERROR(IF(E729&lt;&gt;E730,1,INT(H729)+IF(TDays[[#This Row],[کد روز هفته]]=0,1,0)),1)</f>
        <v>5</v>
      </c>
      <c r="I730">
        <f>-SUMIF(TArticle[تاریخ],TDays[[#This Row],[تاریخ]],TArticle[هزینه])</f>
        <v>0</v>
      </c>
      <c r="J730">
        <f>SUMIF(TArticle[تاریخ],TDays[[#This Row],[تاریخ]],TArticle[درآمد تتا])</f>
        <v>0</v>
      </c>
      <c r="K730">
        <f>SUMIF(TArticle[تاریخ],TDays[[#This Row],[تاریخ]],TArticle[اسنپ])</f>
        <v>0</v>
      </c>
      <c r="L730">
        <f>-SUMIF(TArticle[تاریخ],TDays[[#This Row],[تاریخ]],TArticle[پرداخت بدهی])</f>
        <v>0</v>
      </c>
      <c r="M730">
        <f>SUMIF(TArticle[تاریخ],TDays[[#This Row],[تاریخ]],TArticle[افزایش بدهی])</f>
        <v>0</v>
      </c>
      <c r="N730">
        <f>-SUMIF(TArticle[تاریخ],TDays[[#This Row],[تاریخ]],TArticle[افزایش سرمایه])</f>
        <v>0</v>
      </c>
      <c r="O730">
        <f>SUMIF(TArticle[تاریخ],TDays[[#This Row],[تاریخ]],TArticle[تعداد تراکنش انجام شده])</f>
        <v>0</v>
      </c>
      <c r="P730">
        <f>INT(((TDays[[#This Row],[ماه]]-1)*31+TDays[[#This Row],[روز]]+1)/7)+1</f>
        <v>53</v>
      </c>
      <c r="Q730">
        <f>SUMIF(TArticle[تاریخ],TDays[[#This Row],[تاریخ]],TArticle[تراکنش برنامه ریزی شده])</f>
        <v>1</v>
      </c>
    </row>
    <row r="731" spans="1:17" x14ac:dyDescent="0.25">
      <c r="A731" s="3" t="s">
        <v>917</v>
      </c>
      <c r="B731" t="str">
        <f>RIGHT(TDays[[#This Row],[تاریخ]],2)</f>
        <v>29</v>
      </c>
      <c r="C731" t="str">
        <f>RIGHT(LEFT(TDays[[#This Row],[تاریخ]],7),2)</f>
        <v>12</v>
      </c>
      <c r="D731" t="str">
        <f>LEFT(TDays[[#This Row],[تاریخ]],4)</f>
        <v>1402</v>
      </c>
      <c r="E731" t="str">
        <f>LEFT(TDays[[#This Row],[تاریخ]],7)</f>
        <v>1402-12</v>
      </c>
      <c r="F731">
        <v>3</v>
      </c>
      <c r="G731" s="15" t="str">
        <f>VLOOKUP(TDays[[#This Row],[کد روز هفته]],TDaysOfTheWeek[],2,FALSE)</f>
        <v>سه شنبه</v>
      </c>
      <c r="H731" s="15">
        <f>IFERROR(IF(E730&lt;&gt;E731,1,INT(H730)+IF(TDays[[#This Row],[کد روز هفته]]=0,1,0)),1)</f>
        <v>5</v>
      </c>
      <c r="I731">
        <f>-SUMIF(TArticle[تاریخ],TDays[[#This Row],[تاریخ]],TArticle[هزینه])</f>
        <v>0</v>
      </c>
      <c r="J731">
        <f>SUMIF(TArticle[تاریخ],TDays[[#This Row],[تاریخ]],TArticle[درآمد تتا])</f>
        <v>0</v>
      </c>
      <c r="K731">
        <f>SUMIF(TArticle[تاریخ],TDays[[#This Row],[تاریخ]],TArticle[اسنپ])</f>
        <v>0</v>
      </c>
      <c r="L731">
        <f>-SUMIF(TArticle[تاریخ],TDays[[#This Row],[تاریخ]],TArticle[پرداخت بدهی])</f>
        <v>0</v>
      </c>
      <c r="M731">
        <f>SUMIF(TArticle[تاریخ],TDays[[#This Row],[تاریخ]],TArticle[افزایش بدهی])</f>
        <v>0</v>
      </c>
      <c r="N731">
        <f>-SUMIF(TArticle[تاریخ],TDays[[#This Row],[تاریخ]],TArticle[افزایش سرمایه])</f>
        <v>0</v>
      </c>
      <c r="O731">
        <f>SUMIF(TArticle[تاریخ],TDays[[#This Row],[تاریخ]],TArticle[تعداد تراکنش انجام شده])</f>
        <v>0</v>
      </c>
      <c r="P731">
        <f>INT(((TDays[[#This Row],[ماه]]-1)*31+TDays[[#This Row],[روز]]+1)/7)+1</f>
        <v>54</v>
      </c>
      <c r="Q731">
        <f>SUMIF(TArticle[تاریخ],TDays[[#This Row],[تاریخ]],TArticle[تراکنش برنامه ریزی شده])</f>
        <v>0</v>
      </c>
    </row>
    <row r="732" spans="1:17" x14ac:dyDescent="0.25">
      <c r="A732" s="3" t="s">
        <v>1229</v>
      </c>
      <c r="B732" t="str">
        <f>RIGHT(TDays[[#This Row],[تاریخ]],2)</f>
        <v>01</v>
      </c>
      <c r="C732" t="str">
        <f>RIGHT(LEFT(TDays[[#This Row],[تاریخ]],7),2)</f>
        <v>01</v>
      </c>
      <c r="D732" t="str">
        <f>LEFT(TDays[[#This Row],[تاریخ]],4)</f>
        <v>1403</v>
      </c>
      <c r="E732" t="str">
        <f>LEFT(TDays[[#This Row],[تاریخ]],7)</f>
        <v>1403-01</v>
      </c>
      <c r="F732">
        <v>4</v>
      </c>
      <c r="G732" s="16" t="str">
        <f>VLOOKUP(TDays[[#This Row],[کد روز هفته]],TDaysOfTheWeek[],2,FALSE)</f>
        <v>چهارشنبه</v>
      </c>
      <c r="H732" s="16">
        <f>IFERROR(IF(E731&lt;&gt;E732,1,INT(H731)+IF(TDays[[#This Row],[کد روز هفته]]=0,1,0)),1)</f>
        <v>1</v>
      </c>
      <c r="I732">
        <f>-SUMIF(TArticle[تاریخ],TDays[[#This Row],[تاریخ]],TArticle[هزینه])</f>
        <v>0</v>
      </c>
      <c r="J732">
        <f>SUMIF(TArticle[تاریخ],TDays[[#This Row],[تاریخ]],TArticle[درآمد تتا])</f>
        <v>0</v>
      </c>
      <c r="K732">
        <f>SUMIF(TArticle[تاریخ],TDays[[#This Row],[تاریخ]],TArticle[اسنپ])</f>
        <v>0</v>
      </c>
      <c r="L732">
        <f>-SUMIF(TArticle[تاریخ],TDays[[#This Row],[تاریخ]],TArticle[پرداخت بدهی])</f>
        <v>0</v>
      </c>
      <c r="M732">
        <f>SUMIF(TArticle[تاریخ],TDays[[#This Row],[تاریخ]],TArticle[افزایش بدهی])</f>
        <v>0</v>
      </c>
      <c r="N732">
        <f>-SUMIF(TArticle[تاریخ],TDays[[#This Row],[تاریخ]],TArticle[افزایش سرمایه])</f>
        <v>0</v>
      </c>
      <c r="O732">
        <f>SUMIF(TArticle[تاریخ],TDays[[#This Row],[تاریخ]],TArticle[تعداد تراکنش انجام شده])</f>
        <v>0</v>
      </c>
      <c r="P732">
        <f>INT(((TDays[[#This Row],[ماه]]-1)*31+TDays[[#This Row],[روز]]+1)/7)+1</f>
        <v>1</v>
      </c>
      <c r="Q732">
        <f>SUMIF(TArticle[تاریخ],TDays[[#This Row],[تاریخ]],TArticle[تراکنش برنامه ریزی شده])</f>
        <v>2</v>
      </c>
    </row>
    <row r="733" spans="1:17" x14ac:dyDescent="0.25">
      <c r="A733" s="3" t="s">
        <v>1230</v>
      </c>
      <c r="B733" t="str">
        <f>RIGHT(TDays[[#This Row],[تاریخ]],2)</f>
        <v>02</v>
      </c>
      <c r="C733" t="str">
        <f>RIGHT(LEFT(TDays[[#This Row],[تاریخ]],7),2)</f>
        <v>01</v>
      </c>
      <c r="D733" t="str">
        <f>LEFT(TDays[[#This Row],[تاریخ]],4)</f>
        <v>1403</v>
      </c>
      <c r="E733" t="str">
        <f>LEFT(TDays[[#This Row],[تاریخ]],7)</f>
        <v>1403-01</v>
      </c>
      <c r="F733">
        <v>5</v>
      </c>
      <c r="G733" s="16" t="str">
        <f>VLOOKUP(TDays[[#This Row],[کد روز هفته]],TDaysOfTheWeek[],2,FALSE)</f>
        <v>پنجشنبه</v>
      </c>
      <c r="H733" s="16">
        <f>IFERROR(IF(E732&lt;&gt;E733,1,INT(H732)+IF(TDays[[#This Row],[کد روز هفته]]=0,1,0)),1)</f>
        <v>1</v>
      </c>
      <c r="I733">
        <f>-SUMIF(TArticle[تاریخ],TDays[[#This Row],[تاریخ]],TArticle[هزینه])</f>
        <v>0</v>
      </c>
      <c r="J733">
        <f>SUMIF(TArticle[تاریخ],TDays[[#This Row],[تاریخ]],TArticle[درآمد تتا])</f>
        <v>0</v>
      </c>
      <c r="K733">
        <f>SUMIF(TArticle[تاریخ],TDays[[#This Row],[تاریخ]],TArticle[اسنپ])</f>
        <v>0</v>
      </c>
      <c r="L733">
        <f>-SUMIF(TArticle[تاریخ],TDays[[#This Row],[تاریخ]],TArticle[پرداخت بدهی])</f>
        <v>0</v>
      </c>
      <c r="M733">
        <f>SUMIF(TArticle[تاریخ],TDays[[#This Row],[تاریخ]],TArticle[افزایش بدهی])</f>
        <v>0</v>
      </c>
      <c r="N733">
        <f>-SUMIF(TArticle[تاریخ],TDays[[#This Row],[تاریخ]],TArticle[افزایش سرمایه])</f>
        <v>0</v>
      </c>
      <c r="O733">
        <f>SUMIF(TArticle[تاریخ],TDays[[#This Row],[تاریخ]],TArticle[تعداد تراکنش انجام شده])</f>
        <v>0</v>
      </c>
      <c r="P733">
        <f>INT(((TDays[[#This Row],[ماه]]-1)*31+TDays[[#This Row],[روز]]+1)/7)+1</f>
        <v>1</v>
      </c>
      <c r="Q733">
        <f>SUMIF(TArticle[تاریخ],TDays[[#This Row],[تاریخ]],TArticle[تراکنش برنامه ریزی شده])</f>
        <v>0</v>
      </c>
    </row>
    <row r="734" spans="1:17" x14ac:dyDescent="0.25">
      <c r="A734" s="3" t="s">
        <v>1214</v>
      </c>
      <c r="B734" t="str">
        <f>RIGHT(TDays[[#This Row],[تاریخ]],2)</f>
        <v>03</v>
      </c>
      <c r="C734" t="str">
        <f>RIGHT(LEFT(TDays[[#This Row],[تاریخ]],7),2)</f>
        <v>01</v>
      </c>
      <c r="D734" t="str">
        <f>LEFT(TDays[[#This Row],[تاریخ]],4)</f>
        <v>1403</v>
      </c>
      <c r="E734" t="str">
        <f>LEFT(TDays[[#This Row],[تاریخ]],7)</f>
        <v>1403-01</v>
      </c>
      <c r="F734">
        <v>6</v>
      </c>
      <c r="G734" s="16" t="str">
        <f>VLOOKUP(TDays[[#This Row],[کد روز هفته]],TDaysOfTheWeek[],2,FALSE)</f>
        <v>جمعه</v>
      </c>
      <c r="H734" s="16">
        <f>IFERROR(IF(E733&lt;&gt;E734,1,INT(H733)+IF(TDays[[#This Row],[کد روز هفته]]=0,1,0)),1)</f>
        <v>1</v>
      </c>
      <c r="I734">
        <f>-SUMIF(TArticle[تاریخ],TDays[[#This Row],[تاریخ]],TArticle[هزینه])</f>
        <v>0</v>
      </c>
      <c r="J734">
        <f>SUMIF(TArticle[تاریخ],TDays[[#This Row],[تاریخ]],TArticle[درآمد تتا])</f>
        <v>0</v>
      </c>
      <c r="K734">
        <f>SUMIF(TArticle[تاریخ],TDays[[#This Row],[تاریخ]],TArticle[اسنپ])</f>
        <v>0</v>
      </c>
      <c r="L734">
        <f>-SUMIF(TArticle[تاریخ],TDays[[#This Row],[تاریخ]],TArticle[پرداخت بدهی])</f>
        <v>0</v>
      </c>
      <c r="M734">
        <f>SUMIF(TArticle[تاریخ],TDays[[#This Row],[تاریخ]],TArticle[افزایش بدهی])</f>
        <v>0</v>
      </c>
      <c r="N734">
        <f>-SUMIF(TArticle[تاریخ],TDays[[#This Row],[تاریخ]],TArticle[افزایش سرمایه])</f>
        <v>0</v>
      </c>
      <c r="O734">
        <f>SUMIF(TArticle[تاریخ],TDays[[#This Row],[تاریخ]],TArticle[تعداد تراکنش انجام شده])</f>
        <v>0</v>
      </c>
      <c r="P734">
        <f>INT(((TDays[[#This Row],[ماه]]-1)*31+TDays[[#This Row],[روز]]+1)/7)+1</f>
        <v>1</v>
      </c>
      <c r="Q734">
        <f>SUMIF(TArticle[تاریخ],TDays[[#This Row],[تاریخ]],TArticle[تراکنش برنامه ریزی شده])</f>
        <v>3</v>
      </c>
    </row>
    <row r="735" spans="1:17" x14ac:dyDescent="0.25">
      <c r="A735" s="3" t="s">
        <v>1231</v>
      </c>
      <c r="B735" t="str">
        <f>RIGHT(TDays[[#This Row],[تاریخ]],2)</f>
        <v>04</v>
      </c>
      <c r="C735" t="str">
        <f>RIGHT(LEFT(TDays[[#This Row],[تاریخ]],7),2)</f>
        <v>01</v>
      </c>
      <c r="D735" t="str">
        <f>LEFT(TDays[[#This Row],[تاریخ]],4)</f>
        <v>1403</v>
      </c>
      <c r="E735" t="str">
        <f>LEFT(TDays[[#This Row],[تاریخ]],7)</f>
        <v>1403-01</v>
      </c>
      <c r="F735">
        <v>0</v>
      </c>
      <c r="G735" s="16" t="str">
        <f>VLOOKUP(TDays[[#This Row],[کد روز هفته]],TDaysOfTheWeek[],2,FALSE)</f>
        <v>شنبه</v>
      </c>
      <c r="H735" s="16">
        <f>IFERROR(IF(E734&lt;&gt;E735,1,INT(H734)+IF(TDays[[#This Row],[کد روز هفته]]=0,1,0)),1)</f>
        <v>2</v>
      </c>
      <c r="I735">
        <f>-SUMIF(TArticle[تاریخ],TDays[[#This Row],[تاریخ]],TArticle[هزینه])</f>
        <v>0</v>
      </c>
      <c r="J735">
        <f>SUMIF(TArticle[تاریخ],TDays[[#This Row],[تاریخ]],TArticle[درآمد تتا])</f>
        <v>0</v>
      </c>
      <c r="K735">
        <f>SUMIF(TArticle[تاریخ],TDays[[#This Row],[تاریخ]],TArticle[اسنپ])</f>
        <v>0</v>
      </c>
      <c r="L735">
        <f>-SUMIF(TArticle[تاریخ],TDays[[#This Row],[تاریخ]],TArticle[پرداخت بدهی])</f>
        <v>0</v>
      </c>
      <c r="M735">
        <f>SUMIF(TArticle[تاریخ],TDays[[#This Row],[تاریخ]],TArticle[افزایش بدهی])</f>
        <v>0</v>
      </c>
      <c r="N735">
        <f>-SUMIF(TArticle[تاریخ],TDays[[#This Row],[تاریخ]],TArticle[افزایش سرمایه])</f>
        <v>0</v>
      </c>
      <c r="O735">
        <f>SUMIF(TArticle[تاریخ],TDays[[#This Row],[تاریخ]],TArticle[تعداد تراکنش انجام شده])</f>
        <v>0</v>
      </c>
      <c r="P735">
        <f>INT(((TDays[[#This Row],[ماه]]-1)*31+TDays[[#This Row],[روز]]+1)/7)+1</f>
        <v>1</v>
      </c>
      <c r="Q735">
        <f>SUMIF(TArticle[تاریخ],TDays[[#This Row],[تاریخ]],TArticle[تراکنش برنامه ریزی شده])</f>
        <v>1</v>
      </c>
    </row>
    <row r="736" spans="1:17" x14ac:dyDescent="0.25">
      <c r="A736" s="3" t="s">
        <v>1232</v>
      </c>
      <c r="B736" t="str">
        <f>RIGHT(TDays[[#This Row],[تاریخ]],2)</f>
        <v>05</v>
      </c>
      <c r="C736" t="str">
        <f>RIGHT(LEFT(TDays[[#This Row],[تاریخ]],7),2)</f>
        <v>01</v>
      </c>
      <c r="D736" t="str">
        <f>LEFT(TDays[[#This Row],[تاریخ]],4)</f>
        <v>1403</v>
      </c>
      <c r="E736" t="str">
        <f>LEFT(TDays[[#This Row],[تاریخ]],7)</f>
        <v>1403-01</v>
      </c>
      <c r="F736">
        <v>1</v>
      </c>
      <c r="G736" s="16" t="str">
        <f>VLOOKUP(TDays[[#This Row],[کد روز هفته]],TDaysOfTheWeek[],2,FALSE)</f>
        <v>یکشنبه</v>
      </c>
      <c r="H736" s="16">
        <f>IFERROR(IF(E735&lt;&gt;E736,1,INT(H735)+IF(TDays[[#This Row],[کد روز هفته]]=0,1,0)),1)</f>
        <v>2</v>
      </c>
      <c r="I736">
        <f>-SUMIF(TArticle[تاریخ],TDays[[#This Row],[تاریخ]],TArticle[هزینه])</f>
        <v>0</v>
      </c>
      <c r="J736">
        <f>SUMIF(TArticle[تاریخ],TDays[[#This Row],[تاریخ]],TArticle[درآمد تتا])</f>
        <v>0</v>
      </c>
      <c r="K736">
        <f>SUMIF(TArticle[تاریخ],TDays[[#This Row],[تاریخ]],TArticle[اسنپ])</f>
        <v>0</v>
      </c>
      <c r="L736">
        <f>-SUMIF(TArticle[تاریخ],TDays[[#This Row],[تاریخ]],TArticle[پرداخت بدهی])</f>
        <v>0</v>
      </c>
      <c r="M736">
        <f>SUMIF(TArticle[تاریخ],TDays[[#This Row],[تاریخ]],TArticle[افزایش بدهی])</f>
        <v>0</v>
      </c>
      <c r="N736">
        <f>-SUMIF(TArticle[تاریخ],TDays[[#This Row],[تاریخ]],TArticle[افزایش سرمایه])</f>
        <v>0</v>
      </c>
      <c r="O736">
        <f>SUMIF(TArticle[تاریخ],TDays[[#This Row],[تاریخ]],TArticle[تعداد تراکنش انجام شده])</f>
        <v>0</v>
      </c>
      <c r="P736">
        <f>INT(((TDays[[#This Row],[ماه]]-1)*31+TDays[[#This Row],[روز]]+1)/7)+1</f>
        <v>1</v>
      </c>
      <c r="Q736">
        <f>SUMIF(TArticle[تاریخ],TDays[[#This Row],[تاریخ]],TArticle[تراکنش برنامه ریزی شده])</f>
        <v>0</v>
      </c>
    </row>
    <row r="737" spans="1:17" x14ac:dyDescent="0.25">
      <c r="A737" s="3" t="s">
        <v>1233</v>
      </c>
      <c r="B737" t="str">
        <f>RIGHT(TDays[[#This Row],[تاریخ]],2)</f>
        <v>06</v>
      </c>
      <c r="C737" t="str">
        <f>RIGHT(LEFT(TDays[[#This Row],[تاریخ]],7),2)</f>
        <v>01</v>
      </c>
      <c r="D737" t="str">
        <f>LEFT(TDays[[#This Row],[تاریخ]],4)</f>
        <v>1403</v>
      </c>
      <c r="E737" t="str">
        <f>LEFT(TDays[[#This Row],[تاریخ]],7)</f>
        <v>1403-01</v>
      </c>
      <c r="F737">
        <v>2</v>
      </c>
      <c r="G737" s="16" t="str">
        <f>VLOOKUP(TDays[[#This Row],[کد روز هفته]],TDaysOfTheWeek[],2,FALSE)</f>
        <v>دوشنبه</v>
      </c>
      <c r="H737" s="16">
        <f>IFERROR(IF(E736&lt;&gt;E737,1,INT(H736)+IF(TDays[[#This Row],[کد روز هفته]]=0,1,0)),1)</f>
        <v>2</v>
      </c>
      <c r="I737">
        <f>-SUMIF(TArticle[تاریخ],TDays[[#This Row],[تاریخ]],TArticle[هزینه])</f>
        <v>0</v>
      </c>
      <c r="J737">
        <f>SUMIF(TArticle[تاریخ],TDays[[#This Row],[تاریخ]],TArticle[درآمد تتا])</f>
        <v>0</v>
      </c>
      <c r="K737">
        <f>SUMIF(TArticle[تاریخ],TDays[[#This Row],[تاریخ]],TArticle[اسنپ])</f>
        <v>0</v>
      </c>
      <c r="L737">
        <f>-SUMIF(TArticle[تاریخ],TDays[[#This Row],[تاریخ]],TArticle[پرداخت بدهی])</f>
        <v>0</v>
      </c>
      <c r="M737">
        <f>SUMIF(TArticle[تاریخ],TDays[[#This Row],[تاریخ]],TArticle[افزایش بدهی])</f>
        <v>0</v>
      </c>
      <c r="N737">
        <f>-SUMIF(TArticle[تاریخ],TDays[[#This Row],[تاریخ]],TArticle[افزایش سرمایه])</f>
        <v>0</v>
      </c>
      <c r="O737">
        <f>SUMIF(TArticle[تاریخ],TDays[[#This Row],[تاریخ]],TArticle[تعداد تراکنش انجام شده])</f>
        <v>0</v>
      </c>
      <c r="P737">
        <f>INT(((TDays[[#This Row],[ماه]]-1)*31+TDays[[#This Row],[روز]]+1)/7)+1</f>
        <v>2</v>
      </c>
      <c r="Q737">
        <f>SUMIF(TArticle[تاریخ],TDays[[#This Row],[تاریخ]],TArticle[تراکنش برنامه ریزی شده])</f>
        <v>0</v>
      </c>
    </row>
    <row r="738" spans="1:17" x14ac:dyDescent="0.25">
      <c r="A738" s="3" t="s">
        <v>1234</v>
      </c>
      <c r="B738" t="str">
        <f>RIGHT(TDays[[#This Row],[تاریخ]],2)</f>
        <v>07</v>
      </c>
      <c r="C738" t="str">
        <f>RIGHT(LEFT(TDays[[#This Row],[تاریخ]],7),2)</f>
        <v>01</v>
      </c>
      <c r="D738" t="str">
        <f>LEFT(TDays[[#This Row],[تاریخ]],4)</f>
        <v>1403</v>
      </c>
      <c r="E738" t="str">
        <f>LEFT(TDays[[#This Row],[تاریخ]],7)</f>
        <v>1403-01</v>
      </c>
      <c r="F738">
        <v>3</v>
      </c>
      <c r="G738" s="16" t="str">
        <f>VLOOKUP(TDays[[#This Row],[کد روز هفته]],TDaysOfTheWeek[],2,FALSE)</f>
        <v>سه شنبه</v>
      </c>
      <c r="H738" s="16">
        <f>IFERROR(IF(E737&lt;&gt;E738,1,INT(H737)+IF(TDays[[#This Row],[کد روز هفته]]=0,1,0)),1)</f>
        <v>2</v>
      </c>
      <c r="I738">
        <f>-SUMIF(TArticle[تاریخ],TDays[[#This Row],[تاریخ]],TArticle[هزینه])</f>
        <v>0</v>
      </c>
      <c r="J738">
        <f>SUMIF(TArticle[تاریخ],TDays[[#This Row],[تاریخ]],TArticle[درآمد تتا])</f>
        <v>0</v>
      </c>
      <c r="K738">
        <f>SUMIF(TArticle[تاریخ],TDays[[#This Row],[تاریخ]],TArticle[اسنپ])</f>
        <v>0</v>
      </c>
      <c r="L738">
        <f>-SUMIF(TArticle[تاریخ],TDays[[#This Row],[تاریخ]],TArticle[پرداخت بدهی])</f>
        <v>0</v>
      </c>
      <c r="M738">
        <f>SUMIF(TArticle[تاریخ],TDays[[#This Row],[تاریخ]],TArticle[افزایش بدهی])</f>
        <v>0</v>
      </c>
      <c r="N738">
        <f>-SUMIF(TArticle[تاریخ],TDays[[#This Row],[تاریخ]],TArticle[افزایش سرمایه])</f>
        <v>0</v>
      </c>
      <c r="O738">
        <f>SUMIF(TArticle[تاریخ],TDays[[#This Row],[تاریخ]],TArticle[تعداد تراکنش انجام شده])</f>
        <v>0</v>
      </c>
      <c r="P738">
        <f>INT(((TDays[[#This Row],[ماه]]-1)*31+TDays[[#This Row],[روز]]+1)/7)+1</f>
        <v>2</v>
      </c>
      <c r="Q738">
        <f>SUMIF(TArticle[تاریخ],TDays[[#This Row],[تاریخ]],TArticle[تراکنش برنامه ریزی شده])</f>
        <v>0</v>
      </c>
    </row>
    <row r="739" spans="1:17" x14ac:dyDescent="0.25">
      <c r="A739" s="3" t="s">
        <v>1235</v>
      </c>
      <c r="B739" t="str">
        <f>RIGHT(TDays[[#This Row],[تاریخ]],2)</f>
        <v>08</v>
      </c>
      <c r="C739" t="str">
        <f>RIGHT(LEFT(TDays[[#This Row],[تاریخ]],7),2)</f>
        <v>01</v>
      </c>
      <c r="D739" t="str">
        <f>LEFT(TDays[[#This Row],[تاریخ]],4)</f>
        <v>1403</v>
      </c>
      <c r="E739" t="str">
        <f>LEFT(TDays[[#This Row],[تاریخ]],7)</f>
        <v>1403-01</v>
      </c>
      <c r="F739">
        <v>4</v>
      </c>
      <c r="G739" s="16" t="str">
        <f>VLOOKUP(TDays[[#This Row],[کد روز هفته]],TDaysOfTheWeek[],2,FALSE)</f>
        <v>چهارشنبه</v>
      </c>
      <c r="H739" s="16">
        <f>IFERROR(IF(E738&lt;&gt;E739,1,INT(H738)+IF(TDays[[#This Row],[کد روز هفته]]=0,1,0)),1)</f>
        <v>2</v>
      </c>
      <c r="I739">
        <f>-SUMIF(TArticle[تاریخ],TDays[[#This Row],[تاریخ]],TArticle[هزینه])</f>
        <v>0</v>
      </c>
      <c r="J739">
        <f>SUMIF(TArticle[تاریخ],TDays[[#This Row],[تاریخ]],TArticle[درآمد تتا])</f>
        <v>0</v>
      </c>
      <c r="K739">
        <f>SUMIF(TArticle[تاریخ],TDays[[#This Row],[تاریخ]],TArticle[اسنپ])</f>
        <v>0</v>
      </c>
      <c r="L739">
        <f>-SUMIF(TArticle[تاریخ],TDays[[#This Row],[تاریخ]],TArticle[پرداخت بدهی])</f>
        <v>0</v>
      </c>
      <c r="M739">
        <f>SUMIF(TArticle[تاریخ],TDays[[#This Row],[تاریخ]],TArticle[افزایش بدهی])</f>
        <v>0</v>
      </c>
      <c r="N739">
        <f>-SUMIF(TArticle[تاریخ],TDays[[#This Row],[تاریخ]],TArticle[افزایش سرمایه])</f>
        <v>0</v>
      </c>
      <c r="O739">
        <f>SUMIF(TArticle[تاریخ],TDays[[#This Row],[تاریخ]],TArticle[تعداد تراکنش انجام شده])</f>
        <v>0</v>
      </c>
      <c r="P739">
        <f>INT(((TDays[[#This Row],[ماه]]-1)*31+TDays[[#This Row],[روز]]+1)/7)+1</f>
        <v>2</v>
      </c>
      <c r="Q739">
        <f>SUMIF(TArticle[تاریخ],TDays[[#This Row],[تاریخ]],TArticle[تراکنش برنامه ریزی شده])</f>
        <v>0</v>
      </c>
    </row>
    <row r="740" spans="1:17" x14ac:dyDescent="0.25">
      <c r="A740" s="3" t="s">
        <v>1236</v>
      </c>
      <c r="B740" t="str">
        <f>RIGHT(TDays[[#This Row],[تاریخ]],2)</f>
        <v>09</v>
      </c>
      <c r="C740" t="str">
        <f>RIGHT(LEFT(TDays[[#This Row],[تاریخ]],7),2)</f>
        <v>01</v>
      </c>
      <c r="D740" t="str">
        <f>LEFT(TDays[[#This Row],[تاریخ]],4)</f>
        <v>1403</v>
      </c>
      <c r="E740" t="str">
        <f>LEFT(TDays[[#This Row],[تاریخ]],7)</f>
        <v>1403-01</v>
      </c>
      <c r="F740">
        <v>5</v>
      </c>
      <c r="G740" s="16" t="str">
        <f>VLOOKUP(TDays[[#This Row],[کد روز هفته]],TDaysOfTheWeek[],2,FALSE)</f>
        <v>پنجشنبه</v>
      </c>
      <c r="H740" s="16">
        <f>IFERROR(IF(E739&lt;&gt;E740,1,INT(H739)+IF(TDays[[#This Row],[کد روز هفته]]=0,1,0)),1)</f>
        <v>2</v>
      </c>
      <c r="I740">
        <f>-SUMIF(TArticle[تاریخ],TDays[[#This Row],[تاریخ]],TArticle[هزینه])</f>
        <v>0</v>
      </c>
      <c r="J740">
        <f>SUMIF(TArticle[تاریخ],TDays[[#This Row],[تاریخ]],TArticle[درآمد تتا])</f>
        <v>0</v>
      </c>
      <c r="K740">
        <f>SUMIF(TArticle[تاریخ],TDays[[#This Row],[تاریخ]],TArticle[اسنپ])</f>
        <v>0</v>
      </c>
      <c r="L740">
        <f>-SUMIF(TArticle[تاریخ],TDays[[#This Row],[تاریخ]],TArticle[پرداخت بدهی])</f>
        <v>0</v>
      </c>
      <c r="M740">
        <f>SUMIF(TArticle[تاریخ],TDays[[#This Row],[تاریخ]],TArticle[افزایش بدهی])</f>
        <v>0</v>
      </c>
      <c r="N740">
        <f>-SUMIF(TArticle[تاریخ],TDays[[#This Row],[تاریخ]],TArticle[افزایش سرمایه])</f>
        <v>0</v>
      </c>
      <c r="O740">
        <f>SUMIF(TArticle[تاریخ],TDays[[#This Row],[تاریخ]],TArticle[تعداد تراکنش انجام شده])</f>
        <v>0</v>
      </c>
      <c r="P740">
        <f>INT(((TDays[[#This Row],[ماه]]-1)*31+TDays[[#This Row],[روز]]+1)/7)+1</f>
        <v>2</v>
      </c>
      <c r="Q740">
        <f>SUMIF(TArticle[تاریخ],TDays[[#This Row],[تاریخ]],TArticle[تراکنش برنامه ریزی شده])</f>
        <v>1</v>
      </c>
    </row>
    <row r="741" spans="1:17" x14ac:dyDescent="0.25">
      <c r="A741" s="3" t="s">
        <v>1237</v>
      </c>
      <c r="B741" t="str">
        <f>RIGHT(TDays[[#This Row],[تاریخ]],2)</f>
        <v>10</v>
      </c>
      <c r="C741" t="str">
        <f>RIGHT(LEFT(TDays[[#This Row],[تاریخ]],7),2)</f>
        <v>01</v>
      </c>
      <c r="D741" t="str">
        <f>LEFT(TDays[[#This Row],[تاریخ]],4)</f>
        <v>1403</v>
      </c>
      <c r="E741" t="str">
        <f>LEFT(TDays[[#This Row],[تاریخ]],7)</f>
        <v>1403-01</v>
      </c>
      <c r="F741">
        <v>6</v>
      </c>
      <c r="G741" s="16" t="str">
        <f>VLOOKUP(TDays[[#This Row],[کد روز هفته]],TDaysOfTheWeek[],2,FALSE)</f>
        <v>جمعه</v>
      </c>
      <c r="H741" s="16">
        <f>IFERROR(IF(E740&lt;&gt;E741,1,INT(H740)+IF(TDays[[#This Row],[کد روز هفته]]=0,1,0)),1)</f>
        <v>2</v>
      </c>
      <c r="I741">
        <f>-SUMIF(TArticle[تاریخ],TDays[[#This Row],[تاریخ]],TArticle[هزینه])</f>
        <v>0</v>
      </c>
      <c r="J741">
        <f>SUMIF(TArticle[تاریخ],TDays[[#This Row],[تاریخ]],TArticle[درآمد تتا])</f>
        <v>0</v>
      </c>
      <c r="K741">
        <f>SUMIF(TArticle[تاریخ],TDays[[#This Row],[تاریخ]],TArticle[اسنپ])</f>
        <v>0</v>
      </c>
      <c r="L741">
        <f>-SUMIF(TArticle[تاریخ],TDays[[#This Row],[تاریخ]],TArticle[پرداخت بدهی])</f>
        <v>0</v>
      </c>
      <c r="M741">
        <f>SUMIF(TArticle[تاریخ],TDays[[#This Row],[تاریخ]],TArticle[افزایش بدهی])</f>
        <v>0</v>
      </c>
      <c r="N741">
        <f>-SUMIF(TArticle[تاریخ],TDays[[#This Row],[تاریخ]],TArticle[افزایش سرمایه])</f>
        <v>0</v>
      </c>
      <c r="O741">
        <f>SUMIF(TArticle[تاریخ],TDays[[#This Row],[تاریخ]],TArticle[تعداد تراکنش انجام شده])</f>
        <v>0</v>
      </c>
      <c r="P741">
        <f>INT(((TDays[[#This Row],[ماه]]-1)*31+TDays[[#This Row],[روز]]+1)/7)+1</f>
        <v>2</v>
      </c>
      <c r="Q741">
        <f>SUMIF(TArticle[تاریخ],TDays[[#This Row],[تاریخ]],TArticle[تراکنش برنامه ریزی شده])</f>
        <v>0</v>
      </c>
    </row>
    <row r="742" spans="1:17" x14ac:dyDescent="0.25">
      <c r="A742" s="3" t="s">
        <v>1238</v>
      </c>
      <c r="B742" t="str">
        <f>RIGHT(TDays[[#This Row],[تاریخ]],2)</f>
        <v>11</v>
      </c>
      <c r="C742" t="str">
        <f>RIGHT(LEFT(TDays[[#This Row],[تاریخ]],7),2)</f>
        <v>01</v>
      </c>
      <c r="D742" t="str">
        <f>LEFT(TDays[[#This Row],[تاریخ]],4)</f>
        <v>1403</v>
      </c>
      <c r="E742" t="str">
        <f>LEFT(TDays[[#This Row],[تاریخ]],7)</f>
        <v>1403-01</v>
      </c>
      <c r="F742">
        <v>0</v>
      </c>
      <c r="G742" s="16" t="str">
        <f>VLOOKUP(TDays[[#This Row],[کد روز هفته]],TDaysOfTheWeek[],2,FALSE)</f>
        <v>شنبه</v>
      </c>
      <c r="H742" s="16">
        <f>IFERROR(IF(E741&lt;&gt;E742,1,INT(H741)+IF(TDays[[#This Row],[کد روز هفته]]=0,1,0)),1)</f>
        <v>3</v>
      </c>
      <c r="I742">
        <f>-SUMIF(TArticle[تاریخ],TDays[[#This Row],[تاریخ]],TArticle[هزینه])</f>
        <v>0</v>
      </c>
      <c r="J742">
        <f>SUMIF(TArticle[تاریخ],TDays[[#This Row],[تاریخ]],TArticle[درآمد تتا])</f>
        <v>0</v>
      </c>
      <c r="K742">
        <f>SUMIF(TArticle[تاریخ],TDays[[#This Row],[تاریخ]],TArticle[اسنپ])</f>
        <v>0</v>
      </c>
      <c r="L742">
        <f>-SUMIF(TArticle[تاریخ],TDays[[#This Row],[تاریخ]],TArticle[پرداخت بدهی])</f>
        <v>0</v>
      </c>
      <c r="M742">
        <f>SUMIF(TArticle[تاریخ],TDays[[#This Row],[تاریخ]],TArticle[افزایش بدهی])</f>
        <v>0</v>
      </c>
      <c r="N742">
        <f>-SUMIF(TArticle[تاریخ],TDays[[#This Row],[تاریخ]],TArticle[افزایش سرمایه])</f>
        <v>0</v>
      </c>
      <c r="O742">
        <f>SUMIF(TArticle[تاریخ],TDays[[#This Row],[تاریخ]],TArticle[تعداد تراکنش انجام شده])</f>
        <v>0</v>
      </c>
      <c r="P742">
        <f>INT(((TDays[[#This Row],[ماه]]-1)*31+TDays[[#This Row],[روز]]+1)/7)+1</f>
        <v>2</v>
      </c>
      <c r="Q742">
        <f>SUMIF(TArticle[تاریخ],TDays[[#This Row],[تاریخ]],TArticle[تراکنش برنامه ریزی شده])</f>
        <v>0</v>
      </c>
    </row>
    <row r="743" spans="1:17" x14ac:dyDescent="0.25">
      <c r="A743" s="3" t="s">
        <v>1239</v>
      </c>
      <c r="B743" t="str">
        <f>RIGHT(TDays[[#This Row],[تاریخ]],2)</f>
        <v>12</v>
      </c>
      <c r="C743" t="str">
        <f>RIGHT(LEFT(TDays[[#This Row],[تاریخ]],7),2)</f>
        <v>01</v>
      </c>
      <c r="D743" t="str">
        <f>LEFT(TDays[[#This Row],[تاریخ]],4)</f>
        <v>1403</v>
      </c>
      <c r="E743" t="str">
        <f>LEFT(TDays[[#This Row],[تاریخ]],7)</f>
        <v>1403-01</v>
      </c>
      <c r="F743">
        <v>1</v>
      </c>
      <c r="G743" s="16" t="str">
        <f>VLOOKUP(TDays[[#This Row],[کد روز هفته]],TDaysOfTheWeek[],2,FALSE)</f>
        <v>یکشنبه</v>
      </c>
      <c r="H743" s="16">
        <f>IFERROR(IF(E742&lt;&gt;E743,1,INT(H742)+IF(TDays[[#This Row],[کد روز هفته]]=0,1,0)),1)</f>
        <v>3</v>
      </c>
      <c r="I743">
        <f>-SUMIF(TArticle[تاریخ],TDays[[#This Row],[تاریخ]],TArticle[هزینه])</f>
        <v>0</v>
      </c>
      <c r="J743">
        <f>SUMIF(TArticle[تاریخ],TDays[[#This Row],[تاریخ]],TArticle[درآمد تتا])</f>
        <v>0</v>
      </c>
      <c r="K743">
        <f>SUMIF(TArticle[تاریخ],TDays[[#This Row],[تاریخ]],TArticle[اسنپ])</f>
        <v>0</v>
      </c>
      <c r="L743">
        <f>-SUMIF(TArticle[تاریخ],TDays[[#This Row],[تاریخ]],TArticle[پرداخت بدهی])</f>
        <v>0</v>
      </c>
      <c r="M743">
        <f>SUMIF(TArticle[تاریخ],TDays[[#This Row],[تاریخ]],TArticle[افزایش بدهی])</f>
        <v>0</v>
      </c>
      <c r="N743">
        <f>-SUMIF(TArticle[تاریخ],TDays[[#This Row],[تاریخ]],TArticle[افزایش سرمایه])</f>
        <v>0</v>
      </c>
      <c r="O743">
        <f>SUMIF(TArticle[تاریخ],TDays[[#This Row],[تاریخ]],TArticle[تعداد تراکنش انجام شده])</f>
        <v>0</v>
      </c>
      <c r="P743">
        <f>INT(((TDays[[#This Row],[ماه]]-1)*31+TDays[[#This Row],[روز]]+1)/7)+1</f>
        <v>2</v>
      </c>
      <c r="Q743">
        <f>SUMIF(TArticle[تاریخ],TDays[[#This Row],[تاریخ]],TArticle[تراکنش برنامه ریزی شده])</f>
        <v>0</v>
      </c>
    </row>
    <row r="744" spans="1:17" x14ac:dyDescent="0.25">
      <c r="A744" s="3" t="s">
        <v>1240</v>
      </c>
      <c r="B744" t="str">
        <f>RIGHT(TDays[[#This Row],[تاریخ]],2)</f>
        <v>13</v>
      </c>
      <c r="C744" t="str">
        <f>RIGHT(LEFT(TDays[[#This Row],[تاریخ]],7),2)</f>
        <v>01</v>
      </c>
      <c r="D744" t="str">
        <f>LEFT(TDays[[#This Row],[تاریخ]],4)</f>
        <v>1403</v>
      </c>
      <c r="E744" t="str">
        <f>LEFT(TDays[[#This Row],[تاریخ]],7)</f>
        <v>1403-01</v>
      </c>
      <c r="F744">
        <v>2</v>
      </c>
      <c r="G744" s="16" t="str">
        <f>VLOOKUP(TDays[[#This Row],[کد روز هفته]],TDaysOfTheWeek[],2,FALSE)</f>
        <v>دوشنبه</v>
      </c>
      <c r="H744" s="16">
        <f>IFERROR(IF(E743&lt;&gt;E744,1,INT(H743)+IF(TDays[[#This Row],[کد روز هفته]]=0,1,0)),1)</f>
        <v>3</v>
      </c>
      <c r="I744">
        <f>-SUMIF(TArticle[تاریخ],TDays[[#This Row],[تاریخ]],TArticle[هزینه])</f>
        <v>0</v>
      </c>
      <c r="J744">
        <f>SUMIF(TArticle[تاریخ],TDays[[#This Row],[تاریخ]],TArticle[درآمد تتا])</f>
        <v>0</v>
      </c>
      <c r="K744">
        <f>SUMIF(TArticle[تاریخ],TDays[[#This Row],[تاریخ]],TArticle[اسنپ])</f>
        <v>0</v>
      </c>
      <c r="L744">
        <f>-SUMIF(TArticle[تاریخ],TDays[[#This Row],[تاریخ]],TArticle[پرداخت بدهی])</f>
        <v>0</v>
      </c>
      <c r="M744">
        <f>SUMIF(TArticle[تاریخ],TDays[[#This Row],[تاریخ]],TArticle[افزایش بدهی])</f>
        <v>0</v>
      </c>
      <c r="N744">
        <f>-SUMIF(TArticle[تاریخ],TDays[[#This Row],[تاریخ]],TArticle[افزایش سرمایه])</f>
        <v>0</v>
      </c>
      <c r="O744">
        <f>SUMIF(TArticle[تاریخ],TDays[[#This Row],[تاریخ]],TArticle[تعداد تراکنش انجام شده])</f>
        <v>0</v>
      </c>
      <c r="P744">
        <f>INT(((TDays[[#This Row],[ماه]]-1)*31+TDays[[#This Row],[روز]]+1)/7)+1</f>
        <v>3</v>
      </c>
      <c r="Q744">
        <f>SUMIF(TArticle[تاریخ],TDays[[#This Row],[تاریخ]],TArticle[تراکنش برنامه ریزی شده])</f>
        <v>0</v>
      </c>
    </row>
    <row r="745" spans="1:17" x14ac:dyDescent="0.25">
      <c r="A745" s="3" t="s">
        <v>1241</v>
      </c>
      <c r="B745" t="str">
        <f>RIGHT(TDays[[#This Row],[تاریخ]],2)</f>
        <v>14</v>
      </c>
      <c r="C745" t="str">
        <f>RIGHT(LEFT(TDays[[#This Row],[تاریخ]],7),2)</f>
        <v>01</v>
      </c>
      <c r="D745" t="str">
        <f>LEFT(TDays[[#This Row],[تاریخ]],4)</f>
        <v>1403</v>
      </c>
      <c r="E745" t="str">
        <f>LEFT(TDays[[#This Row],[تاریخ]],7)</f>
        <v>1403-01</v>
      </c>
      <c r="F745">
        <v>3</v>
      </c>
      <c r="G745" s="16" t="str">
        <f>VLOOKUP(TDays[[#This Row],[کد روز هفته]],TDaysOfTheWeek[],2,FALSE)</f>
        <v>سه شنبه</v>
      </c>
      <c r="H745" s="16">
        <f>IFERROR(IF(E744&lt;&gt;E745,1,INT(H744)+IF(TDays[[#This Row],[کد روز هفته]]=0,1,0)),1)</f>
        <v>3</v>
      </c>
      <c r="I745">
        <f>-SUMIF(TArticle[تاریخ],TDays[[#This Row],[تاریخ]],TArticle[هزینه])</f>
        <v>0</v>
      </c>
      <c r="J745">
        <f>SUMIF(TArticle[تاریخ],TDays[[#This Row],[تاریخ]],TArticle[درآمد تتا])</f>
        <v>0</v>
      </c>
      <c r="K745">
        <f>SUMIF(TArticle[تاریخ],TDays[[#This Row],[تاریخ]],TArticle[اسنپ])</f>
        <v>0</v>
      </c>
      <c r="L745">
        <f>-SUMIF(TArticle[تاریخ],TDays[[#This Row],[تاریخ]],TArticle[پرداخت بدهی])</f>
        <v>0</v>
      </c>
      <c r="M745">
        <f>SUMIF(TArticle[تاریخ],TDays[[#This Row],[تاریخ]],TArticle[افزایش بدهی])</f>
        <v>0</v>
      </c>
      <c r="N745">
        <f>-SUMIF(TArticle[تاریخ],TDays[[#This Row],[تاریخ]],TArticle[افزایش سرمایه])</f>
        <v>0</v>
      </c>
      <c r="O745">
        <f>SUMIF(TArticle[تاریخ],TDays[[#This Row],[تاریخ]],TArticle[تعداد تراکنش انجام شده])</f>
        <v>0</v>
      </c>
      <c r="P745">
        <f>INT(((TDays[[#This Row],[ماه]]-1)*31+TDays[[#This Row],[روز]]+1)/7)+1</f>
        <v>3</v>
      </c>
      <c r="Q745">
        <f>SUMIF(TArticle[تاریخ],TDays[[#This Row],[تاریخ]],TArticle[تراکنش برنامه ریزی شده])</f>
        <v>0</v>
      </c>
    </row>
    <row r="746" spans="1:17" x14ac:dyDescent="0.25">
      <c r="A746" s="3" t="s">
        <v>1242</v>
      </c>
      <c r="B746" t="str">
        <f>RIGHT(TDays[[#This Row],[تاریخ]],2)</f>
        <v>15</v>
      </c>
      <c r="C746" t="str">
        <f>RIGHT(LEFT(TDays[[#This Row],[تاریخ]],7),2)</f>
        <v>01</v>
      </c>
      <c r="D746" t="str">
        <f>LEFT(TDays[[#This Row],[تاریخ]],4)</f>
        <v>1403</v>
      </c>
      <c r="E746" t="str">
        <f>LEFT(TDays[[#This Row],[تاریخ]],7)</f>
        <v>1403-01</v>
      </c>
      <c r="F746">
        <v>4</v>
      </c>
      <c r="G746" s="16" t="str">
        <f>VLOOKUP(TDays[[#This Row],[کد روز هفته]],TDaysOfTheWeek[],2,FALSE)</f>
        <v>چهارشنبه</v>
      </c>
      <c r="H746" s="16">
        <f>IFERROR(IF(E745&lt;&gt;E746,1,INT(H745)+IF(TDays[[#This Row],[کد روز هفته]]=0,1,0)),1)</f>
        <v>3</v>
      </c>
      <c r="I746">
        <f>-SUMIF(TArticle[تاریخ],TDays[[#This Row],[تاریخ]],TArticle[هزینه])</f>
        <v>0</v>
      </c>
      <c r="J746">
        <f>SUMIF(TArticle[تاریخ],TDays[[#This Row],[تاریخ]],TArticle[درآمد تتا])</f>
        <v>0</v>
      </c>
      <c r="K746">
        <f>SUMIF(TArticle[تاریخ],TDays[[#This Row],[تاریخ]],TArticle[اسنپ])</f>
        <v>0</v>
      </c>
      <c r="L746">
        <f>-SUMIF(TArticle[تاریخ],TDays[[#This Row],[تاریخ]],TArticle[پرداخت بدهی])</f>
        <v>0</v>
      </c>
      <c r="M746">
        <f>SUMIF(TArticle[تاریخ],TDays[[#This Row],[تاریخ]],TArticle[افزایش بدهی])</f>
        <v>0</v>
      </c>
      <c r="N746">
        <f>-SUMIF(TArticle[تاریخ],TDays[[#This Row],[تاریخ]],TArticle[افزایش سرمایه])</f>
        <v>0</v>
      </c>
      <c r="O746">
        <f>SUMIF(TArticle[تاریخ],TDays[[#This Row],[تاریخ]],TArticle[تعداد تراکنش انجام شده])</f>
        <v>0</v>
      </c>
      <c r="P746">
        <f>INT(((TDays[[#This Row],[ماه]]-1)*31+TDays[[#This Row],[روز]]+1)/7)+1</f>
        <v>3</v>
      </c>
      <c r="Q746">
        <f>SUMIF(TArticle[تاریخ],TDays[[#This Row],[تاریخ]],TArticle[تراکنش برنامه ریزی شده])</f>
        <v>0</v>
      </c>
    </row>
    <row r="747" spans="1:17" x14ac:dyDescent="0.25">
      <c r="A747" s="3" t="s">
        <v>1243</v>
      </c>
      <c r="B747" t="str">
        <f>RIGHT(TDays[[#This Row],[تاریخ]],2)</f>
        <v>16</v>
      </c>
      <c r="C747" t="str">
        <f>RIGHT(LEFT(TDays[[#This Row],[تاریخ]],7),2)</f>
        <v>01</v>
      </c>
      <c r="D747" t="str">
        <f>LEFT(TDays[[#This Row],[تاریخ]],4)</f>
        <v>1403</v>
      </c>
      <c r="E747" t="str">
        <f>LEFT(TDays[[#This Row],[تاریخ]],7)</f>
        <v>1403-01</v>
      </c>
      <c r="F747">
        <v>5</v>
      </c>
      <c r="G747" s="16" t="str">
        <f>VLOOKUP(TDays[[#This Row],[کد روز هفته]],TDaysOfTheWeek[],2,FALSE)</f>
        <v>پنجشنبه</v>
      </c>
      <c r="H747" s="16">
        <f>IFERROR(IF(E746&lt;&gt;E747,1,INT(H746)+IF(TDays[[#This Row],[کد روز هفته]]=0,1,0)),1)</f>
        <v>3</v>
      </c>
      <c r="I747">
        <f>-SUMIF(TArticle[تاریخ],TDays[[#This Row],[تاریخ]],TArticle[هزینه])</f>
        <v>0</v>
      </c>
      <c r="J747">
        <f>SUMIF(TArticle[تاریخ],TDays[[#This Row],[تاریخ]],TArticle[درآمد تتا])</f>
        <v>0</v>
      </c>
      <c r="K747">
        <f>SUMIF(TArticle[تاریخ],TDays[[#This Row],[تاریخ]],TArticle[اسنپ])</f>
        <v>0</v>
      </c>
      <c r="L747">
        <f>-SUMIF(TArticle[تاریخ],TDays[[#This Row],[تاریخ]],TArticle[پرداخت بدهی])</f>
        <v>0</v>
      </c>
      <c r="M747">
        <f>SUMIF(TArticle[تاریخ],TDays[[#This Row],[تاریخ]],TArticle[افزایش بدهی])</f>
        <v>0</v>
      </c>
      <c r="N747">
        <f>-SUMIF(TArticle[تاریخ],TDays[[#This Row],[تاریخ]],TArticle[افزایش سرمایه])</f>
        <v>0</v>
      </c>
      <c r="O747">
        <f>SUMIF(TArticle[تاریخ],TDays[[#This Row],[تاریخ]],TArticle[تعداد تراکنش انجام شده])</f>
        <v>0</v>
      </c>
      <c r="P747">
        <f>INT(((TDays[[#This Row],[ماه]]-1)*31+TDays[[#This Row],[روز]]+1)/7)+1</f>
        <v>3</v>
      </c>
      <c r="Q747">
        <f>SUMIF(TArticle[تاریخ],TDays[[#This Row],[تاریخ]],TArticle[تراکنش برنامه ریزی شده])</f>
        <v>0</v>
      </c>
    </row>
    <row r="748" spans="1:17" x14ac:dyDescent="0.25">
      <c r="A748" s="3" t="s">
        <v>1244</v>
      </c>
      <c r="B748" t="str">
        <f>RIGHT(TDays[[#This Row],[تاریخ]],2)</f>
        <v>17</v>
      </c>
      <c r="C748" t="str">
        <f>RIGHT(LEFT(TDays[[#This Row],[تاریخ]],7),2)</f>
        <v>01</v>
      </c>
      <c r="D748" t="str">
        <f>LEFT(TDays[[#This Row],[تاریخ]],4)</f>
        <v>1403</v>
      </c>
      <c r="E748" t="str">
        <f>LEFT(TDays[[#This Row],[تاریخ]],7)</f>
        <v>1403-01</v>
      </c>
      <c r="F748">
        <v>6</v>
      </c>
      <c r="G748" s="16" t="str">
        <f>VLOOKUP(TDays[[#This Row],[کد روز هفته]],TDaysOfTheWeek[],2,FALSE)</f>
        <v>جمعه</v>
      </c>
      <c r="H748" s="16">
        <f>IFERROR(IF(E747&lt;&gt;E748,1,INT(H747)+IF(TDays[[#This Row],[کد روز هفته]]=0,1,0)),1)</f>
        <v>3</v>
      </c>
      <c r="I748">
        <f>-SUMIF(TArticle[تاریخ],TDays[[#This Row],[تاریخ]],TArticle[هزینه])</f>
        <v>0</v>
      </c>
      <c r="J748">
        <f>SUMIF(TArticle[تاریخ],TDays[[#This Row],[تاریخ]],TArticle[درآمد تتا])</f>
        <v>0</v>
      </c>
      <c r="K748">
        <f>SUMIF(TArticle[تاریخ],TDays[[#This Row],[تاریخ]],TArticle[اسنپ])</f>
        <v>0</v>
      </c>
      <c r="L748">
        <f>-SUMIF(TArticle[تاریخ],TDays[[#This Row],[تاریخ]],TArticle[پرداخت بدهی])</f>
        <v>0</v>
      </c>
      <c r="M748">
        <f>SUMIF(TArticle[تاریخ],TDays[[#This Row],[تاریخ]],TArticle[افزایش بدهی])</f>
        <v>0</v>
      </c>
      <c r="N748">
        <f>-SUMIF(TArticle[تاریخ],TDays[[#This Row],[تاریخ]],TArticle[افزایش سرمایه])</f>
        <v>0</v>
      </c>
      <c r="O748">
        <f>SUMIF(TArticle[تاریخ],TDays[[#This Row],[تاریخ]],TArticle[تعداد تراکنش انجام شده])</f>
        <v>0</v>
      </c>
      <c r="P748">
        <f>INT(((TDays[[#This Row],[ماه]]-1)*31+TDays[[#This Row],[روز]]+1)/7)+1</f>
        <v>3</v>
      </c>
      <c r="Q748">
        <f>SUMIF(TArticle[تاریخ],TDays[[#This Row],[تاریخ]],TArticle[تراکنش برنامه ریزی شده])</f>
        <v>0</v>
      </c>
    </row>
    <row r="749" spans="1:17" x14ac:dyDescent="0.25">
      <c r="A749" s="3" t="s">
        <v>1245</v>
      </c>
      <c r="B749" t="str">
        <f>RIGHT(TDays[[#This Row],[تاریخ]],2)</f>
        <v>18</v>
      </c>
      <c r="C749" t="str">
        <f>RIGHT(LEFT(TDays[[#This Row],[تاریخ]],7),2)</f>
        <v>01</v>
      </c>
      <c r="D749" t="str">
        <f>LEFT(TDays[[#This Row],[تاریخ]],4)</f>
        <v>1403</v>
      </c>
      <c r="E749" t="str">
        <f>LEFT(TDays[[#This Row],[تاریخ]],7)</f>
        <v>1403-01</v>
      </c>
      <c r="F749">
        <v>0</v>
      </c>
      <c r="G749" s="16" t="str">
        <f>VLOOKUP(TDays[[#This Row],[کد روز هفته]],TDaysOfTheWeek[],2,FALSE)</f>
        <v>شنبه</v>
      </c>
      <c r="H749" s="16">
        <f>IFERROR(IF(E748&lt;&gt;E749,1,INT(H748)+IF(TDays[[#This Row],[کد روز هفته]]=0,1,0)),1)</f>
        <v>4</v>
      </c>
      <c r="I749">
        <f>-SUMIF(TArticle[تاریخ],TDays[[#This Row],[تاریخ]],TArticle[هزینه])</f>
        <v>0</v>
      </c>
      <c r="J749">
        <f>SUMIF(TArticle[تاریخ],TDays[[#This Row],[تاریخ]],TArticle[درآمد تتا])</f>
        <v>0</v>
      </c>
      <c r="K749">
        <f>SUMIF(TArticle[تاریخ],TDays[[#This Row],[تاریخ]],TArticle[اسنپ])</f>
        <v>0</v>
      </c>
      <c r="L749">
        <f>-SUMIF(TArticle[تاریخ],TDays[[#This Row],[تاریخ]],TArticle[پرداخت بدهی])</f>
        <v>0</v>
      </c>
      <c r="M749">
        <f>SUMIF(TArticle[تاریخ],TDays[[#This Row],[تاریخ]],TArticle[افزایش بدهی])</f>
        <v>0</v>
      </c>
      <c r="N749">
        <f>-SUMIF(TArticle[تاریخ],TDays[[#This Row],[تاریخ]],TArticle[افزایش سرمایه])</f>
        <v>0</v>
      </c>
      <c r="O749">
        <f>SUMIF(TArticle[تاریخ],TDays[[#This Row],[تاریخ]],TArticle[تعداد تراکنش انجام شده])</f>
        <v>0</v>
      </c>
      <c r="P749">
        <f>INT(((TDays[[#This Row],[ماه]]-1)*31+TDays[[#This Row],[روز]]+1)/7)+1</f>
        <v>3</v>
      </c>
      <c r="Q749">
        <f>SUMIF(TArticle[تاریخ],TDays[[#This Row],[تاریخ]],TArticle[تراکنش برنامه ریزی شده])</f>
        <v>0</v>
      </c>
    </row>
    <row r="750" spans="1:17" x14ac:dyDescent="0.25">
      <c r="A750" s="3" t="s">
        <v>1246</v>
      </c>
      <c r="B750" t="str">
        <f>RIGHT(TDays[[#This Row],[تاریخ]],2)</f>
        <v>19</v>
      </c>
      <c r="C750" t="str">
        <f>RIGHT(LEFT(TDays[[#This Row],[تاریخ]],7),2)</f>
        <v>01</v>
      </c>
      <c r="D750" t="str">
        <f>LEFT(TDays[[#This Row],[تاریخ]],4)</f>
        <v>1403</v>
      </c>
      <c r="E750" t="str">
        <f>LEFT(TDays[[#This Row],[تاریخ]],7)</f>
        <v>1403-01</v>
      </c>
      <c r="F750">
        <v>1</v>
      </c>
      <c r="G750" s="16" t="str">
        <f>VLOOKUP(TDays[[#This Row],[کد روز هفته]],TDaysOfTheWeek[],2,FALSE)</f>
        <v>یکشنبه</v>
      </c>
      <c r="H750" s="16">
        <f>IFERROR(IF(E749&lt;&gt;E750,1,INT(H749)+IF(TDays[[#This Row],[کد روز هفته]]=0,1,0)),1)</f>
        <v>4</v>
      </c>
      <c r="I750">
        <f>-SUMIF(TArticle[تاریخ],TDays[[#This Row],[تاریخ]],TArticle[هزینه])</f>
        <v>0</v>
      </c>
      <c r="J750">
        <f>SUMIF(TArticle[تاریخ],TDays[[#This Row],[تاریخ]],TArticle[درآمد تتا])</f>
        <v>0</v>
      </c>
      <c r="K750">
        <f>SUMIF(TArticle[تاریخ],TDays[[#This Row],[تاریخ]],TArticle[اسنپ])</f>
        <v>0</v>
      </c>
      <c r="L750">
        <f>-SUMIF(TArticle[تاریخ],TDays[[#This Row],[تاریخ]],TArticle[پرداخت بدهی])</f>
        <v>0</v>
      </c>
      <c r="M750">
        <f>SUMIF(TArticle[تاریخ],TDays[[#This Row],[تاریخ]],TArticle[افزایش بدهی])</f>
        <v>0</v>
      </c>
      <c r="N750">
        <f>-SUMIF(TArticle[تاریخ],TDays[[#This Row],[تاریخ]],TArticle[افزایش سرمایه])</f>
        <v>0</v>
      </c>
      <c r="O750">
        <f>SUMIF(TArticle[تاریخ],TDays[[#This Row],[تاریخ]],TArticle[تعداد تراکنش انجام شده])</f>
        <v>0</v>
      </c>
      <c r="P750">
        <f>INT(((TDays[[#This Row],[ماه]]-1)*31+TDays[[#This Row],[روز]]+1)/7)+1</f>
        <v>3</v>
      </c>
      <c r="Q750">
        <f>SUMIF(TArticle[تاریخ],TDays[[#This Row],[تاریخ]],TArticle[تراکنش برنامه ریزی شده])</f>
        <v>0</v>
      </c>
    </row>
    <row r="751" spans="1:17" x14ac:dyDescent="0.25">
      <c r="A751" s="3" t="s">
        <v>1247</v>
      </c>
      <c r="B751" t="str">
        <f>RIGHT(TDays[[#This Row],[تاریخ]],2)</f>
        <v>20</v>
      </c>
      <c r="C751" t="str">
        <f>RIGHT(LEFT(TDays[[#This Row],[تاریخ]],7),2)</f>
        <v>01</v>
      </c>
      <c r="D751" t="str">
        <f>LEFT(TDays[[#This Row],[تاریخ]],4)</f>
        <v>1403</v>
      </c>
      <c r="E751" t="str">
        <f>LEFT(TDays[[#This Row],[تاریخ]],7)</f>
        <v>1403-01</v>
      </c>
      <c r="F751">
        <v>2</v>
      </c>
      <c r="G751" s="16" t="str">
        <f>VLOOKUP(TDays[[#This Row],[کد روز هفته]],TDaysOfTheWeek[],2,FALSE)</f>
        <v>دوشنبه</v>
      </c>
      <c r="H751" s="16">
        <f>IFERROR(IF(E750&lt;&gt;E751,1,INT(H750)+IF(TDays[[#This Row],[کد روز هفته]]=0,1,0)),1)</f>
        <v>4</v>
      </c>
      <c r="I751">
        <f>-SUMIF(TArticle[تاریخ],TDays[[#This Row],[تاریخ]],TArticle[هزینه])</f>
        <v>0</v>
      </c>
      <c r="J751">
        <f>SUMIF(TArticle[تاریخ],TDays[[#This Row],[تاریخ]],TArticle[درآمد تتا])</f>
        <v>0</v>
      </c>
      <c r="K751">
        <f>SUMIF(TArticle[تاریخ],TDays[[#This Row],[تاریخ]],TArticle[اسنپ])</f>
        <v>0</v>
      </c>
      <c r="L751">
        <f>-SUMIF(TArticle[تاریخ],TDays[[#This Row],[تاریخ]],TArticle[پرداخت بدهی])</f>
        <v>0</v>
      </c>
      <c r="M751">
        <f>SUMIF(TArticle[تاریخ],TDays[[#This Row],[تاریخ]],TArticle[افزایش بدهی])</f>
        <v>0</v>
      </c>
      <c r="N751">
        <f>-SUMIF(TArticle[تاریخ],TDays[[#This Row],[تاریخ]],TArticle[افزایش سرمایه])</f>
        <v>0</v>
      </c>
      <c r="O751">
        <f>SUMIF(TArticle[تاریخ],TDays[[#This Row],[تاریخ]],TArticle[تعداد تراکنش انجام شده])</f>
        <v>0</v>
      </c>
      <c r="P751">
        <f>INT(((TDays[[#This Row],[ماه]]-1)*31+TDays[[#This Row],[روز]]+1)/7)+1</f>
        <v>4</v>
      </c>
      <c r="Q751">
        <f>SUMIF(TArticle[تاریخ],TDays[[#This Row],[تاریخ]],TArticle[تراکنش برنامه ریزی شده])</f>
        <v>1</v>
      </c>
    </row>
    <row r="752" spans="1:17" x14ac:dyDescent="0.25">
      <c r="A752" s="3" t="s">
        <v>1248</v>
      </c>
      <c r="B752" t="str">
        <f>RIGHT(TDays[[#This Row],[تاریخ]],2)</f>
        <v>21</v>
      </c>
      <c r="C752" t="str">
        <f>RIGHT(LEFT(TDays[[#This Row],[تاریخ]],7),2)</f>
        <v>01</v>
      </c>
      <c r="D752" t="str">
        <f>LEFT(TDays[[#This Row],[تاریخ]],4)</f>
        <v>1403</v>
      </c>
      <c r="E752" t="str">
        <f>LEFT(TDays[[#This Row],[تاریخ]],7)</f>
        <v>1403-01</v>
      </c>
      <c r="F752">
        <v>3</v>
      </c>
      <c r="G752" s="16" t="str">
        <f>VLOOKUP(TDays[[#This Row],[کد روز هفته]],TDaysOfTheWeek[],2,FALSE)</f>
        <v>سه شنبه</v>
      </c>
      <c r="H752" s="16">
        <f>IFERROR(IF(E751&lt;&gt;E752,1,INT(H751)+IF(TDays[[#This Row],[کد روز هفته]]=0,1,0)),1)</f>
        <v>4</v>
      </c>
      <c r="I752">
        <f>-SUMIF(TArticle[تاریخ],TDays[[#This Row],[تاریخ]],TArticle[هزینه])</f>
        <v>0</v>
      </c>
      <c r="J752">
        <f>SUMIF(TArticle[تاریخ],TDays[[#This Row],[تاریخ]],TArticle[درآمد تتا])</f>
        <v>0</v>
      </c>
      <c r="K752">
        <f>SUMIF(TArticle[تاریخ],TDays[[#This Row],[تاریخ]],TArticle[اسنپ])</f>
        <v>0</v>
      </c>
      <c r="L752">
        <f>-SUMIF(TArticle[تاریخ],TDays[[#This Row],[تاریخ]],TArticle[پرداخت بدهی])</f>
        <v>0</v>
      </c>
      <c r="M752">
        <f>SUMIF(TArticle[تاریخ],TDays[[#This Row],[تاریخ]],TArticle[افزایش بدهی])</f>
        <v>0</v>
      </c>
      <c r="N752">
        <f>-SUMIF(TArticle[تاریخ],TDays[[#This Row],[تاریخ]],TArticle[افزایش سرمایه])</f>
        <v>0</v>
      </c>
      <c r="O752">
        <f>SUMIF(TArticle[تاریخ],TDays[[#This Row],[تاریخ]],TArticle[تعداد تراکنش انجام شده])</f>
        <v>0</v>
      </c>
      <c r="P752">
        <f>INT(((TDays[[#This Row],[ماه]]-1)*31+TDays[[#This Row],[روز]]+1)/7)+1</f>
        <v>4</v>
      </c>
      <c r="Q752">
        <f>SUMIF(TArticle[تاریخ],TDays[[#This Row],[تاریخ]],TArticle[تراکنش برنامه ریزی شده])</f>
        <v>0</v>
      </c>
    </row>
    <row r="753" spans="1:17" x14ac:dyDescent="0.25">
      <c r="A753" s="3" t="s">
        <v>1249</v>
      </c>
      <c r="B753" t="str">
        <f>RIGHT(TDays[[#This Row],[تاریخ]],2)</f>
        <v>22</v>
      </c>
      <c r="C753" t="str">
        <f>RIGHT(LEFT(TDays[[#This Row],[تاریخ]],7),2)</f>
        <v>01</v>
      </c>
      <c r="D753" t="str">
        <f>LEFT(TDays[[#This Row],[تاریخ]],4)</f>
        <v>1403</v>
      </c>
      <c r="E753" t="str">
        <f>LEFT(TDays[[#This Row],[تاریخ]],7)</f>
        <v>1403-01</v>
      </c>
      <c r="F753">
        <v>4</v>
      </c>
      <c r="G753" s="16" t="str">
        <f>VLOOKUP(TDays[[#This Row],[کد روز هفته]],TDaysOfTheWeek[],2,FALSE)</f>
        <v>چهارشنبه</v>
      </c>
      <c r="H753" s="16">
        <f>IFERROR(IF(E752&lt;&gt;E753,1,INT(H752)+IF(TDays[[#This Row],[کد روز هفته]]=0,1,0)),1)</f>
        <v>4</v>
      </c>
      <c r="I753">
        <f>-SUMIF(TArticle[تاریخ],TDays[[#This Row],[تاریخ]],TArticle[هزینه])</f>
        <v>0</v>
      </c>
      <c r="J753">
        <f>SUMIF(TArticle[تاریخ],TDays[[#This Row],[تاریخ]],TArticle[درآمد تتا])</f>
        <v>0</v>
      </c>
      <c r="K753">
        <f>SUMIF(TArticle[تاریخ],TDays[[#This Row],[تاریخ]],TArticle[اسنپ])</f>
        <v>0</v>
      </c>
      <c r="L753">
        <f>-SUMIF(TArticle[تاریخ],TDays[[#This Row],[تاریخ]],TArticle[پرداخت بدهی])</f>
        <v>0</v>
      </c>
      <c r="M753">
        <f>SUMIF(TArticle[تاریخ],TDays[[#This Row],[تاریخ]],TArticle[افزایش بدهی])</f>
        <v>0</v>
      </c>
      <c r="N753">
        <f>-SUMIF(TArticle[تاریخ],TDays[[#This Row],[تاریخ]],TArticle[افزایش سرمایه])</f>
        <v>0</v>
      </c>
      <c r="O753">
        <f>SUMIF(TArticle[تاریخ],TDays[[#This Row],[تاریخ]],TArticle[تعداد تراکنش انجام شده])</f>
        <v>0</v>
      </c>
      <c r="P753">
        <f>INT(((TDays[[#This Row],[ماه]]-1)*31+TDays[[#This Row],[روز]]+1)/7)+1</f>
        <v>4</v>
      </c>
      <c r="Q753">
        <f>SUMIF(TArticle[تاریخ],TDays[[#This Row],[تاریخ]],TArticle[تراکنش برنامه ریزی شده])</f>
        <v>0</v>
      </c>
    </row>
    <row r="754" spans="1:17" x14ac:dyDescent="0.25">
      <c r="A754" s="3" t="s">
        <v>1250</v>
      </c>
      <c r="B754" t="str">
        <f>RIGHT(TDays[[#This Row],[تاریخ]],2)</f>
        <v>23</v>
      </c>
      <c r="C754" t="str">
        <f>RIGHT(LEFT(TDays[[#This Row],[تاریخ]],7),2)</f>
        <v>01</v>
      </c>
      <c r="D754" t="str">
        <f>LEFT(TDays[[#This Row],[تاریخ]],4)</f>
        <v>1403</v>
      </c>
      <c r="E754" t="str">
        <f>LEFT(TDays[[#This Row],[تاریخ]],7)</f>
        <v>1403-01</v>
      </c>
      <c r="F754">
        <v>5</v>
      </c>
      <c r="G754" s="16" t="str">
        <f>VLOOKUP(TDays[[#This Row],[کد روز هفته]],TDaysOfTheWeek[],2,FALSE)</f>
        <v>پنجشنبه</v>
      </c>
      <c r="H754" s="16">
        <f>IFERROR(IF(E753&lt;&gt;E754,1,INT(H753)+IF(TDays[[#This Row],[کد روز هفته]]=0,1,0)),1)</f>
        <v>4</v>
      </c>
      <c r="I754">
        <f>-SUMIF(TArticle[تاریخ],TDays[[#This Row],[تاریخ]],TArticle[هزینه])</f>
        <v>0</v>
      </c>
      <c r="J754">
        <f>SUMIF(TArticle[تاریخ],TDays[[#This Row],[تاریخ]],TArticle[درآمد تتا])</f>
        <v>0</v>
      </c>
      <c r="K754">
        <f>SUMIF(TArticle[تاریخ],TDays[[#This Row],[تاریخ]],TArticle[اسنپ])</f>
        <v>0</v>
      </c>
      <c r="L754">
        <f>-SUMIF(TArticle[تاریخ],TDays[[#This Row],[تاریخ]],TArticle[پرداخت بدهی])</f>
        <v>0</v>
      </c>
      <c r="M754">
        <f>SUMIF(TArticle[تاریخ],TDays[[#This Row],[تاریخ]],TArticle[افزایش بدهی])</f>
        <v>0</v>
      </c>
      <c r="N754">
        <f>-SUMIF(TArticle[تاریخ],TDays[[#This Row],[تاریخ]],TArticle[افزایش سرمایه])</f>
        <v>0</v>
      </c>
      <c r="O754">
        <f>SUMIF(TArticle[تاریخ],TDays[[#This Row],[تاریخ]],TArticle[تعداد تراکنش انجام شده])</f>
        <v>0</v>
      </c>
      <c r="P754">
        <f>INT(((TDays[[#This Row],[ماه]]-1)*31+TDays[[#This Row],[روز]]+1)/7)+1</f>
        <v>4</v>
      </c>
      <c r="Q754">
        <f>SUMIF(TArticle[تاریخ],TDays[[#This Row],[تاریخ]],TArticle[تراکنش برنامه ریزی شده])</f>
        <v>0</v>
      </c>
    </row>
    <row r="755" spans="1:17" x14ac:dyDescent="0.25">
      <c r="A755" s="3" t="s">
        <v>1251</v>
      </c>
      <c r="B755" t="str">
        <f>RIGHT(TDays[[#This Row],[تاریخ]],2)</f>
        <v>24</v>
      </c>
      <c r="C755" t="str">
        <f>RIGHT(LEFT(TDays[[#This Row],[تاریخ]],7),2)</f>
        <v>01</v>
      </c>
      <c r="D755" t="str">
        <f>LEFT(TDays[[#This Row],[تاریخ]],4)</f>
        <v>1403</v>
      </c>
      <c r="E755" t="str">
        <f>LEFT(TDays[[#This Row],[تاریخ]],7)</f>
        <v>1403-01</v>
      </c>
      <c r="F755">
        <v>6</v>
      </c>
      <c r="G755" s="16" t="str">
        <f>VLOOKUP(TDays[[#This Row],[کد روز هفته]],TDaysOfTheWeek[],2,FALSE)</f>
        <v>جمعه</v>
      </c>
      <c r="H755" s="16">
        <f>IFERROR(IF(E754&lt;&gt;E755,1,INT(H754)+IF(TDays[[#This Row],[کد روز هفته]]=0,1,0)),1)</f>
        <v>4</v>
      </c>
      <c r="I755">
        <f>-SUMIF(TArticle[تاریخ],TDays[[#This Row],[تاریخ]],TArticle[هزینه])</f>
        <v>0</v>
      </c>
      <c r="J755">
        <f>SUMIF(TArticle[تاریخ],TDays[[#This Row],[تاریخ]],TArticle[درآمد تتا])</f>
        <v>0</v>
      </c>
      <c r="K755">
        <f>SUMIF(TArticle[تاریخ],TDays[[#This Row],[تاریخ]],TArticle[اسنپ])</f>
        <v>0</v>
      </c>
      <c r="L755">
        <f>-SUMIF(TArticle[تاریخ],TDays[[#This Row],[تاریخ]],TArticle[پرداخت بدهی])</f>
        <v>0</v>
      </c>
      <c r="M755">
        <f>SUMIF(TArticle[تاریخ],TDays[[#This Row],[تاریخ]],TArticle[افزایش بدهی])</f>
        <v>0</v>
      </c>
      <c r="N755">
        <f>-SUMIF(TArticle[تاریخ],TDays[[#This Row],[تاریخ]],TArticle[افزایش سرمایه])</f>
        <v>0</v>
      </c>
      <c r="O755">
        <f>SUMIF(TArticle[تاریخ],TDays[[#This Row],[تاریخ]],TArticle[تعداد تراکنش انجام شده])</f>
        <v>0</v>
      </c>
      <c r="P755">
        <f>INT(((TDays[[#This Row],[ماه]]-1)*31+TDays[[#This Row],[روز]]+1)/7)+1</f>
        <v>4</v>
      </c>
      <c r="Q755">
        <f>SUMIF(TArticle[تاریخ],TDays[[#This Row],[تاریخ]],TArticle[تراکنش برنامه ریزی شده])</f>
        <v>0</v>
      </c>
    </row>
    <row r="756" spans="1:17" x14ac:dyDescent="0.25">
      <c r="A756" s="3" t="s">
        <v>1252</v>
      </c>
      <c r="B756" t="str">
        <f>RIGHT(TDays[[#This Row],[تاریخ]],2)</f>
        <v>25</v>
      </c>
      <c r="C756" t="str">
        <f>RIGHT(LEFT(TDays[[#This Row],[تاریخ]],7),2)</f>
        <v>01</v>
      </c>
      <c r="D756" t="str">
        <f>LEFT(TDays[[#This Row],[تاریخ]],4)</f>
        <v>1403</v>
      </c>
      <c r="E756" t="str">
        <f>LEFT(TDays[[#This Row],[تاریخ]],7)</f>
        <v>1403-01</v>
      </c>
      <c r="F756">
        <v>0</v>
      </c>
      <c r="G756" s="16" t="str">
        <f>VLOOKUP(TDays[[#This Row],[کد روز هفته]],TDaysOfTheWeek[],2,FALSE)</f>
        <v>شنبه</v>
      </c>
      <c r="H756" s="16">
        <f>IFERROR(IF(E755&lt;&gt;E756,1,INT(H755)+IF(TDays[[#This Row],[کد روز هفته]]=0,1,0)),1)</f>
        <v>5</v>
      </c>
      <c r="I756">
        <f>-SUMIF(TArticle[تاریخ],TDays[[#This Row],[تاریخ]],TArticle[هزینه])</f>
        <v>0</v>
      </c>
      <c r="J756">
        <f>SUMIF(TArticle[تاریخ],TDays[[#This Row],[تاریخ]],TArticle[درآمد تتا])</f>
        <v>0</v>
      </c>
      <c r="K756">
        <f>SUMIF(TArticle[تاریخ],TDays[[#This Row],[تاریخ]],TArticle[اسنپ])</f>
        <v>0</v>
      </c>
      <c r="L756">
        <f>-SUMIF(TArticle[تاریخ],TDays[[#This Row],[تاریخ]],TArticle[پرداخت بدهی])</f>
        <v>0</v>
      </c>
      <c r="M756">
        <f>SUMIF(TArticle[تاریخ],TDays[[#This Row],[تاریخ]],TArticle[افزایش بدهی])</f>
        <v>0</v>
      </c>
      <c r="N756">
        <f>-SUMIF(TArticle[تاریخ],TDays[[#This Row],[تاریخ]],TArticle[افزایش سرمایه])</f>
        <v>0</v>
      </c>
      <c r="O756">
        <f>SUMIF(TArticle[تاریخ],TDays[[#This Row],[تاریخ]],TArticle[تعداد تراکنش انجام شده])</f>
        <v>0</v>
      </c>
      <c r="P756">
        <f>INT(((TDays[[#This Row],[ماه]]-1)*31+TDays[[#This Row],[روز]]+1)/7)+1</f>
        <v>4</v>
      </c>
      <c r="Q756">
        <f>SUMIF(TArticle[تاریخ],TDays[[#This Row],[تاریخ]],TArticle[تراکنش برنامه ریزی شده])</f>
        <v>0</v>
      </c>
    </row>
    <row r="757" spans="1:17" x14ac:dyDescent="0.25">
      <c r="A757" s="3" t="s">
        <v>1253</v>
      </c>
      <c r="B757" t="str">
        <f>RIGHT(TDays[[#This Row],[تاریخ]],2)</f>
        <v>26</v>
      </c>
      <c r="C757" t="str">
        <f>RIGHT(LEFT(TDays[[#This Row],[تاریخ]],7),2)</f>
        <v>01</v>
      </c>
      <c r="D757" t="str">
        <f>LEFT(TDays[[#This Row],[تاریخ]],4)</f>
        <v>1403</v>
      </c>
      <c r="E757" t="str">
        <f>LEFT(TDays[[#This Row],[تاریخ]],7)</f>
        <v>1403-01</v>
      </c>
      <c r="F757">
        <v>1</v>
      </c>
      <c r="G757" s="16" t="str">
        <f>VLOOKUP(TDays[[#This Row],[کد روز هفته]],TDaysOfTheWeek[],2,FALSE)</f>
        <v>یکشنبه</v>
      </c>
      <c r="H757" s="16">
        <f>IFERROR(IF(E756&lt;&gt;E757,1,INT(H756)+IF(TDays[[#This Row],[کد روز هفته]]=0,1,0)),1)</f>
        <v>5</v>
      </c>
      <c r="I757">
        <f>-SUMIF(TArticle[تاریخ],TDays[[#This Row],[تاریخ]],TArticle[هزینه])</f>
        <v>0</v>
      </c>
      <c r="J757">
        <f>SUMIF(TArticle[تاریخ],TDays[[#This Row],[تاریخ]],TArticle[درآمد تتا])</f>
        <v>0</v>
      </c>
      <c r="K757">
        <f>SUMIF(TArticle[تاریخ],TDays[[#This Row],[تاریخ]],TArticle[اسنپ])</f>
        <v>0</v>
      </c>
      <c r="L757">
        <f>-SUMIF(TArticle[تاریخ],TDays[[#This Row],[تاریخ]],TArticle[پرداخت بدهی])</f>
        <v>0</v>
      </c>
      <c r="M757">
        <f>SUMIF(TArticle[تاریخ],TDays[[#This Row],[تاریخ]],TArticle[افزایش بدهی])</f>
        <v>0</v>
      </c>
      <c r="N757">
        <f>-SUMIF(TArticle[تاریخ],TDays[[#This Row],[تاریخ]],TArticle[افزایش سرمایه])</f>
        <v>0</v>
      </c>
      <c r="O757">
        <f>SUMIF(TArticle[تاریخ],TDays[[#This Row],[تاریخ]],TArticle[تعداد تراکنش انجام شده])</f>
        <v>0</v>
      </c>
      <c r="P757">
        <f>INT(((TDays[[#This Row],[ماه]]-1)*31+TDays[[#This Row],[روز]]+1)/7)+1</f>
        <v>4</v>
      </c>
      <c r="Q757">
        <f>SUMIF(TArticle[تاریخ],TDays[[#This Row],[تاریخ]],TArticle[تراکنش برنامه ریزی شده])</f>
        <v>0</v>
      </c>
    </row>
    <row r="758" spans="1:17" x14ac:dyDescent="0.25">
      <c r="A758" s="3" t="s">
        <v>1254</v>
      </c>
      <c r="B758" t="str">
        <f>RIGHT(TDays[[#This Row],[تاریخ]],2)</f>
        <v>27</v>
      </c>
      <c r="C758" t="str">
        <f>RIGHT(LEFT(TDays[[#This Row],[تاریخ]],7),2)</f>
        <v>01</v>
      </c>
      <c r="D758" t="str">
        <f>LEFT(TDays[[#This Row],[تاریخ]],4)</f>
        <v>1403</v>
      </c>
      <c r="E758" t="str">
        <f>LEFT(TDays[[#This Row],[تاریخ]],7)</f>
        <v>1403-01</v>
      </c>
      <c r="F758">
        <v>2</v>
      </c>
      <c r="G758" s="16" t="str">
        <f>VLOOKUP(TDays[[#This Row],[کد روز هفته]],TDaysOfTheWeek[],2,FALSE)</f>
        <v>دوشنبه</v>
      </c>
      <c r="H758" s="16">
        <f>IFERROR(IF(E757&lt;&gt;E758,1,INT(H757)+IF(TDays[[#This Row],[کد روز هفته]]=0,1,0)),1)</f>
        <v>5</v>
      </c>
      <c r="I758">
        <f>-SUMIF(TArticle[تاریخ],TDays[[#This Row],[تاریخ]],TArticle[هزینه])</f>
        <v>0</v>
      </c>
      <c r="J758">
        <f>SUMIF(TArticle[تاریخ],TDays[[#This Row],[تاریخ]],TArticle[درآمد تتا])</f>
        <v>0</v>
      </c>
      <c r="K758">
        <f>SUMIF(TArticle[تاریخ],TDays[[#This Row],[تاریخ]],TArticle[اسنپ])</f>
        <v>0</v>
      </c>
      <c r="L758">
        <f>-SUMIF(TArticle[تاریخ],TDays[[#This Row],[تاریخ]],TArticle[پرداخت بدهی])</f>
        <v>0</v>
      </c>
      <c r="M758">
        <f>SUMIF(TArticle[تاریخ],TDays[[#This Row],[تاریخ]],TArticle[افزایش بدهی])</f>
        <v>0</v>
      </c>
      <c r="N758">
        <f>-SUMIF(TArticle[تاریخ],TDays[[#This Row],[تاریخ]],TArticle[افزایش سرمایه])</f>
        <v>0</v>
      </c>
      <c r="O758">
        <f>SUMIF(TArticle[تاریخ],TDays[[#This Row],[تاریخ]],TArticle[تعداد تراکنش انجام شده])</f>
        <v>0</v>
      </c>
      <c r="P758">
        <f>INT(((TDays[[#This Row],[ماه]]-1)*31+TDays[[#This Row],[روز]]+1)/7)+1</f>
        <v>5</v>
      </c>
      <c r="Q758">
        <f>SUMIF(TArticle[تاریخ],TDays[[#This Row],[تاریخ]],TArticle[تراکنش برنامه ریزی شده])</f>
        <v>0</v>
      </c>
    </row>
    <row r="759" spans="1:17" x14ac:dyDescent="0.25">
      <c r="A759" s="3" t="s">
        <v>1255</v>
      </c>
      <c r="B759" t="str">
        <f>RIGHT(TDays[[#This Row],[تاریخ]],2)</f>
        <v>28</v>
      </c>
      <c r="C759" t="str">
        <f>RIGHT(LEFT(TDays[[#This Row],[تاریخ]],7),2)</f>
        <v>01</v>
      </c>
      <c r="D759" t="str">
        <f>LEFT(TDays[[#This Row],[تاریخ]],4)</f>
        <v>1403</v>
      </c>
      <c r="E759" t="str">
        <f>LEFT(TDays[[#This Row],[تاریخ]],7)</f>
        <v>1403-01</v>
      </c>
      <c r="F759">
        <v>3</v>
      </c>
      <c r="G759" s="16" t="str">
        <f>VLOOKUP(TDays[[#This Row],[کد روز هفته]],TDaysOfTheWeek[],2,FALSE)</f>
        <v>سه شنبه</v>
      </c>
      <c r="H759" s="16">
        <f>IFERROR(IF(E758&lt;&gt;E759,1,INT(H758)+IF(TDays[[#This Row],[کد روز هفته]]=0,1,0)),1)</f>
        <v>5</v>
      </c>
      <c r="I759">
        <f>-SUMIF(TArticle[تاریخ],TDays[[#This Row],[تاریخ]],TArticle[هزینه])</f>
        <v>0</v>
      </c>
      <c r="J759">
        <f>SUMIF(TArticle[تاریخ],TDays[[#This Row],[تاریخ]],TArticle[درآمد تتا])</f>
        <v>0</v>
      </c>
      <c r="K759">
        <f>SUMIF(TArticle[تاریخ],TDays[[#This Row],[تاریخ]],TArticle[اسنپ])</f>
        <v>0</v>
      </c>
      <c r="L759">
        <f>-SUMIF(TArticle[تاریخ],TDays[[#This Row],[تاریخ]],TArticle[پرداخت بدهی])</f>
        <v>0</v>
      </c>
      <c r="M759">
        <f>SUMIF(TArticle[تاریخ],TDays[[#This Row],[تاریخ]],TArticle[افزایش بدهی])</f>
        <v>0</v>
      </c>
      <c r="N759">
        <f>-SUMIF(TArticle[تاریخ],TDays[[#This Row],[تاریخ]],TArticle[افزایش سرمایه])</f>
        <v>0</v>
      </c>
      <c r="O759">
        <f>SUMIF(TArticle[تاریخ],TDays[[#This Row],[تاریخ]],TArticle[تعداد تراکنش انجام شده])</f>
        <v>0</v>
      </c>
      <c r="P759">
        <f>INT(((TDays[[#This Row],[ماه]]-1)*31+TDays[[#This Row],[روز]]+1)/7)+1</f>
        <v>5</v>
      </c>
      <c r="Q759">
        <f>SUMIF(TArticle[تاریخ],TDays[[#This Row],[تاریخ]],TArticle[تراکنش برنامه ریزی شده])</f>
        <v>1</v>
      </c>
    </row>
    <row r="760" spans="1:17" x14ac:dyDescent="0.25">
      <c r="A760" s="3" t="s">
        <v>1256</v>
      </c>
      <c r="B760" t="str">
        <f>RIGHT(TDays[[#This Row],[تاریخ]],2)</f>
        <v>29</v>
      </c>
      <c r="C760" t="str">
        <f>RIGHT(LEFT(TDays[[#This Row],[تاریخ]],7),2)</f>
        <v>01</v>
      </c>
      <c r="D760" t="str">
        <f>LEFT(TDays[[#This Row],[تاریخ]],4)</f>
        <v>1403</v>
      </c>
      <c r="E760" t="str">
        <f>LEFT(TDays[[#This Row],[تاریخ]],7)</f>
        <v>1403-01</v>
      </c>
      <c r="F760">
        <v>4</v>
      </c>
      <c r="G760" s="16" t="str">
        <f>VLOOKUP(TDays[[#This Row],[کد روز هفته]],TDaysOfTheWeek[],2,FALSE)</f>
        <v>چهارشنبه</v>
      </c>
      <c r="H760" s="16">
        <f>IFERROR(IF(E759&lt;&gt;E760,1,INT(H759)+IF(TDays[[#This Row],[کد روز هفته]]=0,1,0)),1)</f>
        <v>5</v>
      </c>
      <c r="I760">
        <f>-SUMIF(TArticle[تاریخ],TDays[[#This Row],[تاریخ]],TArticle[هزینه])</f>
        <v>0</v>
      </c>
      <c r="J760">
        <f>SUMIF(TArticle[تاریخ],TDays[[#This Row],[تاریخ]],TArticle[درآمد تتا])</f>
        <v>0</v>
      </c>
      <c r="K760">
        <f>SUMIF(TArticle[تاریخ],TDays[[#This Row],[تاریخ]],TArticle[اسنپ])</f>
        <v>0</v>
      </c>
      <c r="L760">
        <f>-SUMIF(TArticle[تاریخ],TDays[[#This Row],[تاریخ]],TArticle[پرداخت بدهی])</f>
        <v>0</v>
      </c>
      <c r="M760">
        <f>SUMIF(TArticle[تاریخ],TDays[[#This Row],[تاریخ]],TArticle[افزایش بدهی])</f>
        <v>0</v>
      </c>
      <c r="N760">
        <f>-SUMIF(TArticle[تاریخ],TDays[[#This Row],[تاریخ]],TArticle[افزایش سرمایه])</f>
        <v>0</v>
      </c>
      <c r="O760">
        <f>SUMIF(TArticle[تاریخ],TDays[[#This Row],[تاریخ]],TArticle[تعداد تراکنش انجام شده])</f>
        <v>0</v>
      </c>
      <c r="P760">
        <f>INT(((TDays[[#This Row],[ماه]]-1)*31+TDays[[#This Row],[روز]]+1)/7)+1</f>
        <v>5</v>
      </c>
      <c r="Q760">
        <f>SUMIF(TArticle[تاریخ],TDays[[#This Row],[تاریخ]],TArticle[تراکنش برنامه ریزی شده])</f>
        <v>0</v>
      </c>
    </row>
    <row r="761" spans="1:17" x14ac:dyDescent="0.25">
      <c r="A761" s="3" t="s">
        <v>1257</v>
      </c>
      <c r="B761" t="str">
        <f>RIGHT(TDays[[#This Row],[تاریخ]],2)</f>
        <v>30</v>
      </c>
      <c r="C761" t="str">
        <f>RIGHT(LEFT(TDays[[#This Row],[تاریخ]],7),2)</f>
        <v>01</v>
      </c>
      <c r="D761" t="str">
        <f>LEFT(TDays[[#This Row],[تاریخ]],4)</f>
        <v>1403</v>
      </c>
      <c r="E761" t="str">
        <f>LEFT(TDays[[#This Row],[تاریخ]],7)</f>
        <v>1403-01</v>
      </c>
      <c r="F761">
        <v>5</v>
      </c>
      <c r="G761" s="16" t="str">
        <f>VLOOKUP(TDays[[#This Row],[کد روز هفته]],TDaysOfTheWeek[],2,FALSE)</f>
        <v>پنجشنبه</v>
      </c>
      <c r="H761" s="16">
        <f>IFERROR(IF(E760&lt;&gt;E761,1,INT(H760)+IF(TDays[[#This Row],[کد روز هفته]]=0,1,0)),1)</f>
        <v>5</v>
      </c>
      <c r="I761">
        <f>-SUMIF(TArticle[تاریخ],TDays[[#This Row],[تاریخ]],TArticle[هزینه])</f>
        <v>0</v>
      </c>
      <c r="J761">
        <f>SUMIF(TArticle[تاریخ],TDays[[#This Row],[تاریخ]],TArticle[درآمد تتا])</f>
        <v>0</v>
      </c>
      <c r="K761">
        <f>SUMIF(TArticle[تاریخ],TDays[[#This Row],[تاریخ]],TArticle[اسنپ])</f>
        <v>0</v>
      </c>
      <c r="L761">
        <f>-SUMIF(TArticle[تاریخ],TDays[[#This Row],[تاریخ]],TArticle[پرداخت بدهی])</f>
        <v>0</v>
      </c>
      <c r="M761">
        <f>SUMIF(TArticle[تاریخ],TDays[[#This Row],[تاریخ]],TArticle[افزایش بدهی])</f>
        <v>0</v>
      </c>
      <c r="N761">
        <f>-SUMIF(TArticle[تاریخ],TDays[[#This Row],[تاریخ]],TArticle[افزایش سرمایه])</f>
        <v>0</v>
      </c>
      <c r="O761">
        <f>SUMIF(TArticle[تاریخ],TDays[[#This Row],[تاریخ]],TArticle[تعداد تراکنش انجام شده])</f>
        <v>0</v>
      </c>
      <c r="P761">
        <f>INT(((TDays[[#This Row],[ماه]]-1)*31+TDays[[#This Row],[روز]]+1)/7)+1</f>
        <v>5</v>
      </c>
      <c r="Q761">
        <f>SUMIF(TArticle[تاریخ],TDays[[#This Row],[تاریخ]],TArticle[تراکنش برنامه ریزی شده])</f>
        <v>0</v>
      </c>
    </row>
    <row r="762" spans="1:17" x14ac:dyDescent="0.25">
      <c r="A762" s="3" t="s">
        <v>1258</v>
      </c>
      <c r="B762" t="str">
        <f>RIGHT(TDays[[#This Row],[تاریخ]],2)</f>
        <v>31</v>
      </c>
      <c r="C762" t="str">
        <f>RIGHT(LEFT(TDays[[#This Row],[تاریخ]],7),2)</f>
        <v>01</v>
      </c>
      <c r="D762" t="str">
        <f>LEFT(TDays[[#This Row],[تاریخ]],4)</f>
        <v>1403</v>
      </c>
      <c r="E762" t="str">
        <f>LEFT(TDays[[#This Row],[تاریخ]],7)</f>
        <v>1403-01</v>
      </c>
      <c r="F762">
        <v>6</v>
      </c>
      <c r="G762" s="16" t="str">
        <f>VLOOKUP(TDays[[#This Row],[کد روز هفته]],TDaysOfTheWeek[],2,FALSE)</f>
        <v>جمعه</v>
      </c>
      <c r="H762" s="16">
        <f>IFERROR(IF(E761&lt;&gt;E762,1,INT(H761)+IF(TDays[[#This Row],[کد روز هفته]]=0,1,0)),1)</f>
        <v>5</v>
      </c>
      <c r="I762">
        <f>-SUMIF(TArticle[تاریخ],TDays[[#This Row],[تاریخ]],TArticle[هزینه])</f>
        <v>0</v>
      </c>
      <c r="J762">
        <f>SUMIF(TArticle[تاریخ],TDays[[#This Row],[تاریخ]],TArticle[درآمد تتا])</f>
        <v>0</v>
      </c>
      <c r="K762">
        <f>SUMIF(TArticle[تاریخ],TDays[[#This Row],[تاریخ]],TArticle[اسنپ])</f>
        <v>0</v>
      </c>
      <c r="L762">
        <f>-SUMIF(TArticle[تاریخ],TDays[[#This Row],[تاریخ]],TArticle[پرداخت بدهی])</f>
        <v>0</v>
      </c>
      <c r="M762">
        <f>SUMIF(TArticle[تاریخ],TDays[[#This Row],[تاریخ]],TArticle[افزایش بدهی])</f>
        <v>0</v>
      </c>
      <c r="N762">
        <f>-SUMIF(TArticle[تاریخ],TDays[[#This Row],[تاریخ]],TArticle[افزایش سرمایه])</f>
        <v>0</v>
      </c>
      <c r="O762">
        <f>SUMIF(TArticle[تاریخ],TDays[[#This Row],[تاریخ]],TArticle[تعداد تراکنش انجام شده])</f>
        <v>0</v>
      </c>
      <c r="P762">
        <f>INT(((TDays[[#This Row],[ماه]]-1)*31+TDays[[#This Row],[روز]]+1)/7)+1</f>
        <v>5</v>
      </c>
      <c r="Q762">
        <f>SUMIF(TArticle[تاریخ],TDays[[#This Row],[تاریخ]],TArticle[تراکنش برنامه ریزی شده])</f>
        <v>0</v>
      </c>
    </row>
    <row r="763" spans="1:17" x14ac:dyDescent="0.25">
      <c r="A763" s="3" t="s">
        <v>1259</v>
      </c>
      <c r="B763" t="str">
        <f>RIGHT(TDays[[#This Row],[تاریخ]],2)</f>
        <v>01</v>
      </c>
      <c r="C763" t="str">
        <f>RIGHT(LEFT(TDays[[#This Row],[تاریخ]],7),2)</f>
        <v>02</v>
      </c>
      <c r="D763" t="str">
        <f>LEFT(TDays[[#This Row],[تاریخ]],4)</f>
        <v>1403</v>
      </c>
      <c r="E763" t="str">
        <f>LEFT(TDays[[#This Row],[تاریخ]],7)</f>
        <v>1403-02</v>
      </c>
      <c r="F763">
        <v>0</v>
      </c>
      <c r="G763" s="16" t="str">
        <f>VLOOKUP(TDays[[#This Row],[کد روز هفته]],TDaysOfTheWeek[],2,FALSE)</f>
        <v>شنبه</v>
      </c>
      <c r="H763" s="16">
        <f>IFERROR(IF(E762&lt;&gt;E763,1,INT(H762)+IF(TDays[[#This Row],[کد روز هفته]]=0,1,0)),1)</f>
        <v>1</v>
      </c>
      <c r="I763">
        <f>-SUMIF(TArticle[تاریخ],TDays[[#This Row],[تاریخ]],TArticle[هزینه])</f>
        <v>0</v>
      </c>
      <c r="J763">
        <f>SUMIF(TArticle[تاریخ],TDays[[#This Row],[تاریخ]],TArticle[درآمد تتا])</f>
        <v>0</v>
      </c>
      <c r="K763">
        <f>SUMIF(TArticle[تاریخ],TDays[[#This Row],[تاریخ]],TArticle[اسنپ])</f>
        <v>0</v>
      </c>
      <c r="L763">
        <f>-SUMIF(TArticle[تاریخ],TDays[[#This Row],[تاریخ]],TArticle[پرداخت بدهی])</f>
        <v>0</v>
      </c>
      <c r="M763">
        <f>SUMIF(TArticle[تاریخ],TDays[[#This Row],[تاریخ]],TArticle[افزایش بدهی])</f>
        <v>0</v>
      </c>
      <c r="N763">
        <f>-SUMIF(TArticle[تاریخ],TDays[[#This Row],[تاریخ]],TArticle[افزایش سرمایه])</f>
        <v>0</v>
      </c>
      <c r="O763">
        <f>SUMIF(TArticle[تاریخ],TDays[[#This Row],[تاریخ]],TArticle[تعداد تراکنش انجام شده])</f>
        <v>0</v>
      </c>
      <c r="P763">
        <f>INT(((TDays[[#This Row],[ماه]]-1)*31+TDays[[#This Row],[روز]]+1)/7)+1</f>
        <v>5</v>
      </c>
      <c r="Q763">
        <f>SUMIF(TArticle[تاریخ],TDays[[#This Row],[تاریخ]],TArticle[تراکنش برنامه ریزی شده])</f>
        <v>2</v>
      </c>
    </row>
    <row r="764" spans="1:17" x14ac:dyDescent="0.25">
      <c r="A764" s="3" t="s">
        <v>1260</v>
      </c>
      <c r="B764" t="str">
        <f>RIGHT(TDays[[#This Row],[تاریخ]],2)</f>
        <v>02</v>
      </c>
      <c r="C764" t="str">
        <f>RIGHT(LEFT(TDays[[#This Row],[تاریخ]],7),2)</f>
        <v>02</v>
      </c>
      <c r="D764" t="str">
        <f>LEFT(TDays[[#This Row],[تاریخ]],4)</f>
        <v>1403</v>
      </c>
      <c r="E764" t="str">
        <f>LEFT(TDays[[#This Row],[تاریخ]],7)</f>
        <v>1403-02</v>
      </c>
      <c r="F764">
        <v>1</v>
      </c>
      <c r="G764" s="16" t="str">
        <f>VLOOKUP(TDays[[#This Row],[کد روز هفته]],TDaysOfTheWeek[],2,FALSE)</f>
        <v>یکشنبه</v>
      </c>
      <c r="H764" s="16">
        <f>IFERROR(IF(E763&lt;&gt;E764,1,INT(H763)+IF(TDays[[#This Row],[کد روز هفته]]=0,1,0)),1)</f>
        <v>1</v>
      </c>
      <c r="I764">
        <f>-SUMIF(TArticle[تاریخ],TDays[[#This Row],[تاریخ]],TArticle[هزینه])</f>
        <v>0</v>
      </c>
      <c r="J764">
        <f>SUMIF(TArticle[تاریخ],TDays[[#This Row],[تاریخ]],TArticle[درآمد تتا])</f>
        <v>0</v>
      </c>
      <c r="K764">
        <f>SUMIF(TArticle[تاریخ],TDays[[#This Row],[تاریخ]],TArticle[اسنپ])</f>
        <v>0</v>
      </c>
      <c r="L764">
        <f>-SUMIF(TArticle[تاریخ],TDays[[#This Row],[تاریخ]],TArticle[پرداخت بدهی])</f>
        <v>0</v>
      </c>
      <c r="M764">
        <f>SUMIF(TArticle[تاریخ],TDays[[#This Row],[تاریخ]],TArticle[افزایش بدهی])</f>
        <v>0</v>
      </c>
      <c r="N764">
        <f>-SUMIF(TArticle[تاریخ],TDays[[#This Row],[تاریخ]],TArticle[افزایش سرمایه])</f>
        <v>0</v>
      </c>
      <c r="O764">
        <f>SUMIF(TArticle[تاریخ],TDays[[#This Row],[تاریخ]],TArticle[تعداد تراکنش انجام شده])</f>
        <v>0</v>
      </c>
      <c r="P764">
        <f>INT(((TDays[[#This Row],[ماه]]-1)*31+TDays[[#This Row],[روز]]+1)/7)+1</f>
        <v>5</v>
      </c>
      <c r="Q764">
        <f>SUMIF(TArticle[تاریخ],TDays[[#This Row],[تاریخ]],TArticle[تراکنش برنامه ریزی شده])</f>
        <v>0</v>
      </c>
    </row>
    <row r="765" spans="1:17" x14ac:dyDescent="0.25">
      <c r="A765" s="3" t="s">
        <v>1215</v>
      </c>
      <c r="B765" t="str">
        <f>RIGHT(TDays[[#This Row],[تاریخ]],2)</f>
        <v>03</v>
      </c>
      <c r="C765" t="str">
        <f>RIGHT(LEFT(TDays[[#This Row],[تاریخ]],7),2)</f>
        <v>02</v>
      </c>
      <c r="D765" t="str">
        <f>LEFT(TDays[[#This Row],[تاریخ]],4)</f>
        <v>1403</v>
      </c>
      <c r="E765" t="str">
        <f>LEFT(TDays[[#This Row],[تاریخ]],7)</f>
        <v>1403-02</v>
      </c>
      <c r="F765">
        <v>2</v>
      </c>
      <c r="G765" s="16" t="str">
        <f>VLOOKUP(TDays[[#This Row],[کد روز هفته]],TDaysOfTheWeek[],2,FALSE)</f>
        <v>دوشنبه</v>
      </c>
      <c r="H765" s="16">
        <f>IFERROR(IF(E764&lt;&gt;E765,1,INT(H764)+IF(TDays[[#This Row],[کد روز هفته]]=0,1,0)),1)</f>
        <v>1</v>
      </c>
      <c r="I765">
        <f>-SUMIF(TArticle[تاریخ],TDays[[#This Row],[تاریخ]],TArticle[هزینه])</f>
        <v>0</v>
      </c>
      <c r="J765">
        <f>SUMIF(TArticle[تاریخ],TDays[[#This Row],[تاریخ]],TArticle[درآمد تتا])</f>
        <v>0</v>
      </c>
      <c r="K765">
        <f>SUMIF(TArticle[تاریخ],TDays[[#This Row],[تاریخ]],TArticle[اسنپ])</f>
        <v>0</v>
      </c>
      <c r="L765">
        <f>-SUMIF(TArticle[تاریخ],TDays[[#This Row],[تاریخ]],TArticle[پرداخت بدهی])</f>
        <v>0</v>
      </c>
      <c r="M765">
        <f>SUMIF(TArticle[تاریخ],TDays[[#This Row],[تاریخ]],TArticle[افزایش بدهی])</f>
        <v>0</v>
      </c>
      <c r="N765">
        <f>-SUMIF(TArticle[تاریخ],TDays[[#This Row],[تاریخ]],TArticle[افزایش سرمایه])</f>
        <v>0</v>
      </c>
      <c r="O765">
        <f>SUMIF(TArticle[تاریخ],TDays[[#This Row],[تاریخ]],TArticle[تعداد تراکنش انجام شده])</f>
        <v>0</v>
      </c>
      <c r="P765">
        <f>INT(((TDays[[#This Row],[ماه]]-1)*31+TDays[[#This Row],[روز]]+1)/7)+1</f>
        <v>6</v>
      </c>
      <c r="Q765">
        <f>SUMIF(TArticle[تاریخ],TDays[[#This Row],[تاریخ]],TArticle[تراکنش برنامه ریزی شده])</f>
        <v>3</v>
      </c>
    </row>
    <row r="766" spans="1:17" x14ac:dyDescent="0.25">
      <c r="A766" s="3" t="s">
        <v>1261</v>
      </c>
      <c r="B766" t="str">
        <f>RIGHT(TDays[[#This Row],[تاریخ]],2)</f>
        <v>04</v>
      </c>
      <c r="C766" t="str">
        <f>RIGHT(LEFT(TDays[[#This Row],[تاریخ]],7),2)</f>
        <v>02</v>
      </c>
      <c r="D766" t="str">
        <f>LEFT(TDays[[#This Row],[تاریخ]],4)</f>
        <v>1403</v>
      </c>
      <c r="E766" t="str">
        <f>LEFT(TDays[[#This Row],[تاریخ]],7)</f>
        <v>1403-02</v>
      </c>
      <c r="F766">
        <v>3</v>
      </c>
      <c r="G766" s="16" t="str">
        <f>VLOOKUP(TDays[[#This Row],[کد روز هفته]],TDaysOfTheWeek[],2,FALSE)</f>
        <v>سه شنبه</v>
      </c>
      <c r="H766" s="16">
        <f>IFERROR(IF(E765&lt;&gt;E766,1,INT(H765)+IF(TDays[[#This Row],[کد روز هفته]]=0,1,0)),1)</f>
        <v>1</v>
      </c>
      <c r="I766">
        <f>-SUMIF(TArticle[تاریخ],TDays[[#This Row],[تاریخ]],TArticle[هزینه])</f>
        <v>0</v>
      </c>
      <c r="J766">
        <f>SUMIF(TArticle[تاریخ],TDays[[#This Row],[تاریخ]],TArticle[درآمد تتا])</f>
        <v>0</v>
      </c>
      <c r="K766">
        <f>SUMIF(TArticle[تاریخ],TDays[[#This Row],[تاریخ]],TArticle[اسنپ])</f>
        <v>0</v>
      </c>
      <c r="L766">
        <f>-SUMIF(TArticle[تاریخ],TDays[[#This Row],[تاریخ]],TArticle[پرداخت بدهی])</f>
        <v>0</v>
      </c>
      <c r="M766">
        <f>SUMIF(TArticle[تاریخ],TDays[[#This Row],[تاریخ]],TArticle[افزایش بدهی])</f>
        <v>0</v>
      </c>
      <c r="N766">
        <f>-SUMIF(TArticle[تاریخ],TDays[[#This Row],[تاریخ]],TArticle[افزایش سرمایه])</f>
        <v>0</v>
      </c>
      <c r="O766">
        <f>SUMIF(TArticle[تاریخ],TDays[[#This Row],[تاریخ]],TArticle[تعداد تراکنش انجام شده])</f>
        <v>0</v>
      </c>
      <c r="P766">
        <f>INT(((TDays[[#This Row],[ماه]]-1)*31+TDays[[#This Row],[روز]]+1)/7)+1</f>
        <v>6</v>
      </c>
      <c r="Q766">
        <f>SUMIF(TArticle[تاریخ],TDays[[#This Row],[تاریخ]],TArticle[تراکنش برنامه ریزی شده])</f>
        <v>1</v>
      </c>
    </row>
    <row r="767" spans="1:17" x14ac:dyDescent="0.25">
      <c r="A767" s="3" t="s">
        <v>1262</v>
      </c>
      <c r="B767" t="str">
        <f>RIGHT(TDays[[#This Row],[تاریخ]],2)</f>
        <v>05</v>
      </c>
      <c r="C767" t="str">
        <f>RIGHT(LEFT(TDays[[#This Row],[تاریخ]],7),2)</f>
        <v>02</v>
      </c>
      <c r="D767" t="str">
        <f>LEFT(TDays[[#This Row],[تاریخ]],4)</f>
        <v>1403</v>
      </c>
      <c r="E767" t="str">
        <f>LEFT(TDays[[#This Row],[تاریخ]],7)</f>
        <v>1403-02</v>
      </c>
      <c r="F767">
        <v>4</v>
      </c>
      <c r="G767" s="16" t="str">
        <f>VLOOKUP(TDays[[#This Row],[کد روز هفته]],TDaysOfTheWeek[],2,FALSE)</f>
        <v>چهارشنبه</v>
      </c>
      <c r="H767" s="16">
        <f>IFERROR(IF(E766&lt;&gt;E767,1,INT(H766)+IF(TDays[[#This Row],[کد روز هفته]]=0,1,0)),1)</f>
        <v>1</v>
      </c>
      <c r="I767">
        <f>-SUMIF(TArticle[تاریخ],TDays[[#This Row],[تاریخ]],TArticle[هزینه])</f>
        <v>0</v>
      </c>
      <c r="J767">
        <f>SUMIF(TArticle[تاریخ],TDays[[#This Row],[تاریخ]],TArticle[درآمد تتا])</f>
        <v>0</v>
      </c>
      <c r="K767">
        <f>SUMIF(TArticle[تاریخ],TDays[[#This Row],[تاریخ]],TArticle[اسنپ])</f>
        <v>0</v>
      </c>
      <c r="L767">
        <f>-SUMIF(TArticle[تاریخ],TDays[[#This Row],[تاریخ]],TArticle[پرداخت بدهی])</f>
        <v>0</v>
      </c>
      <c r="M767">
        <f>SUMIF(TArticle[تاریخ],TDays[[#This Row],[تاریخ]],TArticle[افزایش بدهی])</f>
        <v>0</v>
      </c>
      <c r="N767">
        <f>-SUMIF(TArticle[تاریخ],TDays[[#This Row],[تاریخ]],TArticle[افزایش سرمایه])</f>
        <v>0</v>
      </c>
      <c r="O767">
        <f>SUMIF(TArticle[تاریخ],TDays[[#This Row],[تاریخ]],TArticle[تعداد تراکنش انجام شده])</f>
        <v>0</v>
      </c>
      <c r="P767">
        <f>INT(((TDays[[#This Row],[ماه]]-1)*31+TDays[[#This Row],[روز]]+1)/7)+1</f>
        <v>6</v>
      </c>
      <c r="Q767">
        <f>SUMIF(TArticle[تاریخ],TDays[[#This Row],[تاریخ]],TArticle[تراکنش برنامه ریزی شده])</f>
        <v>0</v>
      </c>
    </row>
    <row r="768" spans="1:17" x14ac:dyDescent="0.25">
      <c r="A768" s="3" t="s">
        <v>1263</v>
      </c>
      <c r="B768" t="str">
        <f>RIGHT(TDays[[#This Row],[تاریخ]],2)</f>
        <v>06</v>
      </c>
      <c r="C768" t="str">
        <f>RIGHT(LEFT(TDays[[#This Row],[تاریخ]],7),2)</f>
        <v>02</v>
      </c>
      <c r="D768" t="str">
        <f>LEFT(TDays[[#This Row],[تاریخ]],4)</f>
        <v>1403</v>
      </c>
      <c r="E768" t="str">
        <f>LEFT(TDays[[#This Row],[تاریخ]],7)</f>
        <v>1403-02</v>
      </c>
      <c r="F768">
        <v>5</v>
      </c>
      <c r="G768" s="16" t="str">
        <f>VLOOKUP(TDays[[#This Row],[کد روز هفته]],TDaysOfTheWeek[],2,FALSE)</f>
        <v>پنجشنبه</v>
      </c>
      <c r="H768" s="16">
        <f>IFERROR(IF(E767&lt;&gt;E768,1,INT(H767)+IF(TDays[[#This Row],[کد روز هفته]]=0,1,0)),1)</f>
        <v>1</v>
      </c>
      <c r="I768">
        <f>-SUMIF(TArticle[تاریخ],TDays[[#This Row],[تاریخ]],TArticle[هزینه])</f>
        <v>0</v>
      </c>
      <c r="J768">
        <f>SUMIF(TArticle[تاریخ],TDays[[#This Row],[تاریخ]],TArticle[درآمد تتا])</f>
        <v>0</v>
      </c>
      <c r="K768">
        <f>SUMIF(TArticle[تاریخ],TDays[[#This Row],[تاریخ]],TArticle[اسنپ])</f>
        <v>0</v>
      </c>
      <c r="L768">
        <f>-SUMIF(TArticle[تاریخ],TDays[[#This Row],[تاریخ]],TArticle[پرداخت بدهی])</f>
        <v>0</v>
      </c>
      <c r="M768">
        <f>SUMIF(TArticle[تاریخ],TDays[[#This Row],[تاریخ]],TArticle[افزایش بدهی])</f>
        <v>0</v>
      </c>
      <c r="N768">
        <f>-SUMIF(TArticle[تاریخ],TDays[[#This Row],[تاریخ]],TArticle[افزایش سرمایه])</f>
        <v>0</v>
      </c>
      <c r="O768">
        <f>SUMIF(TArticle[تاریخ],TDays[[#This Row],[تاریخ]],TArticle[تعداد تراکنش انجام شده])</f>
        <v>0</v>
      </c>
      <c r="P768">
        <f>INT(((TDays[[#This Row],[ماه]]-1)*31+TDays[[#This Row],[روز]]+1)/7)+1</f>
        <v>6</v>
      </c>
      <c r="Q768">
        <f>SUMIF(TArticle[تاریخ],TDays[[#This Row],[تاریخ]],TArticle[تراکنش برنامه ریزی شده])</f>
        <v>0</v>
      </c>
    </row>
    <row r="769" spans="1:17" x14ac:dyDescent="0.25">
      <c r="A769" s="3" t="s">
        <v>1264</v>
      </c>
      <c r="B769" t="str">
        <f>RIGHT(TDays[[#This Row],[تاریخ]],2)</f>
        <v>07</v>
      </c>
      <c r="C769" t="str">
        <f>RIGHT(LEFT(TDays[[#This Row],[تاریخ]],7),2)</f>
        <v>02</v>
      </c>
      <c r="D769" t="str">
        <f>LEFT(TDays[[#This Row],[تاریخ]],4)</f>
        <v>1403</v>
      </c>
      <c r="E769" t="str">
        <f>LEFT(TDays[[#This Row],[تاریخ]],7)</f>
        <v>1403-02</v>
      </c>
      <c r="F769">
        <v>6</v>
      </c>
      <c r="G769" s="16" t="str">
        <f>VLOOKUP(TDays[[#This Row],[کد روز هفته]],TDaysOfTheWeek[],2,FALSE)</f>
        <v>جمعه</v>
      </c>
      <c r="H769" s="16">
        <f>IFERROR(IF(E768&lt;&gt;E769,1,INT(H768)+IF(TDays[[#This Row],[کد روز هفته]]=0,1,0)),1)</f>
        <v>1</v>
      </c>
      <c r="I769">
        <f>-SUMIF(TArticle[تاریخ],TDays[[#This Row],[تاریخ]],TArticle[هزینه])</f>
        <v>0</v>
      </c>
      <c r="J769">
        <f>SUMIF(TArticle[تاریخ],TDays[[#This Row],[تاریخ]],TArticle[درآمد تتا])</f>
        <v>0</v>
      </c>
      <c r="K769">
        <f>SUMIF(TArticle[تاریخ],TDays[[#This Row],[تاریخ]],TArticle[اسنپ])</f>
        <v>0</v>
      </c>
      <c r="L769">
        <f>-SUMIF(TArticle[تاریخ],TDays[[#This Row],[تاریخ]],TArticle[پرداخت بدهی])</f>
        <v>0</v>
      </c>
      <c r="M769">
        <f>SUMIF(TArticle[تاریخ],TDays[[#This Row],[تاریخ]],TArticle[افزایش بدهی])</f>
        <v>0</v>
      </c>
      <c r="N769">
        <f>-SUMIF(TArticle[تاریخ],TDays[[#This Row],[تاریخ]],TArticle[افزایش سرمایه])</f>
        <v>0</v>
      </c>
      <c r="O769">
        <f>SUMIF(TArticle[تاریخ],TDays[[#This Row],[تاریخ]],TArticle[تعداد تراکنش انجام شده])</f>
        <v>0</v>
      </c>
      <c r="P769">
        <f>INT(((TDays[[#This Row],[ماه]]-1)*31+TDays[[#This Row],[روز]]+1)/7)+1</f>
        <v>6</v>
      </c>
      <c r="Q769">
        <f>SUMIF(TArticle[تاریخ],TDays[[#This Row],[تاریخ]],TArticle[تراکنش برنامه ریزی شده])</f>
        <v>0</v>
      </c>
    </row>
    <row r="770" spans="1:17" x14ac:dyDescent="0.25">
      <c r="A770" s="3" t="s">
        <v>1265</v>
      </c>
      <c r="B770" t="str">
        <f>RIGHT(TDays[[#This Row],[تاریخ]],2)</f>
        <v>08</v>
      </c>
      <c r="C770" t="str">
        <f>RIGHT(LEFT(TDays[[#This Row],[تاریخ]],7),2)</f>
        <v>02</v>
      </c>
      <c r="D770" t="str">
        <f>LEFT(TDays[[#This Row],[تاریخ]],4)</f>
        <v>1403</v>
      </c>
      <c r="E770" t="str">
        <f>LEFT(TDays[[#This Row],[تاریخ]],7)</f>
        <v>1403-02</v>
      </c>
      <c r="F770">
        <v>0</v>
      </c>
      <c r="G770" s="16" t="str">
        <f>VLOOKUP(TDays[[#This Row],[کد روز هفته]],TDaysOfTheWeek[],2,FALSE)</f>
        <v>شنبه</v>
      </c>
      <c r="H770" s="16">
        <f>IFERROR(IF(E769&lt;&gt;E770,1,INT(H769)+IF(TDays[[#This Row],[کد روز هفته]]=0,1,0)),1)</f>
        <v>2</v>
      </c>
      <c r="I770">
        <f>-SUMIF(TArticle[تاریخ],TDays[[#This Row],[تاریخ]],TArticle[هزینه])</f>
        <v>0</v>
      </c>
      <c r="J770">
        <f>SUMIF(TArticle[تاریخ],TDays[[#This Row],[تاریخ]],TArticle[درآمد تتا])</f>
        <v>0</v>
      </c>
      <c r="K770">
        <f>SUMIF(TArticle[تاریخ],TDays[[#This Row],[تاریخ]],TArticle[اسنپ])</f>
        <v>0</v>
      </c>
      <c r="L770">
        <f>-SUMIF(TArticle[تاریخ],TDays[[#This Row],[تاریخ]],TArticle[پرداخت بدهی])</f>
        <v>0</v>
      </c>
      <c r="M770">
        <f>SUMIF(TArticle[تاریخ],TDays[[#This Row],[تاریخ]],TArticle[افزایش بدهی])</f>
        <v>0</v>
      </c>
      <c r="N770">
        <f>-SUMIF(TArticle[تاریخ],TDays[[#This Row],[تاریخ]],TArticle[افزایش سرمایه])</f>
        <v>0</v>
      </c>
      <c r="O770">
        <f>SUMIF(TArticle[تاریخ],TDays[[#This Row],[تاریخ]],TArticle[تعداد تراکنش انجام شده])</f>
        <v>0</v>
      </c>
      <c r="P770">
        <f>INT(((TDays[[#This Row],[ماه]]-1)*31+TDays[[#This Row],[روز]]+1)/7)+1</f>
        <v>6</v>
      </c>
      <c r="Q770">
        <f>SUMIF(TArticle[تاریخ],TDays[[#This Row],[تاریخ]],TArticle[تراکنش برنامه ریزی شده])</f>
        <v>0</v>
      </c>
    </row>
    <row r="771" spans="1:17" x14ac:dyDescent="0.25">
      <c r="A771" s="3" t="s">
        <v>1266</v>
      </c>
      <c r="B771" t="str">
        <f>RIGHT(TDays[[#This Row],[تاریخ]],2)</f>
        <v>09</v>
      </c>
      <c r="C771" t="str">
        <f>RIGHT(LEFT(TDays[[#This Row],[تاریخ]],7),2)</f>
        <v>02</v>
      </c>
      <c r="D771" t="str">
        <f>LEFT(TDays[[#This Row],[تاریخ]],4)</f>
        <v>1403</v>
      </c>
      <c r="E771" t="str">
        <f>LEFT(TDays[[#This Row],[تاریخ]],7)</f>
        <v>1403-02</v>
      </c>
      <c r="F771">
        <v>1</v>
      </c>
      <c r="G771" s="16" t="str">
        <f>VLOOKUP(TDays[[#This Row],[کد روز هفته]],TDaysOfTheWeek[],2,FALSE)</f>
        <v>یکشنبه</v>
      </c>
      <c r="H771" s="16">
        <f>IFERROR(IF(E770&lt;&gt;E771,1,INT(H770)+IF(TDays[[#This Row],[کد روز هفته]]=0,1,0)),1)</f>
        <v>2</v>
      </c>
      <c r="I771">
        <f>-SUMIF(TArticle[تاریخ],TDays[[#This Row],[تاریخ]],TArticle[هزینه])</f>
        <v>0</v>
      </c>
      <c r="J771">
        <f>SUMIF(TArticle[تاریخ],TDays[[#This Row],[تاریخ]],TArticle[درآمد تتا])</f>
        <v>0</v>
      </c>
      <c r="K771">
        <f>SUMIF(TArticle[تاریخ],TDays[[#This Row],[تاریخ]],TArticle[اسنپ])</f>
        <v>0</v>
      </c>
      <c r="L771">
        <f>-SUMIF(TArticle[تاریخ],TDays[[#This Row],[تاریخ]],TArticle[پرداخت بدهی])</f>
        <v>0</v>
      </c>
      <c r="M771">
        <f>SUMIF(TArticle[تاریخ],TDays[[#This Row],[تاریخ]],TArticle[افزایش بدهی])</f>
        <v>0</v>
      </c>
      <c r="N771">
        <f>-SUMIF(TArticle[تاریخ],TDays[[#This Row],[تاریخ]],TArticle[افزایش سرمایه])</f>
        <v>0</v>
      </c>
      <c r="O771">
        <f>SUMIF(TArticle[تاریخ],TDays[[#This Row],[تاریخ]],TArticle[تعداد تراکنش انجام شده])</f>
        <v>0</v>
      </c>
      <c r="P771">
        <f>INT(((TDays[[#This Row],[ماه]]-1)*31+TDays[[#This Row],[روز]]+1)/7)+1</f>
        <v>6</v>
      </c>
      <c r="Q771">
        <f>SUMIF(TArticle[تاریخ],TDays[[#This Row],[تاریخ]],TArticle[تراکنش برنامه ریزی شده])</f>
        <v>1</v>
      </c>
    </row>
    <row r="772" spans="1:17" x14ac:dyDescent="0.25">
      <c r="A772" s="3" t="s">
        <v>1267</v>
      </c>
      <c r="B772" t="str">
        <f>RIGHT(TDays[[#This Row],[تاریخ]],2)</f>
        <v>10</v>
      </c>
      <c r="C772" t="str">
        <f>RIGHT(LEFT(TDays[[#This Row],[تاریخ]],7),2)</f>
        <v>02</v>
      </c>
      <c r="D772" t="str">
        <f>LEFT(TDays[[#This Row],[تاریخ]],4)</f>
        <v>1403</v>
      </c>
      <c r="E772" t="str">
        <f>LEFT(TDays[[#This Row],[تاریخ]],7)</f>
        <v>1403-02</v>
      </c>
      <c r="F772">
        <v>2</v>
      </c>
      <c r="G772" s="16" t="str">
        <f>VLOOKUP(TDays[[#This Row],[کد روز هفته]],TDaysOfTheWeek[],2,FALSE)</f>
        <v>دوشنبه</v>
      </c>
      <c r="H772" s="16">
        <f>IFERROR(IF(E771&lt;&gt;E772,1,INT(H771)+IF(TDays[[#This Row],[کد روز هفته]]=0,1,0)),1)</f>
        <v>2</v>
      </c>
      <c r="I772">
        <f>-SUMIF(TArticle[تاریخ],TDays[[#This Row],[تاریخ]],TArticle[هزینه])</f>
        <v>0</v>
      </c>
      <c r="J772">
        <f>SUMIF(TArticle[تاریخ],TDays[[#This Row],[تاریخ]],TArticle[درآمد تتا])</f>
        <v>0</v>
      </c>
      <c r="K772">
        <f>SUMIF(TArticle[تاریخ],TDays[[#This Row],[تاریخ]],TArticle[اسنپ])</f>
        <v>0</v>
      </c>
      <c r="L772">
        <f>-SUMIF(TArticle[تاریخ],TDays[[#This Row],[تاریخ]],TArticle[پرداخت بدهی])</f>
        <v>0</v>
      </c>
      <c r="M772">
        <f>SUMIF(TArticle[تاریخ],TDays[[#This Row],[تاریخ]],TArticle[افزایش بدهی])</f>
        <v>0</v>
      </c>
      <c r="N772">
        <f>-SUMIF(TArticle[تاریخ],TDays[[#This Row],[تاریخ]],TArticle[افزایش سرمایه])</f>
        <v>0</v>
      </c>
      <c r="O772">
        <f>SUMIF(TArticle[تاریخ],TDays[[#This Row],[تاریخ]],TArticle[تعداد تراکنش انجام شده])</f>
        <v>0</v>
      </c>
      <c r="P772">
        <f>INT(((TDays[[#This Row],[ماه]]-1)*31+TDays[[#This Row],[روز]]+1)/7)+1</f>
        <v>7</v>
      </c>
      <c r="Q772">
        <f>SUMIF(TArticle[تاریخ],TDays[[#This Row],[تاریخ]],TArticle[تراکنش برنامه ریزی شده])</f>
        <v>0</v>
      </c>
    </row>
    <row r="773" spans="1:17" x14ac:dyDescent="0.25">
      <c r="A773" s="3" t="s">
        <v>1268</v>
      </c>
      <c r="B773" t="str">
        <f>RIGHT(TDays[[#This Row],[تاریخ]],2)</f>
        <v>11</v>
      </c>
      <c r="C773" t="str">
        <f>RIGHT(LEFT(TDays[[#This Row],[تاریخ]],7),2)</f>
        <v>02</v>
      </c>
      <c r="D773" t="str">
        <f>LEFT(TDays[[#This Row],[تاریخ]],4)</f>
        <v>1403</v>
      </c>
      <c r="E773" t="str">
        <f>LEFT(TDays[[#This Row],[تاریخ]],7)</f>
        <v>1403-02</v>
      </c>
      <c r="F773">
        <v>3</v>
      </c>
      <c r="G773" s="16" t="str">
        <f>VLOOKUP(TDays[[#This Row],[کد روز هفته]],TDaysOfTheWeek[],2,FALSE)</f>
        <v>سه شنبه</v>
      </c>
      <c r="H773" s="16">
        <f>IFERROR(IF(E772&lt;&gt;E773,1,INT(H772)+IF(TDays[[#This Row],[کد روز هفته]]=0,1,0)),1)</f>
        <v>2</v>
      </c>
      <c r="I773">
        <f>-SUMIF(TArticle[تاریخ],TDays[[#This Row],[تاریخ]],TArticle[هزینه])</f>
        <v>0</v>
      </c>
      <c r="J773">
        <f>SUMIF(TArticle[تاریخ],TDays[[#This Row],[تاریخ]],TArticle[درآمد تتا])</f>
        <v>0</v>
      </c>
      <c r="K773">
        <f>SUMIF(TArticle[تاریخ],TDays[[#This Row],[تاریخ]],TArticle[اسنپ])</f>
        <v>0</v>
      </c>
      <c r="L773">
        <f>-SUMIF(TArticle[تاریخ],TDays[[#This Row],[تاریخ]],TArticle[پرداخت بدهی])</f>
        <v>0</v>
      </c>
      <c r="M773">
        <f>SUMIF(TArticle[تاریخ],TDays[[#This Row],[تاریخ]],TArticle[افزایش بدهی])</f>
        <v>0</v>
      </c>
      <c r="N773">
        <f>-SUMIF(TArticle[تاریخ],TDays[[#This Row],[تاریخ]],TArticle[افزایش سرمایه])</f>
        <v>0</v>
      </c>
      <c r="O773">
        <f>SUMIF(TArticle[تاریخ],TDays[[#This Row],[تاریخ]],TArticle[تعداد تراکنش انجام شده])</f>
        <v>0</v>
      </c>
      <c r="P773">
        <f>INT(((TDays[[#This Row],[ماه]]-1)*31+TDays[[#This Row],[روز]]+1)/7)+1</f>
        <v>7</v>
      </c>
      <c r="Q773">
        <f>SUMIF(TArticle[تاریخ],TDays[[#This Row],[تاریخ]],TArticle[تراکنش برنامه ریزی شده])</f>
        <v>0</v>
      </c>
    </row>
    <row r="774" spans="1:17" x14ac:dyDescent="0.25">
      <c r="A774" s="3" t="s">
        <v>1269</v>
      </c>
      <c r="B774" t="str">
        <f>RIGHT(TDays[[#This Row],[تاریخ]],2)</f>
        <v>12</v>
      </c>
      <c r="C774" t="str">
        <f>RIGHT(LEFT(TDays[[#This Row],[تاریخ]],7),2)</f>
        <v>02</v>
      </c>
      <c r="D774" t="str">
        <f>LEFT(TDays[[#This Row],[تاریخ]],4)</f>
        <v>1403</v>
      </c>
      <c r="E774" t="str">
        <f>LEFT(TDays[[#This Row],[تاریخ]],7)</f>
        <v>1403-02</v>
      </c>
      <c r="F774">
        <v>4</v>
      </c>
      <c r="G774" s="16" t="str">
        <f>VLOOKUP(TDays[[#This Row],[کد روز هفته]],TDaysOfTheWeek[],2,FALSE)</f>
        <v>چهارشنبه</v>
      </c>
      <c r="H774" s="16">
        <f>IFERROR(IF(E773&lt;&gt;E774,1,INT(H773)+IF(TDays[[#This Row],[کد روز هفته]]=0,1,0)),1)</f>
        <v>2</v>
      </c>
      <c r="I774">
        <f>-SUMIF(TArticle[تاریخ],TDays[[#This Row],[تاریخ]],TArticle[هزینه])</f>
        <v>0</v>
      </c>
      <c r="J774">
        <f>SUMIF(TArticle[تاریخ],TDays[[#This Row],[تاریخ]],TArticle[درآمد تتا])</f>
        <v>0</v>
      </c>
      <c r="K774">
        <f>SUMIF(TArticle[تاریخ],TDays[[#This Row],[تاریخ]],TArticle[اسنپ])</f>
        <v>0</v>
      </c>
      <c r="L774">
        <f>-SUMIF(TArticle[تاریخ],TDays[[#This Row],[تاریخ]],TArticle[پرداخت بدهی])</f>
        <v>0</v>
      </c>
      <c r="M774">
        <f>SUMIF(TArticle[تاریخ],TDays[[#This Row],[تاریخ]],TArticle[افزایش بدهی])</f>
        <v>0</v>
      </c>
      <c r="N774">
        <f>-SUMIF(TArticle[تاریخ],TDays[[#This Row],[تاریخ]],TArticle[افزایش سرمایه])</f>
        <v>0</v>
      </c>
      <c r="O774">
        <f>SUMIF(TArticle[تاریخ],TDays[[#This Row],[تاریخ]],TArticle[تعداد تراکنش انجام شده])</f>
        <v>0</v>
      </c>
      <c r="P774">
        <f>INT(((TDays[[#This Row],[ماه]]-1)*31+TDays[[#This Row],[روز]]+1)/7)+1</f>
        <v>7</v>
      </c>
      <c r="Q774">
        <f>SUMIF(TArticle[تاریخ],TDays[[#This Row],[تاریخ]],TArticle[تراکنش برنامه ریزی شده])</f>
        <v>0</v>
      </c>
    </row>
    <row r="775" spans="1:17" x14ac:dyDescent="0.25">
      <c r="A775" s="3" t="s">
        <v>1270</v>
      </c>
      <c r="B775" t="str">
        <f>RIGHT(TDays[[#This Row],[تاریخ]],2)</f>
        <v>13</v>
      </c>
      <c r="C775" t="str">
        <f>RIGHT(LEFT(TDays[[#This Row],[تاریخ]],7),2)</f>
        <v>02</v>
      </c>
      <c r="D775" t="str">
        <f>LEFT(TDays[[#This Row],[تاریخ]],4)</f>
        <v>1403</v>
      </c>
      <c r="E775" t="str">
        <f>LEFT(TDays[[#This Row],[تاریخ]],7)</f>
        <v>1403-02</v>
      </c>
      <c r="F775">
        <v>5</v>
      </c>
      <c r="G775" s="16" t="str">
        <f>VLOOKUP(TDays[[#This Row],[کد روز هفته]],TDaysOfTheWeek[],2,FALSE)</f>
        <v>پنجشنبه</v>
      </c>
      <c r="H775" s="16">
        <f>IFERROR(IF(E774&lt;&gt;E775,1,INT(H774)+IF(TDays[[#This Row],[کد روز هفته]]=0,1,0)),1)</f>
        <v>2</v>
      </c>
      <c r="I775">
        <f>-SUMIF(TArticle[تاریخ],TDays[[#This Row],[تاریخ]],TArticle[هزینه])</f>
        <v>0</v>
      </c>
      <c r="J775">
        <f>SUMIF(TArticle[تاریخ],TDays[[#This Row],[تاریخ]],TArticle[درآمد تتا])</f>
        <v>0</v>
      </c>
      <c r="K775">
        <f>SUMIF(TArticle[تاریخ],TDays[[#This Row],[تاریخ]],TArticle[اسنپ])</f>
        <v>0</v>
      </c>
      <c r="L775">
        <f>-SUMIF(TArticle[تاریخ],TDays[[#This Row],[تاریخ]],TArticle[پرداخت بدهی])</f>
        <v>0</v>
      </c>
      <c r="M775">
        <f>SUMIF(TArticle[تاریخ],TDays[[#This Row],[تاریخ]],TArticle[افزایش بدهی])</f>
        <v>0</v>
      </c>
      <c r="N775">
        <f>-SUMIF(TArticle[تاریخ],TDays[[#This Row],[تاریخ]],TArticle[افزایش سرمایه])</f>
        <v>0</v>
      </c>
      <c r="O775">
        <f>SUMIF(TArticle[تاریخ],TDays[[#This Row],[تاریخ]],TArticle[تعداد تراکنش انجام شده])</f>
        <v>0</v>
      </c>
      <c r="P775">
        <f>INT(((TDays[[#This Row],[ماه]]-1)*31+TDays[[#This Row],[روز]]+1)/7)+1</f>
        <v>7</v>
      </c>
      <c r="Q775">
        <f>SUMIF(TArticle[تاریخ],TDays[[#This Row],[تاریخ]],TArticle[تراکنش برنامه ریزی شده])</f>
        <v>0</v>
      </c>
    </row>
    <row r="776" spans="1:17" x14ac:dyDescent="0.25">
      <c r="A776" s="3" t="s">
        <v>1271</v>
      </c>
      <c r="B776" t="str">
        <f>RIGHT(TDays[[#This Row],[تاریخ]],2)</f>
        <v>14</v>
      </c>
      <c r="C776" t="str">
        <f>RIGHT(LEFT(TDays[[#This Row],[تاریخ]],7),2)</f>
        <v>02</v>
      </c>
      <c r="D776" t="str">
        <f>LEFT(TDays[[#This Row],[تاریخ]],4)</f>
        <v>1403</v>
      </c>
      <c r="E776" t="str">
        <f>LEFT(TDays[[#This Row],[تاریخ]],7)</f>
        <v>1403-02</v>
      </c>
      <c r="F776">
        <v>6</v>
      </c>
      <c r="G776" s="16" t="str">
        <f>VLOOKUP(TDays[[#This Row],[کد روز هفته]],TDaysOfTheWeek[],2,FALSE)</f>
        <v>جمعه</v>
      </c>
      <c r="H776" s="16">
        <f>IFERROR(IF(E775&lt;&gt;E776,1,INT(H775)+IF(TDays[[#This Row],[کد روز هفته]]=0,1,0)),1)</f>
        <v>2</v>
      </c>
      <c r="I776">
        <f>-SUMIF(TArticle[تاریخ],TDays[[#This Row],[تاریخ]],TArticle[هزینه])</f>
        <v>0</v>
      </c>
      <c r="J776">
        <f>SUMIF(TArticle[تاریخ],TDays[[#This Row],[تاریخ]],TArticle[درآمد تتا])</f>
        <v>0</v>
      </c>
      <c r="K776">
        <f>SUMIF(TArticle[تاریخ],TDays[[#This Row],[تاریخ]],TArticle[اسنپ])</f>
        <v>0</v>
      </c>
      <c r="L776">
        <f>-SUMIF(TArticle[تاریخ],TDays[[#This Row],[تاریخ]],TArticle[پرداخت بدهی])</f>
        <v>0</v>
      </c>
      <c r="M776">
        <f>SUMIF(TArticle[تاریخ],TDays[[#This Row],[تاریخ]],TArticle[افزایش بدهی])</f>
        <v>0</v>
      </c>
      <c r="N776">
        <f>-SUMIF(TArticle[تاریخ],TDays[[#This Row],[تاریخ]],TArticle[افزایش سرمایه])</f>
        <v>0</v>
      </c>
      <c r="O776">
        <f>SUMIF(TArticle[تاریخ],TDays[[#This Row],[تاریخ]],TArticle[تعداد تراکنش انجام شده])</f>
        <v>0</v>
      </c>
      <c r="P776">
        <f>INT(((TDays[[#This Row],[ماه]]-1)*31+TDays[[#This Row],[روز]]+1)/7)+1</f>
        <v>7</v>
      </c>
      <c r="Q776">
        <f>SUMIF(TArticle[تاریخ],TDays[[#This Row],[تاریخ]],TArticle[تراکنش برنامه ریزی شده])</f>
        <v>0</v>
      </c>
    </row>
    <row r="777" spans="1:17" x14ac:dyDescent="0.25">
      <c r="A777" s="3" t="s">
        <v>1272</v>
      </c>
      <c r="B777" t="str">
        <f>RIGHT(TDays[[#This Row],[تاریخ]],2)</f>
        <v>15</v>
      </c>
      <c r="C777" t="str">
        <f>RIGHT(LEFT(TDays[[#This Row],[تاریخ]],7),2)</f>
        <v>02</v>
      </c>
      <c r="D777" t="str">
        <f>LEFT(TDays[[#This Row],[تاریخ]],4)</f>
        <v>1403</v>
      </c>
      <c r="E777" t="str">
        <f>LEFT(TDays[[#This Row],[تاریخ]],7)</f>
        <v>1403-02</v>
      </c>
      <c r="F777">
        <v>0</v>
      </c>
      <c r="G777" s="16" t="str">
        <f>VLOOKUP(TDays[[#This Row],[کد روز هفته]],TDaysOfTheWeek[],2,FALSE)</f>
        <v>شنبه</v>
      </c>
      <c r="H777" s="16">
        <f>IFERROR(IF(E776&lt;&gt;E777,1,INT(H776)+IF(TDays[[#This Row],[کد روز هفته]]=0,1,0)),1)</f>
        <v>3</v>
      </c>
      <c r="I777">
        <f>-SUMIF(TArticle[تاریخ],TDays[[#This Row],[تاریخ]],TArticle[هزینه])</f>
        <v>0</v>
      </c>
      <c r="J777">
        <f>SUMIF(TArticle[تاریخ],TDays[[#This Row],[تاریخ]],TArticle[درآمد تتا])</f>
        <v>0</v>
      </c>
      <c r="K777">
        <f>SUMIF(TArticle[تاریخ],TDays[[#This Row],[تاریخ]],TArticle[اسنپ])</f>
        <v>0</v>
      </c>
      <c r="L777">
        <f>-SUMIF(TArticle[تاریخ],TDays[[#This Row],[تاریخ]],TArticle[پرداخت بدهی])</f>
        <v>0</v>
      </c>
      <c r="M777">
        <f>SUMIF(TArticle[تاریخ],TDays[[#This Row],[تاریخ]],TArticle[افزایش بدهی])</f>
        <v>0</v>
      </c>
      <c r="N777">
        <f>-SUMIF(TArticle[تاریخ],TDays[[#This Row],[تاریخ]],TArticle[افزایش سرمایه])</f>
        <v>0</v>
      </c>
      <c r="O777">
        <f>SUMIF(TArticle[تاریخ],TDays[[#This Row],[تاریخ]],TArticle[تعداد تراکنش انجام شده])</f>
        <v>0</v>
      </c>
      <c r="P777">
        <f>INT(((TDays[[#This Row],[ماه]]-1)*31+TDays[[#This Row],[روز]]+1)/7)+1</f>
        <v>7</v>
      </c>
      <c r="Q777">
        <f>SUMIF(TArticle[تاریخ],TDays[[#This Row],[تاریخ]],TArticle[تراکنش برنامه ریزی شده])</f>
        <v>0</v>
      </c>
    </row>
    <row r="778" spans="1:17" x14ac:dyDescent="0.25">
      <c r="A778" s="3" t="s">
        <v>1273</v>
      </c>
      <c r="B778" t="str">
        <f>RIGHT(TDays[[#This Row],[تاریخ]],2)</f>
        <v>16</v>
      </c>
      <c r="C778" t="str">
        <f>RIGHT(LEFT(TDays[[#This Row],[تاریخ]],7),2)</f>
        <v>02</v>
      </c>
      <c r="D778" t="str">
        <f>LEFT(TDays[[#This Row],[تاریخ]],4)</f>
        <v>1403</v>
      </c>
      <c r="E778" t="str">
        <f>LEFT(TDays[[#This Row],[تاریخ]],7)</f>
        <v>1403-02</v>
      </c>
      <c r="F778">
        <v>1</v>
      </c>
      <c r="G778" s="16" t="str">
        <f>VLOOKUP(TDays[[#This Row],[کد روز هفته]],TDaysOfTheWeek[],2,FALSE)</f>
        <v>یکشنبه</v>
      </c>
      <c r="H778" s="16">
        <f>IFERROR(IF(E777&lt;&gt;E778,1,INT(H777)+IF(TDays[[#This Row],[کد روز هفته]]=0,1,0)),1)</f>
        <v>3</v>
      </c>
      <c r="I778">
        <f>-SUMIF(TArticle[تاریخ],TDays[[#This Row],[تاریخ]],TArticle[هزینه])</f>
        <v>0</v>
      </c>
      <c r="J778">
        <f>SUMIF(TArticle[تاریخ],TDays[[#This Row],[تاریخ]],TArticle[درآمد تتا])</f>
        <v>0</v>
      </c>
      <c r="K778">
        <f>SUMIF(TArticle[تاریخ],TDays[[#This Row],[تاریخ]],TArticle[اسنپ])</f>
        <v>0</v>
      </c>
      <c r="L778">
        <f>-SUMIF(TArticle[تاریخ],TDays[[#This Row],[تاریخ]],TArticle[پرداخت بدهی])</f>
        <v>0</v>
      </c>
      <c r="M778">
        <f>SUMIF(TArticle[تاریخ],TDays[[#This Row],[تاریخ]],TArticle[افزایش بدهی])</f>
        <v>0</v>
      </c>
      <c r="N778">
        <f>-SUMIF(TArticle[تاریخ],TDays[[#This Row],[تاریخ]],TArticle[افزایش سرمایه])</f>
        <v>0</v>
      </c>
      <c r="O778">
        <f>SUMIF(TArticle[تاریخ],TDays[[#This Row],[تاریخ]],TArticle[تعداد تراکنش انجام شده])</f>
        <v>0</v>
      </c>
      <c r="P778">
        <f>INT(((TDays[[#This Row],[ماه]]-1)*31+TDays[[#This Row],[روز]]+1)/7)+1</f>
        <v>7</v>
      </c>
      <c r="Q778">
        <f>SUMIF(TArticle[تاریخ],TDays[[#This Row],[تاریخ]],TArticle[تراکنش برنامه ریزی شده])</f>
        <v>0</v>
      </c>
    </row>
    <row r="779" spans="1:17" x14ac:dyDescent="0.25">
      <c r="A779" s="3" t="s">
        <v>1274</v>
      </c>
      <c r="B779" t="str">
        <f>RIGHT(TDays[[#This Row],[تاریخ]],2)</f>
        <v>17</v>
      </c>
      <c r="C779" t="str">
        <f>RIGHT(LEFT(TDays[[#This Row],[تاریخ]],7),2)</f>
        <v>02</v>
      </c>
      <c r="D779" t="str">
        <f>LEFT(TDays[[#This Row],[تاریخ]],4)</f>
        <v>1403</v>
      </c>
      <c r="E779" t="str">
        <f>LEFT(TDays[[#This Row],[تاریخ]],7)</f>
        <v>1403-02</v>
      </c>
      <c r="F779">
        <v>2</v>
      </c>
      <c r="G779" s="16" t="str">
        <f>VLOOKUP(TDays[[#This Row],[کد روز هفته]],TDaysOfTheWeek[],2,FALSE)</f>
        <v>دوشنبه</v>
      </c>
      <c r="H779" s="16">
        <f>IFERROR(IF(E778&lt;&gt;E779,1,INT(H778)+IF(TDays[[#This Row],[کد روز هفته]]=0,1,0)),1)</f>
        <v>3</v>
      </c>
      <c r="I779">
        <f>-SUMIF(TArticle[تاریخ],TDays[[#This Row],[تاریخ]],TArticle[هزینه])</f>
        <v>0</v>
      </c>
      <c r="J779">
        <f>SUMIF(TArticle[تاریخ],TDays[[#This Row],[تاریخ]],TArticle[درآمد تتا])</f>
        <v>0</v>
      </c>
      <c r="K779">
        <f>SUMIF(TArticle[تاریخ],TDays[[#This Row],[تاریخ]],TArticle[اسنپ])</f>
        <v>0</v>
      </c>
      <c r="L779">
        <f>-SUMIF(TArticle[تاریخ],TDays[[#This Row],[تاریخ]],TArticle[پرداخت بدهی])</f>
        <v>0</v>
      </c>
      <c r="M779">
        <f>SUMIF(TArticle[تاریخ],TDays[[#This Row],[تاریخ]],TArticle[افزایش بدهی])</f>
        <v>0</v>
      </c>
      <c r="N779">
        <f>-SUMIF(TArticle[تاریخ],TDays[[#This Row],[تاریخ]],TArticle[افزایش سرمایه])</f>
        <v>0</v>
      </c>
      <c r="O779">
        <f>SUMIF(TArticle[تاریخ],TDays[[#This Row],[تاریخ]],TArticle[تعداد تراکنش انجام شده])</f>
        <v>0</v>
      </c>
      <c r="P779">
        <f>INT(((TDays[[#This Row],[ماه]]-1)*31+TDays[[#This Row],[روز]]+1)/7)+1</f>
        <v>8</v>
      </c>
      <c r="Q779">
        <f>SUMIF(TArticle[تاریخ],TDays[[#This Row],[تاریخ]],TArticle[تراکنش برنامه ریزی شده])</f>
        <v>0</v>
      </c>
    </row>
    <row r="780" spans="1:17" x14ac:dyDescent="0.25">
      <c r="A780" s="3" t="s">
        <v>1275</v>
      </c>
      <c r="B780" t="str">
        <f>RIGHT(TDays[[#This Row],[تاریخ]],2)</f>
        <v>18</v>
      </c>
      <c r="C780" t="str">
        <f>RIGHT(LEFT(TDays[[#This Row],[تاریخ]],7),2)</f>
        <v>02</v>
      </c>
      <c r="D780" t="str">
        <f>LEFT(TDays[[#This Row],[تاریخ]],4)</f>
        <v>1403</v>
      </c>
      <c r="E780" t="str">
        <f>LEFT(TDays[[#This Row],[تاریخ]],7)</f>
        <v>1403-02</v>
      </c>
      <c r="F780">
        <v>3</v>
      </c>
      <c r="G780" s="16" t="str">
        <f>VLOOKUP(TDays[[#This Row],[کد روز هفته]],TDaysOfTheWeek[],2,FALSE)</f>
        <v>سه شنبه</v>
      </c>
      <c r="H780" s="16">
        <f>IFERROR(IF(E779&lt;&gt;E780,1,INT(H779)+IF(TDays[[#This Row],[کد روز هفته]]=0,1,0)),1)</f>
        <v>3</v>
      </c>
      <c r="I780">
        <f>-SUMIF(TArticle[تاریخ],TDays[[#This Row],[تاریخ]],TArticle[هزینه])</f>
        <v>0</v>
      </c>
      <c r="J780">
        <f>SUMIF(TArticle[تاریخ],TDays[[#This Row],[تاریخ]],TArticle[درآمد تتا])</f>
        <v>0</v>
      </c>
      <c r="K780">
        <f>SUMIF(TArticle[تاریخ],TDays[[#This Row],[تاریخ]],TArticle[اسنپ])</f>
        <v>0</v>
      </c>
      <c r="L780">
        <f>-SUMIF(TArticle[تاریخ],TDays[[#This Row],[تاریخ]],TArticle[پرداخت بدهی])</f>
        <v>0</v>
      </c>
      <c r="M780">
        <f>SUMIF(TArticle[تاریخ],TDays[[#This Row],[تاریخ]],TArticle[افزایش بدهی])</f>
        <v>0</v>
      </c>
      <c r="N780">
        <f>-SUMIF(TArticle[تاریخ],TDays[[#This Row],[تاریخ]],TArticle[افزایش سرمایه])</f>
        <v>0</v>
      </c>
      <c r="O780">
        <f>SUMIF(TArticle[تاریخ],TDays[[#This Row],[تاریخ]],TArticle[تعداد تراکنش انجام شده])</f>
        <v>0</v>
      </c>
      <c r="P780">
        <f>INT(((TDays[[#This Row],[ماه]]-1)*31+TDays[[#This Row],[روز]]+1)/7)+1</f>
        <v>8</v>
      </c>
      <c r="Q780">
        <f>SUMIF(TArticle[تاریخ],TDays[[#This Row],[تاریخ]],TArticle[تراکنش برنامه ریزی شده])</f>
        <v>0</v>
      </c>
    </row>
    <row r="781" spans="1:17" x14ac:dyDescent="0.25">
      <c r="A781" s="3" t="s">
        <v>1276</v>
      </c>
      <c r="B781" t="str">
        <f>RIGHT(TDays[[#This Row],[تاریخ]],2)</f>
        <v>19</v>
      </c>
      <c r="C781" t="str">
        <f>RIGHT(LEFT(TDays[[#This Row],[تاریخ]],7),2)</f>
        <v>02</v>
      </c>
      <c r="D781" t="str">
        <f>LEFT(TDays[[#This Row],[تاریخ]],4)</f>
        <v>1403</v>
      </c>
      <c r="E781" t="str">
        <f>LEFT(TDays[[#This Row],[تاریخ]],7)</f>
        <v>1403-02</v>
      </c>
      <c r="F781">
        <v>4</v>
      </c>
      <c r="G781" s="16" t="str">
        <f>VLOOKUP(TDays[[#This Row],[کد روز هفته]],TDaysOfTheWeek[],2,FALSE)</f>
        <v>چهارشنبه</v>
      </c>
      <c r="H781" s="16">
        <f>IFERROR(IF(E780&lt;&gt;E781,1,INT(H780)+IF(TDays[[#This Row],[کد روز هفته]]=0,1,0)),1)</f>
        <v>3</v>
      </c>
      <c r="I781">
        <f>-SUMIF(TArticle[تاریخ],TDays[[#This Row],[تاریخ]],TArticle[هزینه])</f>
        <v>0</v>
      </c>
      <c r="J781">
        <f>SUMIF(TArticle[تاریخ],TDays[[#This Row],[تاریخ]],TArticle[درآمد تتا])</f>
        <v>0</v>
      </c>
      <c r="K781">
        <f>SUMIF(TArticle[تاریخ],TDays[[#This Row],[تاریخ]],TArticle[اسنپ])</f>
        <v>0</v>
      </c>
      <c r="L781">
        <f>-SUMIF(TArticle[تاریخ],TDays[[#This Row],[تاریخ]],TArticle[پرداخت بدهی])</f>
        <v>0</v>
      </c>
      <c r="M781">
        <f>SUMIF(TArticle[تاریخ],TDays[[#This Row],[تاریخ]],TArticle[افزایش بدهی])</f>
        <v>0</v>
      </c>
      <c r="N781">
        <f>-SUMIF(TArticle[تاریخ],TDays[[#This Row],[تاریخ]],TArticle[افزایش سرمایه])</f>
        <v>0</v>
      </c>
      <c r="O781">
        <f>SUMIF(TArticle[تاریخ],TDays[[#This Row],[تاریخ]],TArticle[تعداد تراکنش انجام شده])</f>
        <v>0</v>
      </c>
      <c r="P781">
        <f>INT(((TDays[[#This Row],[ماه]]-1)*31+TDays[[#This Row],[روز]]+1)/7)+1</f>
        <v>8</v>
      </c>
      <c r="Q781">
        <f>SUMIF(TArticle[تاریخ],TDays[[#This Row],[تاریخ]],TArticle[تراکنش برنامه ریزی شده])</f>
        <v>0</v>
      </c>
    </row>
    <row r="782" spans="1:17" x14ac:dyDescent="0.25">
      <c r="A782" s="3" t="s">
        <v>1277</v>
      </c>
      <c r="B782" t="str">
        <f>RIGHT(TDays[[#This Row],[تاریخ]],2)</f>
        <v>20</v>
      </c>
      <c r="C782" t="str">
        <f>RIGHT(LEFT(TDays[[#This Row],[تاریخ]],7),2)</f>
        <v>02</v>
      </c>
      <c r="D782" t="str">
        <f>LEFT(TDays[[#This Row],[تاریخ]],4)</f>
        <v>1403</v>
      </c>
      <c r="E782" t="str">
        <f>LEFT(TDays[[#This Row],[تاریخ]],7)</f>
        <v>1403-02</v>
      </c>
      <c r="F782">
        <v>5</v>
      </c>
      <c r="G782" s="16" t="str">
        <f>VLOOKUP(TDays[[#This Row],[کد روز هفته]],TDaysOfTheWeek[],2,FALSE)</f>
        <v>پنجشنبه</v>
      </c>
      <c r="H782" s="16">
        <f>IFERROR(IF(E781&lt;&gt;E782,1,INT(H781)+IF(TDays[[#This Row],[کد روز هفته]]=0,1,0)),1)</f>
        <v>3</v>
      </c>
      <c r="I782">
        <f>-SUMIF(TArticle[تاریخ],TDays[[#This Row],[تاریخ]],TArticle[هزینه])</f>
        <v>0</v>
      </c>
      <c r="J782">
        <f>SUMIF(TArticle[تاریخ],TDays[[#This Row],[تاریخ]],TArticle[درآمد تتا])</f>
        <v>0</v>
      </c>
      <c r="K782">
        <f>SUMIF(TArticle[تاریخ],TDays[[#This Row],[تاریخ]],TArticle[اسنپ])</f>
        <v>0</v>
      </c>
      <c r="L782">
        <f>-SUMIF(TArticle[تاریخ],TDays[[#This Row],[تاریخ]],TArticle[پرداخت بدهی])</f>
        <v>0</v>
      </c>
      <c r="M782">
        <f>SUMIF(TArticle[تاریخ],TDays[[#This Row],[تاریخ]],TArticle[افزایش بدهی])</f>
        <v>0</v>
      </c>
      <c r="N782">
        <f>-SUMIF(TArticle[تاریخ],TDays[[#This Row],[تاریخ]],TArticle[افزایش سرمایه])</f>
        <v>0</v>
      </c>
      <c r="O782">
        <f>SUMIF(TArticle[تاریخ],TDays[[#This Row],[تاریخ]],TArticle[تعداد تراکنش انجام شده])</f>
        <v>0</v>
      </c>
      <c r="P782">
        <f>INT(((TDays[[#This Row],[ماه]]-1)*31+TDays[[#This Row],[روز]]+1)/7)+1</f>
        <v>8</v>
      </c>
      <c r="Q782">
        <f>SUMIF(TArticle[تاریخ],TDays[[#This Row],[تاریخ]],TArticle[تراکنش برنامه ریزی شده])</f>
        <v>1</v>
      </c>
    </row>
    <row r="783" spans="1:17" x14ac:dyDescent="0.25">
      <c r="A783" s="3" t="s">
        <v>1278</v>
      </c>
      <c r="B783" t="str">
        <f>RIGHT(TDays[[#This Row],[تاریخ]],2)</f>
        <v>21</v>
      </c>
      <c r="C783" t="str">
        <f>RIGHT(LEFT(TDays[[#This Row],[تاریخ]],7),2)</f>
        <v>02</v>
      </c>
      <c r="D783" t="str">
        <f>LEFT(TDays[[#This Row],[تاریخ]],4)</f>
        <v>1403</v>
      </c>
      <c r="E783" t="str">
        <f>LEFT(TDays[[#This Row],[تاریخ]],7)</f>
        <v>1403-02</v>
      </c>
      <c r="F783">
        <v>6</v>
      </c>
      <c r="G783" s="16" t="str">
        <f>VLOOKUP(TDays[[#This Row],[کد روز هفته]],TDaysOfTheWeek[],2,FALSE)</f>
        <v>جمعه</v>
      </c>
      <c r="H783" s="16">
        <f>IFERROR(IF(E782&lt;&gt;E783,1,INT(H782)+IF(TDays[[#This Row],[کد روز هفته]]=0,1,0)),1)</f>
        <v>3</v>
      </c>
      <c r="I783">
        <f>-SUMIF(TArticle[تاریخ],TDays[[#This Row],[تاریخ]],TArticle[هزینه])</f>
        <v>0</v>
      </c>
      <c r="J783">
        <f>SUMIF(TArticle[تاریخ],TDays[[#This Row],[تاریخ]],TArticle[درآمد تتا])</f>
        <v>0</v>
      </c>
      <c r="K783">
        <f>SUMIF(TArticle[تاریخ],TDays[[#This Row],[تاریخ]],TArticle[اسنپ])</f>
        <v>0</v>
      </c>
      <c r="L783">
        <f>-SUMIF(TArticle[تاریخ],TDays[[#This Row],[تاریخ]],TArticle[پرداخت بدهی])</f>
        <v>0</v>
      </c>
      <c r="M783">
        <f>SUMIF(TArticle[تاریخ],TDays[[#This Row],[تاریخ]],TArticle[افزایش بدهی])</f>
        <v>0</v>
      </c>
      <c r="N783">
        <f>-SUMIF(TArticle[تاریخ],TDays[[#This Row],[تاریخ]],TArticle[افزایش سرمایه])</f>
        <v>0</v>
      </c>
      <c r="O783">
        <f>SUMIF(TArticle[تاریخ],TDays[[#This Row],[تاریخ]],TArticle[تعداد تراکنش انجام شده])</f>
        <v>0</v>
      </c>
      <c r="P783">
        <f>INT(((TDays[[#This Row],[ماه]]-1)*31+TDays[[#This Row],[روز]]+1)/7)+1</f>
        <v>8</v>
      </c>
      <c r="Q783">
        <f>SUMIF(TArticle[تاریخ],TDays[[#This Row],[تاریخ]],TArticle[تراکنش برنامه ریزی شده])</f>
        <v>0</v>
      </c>
    </row>
    <row r="784" spans="1:17" x14ac:dyDescent="0.25">
      <c r="A784" s="3" t="s">
        <v>1279</v>
      </c>
      <c r="B784" t="str">
        <f>RIGHT(TDays[[#This Row],[تاریخ]],2)</f>
        <v>22</v>
      </c>
      <c r="C784" t="str">
        <f>RIGHT(LEFT(TDays[[#This Row],[تاریخ]],7),2)</f>
        <v>02</v>
      </c>
      <c r="D784" t="str">
        <f>LEFT(TDays[[#This Row],[تاریخ]],4)</f>
        <v>1403</v>
      </c>
      <c r="E784" t="str">
        <f>LEFT(TDays[[#This Row],[تاریخ]],7)</f>
        <v>1403-02</v>
      </c>
      <c r="F784">
        <v>0</v>
      </c>
      <c r="G784" s="16" t="str">
        <f>VLOOKUP(TDays[[#This Row],[کد روز هفته]],TDaysOfTheWeek[],2,FALSE)</f>
        <v>شنبه</v>
      </c>
      <c r="H784" s="16">
        <f>IFERROR(IF(E783&lt;&gt;E784,1,INT(H783)+IF(TDays[[#This Row],[کد روز هفته]]=0,1,0)),1)</f>
        <v>4</v>
      </c>
      <c r="I784">
        <f>-SUMIF(TArticle[تاریخ],TDays[[#This Row],[تاریخ]],TArticle[هزینه])</f>
        <v>0</v>
      </c>
      <c r="J784">
        <f>SUMIF(TArticle[تاریخ],TDays[[#This Row],[تاریخ]],TArticle[درآمد تتا])</f>
        <v>0</v>
      </c>
      <c r="K784">
        <f>SUMIF(TArticle[تاریخ],TDays[[#This Row],[تاریخ]],TArticle[اسنپ])</f>
        <v>0</v>
      </c>
      <c r="L784">
        <f>-SUMIF(TArticle[تاریخ],TDays[[#This Row],[تاریخ]],TArticle[پرداخت بدهی])</f>
        <v>0</v>
      </c>
      <c r="M784">
        <f>SUMIF(TArticle[تاریخ],TDays[[#This Row],[تاریخ]],TArticle[افزایش بدهی])</f>
        <v>0</v>
      </c>
      <c r="N784">
        <f>-SUMIF(TArticle[تاریخ],TDays[[#This Row],[تاریخ]],TArticle[افزایش سرمایه])</f>
        <v>0</v>
      </c>
      <c r="O784">
        <f>SUMIF(TArticle[تاریخ],TDays[[#This Row],[تاریخ]],TArticle[تعداد تراکنش انجام شده])</f>
        <v>0</v>
      </c>
      <c r="P784">
        <f>INT(((TDays[[#This Row],[ماه]]-1)*31+TDays[[#This Row],[روز]]+1)/7)+1</f>
        <v>8</v>
      </c>
      <c r="Q784">
        <f>SUMIF(TArticle[تاریخ],TDays[[#This Row],[تاریخ]],TArticle[تراکنش برنامه ریزی شده])</f>
        <v>0</v>
      </c>
    </row>
    <row r="785" spans="1:17" x14ac:dyDescent="0.25">
      <c r="A785" s="3" t="s">
        <v>1280</v>
      </c>
      <c r="B785" t="str">
        <f>RIGHT(TDays[[#This Row],[تاریخ]],2)</f>
        <v>23</v>
      </c>
      <c r="C785" t="str">
        <f>RIGHT(LEFT(TDays[[#This Row],[تاریخ]],7),2)</f>
        <v>02</v>
      </c>
      <c r="D785" t="str">
        <f>LEFT(TDays[[#This Row],[تاریخ]],4)</f>
        <v>1403</v>
      </c>
      <c r="E785" t="str">
        <f>LEFT(TDays[[#This Row],[تاریخ]],7)</f>
        <v>1403-02</v>
      </c>
      <c r="F785">
        <v>1</v>
      </c>
      <c r="G785" s="16" t="str">
        <f>VLOOKUP(TDays[[#This Row],[کد روز هفته]],TDaysOfTheWeek[],2,FALSE)</f>
        <v>یکشنبه</v>
      </c>
      <c r="H785" s="16">
        <f>IFERROR(IF(E784&lt;&gt;E785,1,INT(H784)+IF(TDays[[#This Row],[کد روز هفته]]=0,1,0)),1)</f>
        <v>4</v>
      </c>
      <c r="I785">
        <f>-SUMIF(TArticle[تاریخ],TDays[[#This Row],[تاریخ]],TArticle[هزینه])</f>
        <v>0</v>
      </c>
      <c r="J785">
        <f>SUMIF(TArticle[تاریخ],TDays[[#This Row],[تاریخ]],TArticle[درآمد تتا])</f>
        <v>0</v>
      </c>
      <c r="K785">
        <f>SUMIF(TArticle[تاریخ],TDays[[#This Row],[تاریخ]],TArticle[اسنپ])</f>
        <v>0</v>
      </c>
      <c r="L785">
        <f>-SUMIF(TArticle[تاریخ],TDays[[#This Row],[تاریخ]],TArticle[پرداخت بدهی])</f>
        <v>0</v>
      </c>
      <c r="M785">
        <f>SUMIF(TArticle[تاریخ],TDays[[#This Row],[تاریخ]],TArticle[افزایش بدهی])</f>
        <v>0</v>
      </c>
      <c r="N785">
        <f>-SUMIF(TArticle[تاریخ],TDays[[#This Row],[تاریخ]],TArticle[افزایش سرمایه])</f>
        <v>0</v>
      </c>
      <c r="O785">
        <f>SUMIF(TArticle[تاریخ],TDays[[#This Row],[تاریخ]],TArticle[تعداد تراکنش انجام شده])</f>
        <v>0</v>
      </c>
      <c r="P785">
        <f>INT(((TDays[[#This Row],[ماه]]-1)*31+TDays[[#This Row],[روز]]+1)/7)+1</f>
        <v>8</v>
      </c>
      <c r="Q785">
        <f>SUMIF(TArticle[تاریخ],TDays[[#This Row],[تاریخ]],TArticle[تراکنش برنامه ریزی شده])</f>
        <v>0</v>
      </c>
    </row>
    <row r="786" spans="1:17" x14ac:dyDescent="0.25">
      <c r="A786" s="3" t="s">
        <v>1281</v>
      </c>
      <c r="B786" t="str">
        <f>RIGHT(TDays[[#This Row],[تاریخ]],2)</f>
        <v>24</v>
      </c>
      <c r="C786" t="str">
        <f>RIGHT(LEFT(TDays[[#This Row],[تاریخ]],7),2)</f>
        <v>02</v>
      </c>
      <c r="D786" t="str">
        <f>LEFT(TDays[[#This Row],[تاریخ]],4)</f>
        <v>1403</v>
      </c>
      <c r="E786" t="str">
        <f>LEFT(TDays[[#This Row],[تاریخ]],7)</f>
        <v>1403-02</v>
      </c>
      <c r="F786">
        <v>2</v>
      </c>
      <c r="G786" s="16" t="str">
        <f>VLOOKUP(TDays[[#This Row],[کد روز هفته]],TDaysOfTheWeek[],2,FALSE)</f>
        <v>دوشنبه</v>
      </c>
      <c r="H786" s="16">
        <f>IFERROR(IF(E785&lt;&gt;E786,1,INT(H785)+IF(TDays[[#This Row],[کد روز هفته]]=0,1,0)),1)</f>
        <v>4</v>
      </c>
      <c r="I786">
        <f>-SUMIF(TArticle[تاریخ],TDays[[#This Row],[تاریخ]],TArticle[هزینه])</f>
        <v>0</v>
      </c>
      <c r="J786">
        <f>SUMIF(TArticle[تاریخ],TDays[[#This Row],[تاریخ]],TArticle[درآمد تتا])</f>
        <v>0</v>
      </c>
      <c r="K786">
        <f>SUMIF(TArticle[تاریخ],TDays[[#This Row],[تاریخ]],TArticle[اسنپ])</f>
        <v>0</v>
      </c>
      <c r="L786">
        <f>-SUMIF(TArticle[تاریخ],TDays[[#This Row],[تاریخ]],TArticle[پرداخت بدهی])</f>
        <v>0</v>
      </c>
      <c r="M786">
        <f>SUMIF(TArticle[تاریخ],TDays[[#This Row],[تاریخ]],TArticle[افزایش بدهی])</f>
        <v>0</v>
      </c>
      <c r="N786">
        <f>-SUMIF(TArticle[تاریخ],TDays[[#This Row],[تاریخ]],TArticle[افزایش سرمایه])</f>
        <v>0</v>
      </c>
      <c r="O786">
        <f>SUMIF(TArticle[تاریخ],TDays[[#This Row],[تاریخ]],TArticle[تعداد تراکنش انجام شده])</f>
        <v>0</v>
      </c>
      <c r="P786">
        <f>INT(((TDays[[#This Row],[ماه]]-1)*31+TDays[[#This Row],[روز]]+1)/7)+1</f>
        <v>9</v>
      </c>
      <c r="Q786">
        <f>SUMIF(TArticle[تاریخ],TDays[[#This Row],[تاریخ]],TArticle[تراکنش برنامه ریزی شده])</f>
        <v>0</v>
      </c>
    </row>
    <row r="787" spans="1:17" x14ac:dyDescent="0.25">
      <c r="A787" s="3" t="s">
        <v>1282</v>
      </c>
      <c r="B787" t="str">
        <f>RIGHT(TDays[[#This Row],[تاریخ]],2)</f>
        <v>25</v>
      </c>
      <c r="C787" t="str">
        <f>RIGHT(LEFT(TDays[[#This Row],[تاریخ]],7),2)</f>
        <v>02</v>
      </c>
      <c r="D787" t="str">
        <f>LEFT(TDays[[#This Row],[تاریخ]],4)</f>
        <v>1403</v>
      </c>
      <c r="E787" t="str">
        <f>LEFT(TDays[[#This Row],[تاریخ]],7)</f>
        <v>1403-02</v>
      </c>
      <c r="F787">
        <v>3</v>
      </c>
      <c r="G787" s="16" t="str">
        <f>VLOOKUP(TDays[[#This Row],[کد روز هفته]],TDaysOfTheWeek[],2,FALSE)</f>
        <v>سه شنبه</v>
      </c>
      <c r="H787" s="16">
        <f>IFERROR(IF(E786&lt;&gt;E787,1,INT(H786)+IF(TDays[[#This Row],[کد روز هفته]]=0,1,0)),1)</f>
        <v>4</v>
      </c>
      <c r="I787">
        <f>-SUMIF(TArticle[تاریخ],TDays[[#This Row],[تاریخ]],TArticle[هزینه])</f>
        <v>0</v>
      </c>
      <c r="J787">
        <f>SUMIF(TArticle[تاریخ],TDays[[#This Row],[تاریخ]],TArticle[درآمد تتا])</f>
        <v>0</v>
      </c>
      <c r="K787">
        <f>SUMIF(TArticle[تاریخ],TDays[[#This Row],[تاریخ]],TArticle[اسنپ])</f>
        <v>0</v>
      </c>
      <c r="L787">
        <f>-SUMIF(TArticle[تاریخ],TDays[[#This Row],[تاریخ]],TArticle[پرداخت بدهی])</f>
        <v>0</v>
      </c>
      <c r="M787">
        <f>SUMIF(TArticle[تاریخ],TDays[[#This Row],[تاریخ]],TArticle[افزایش بدهی])</f>
        <v>0</v>
      </c>
      <c r="N787">
        <f>-SUMIF(TArticle[تاریخ],TDays[[#This Row],[تاریخ]],TArticle[افزایش سرمایه])</f>
        <v>0</v>
      </c>
      <c r="O787">
        <f>SUMIF(TArticle[تاریخ],TDays[[#This Row],[تاریخ]],TArticle[تعداد تراکنش انجام شده])</f>
        <v>0</v>
      </c>
      <c r="P787">
        <f>INT(((TDays[[#This Row],[ماه]]-1)*31+TDays[[#This Row],[روز]]+1)/7)+1</f>
        <v>9</v>
      </c>
      <c r="Q787">
        <f>SUMIF(TArticle[تاریخ],TDays[[#This Row],[تاریخ]],TArticle[تراکنش برنامه ریزی شده])</f>
        <v>0</v>
      </c>
    </row>
    <row r="788" spans="1:17" x14ac:dyDescent="0.25">
      <c r="A788" s="3" t="s">
        <v>1283</v>
      </c>
      <c r="B788" t="str">
        <f>RIGHT(TDays[[#This Row],[تاریخ]],2)</f>
        <v>26</v>
      </c>
      <c r="C788" t="str">
        <f>RIGHT(LEFT(TDays[[#This Row],[تاریخ]],7),2)</f>
        <v>02</v>
      </c>
      <c r="D788" t="str">
        <f>LEFT(TDays[[#This Row],[تاریخ]],4)</f>
        <v>1403</v>
      </c>
      <c r="E788" t="str">
        <f>LEFT(TDays[[#This Row],[تاریخ]],7)</f>
        <v>1403-02</v>
      </c>
      <c r="F788">
        <v>4</v>
      </c>
      <c r="G788" s="16" t="str">
        <f>VLOOKUP(TDays[[#This Row],[کد روز هفته]],TDaysOfTheWeek[],2,FALSE)</f>
        <v>چهارشنبه</v>
      </c>
      <c r="H788" s="16">
        <f>IFERROR(IF(E787&lt;&gt;E788,1,INT(H787)+IF(TDays[[#This Row],[کد روز هفته]]=0,1,0)),1)</f>
        <v>4</v>
      </c>
      <c r="I788">
        <f>-SUMIF(TArticle[تاریخ],TDays[[#This Row],[تاریخ]],TArticle[هزینه])</f>
        <v>0</v>
      </c>
      <c r="J788">
        <f>SUMIF(TArticle[تاریخ],TDays[[#This Row],[تاریخ]],TArticle[درآمد تتا])</f>
        <v>0</v>
      </c>
      <c r="K788">
        <f>SUMIF(TArticle[تاریخ],TDays[[#This Row],[تاریخ]],TArticle[اسنپ])</f>
        <v>0</v>
      </c>
      <c r="L788">
        <f>-SUMIF(TArticle[تاریخ],TDays[[#This Row],[تاریخ]],TArticle[پرداخت بدهی])</f>
        <v>0</v>
      </c>
      <c r="M788">
        <f>SUMIF(TArticle[تاریخ],TDays[[#This Row],[تاریخ]],TArticle[افزایش بدهی])</f>
        <v>0</v>
      </c>
      <c r="N788">
        <f>-SUMIF(TArticle[تاریخ],TDays[[#This Row],[تاریخ]],TArticle[افزایش سرمایه])</f>
        <v>0</v>
      </c>
      <c r="O788">
        <f>SUMIF(TArticle[تاریخ],TDays[[#This Row],[تاریخ]],TArticle[تعداد تراکنش انجام شده])</f>
        <v>0</v>
      </c>
      <c r="P788">
        <f>INT(((TDays[[#This Row],[ماه]]-1)*31+TDays[[#This Row],[روز]]+1)/7)+1</f>
        <v>9</v>
      </c>
      <c r="Q788">
        <f>SUMIF(TArticle[تاریخ],TDays[[#This Row],[تاریخ]],TArticle[تراکنش برنامه ریزی شده])</f>
        <v>0</v>
      </c>
    </row>
    <row r="789" spans="1:17" x14ac:dyDescent="0.25">
      <c r="A789" s="3" t="s">
        <v>1284</v>
      </c>
      <c r="B789" t="str">
        <f>RIGHT(TDays[[#This Row],[تاریخ]],2)</f>
        <v>27</v>
      </c>
      <c r="C789" t="str">
        <f>RIGHT(LEFT(TDays[[#This Row],[تاریخ]],7),2)</f>
        <v>02</v>
      </c>
      <c r="D789" t="str">
        <f>LEFT(TDays[[#This Row],[تاریخ]],4)</f>
        <v>1403</v>
      </c>
      <c r="E789" t="str">
        <f>LEFT(TDays[[#This Row],[تاریخ]],7)</f>
        <v>1403-02</v>
      </c>
      <c r="F789">
        <v>5</v>
      </c>
      <c r="G789" s="16" t="str">
        <f>VLOOKUP(TDays[[#This Row],[کد روز هفته]],TDaysOfTheWeek[],2,FALSE)</f>
        <v>پنجشنبه</v>
      </c>
      <c r="H789" s="16">
        <f>IFERROR(IF(E788&lt;&gt;E789,1,INT(H788)+IF(TDays[[#This Row],[کد روز هفته]]=0,1,0)),1)</f>
        <v>4</v>
      </c>
      <c r="I789">
        <f>-SUMIF(TArticle[تاریخ],TDays[[#This Row],[تاریخ]],TArticle[هزینه])</f>
        <v>0</v>
      </c>
      <c r="J789">
        <f>SUMIF(TArticle[تاریخ],TDays[[#This Row],[تاریخ]],TArticle[درآمد تتا])</f>
        <v>0</v>
      </c>
      <c r="K789">
        <f>SUMIF(TArticle[تاریخ],TDays[[#This Row],[تاریخ]],TArticle[اسنپ])</f>
        <v>0</v>
      </c>
      <c r="L789">
        <f>-SUMIF(TArticle[تاریخ],TDays[[#This Row],[تاریخ]],TArticle[پرداخت بدهی])</f>
        <v>0</v>
      </c>
      <c r="M789">
        <f>SUMIF(TArticle[تاریخ],TDays[[#This Row],[تاریخ]],TArticle[افزایش بدهی])</f>
        <v>0</v>
      </c>
      <c r="N789">
        <f>-SUMIF(TArticle[تاریخ],TDays[[#This Row],[تاریخ]],TArticle[افزایش سرمایه])</f>
        <v>0</v>
      </c>
      <c r="O789">
        <f>SUMIF(TArticle[تاریخ],TDays[[#This Row],[تاریخ]],TArticle[تعداد تراکنش انجام شده])</f>
        <v>0</v>
      </c>
      <c r="P789">
        <f>INT(((TDays[[#This Row],[ماه]]-1)*31+TDays[[#This Row],[روز]]+1)/7)+1</f>
        <v>9</v>
      </c>
      <c r="Q789">
        <f>SUMIF(TArticle[تاریخ],TDays[[#This Row],[تاریخ]],TArticle[تراکنش برنامه ریزی شده])</f>
        <v>0</v>
      </c>
    </row>
    <row r="790" spans="1:17" x14ac:dyDescent="0.25">
      <c r="A790" s="3" t="s">
        <v>1285</v>
      </c>
      <c r="B790" t="str">
        <f>RIGHT(TDays[[#This Row],[تاریخ]],2)</f>
        <v>28</v>
      </c>
      <c r="C790" t="str">
        <f>RIGHT(LEFT(TDays[[#This Row],[تاریخ]],7),2)</f>
        <v>02</v>
      </c>
      <c r="D790" t="str">
        <f>LEFT(TDays[[#This Row],[تاریخ]],4)</f>
        <v>1403</v>
      </c>
      <c r="E790" t="str">
        <f>LEFT(TDays[[#This Row],[تاریخ]],7)</f>
        <v>1403-02</v>
      </c>
      <c r="F790">
        <v>6</v>
      </c>
      <c r="G790" s="16" t="str">
        <f>VLOOKUP(TDays[[#This Row],[کد روز هفته]],TDaysOfTheWeek[],2,FALSE)</f>
        <v>جمعه</v>
      </c>
      <c r="H790" s="16">
        <f>IFERROR(IF(E789&lt;&gt;E790,1,INT(H789)+IF(TDays[[#This Row],[کد روز هفته]]=0,1,0)),1)</f>
        <v>4</v>
      </c>
      <c r="I790">
        <f>-SUMIF(TArticle[تاریخ],TDays[[#This Row],[تاریخ]],TArticle[هزینه])</f>
        <v>0</v>
      </c>
      <c r="J790">
        <f>SUMIF(TArticle[تاریخ],TDays[[#This Row],[تاریخ]],TArticle[درآمد تتا])</f>
        <v>0</v>
      </c>
      <c r="K790">
        <f>SUMIF(TArticle[تاریخ],TDays[[#This Row],[تاریخ]],TArticle[اسنپ])</f>
        <v>0</v>
      </c>
      <c r="L790">
        <f>-SUMIF(TArticle[تاریخ],TDays[[#This Row],[تاریخ]],TArticle[پرداخت بدهی])</f>
        <v>0</v>
      </c>
      <c r="M790">
        <f>SUMIF(TArticle[تاریخ],TDays[[#This Row],[تاریخ]],TArticle[افزایش بدهی])</f>
        <v>0</v>
      </c>
      <c r="N790">
        <f>-SUMIF(TArticle[تاریخ],TDays[[#This Row],[تاریخ]],TArticle[افزایش سرمایه])</f>
        <v>0</v>
      </c>
      <c r="O790">
        <f>SUMIF(TArticle[تاریخ],TDays[[#This Row],[تاریخ]],TArticle[تعداد تراکنش انجام شده])</f>
        <v>0</v>
      </c>
      <c r="P790">
        <f>INT(((TDays[[#This Row],[ماه]]-1)*31+TDays[[#This Row],[روز]]+1)/7)+1</f>
        <v>9</v>
      </c>
      <c r="Q790">
        <f>SUMIF(TArticle[تاریخ],TDays[[#This Row],[تاریخ]],TArticle[تراکنش برنامه ریزی شده])</f>
        <v>1</v>
      </c>
    </row>
    <row r="791" spans="1:17" x14ac:dyDescent="0.25">
      <c r="A791" s="3" t="s">
        <v>1286</v>
      </c>
      <c r="B791" t="str">
        <f>RIGHT(TDays[[#This Row],[تاریخ]],2)</f>
        <v>29</v>
      </c>
      <c r="C791" t="str">
        <f>RIGHT(LEFT(TDays[[#This Row],[تاریخ]],7),2)</f>
        <v>02</v>
      </c>
      <c r="D791" t="str">
        <f>LEFT(TDays[[#This Row],[تاریخ]],4)</f>
        <v>1403</v>
      </c>
      <c r="E791" t="str">
        <f>LEFT(TDays[[#This Row],[تاریخ]],7)</f>
        <v>1403-02</v>
      </c>
      <c r="F791">
        <v>0</v>
      </c>
      <c r="G791" s="16" t="str">
        <f>VLOOKUP(TDays[[#This Row],[کد روز هفته]],TDaysOfTheWeek[],2,FALSE)</f>
        <v>شنبه</v>
      </c>
      <c r="H791" s="16">
        <f>IFERROR(IF(E790&lt;&gt;E791,1,INT(H790)+IF(TDays[[#This Row],[کد روز هفته]]=0,1,0)),1)</f>
        <v>5</v>
      </c>
      <c r="I791">
        <f>-SUMIF(TArticle[تاریخ],TDays[[#This Row],[تاریخ]],TArticle[هزینه])</f>
        <v>0</v>
      </c>
      <c r="J791">
        <f>SUMIF(TArticle[تاریخ],TDays[[#This Row],[تاریخ]],TArticle[درآمد تتا])</f>
        <v>0</v>
      </c>
      <c r="K791">
        <f>SUMIF(TArticle[تاریخ],TDays[[#This Row],[تاریخ]],TArticle[اسنپ])</f>
        <v>0</v>
      </c>
      <c r="L791">
        <f>-SUMIF(TArticle[تاریخ],TDays[[#This Row],[تاریخ]],TArticle[پرداخت بدهی])</f>
        <v>0</v>
      </c>
      <c r="M791">
        <f>SUMIF(TArticle[تاریخ],TDays[[#This Row],[تاریخ]],TArticle[افزایش بدهی])</f>
        <v>0</v>
      </c>
      <c r="N791">
        <f>-SUMIF(TArticle[تاریخ],TDays[[#This Row],[تاریخ]],TArticle[افزایش سرمایه])</f>
        <v>0</v>
      </c>
      <c r="O791">
        <f>SUMIF(TArticle[تاریخ],TDays[[#This Row],[تاریخ]],TArticle[تعداد تراکنش انجام شده])</f>
        <v>0</v>
      </c>
      <c r="P791">
        <f>INT(((TDays[[#This Row],[ماه]]-1)*31+TDays[[#This Row],[روز]]+1)/7)+1</f>
        <v>9</v>
      </c>
      <c r="Q791">
        <f>SUMIF(TArticle[تاریخ],TDays[[#This Row],[تاریخ]],TArticle[تراکنش برنامه ریزی شده])</f>
        <v>0</v>
      </c>
    </row>
    <row r="792" spans="1:17" x14ac:dyDescent="0.25">
      <c r="A792" s="3" t="s">
        <v>1287</v>
      </c>
      <c r="B792" t="str">
        <f>RIGHT(TDays[[#This Row],[تاریخ]],2)</f>
        <v>30</v>
      </c>
      <c r="C792" t="str">
        <f>RIGHT(LEFT(TDays[[#This Row],[تاریخ]],7),2)</f>
        <v>02</v>
      </c>
      <c r="D792" t="str">
        <f>LEFT(TDays[[#This Row],[تاریخ]],4)</f>
        <v>1403</v>
      </c>
      <c r="E792" t="str">
        <f>LEFT(TDays[[#This Row],[تاریخ]],7)</f>
        <v>1403-02</v>
      </c>
      <c r="F792">
        <v>1</v>
      </c>
      <c r="G792" s="16" t="str">
        <f>VLOOKUP(TDays[[#This Row],[کد روز هفته]],TDaysOfTheWeek[],2,FALSE)</f>
        <v>یکشنبه</v>
      </c>
      <c r="H792" s="16">
        <f>IFERROR(IF(E791&lt;&gt;E792,1,INT(H791)+IF(TDays[[#This Row],[کد روز هفته]]=0,1,0)),1)</f>
        <v>5</v>
      </c>
      <c r="I792">
        <f>-SUMIF(TArticle[تاریخ],TDays[[#This Row],[تاریخ]],TArticle[هزینه])</f>
        <v>0</v>
      </c>
      <c r="J792">
        <f>SUMIF(TArticle[تاریخ],TDays[[#This Row],[تاریخ]],TArticle[درآمد تتا])</f>
        <v>0</v>
      </c>
      <c r="K792">
        <f>SUMIF(TArticle[تاریخ],TDays[[#This Row],[تاریخ]],TArticle[اسنپ])</f>
        <v>0</v>
      </c>
      <c r="L792">
        <f>-SUMIF(TArticle[تاریخ],TDays[[#This Row],[تاریخ]],TArticle[پرداخت بدهی])</f>
        <v>0</v>
      </c>
      <c r="M792">
        <f>SUMIF(TArticle[تاریخ],TDays[[#This Row],[تاریخ]],TArticle[افزایش بدهی])</f>
        <v>0</v>
      </c>
      <c r="N792">
        <f>-SUMIF(TArticle[تاریخ],TDays[[#This Row],[تاریخ]],TArticle[افزایش سرمایه])</f>
        <v>0</v>
      </c>
      <c r="O792">
        <f>SUMIF(TArticle[تاریخ],TDays[[#This Row],[تاریخ]],TArticle[تعداد تراکنش انجام شده])</f>
        <v>0</v>
      </c>
      <c r="P792">
        <f>INT(((TDays[[#This Row],[ماه]]-1)*31+TDays[[#This Row],[روز]]+1)/7)+1</f>
        <v>9</v>
      </c>
      <c r="Q792">
        <f>SUMIF(TArticle[تاریخ],TDays[[#This Row],[تاریخ]],TArticle[تراکنش برنامه ریزی شده])</f>
        <v>0</v>
      </c>
    </row>
    <row r="793" spans="1:17" x14ac:dyDescent="0.25">
      <c r="A793" s="3" t="s">
        <v>1288</v>
      </c>
      <c r="B793" t="str">
        <f>RIGHT(TDays[[#This Row],[تاریخ]],2)</f>
        <v>31</v>
      </c>
      <c r="C793" t="str">
        <f>RIGHT(LEFT(TDays[[#This Row],[تاریخ]],7),2)</f>
        <v>02</v>
      </c>
      <c r="D793" t="str">
        <f>LEFT(TDays[[#This Row],[تاریخ]],4)</f>
        <v>1403</v>
      </c>
      <c r="E793" t="str">
        <f>LEFT(TDays[[#This Row],[تاریخ]],7)</f>
        <v>1403-02</v>
      </c>
      <c r="F793">
        <v>2</v>
      </c>
      <c r="G793" s="16" t="str">
        <f>VLOOKUP(TDays[[#This Row],[کد روز هفته]],TDaysOfTheWeek[],2,FALSE)</f>
        <v>دوشنبه</v>
      </c>
      <c r="H793" s="16">
        <f>IFERROR(IF(E792&lt;&gt;E793,1,INT(H792)+IF(TDays[[#This Row],[کد روز هفته]]=0,1,0)),1)</f>
        <v>5</v>
      </c>
      <c r="I793">
        <f>-SUMIF(TArticle[تاریخ],TDays[[#This Row],[تاریخ]],TArticle[هزینه])</f>
        <v>0</v>
      </c>
      <c r="J793">
        <f>SUMIF(TArticle[تاریخ],TDays[[#This Row],[تاریخ]],TArticle[درآمد تتا])</f>
        <v>0</v>
      </c>
      <c r="K793">
        <f>SUMIF(TArticle[تاریخ],TDays[[#This Row],[تاریخ]],TArticle[اسنپ])</f>
        <v>0</v>
      </c>
      <c r="L793">
        <f>-SUMIF(TArticle[تاریخ],TDays[[#This Row],[تاریخ]],TArticle[پرداخت بدهی])</f>
        <v>0</v>
      </c>
      <c r="M793">
        <f>SUMIF(TArticle[تاریخ],TDays[[#This Row],[تاریخ]],TArticle[افزایش بدهی])</f>
        <v>0</v>
      </c>
      <c r="N793">
        <f>-SUMIF(TArticle[تاریخ],TDays[[#This Row],[تاریخ]],TArticle[افزایش سرمایه])</f>
        <v>0</v>
      </c>
      <c r="O793">
        <f>SUMIF(TArticle[تاریخ],TDays[[#This Row],[تاریخ]],TArticle[تعداد تراکنش انجام شده])</f>
        <v>0</v>
      </c>
      <c r="P793">
        <f>INT(((TDays[[#This Row],[ماه]]-1)*31+TDays[[#This Row],[روز]]+1)/7)+1</f>
        <v>10</v>
      </c>
      <c r="Q793">
        <f>SUMIF(TArticle[تاریخ],TDays[[#This Row],[تاریخ]],TArticle[تراکنش برنامه ریزی شده])</f>
        <v>0</v>
      </c>
    </row>
    <row r="794" spans="1:17" x14ac:dyDescent="0.25">
      <c r="A794" s="3" t="s">
        <v>1289</v>
      </c>
      <c r="B794" t="str">
        <f>RIGHT(TDays[[#This Row],[تاریخ]],2)</f>
        <v>01</v>
      </c>
      <c r="C794" t="str">
        <f>RIGHT(LEFT(TDays[[#This Row],[تاریخ]],7),2)</f>
        <v>03</v>
      </c>
      <c r="D794" t="str">
        <f>LEFT(TDays[[#This Row],[تاریخ]],4)</f>
        <v>1403</v>
      </c>
      <c r="E794" t="str">
        <f>LEFT(TDays[[#This Row],[تاریخ]],7)</f>
        <v>1403-03</v>
      </c>
      <c r="F794">
        <v>3</v>
      </c>
      <c r="G794" s="16" t="str">
        <f>VLOOKUP(TDays[[#This Row],[کد روز هفته]],TDaysOfTheWeek[],2,FALSE)</f>
        <v>سه شنبه</v>
      </c>
      <c r="H794" s="16">
        <f>IFERROR(IF(E793&lt;&gt;E794,1,INT(H793)+IF(TDays[[#This Row],[کد روز هفته]]=0,1,0)),1)</f>
        <v>1</v>
      </c>
      <c r="I794">
        <f>-SUMIF(TArticle[تاریخ],TDays[[#This Row],[تاریخ]],TArticle[هزینه])</f>
        <v>0</v>
      </c>
      <c r="J794">
        <f>SUMIF(TArticle[تاریخ],TDays[[#This Row],[تاریخ]],TArticle[درآمد تتا])</f>
        <v>0</v>
      </c>
      <c r="K794">
        <f>SUMIF(TArticle[تاریخ],TDays[[#This Row],[تاریخ]],TArticle[اسنپ])</f>
        <v>0</v>
      </c>
      <c r="L794">
        <f>-SUMIF(TArticle[تاریخ],TDays[[#This Row],[تاریخ]],TArticle[پرداخت بدهی])</f>
        <v>0</v>
      </c>
      <c r="M794">
        <f>SUMIF(TArticle[تاریخ],TDays[[#This Row],[تاریخ]],TArticle[افزایش بدهی])</f>
        <v>0</v>
      </c>
      <c r="N794">
        <f>-SUMIF(TArticle[تاریخ],TDays[[#This Row],[تاریخ]],TArticle[افزایش سرمایه])</f>
        <v>0</v>
      </c>
      <c r="O794">
        <f>SUMIF(TArticle[تاریخ],TDays[[#This Row],[تاریخ]],TArticle[تعداد تراکنش انجام شده])</f>
        <v>0</v>
      </c>
      <c r="P794">
        <f>INT(((TDays[[#This Row],[ماه]]-1)*31+TDays[[#This Row],[روز]]+1)/7)+1</f>
        <v>10</v>
      </c>
      <c r="Q794">
        <f>SUMIF(TArticle[تاریخ],TDays[[#This Row],[تاریخ]],TArticle[تراکنش برنامه ریزی شده])</f>
        <v>2</v>
      </c>
    </row>
    <row r="795" spans="1:17" x14ac:dyDescent="0.25">
      <c r="A795" s="3" t="s">
        <v>1290</v>
      </c>
      <c r="B795" t="str">
        <f>RIGHT(TDays[[#This Row],[تاریخ]],2)</f>
        <v>02</v>
      </c>
      <c r="C795" t="str">
        <f>RIGHT(LEFT(TDays[[#This Row],[تاریخ]],7),2)</f>
        <v>03</v>
      </c>
      <c r="D795" t="str">
        <f>LEFT(TDays[[#This Row],[تاریخ]],4)</f>
        <v>1403</v>
      </c>
      <c r="E795" t="str">
        <f>LEFT(TDays[[#This Row],[تاریخ]],7)</f>
        <v>1403-03</v>
      </c>
      <c r="F795">
        <v>4</v>
      </c>
      <c r="G795" s="16" t="str">
        <f>VLOOKUP(TDays[[#This Row],[کد روز هفته]],TDaysOfTheWeek[],2,FALSE)</f>
        <v>چهارشنبه</v>
      </c>
      <c r="H795" s="16">
        <f>IFERROR(IF(E794&lt;&gt;E795,1,INT(H794)+IF(TDays[[#This Row],[کد روز هفته]]=0,1,0)),1)</f>
        <v>1</v>
      </c>
      <c r="I795">
        <f>-SUMIF(TArticle[تاریخ],TDays[[#This Row],[تاریخ]],TArticle[هزینه])</f>
        <v>0</v>
      </c>
      <c r="J795">
        <f>SUMIF(TArticle[تاریخ],TDays[[#This Row],[تاریخ]],TArticle[درآمد تتا])</f>
        <v>0</v>
      </c>
      <c r="K795">
        <f>SUMIF(TArticle[تاریخ],TDays[[#This Row],[تاریخ]],TArticle[اسنپ])</f>
        <v>0</v>
      </c>
      <c r="L795">
        <f>-SUMIF(TArticle[تاریخ],TDays[[#This Row],[تاریخ]],TArticle[پرداخت بدهی])</f>
        <v>0</v>
      </c>
      <c r="M795">
        <f>SUMIF(TArticle[تاریخ],TDays[[#This Row],[تاریخ]],TArticle[افزایش بدهی])</f>
        <v>0</v>
      </c>
      <c r="N795">
        <f>-SUMIF(TArticle[تاریخ],TDays[[#This Row],[تاریخ]],TArticle[افزایش سرمایه])</f>
        <v>0</v>
      </c>
      <c r="O795">
        <f>SUMIF(TArticle[تاریخ],TDays[[#This Row],[تاریخ]],TArticle[تعداد تراکنش انجام شده])</f>
        <v>0</v>
      </c>
      <c r="P795">
        <f>INT(((TDays[[#This Row],[ماه]]-1)*31+TDays[[#This Row],[روز]]+1)/7)+1</f>
        <v>10</v>
      </c>
      <c r="Q795">
        <f>SUMIF(TArticle[تاریخ],TDays[[#This Row],[تاریخ]],TArticle[تراکنش برنامه ریزی شده])</f>
        <v>0</v>
      </c>
    </row>
    <row r="796" spans="1:17" x14ac:dyDescent="0.25">
      <c r="A796" s="3" t="s">
        <v>1216</v>
      </c>
      <c r="B796" t="str">
        <f>RIGHT(TDays[[#This Row],[تاریخ]],2)</f>
        <v>03</v>
      </c>
      <c r="C796" t="str">
        <f>RIGHT(LEFT(TDays[[#This Row],[تاریخ]],7),2)</f>
        <v>03</v>
      </c>
      <c r="D796" t="str">
        <f>LEFT(TDays[[#This Row],[تاریخ]],4)</f>
        <v>1403</v>
      </c>
      <c r="E796" t="str">
        <f>LEFT(TDays[[#This Row],[تاریخ]],7)</f>
        <v>1403-03</v>
      </c>
      <c r="F796">
        <v>5</v>
      </c>
      <c r="G796" s="16" t="str">
        <f>VLOOKUP(TDays[[#This Row],[کد روز هفته]],TDaysOfTheWeek[],2,FALSE)</f>
        <v>پنجشنبه</v>
      </c>
      <c r="H796" s="16">
        <f>IFERROR(IF(E795&lt;&gt;E796,1,INT(H795)+IF(TDays[[#This Row],[کد روز هفته]]=0,1,0)),1)</f>
        <v>1</v>
      </c>
      <c r="I796">
        <f>-SUMIF(TArticle[تاریخ],TDays[[#This Row],[تاریخ]],TArticle[هزینه])</f>
        <v>0</v>
      </c>
      <c r="J796">
        <f>SUMIF(TArticle[تاریخ],TDays[[#This Row],[تاریخ]],TArticle[درآمد تتا])</f>
        <v>0</v>
      </c>
      <c r="K796">
        <f>SUMIF(TArticle[تاریخ],TDays[[#This Row],[تاریخ]],TArticle[اسنپ])</f>
        <v>0</v>
      </c>
      <c r="L796">
        <f>-SUMIF(TArticle[تاریخ],TDays[[#This Row],[تاریخ]],TArticle[پرداخت بدهی])</f>
        <v>0</v>
      </c>
      <c r="M796">
        <f>SUMIF(TArticle[تاریخ],TDays[[#This Row],[تاریخ]],TArticle[افزایش بدهی])</f>
        <v>0</v>
      </c>
      <c r="N796">
        <f>-SUMIF(TArticle[تاریخ],TDays[[#This Row],[تاریخ]],TArticle[افزایش سرمایه])</f>
        <v>0</v>
      </c>
      <c r="O796">
        <f>SUMIF(TArticle[تاریخ],TDays[[#This Row],[تاریخ]],TArticle[تعداد تراکنش انجام شده])</f>
        <v>0</v>
      </c>
      <c r="P796">
        <f>INT(((TDays[[#This Row],[ماه]]-1)*31+TDays[[#This Row],[روز]]+1)/7)+1</f>
        <v>10</v>
      </c>
      <c r="Q796">
        <f>SUMIF(TArticle[تاریخ],TDays[[#This Row],[تاریخ]],TArticle[تراکنش برنامه ریزی شده])</f>
        <v>5</v>
      </c>
    </row>
    <row r="797" spans="1:17" x14ac:dyDescent="0.25">
      <c r="A797" s="3" t="s">
        <v>1291</v>
      </c>
      <c r="B797" t="str">
        <f>RIGHT(TDays[[#This Row],[تاریخ]],2)</f>
        <v>04</v>
      </c>
      <c r="C797" t="str">
        <f>RIGHT(LEFT(TDays[[#This Row],[تاریخ]],7),2)</f>
        <v>03</v>
      </c>
      <c r="D797" t="str">
        <f>LEFT(TDays[[#This Row],[تاریخ]],4)</f>
        <v>1403</v>
      </c>
      <c r="E797" t="str">
        <f>LEFT(TDays[[#This Row],[تاریخ]],7)</f>
        <v>1403-03</v>
      </c>
      <c r="F797">
        <v>6</v>
      </c>
      <c r="G797" s="16" t="str">
        <f>VLOOKUP(TDays[[#This Row],[کد روز هفته]],TDaysOfTheWeek[],2,FALSE)</f>
        <v>جمعه</v>
      </c>
      <c r="H797" s="16">
        <f>IFERROR(IF(E796&lt;&gt;E797,1,INT(H796)+IF(TDays[[#This Row],[کد روز هفته]]=0,1,0)),1)</f>
        <v>1</v>
      </c>
      <c r="I797">
        <f>-SUMIF(TArticle[تاریخ],TDays[[#This Row],[تاریخ]],TArticle[هزینه])</f>
        <v>0</v>
      </c>
      <c r="J797">
        <f>SUMIF(TArticle[تاریخ],TDays[[#This Row],[تاریخ]],TArticle[درآمد تتا])</f>
        <v>0</v>
      </c>
      <c r="K797">
        <f>SUMIF(TArticle[تاریخ],TDays[[#This Row],[تاریخ]],TArticle[اسنپ])</f>
        <v>0</v>
      </c>
      <c r="L797">
        <f>-SUMIF(TArticle[تاریخ],TDays[[#This Row],[تاریخ]],TArticle[پرداخت بدهی])</f>
        <v>0</v>
      </c>
      <c r="M797">
        <f>SUMIF(TArticle[تاریخ],TDays[[#This Row],[تاریخ]],TArticle[افزایش بدهی])</f>
        <v>0</v>
      </c>
      <c r="N797">
        <f>-SUMIF(TArticle[تاریخ],TDays[[#This Row],[تاریخ]],TArticle[افزایش سرمایه])</f>
        <v>0</v>
      </c>
      <c r="O797">
        <f>SUMIF(TArticle[تاریخ],TDays[[#This Row],[تاریخ]],TArticle[تعداد تراکنش انجام شده])</f>
        <v>0</v>
      </c>
      <c r="P797">
        <f>INT(((TDays[[#This Row],[ماه]]-1)*31+TDays[[#This Row],[روز]]+1)/7)+1</f>
        <v>10</v>
      </c>
      <c r="Q797">
        <f>SUMIF(TArticle[تاریخ],TDays[[#This Row],[تاریخ]],TArticle[تراکنش برنامه ریزی شده])</f>
        <v>1</v>
      </c>
    </row>
    <row r="798" spans="1:17" x14ac:dyDescent="0.25">
      <c r="A798" s="3" t="s">
        <v>1292</v>
      </c>
      <c r="B798" t="str">
        <f>RIGHT(TDays[[#This Row],[تاریخ]],2)</f>
        <v>05</v>
      </c>
      <c r="C798" t="str">
        <f>RIGHT(LEFT(TDays[[#This Row],[تاریخ]],7),2)</f>
        <v>03</v>
      </c>
      <c r="D798" t="str">
        <f>LEFT(TDays[[#This Row],[تاریخ]],4)</f>
        <v>1403</v>
      </c>
      <c r="E798" t="str">
        <f>LEFT(TDays[[#This Row],[تاریخ]],7)</f>
        <v>1403-03</v>
      </c>
      <c r="F798">
        <v>0</v>
      </c>
      <c r="G798" s="16" t="str">
        <f>VLOOKUP(TDays[[#This Row],[کد روز هفته]],TDaysOfTheWeek[],2,FALSE)</f>
        <v>شنبه</v>
      </c>
      <c r="H798" s="16">
        <f>IFERROR(IF(E797&lt;&gt;E798,1,INT(H797)+IF(TDays[[#This Row],[کد روز هفته]]=0,1,0)),1)</f>
        <v>2</v>
      </c>
      <c r="I798">
        <f>-SUMIF(TArticle[تاریخ],TDays[[#This Row],[تاریخ]],TArticle[هزینه])</f>
        <v>0</v>
      </c>
      <c r="J798">
        <f>SUMIF(TArticle[تاریخ],TDays[[#This Row],[تاریخ]],TArticle[درآمد تتا])</f>
        <v>0</v>
      </c>
      <c r="K798">
        <f>SUMIF(TArticle[تاریخ],TDays[[#This Row],[تاریخ]],TArticle[اسنپ])</f>
        <v>0</v>
      </c>
      <c r="L798">
        <f>-SUMIF(TArticle[تاریخ],TDays[[#This Row],[تاریخ]],TArticle[پرداخت بدهی])</f>
        <v>0</v>
      </c>
      <c r="M798">
        <f>SUMIF(TArticle[تاریخ],TDays[[#This Row],[تاریخ]],TArticle[افزایش بدهی])</f>
        <v>0</v>
      </c>
      <c r="N798">
        <f>-SUMIF(TArticle[تاریخ],TDays[[#This Row],[تاریخ]],TArticle[افزایش سرمایه])</f>
        <v>0</v>
      </c>
      <c r="O798">
        <f>SUMIF(TArticle[تاریخ],TDays[[#This Row],[تاریخ]],TArticle[تعداد تراکنش انجام شده])</f>
        <v>0</v>
      </c>
      <c r="P798">
        <f>INT(((TDays[[#This Row],[ماه]]-1)*31+TDays[[#This Row],[روز]]+1)/7)+1</f>
        <v>10</v>
      </c>
      <c r="Q798">
        <f>SUMIF(TArticle[تاریخ],TDays[[#This Row],[تاریخ]],TArticle[تراکنش برنامه ریزی شده])</f>
        <v>0</v>
      </c>
    </row>
    <row r="799" spans="1:17" x14ac:dyDescent="0.25">
      <c r="A799" s="3" t="s">
        <v>1293</v>
      </c>
      <c r="B799" t="str">
        <f>RIGHT(TDays[[#This Row],[تاریخ]],2)</f>
        <v>06</v>
      </c>
      <c r="C799" t="str">
        <f>RIGHT(LEFT(TDays[[#This Row],[تاریخ]],7),2)</f>
        <v>03</v>
      </c>
      <c r="D799" t="str">
        <f>LEFT(TDays[[#This Row],[تاریخ]],4)</f>
        <v>1403</v>
      </c>
      <c r="E799" t="str">
        <f>LEFT(TDays[[#This Row],[تاریخ]],7)</f>
        <v>1403-03</v>
      </c>
      <c r="F799">
        <v>1</v>
      </c>
      <c r="G799" s="16" t="str">
        <f>VLOOKUP(TDays[[#This Row],[کد روز هفته]],TDaysOfTheWeek[],2,FALSE)</f>
        <v>یکشنبه</v>
      </c>
      <c r="H799" s="16">
        <f>IFERROR(IF(E798&lt;&gt;E799,1,INT(H798)+IF(TDays[[#This Row],[کد روز هفته]]=0,1,0)),1)</f>
        <v>2</v>
      </c>
      <c r="I799">
        <f>-SUMIF(TArticle[تاریخ],TDays[[#This Row],[تاریخ]],TArticle[هزینه])</f>
        <v>0</v>
      </c>
      <c r="J799">
        <f>SUMIF(TArticle[تاریخ],TDays[[#This Row],[تاریخ]],TArticle[درآمد تتا])</f>
        <v>0</v>
      </c>
      <c r="K799">
        <f>SUMIF(TArticle[تاریخ],TDays[[#This Row],[تاریخ]],TArticle[اسنپ])</f>
        <v>0</v>
      </c>
      <c r="L799">
        <f>-SUMIF(TArticle[تاریخ],TDays[[#This Row],[تاریخ]],TArticle[پرداخت بدهی])</f>
        <v>0</v>
      </c>
      <c r="M799">
        <f>SUMIF(TArticle[تاریخ],TDays[[#This Row],[تاریخ]],TArticle[افزایش بدهی])</f>
        <v>0</v>
      </c>
      <c r="N799">
        <f>-SUMIF(TArticle[تاریخ],TDays[[#This Row],[تاریخ]],TArticle[افزایش سرمایه])</f>
        <v>0</v>
      </c>
      <c r="O799">
        <f>SUMIF(TArticle[تاریخ],TDays[[#This Row],[تاریخ]],TArticle[تعداد تراکنش انجام شده])</f>
        <v>0</v>
      </c>
      <c r="P799">
        <f>INT(((TDays[[#This Row],[ماه]]-1)*31+TDays[[#This Row],[روز]]+1)/7)+1</f>
        <v>10</v>
      </c>
      <c r="Q799">
        <f>SUMIF(TArticle[تاریخ],TDays[[#This Row],[تاریخ]],TArticle[تراکنش برنامه ریزی شده])</f>
        <v>0</v>
      </c>
    </row>
    <row r="800" spans="1:17" x14ac:dyDescent="0.25">
      <c r="A800" s="3" t="s">
        <v>1294</v>
      </c>
      <c r="B800" t="str">
        <f>RIGHT(TDays[[#This Row],[تاریخ]],2)</f>
        <v>07</v>
      </c>
      <c r="C800" t="str">
        <f>RIGHT(LEFT(TDays[[#This Row],[تاریخ]],7),2)</f>
        <v>03</v>
      </c>
      <c r="D800" t="str">
        <f>LEFT(TDays[[#This Row],[تاریخ]],4)</f>
        <v>1403</v>
      </c>
      <c r="E800" t="str">
        <f>LEFT(TDays[[#This Row],[تاریخ]],7)</f>
        <v>1403-03</v>
      </c>
      <c r="F800">
        <v>2</v>
      </c>
      <c r="G800" s="16" t="str">
        <f>VLOOKUP(TDays[[#This Row],[کد روز هفته]],TDaysOfTheWeek[],2,FALSE)</f>
        <v>دوشنبه</v>
      </c>
      <c r="H800" s="16">
        <f>IFERROR(IF(E799&lt;&gt;E800,1,INT(H799)+IF(TDays[[#This Row],[کد روز هفته]]=0,1,0)),1)</f>
        <v>2</v>
      </c>
      <c r="I800">
        <f>-SUMIF(TArticle[تاریخ],TDays[[#This Row],[تاریخ]],TArticle[هزینه])</f>
        <v>0</v>
      </c>
      <c r="J800">
        <f>SUMIF(TArticle[تاریخ],TDays[[#This Row],[تاریخ]],TArticle[درآمد تتا])</f>
        <v>0</v>
      </c>
      <c r="K800">
        <f>SUMIF(TArticle[تاریخ],TDays[[#This Row],[تاریخ]],TArticle[اسنپ])</f>
        <v>0</v>
      </c>
      <c r="L800">
        <f>-SUMIF(TArticle[تاریخ],TDays[[#This Row],[تاریخ]],TArticle[پرداخت بدهی])</f>
        <v>0</v>
      </c>
      <c r="M800">
        <f>SUMIF(TArticle[تاریخ],TDays[[#This Row],[تاریخ]],TArticle[افزایش بدهی])</f>
        <v>0</v>
      </c>
      <c r="N800">
        <f>-SUMIF(TArticle[تاریخ],TDays[[#This Row],[تاریخ]],TArticle[افزایش سرمایه])</f>
        <v>0</v>
      </c>
      <c r="O800">
        <f>SUMIF(TArticle[تاریخ],TDays[[#This Row],[تاریخ]],TArticle[تعداد تراکنش انجام شده])</f>
        <v>0</v>
      </c>
      <c r="P800">
        <f>INT(((TDays[[#This Row],[ماه]]-1)*31+TDays[[#This Row],[روز]]+1)/7)+1</f>
        <v>11</v>
      </c>
      <c r="Q800">
        <f>SUMIF(TArticle[تاریخ],TDays[[#This Row],[تاریخ]],TArticle[تراکنش برنامه ریزی شده])</f>
        <v>0</v>
      </c>
    </row>
    <row r="801" spans="1:17" x14ac:dyDescent="0.25">
      <c r="A801" s="3" t="s">
        <v>1295</v>
      </c>
      <c r="B801" t="str">
        <f>RIGHT(TDays[[#This Row],[تاریخ]],2)</f>
        <v>08</v>
      </c>
      <c r="C801" t="str">
        <f>RIGHT(LEFT(TDays[[#This Row],[تاریخ]],7),2)</f>
        <v>03</v>
      </c>
      <c r="D801" t="str">
        <f>LEFT(TDays[[#This Row],[تاریخ]],4)</f>
        <v>1403</v>
      </c>
      <c r="E801" t="str">
        <f>LEFT(TDays[[#This Row],[تاریخ]],7)</f>
        <v>1403-03</v>
      </c>
      <c r="F801">
        <v>3</v>
      </c>
      <c r="G801" s="16" t="str">
        <f>VLOOKUP(TDays[[#This Row],[کد روز هفته]],TDaysOfTheWeek[],2,FALSE)</f>
        <v>سه شنبه</v>
      </c>
      <c r="H801" s="16">
        <f>IFERROR(IF(E800&lt;&gt;E801,1,INT(H800)+IF(TDays[[#This Row],[کد روز هفته]]=0,1,0)),1)</f>
        <v>2</v>
      </c>
      <c r="I801">
        <f>-SUMIF(TArticle[تاریخ],TDays[[#This Row],[تاریخ]],TArticle[هزینه])</f>
        <v>0</v>
      </c>
      <c r="J801">
        <f>SUMIF(TArticle[تاریخ],TDays[[#This Row],[تاریخ]],TArticle[درآمد تتا])</f>
        <v>0</v>
      </c>
      <c r="K801">
        <f>SUMIF(TArticle[تاریخ],TDays[[#This Row],[تاریخ]],TArticle[اسنپ])</f>
        <v>0</v>
      </c>
      <c r="L801">
        <f>-SUMIF(TArticle[تاریخ],TDays[[#This Row],[تاریخ]],TArticle[پرداخت بدهی])</f>
        <v>0</v>
      </c>
      <c r="M801">
        <f>SUMIF(TArticle[تاریخ],TDays[[#This Row],[تاریخ]],TArticle[افزایش بدهی])</f>
        <v>0</v>
      </c>
      <c r="N801">
        <f>-SUMIF(TArticle[تاریخ],TDays[[#This Row],[تاریخ]],TArticle[افزایش سرمایه])</f>
        <v>0</v>
      </c>
      <c r="O801">
        <f>SUMIF(TArticle[تاریخ],TDays[[#This Row],[تاریخ]],TArticle[تعداد تراکنش انجام شده])</f>
        <v>0</v>
      </c>
      <c r="P801">
        <f>INT(((TDays[[#This Row],[ماه]]-1)*31+TDays[[#This Row],[روز]]+1)/7)+1</f>
        <v>11</v>
      </c>
      <c r="Q801">
        <f>SUMIF(TArticle[تاریخ],TDays[[#This Row],[تاریخ]],TArticle[تراکنش برنامه ریزی شده])</f>
        <v>0</v>
      </c>
    </row>
    <row r="802" spans="1:17" x14ac:dyDescent="0.25">
      <c r="A802" s="3" t="s">
        <v>1296</v>
      </c>
      <c r="B802" t="str">
        <f>RIGHT(TDays[[#This Row],[تاریخ]],2)</f>
        <v>09</v>
      </c>
      <c r="C802" t="str">
        <f>RIGHT(LEFT(TDays[[#This Row],[تاریخ]],7),2)</f>
        <v>03</v>
      </c>
      <c r="D802" t="str">
        <f>LEFT(TDays[[#This Row],[تاریخ]],4)</f>
        <v>1403</v>
      </c>
      <c r="E802" t="str">
        <f>LEFT(TDays[[#This Row],[تاریخ]],7)</f>
        <v>1403-03</v>
      </c>
      <c r="F802">
        <v>4</v>
      </c>
      <c r="G802" s="16" t="str">
        <f>VLOOKUP(TDays[[#This Row],[کد روز هفته]],TDaysOfTheWeek[],2,FALSE)</f>
        <v>چهارشنبه</v>
      </c>
      <c r="H802" s="16">
        <f>IFERROR(IF(E801&lt;&gt;E802,1,INT(H801)+IF(TDays[[#This Row],[کد روز هفته]]=0,1,0)),1)</f>
        <v>2</v>
      </c>
      <c r="I802">
        <f>-SUMIF(TArticle[تاریخ],TDays[[#This Row],[تاریخ]],TArticle[هزینه])</f>
        <v>0</v>
      </c>
      <c r="J802">
        <f>SUMIF(TArticle[تاریخ],TDays[[#This Row],[تاریخ]],TArticle[درآمد تتا])</f>
        <v>0</v>
      </c>
      <c r="K802">
        <f>SUMIF(TArticle[تاریخ],TDays[[#This Row],[تاریخ]],TArticle[اسنپ])</f>
        <v>0</v>
      </c>
      <c r="L802">
        <f>-SUMIF(TArticle[تاریخ],TDays[[#This Row],[تاریخ]],TArticle[پرداخت بدهی])</f>
        <v>0</v>
      </c>
      <c r="M802">
        <f>SUMIF(TArticle[تاریخ],TDays[[#This Row],[تاریخ]],TArticle[افزایش بدهی])</f>
        <v>0</v>
      </c>
      <c r="N802">
        <f>-SUMIF(TArticle[تاریخ],TDays[[#This Row],[تاریخ]],TArticle[افزایش سرمایه])</f>
        <v>0</v>
      </c>
      <c r="O802">
        <f>SUMIF(TArticle[تاریخ],TDays[[#This Row],[تاریخ]],TArticle[تعداد تراکنش انجام شده])</f>
        <v>0</v>
      </c>
      <c r="P802">
        <f>INT(((TDays[[#This Row],[ماه]]-1)*31+TDays[[#This Row],[روز]]+1)/7)+1</f>
        <v>11</v>
      </c>
      <c r="Q802">
        <f>SUMIF(TArticle[تاریخ],TDays[[#This Row],[تاریخ]],TArticle[تراکنش برنامه ریزی شده])</f>
        <v>1</v>
      </c>
    </row>
    <row r="803" spans="1:17" x14ac:dyDescent="0.25">
      <c r="A803" s="3" t="s">
        <v>1297</v>
      </c>
      <c r="B803" t="str">
        <f>RIGHT(TDays[[#This Row],[تاریخ]],2)</f>
        <v>10</v>
      </c>
      <c r="C803" t="str">
        <f>RIGHT(LEFT(TDays[[#This Row],[تاریخ]],7),2)</f>
        <v>03</v>
      </c>
      <c r="D803" t="str">
        <f>LEFT(TDays[[#This Row],[تاریخ]],4)</f>
        <v>1403</v>
      </c>
      <c r="E803" t="str">
        <f>LEFT(TDays[[#This Row],[تاریخ]],7)</f>
        <v>1403-03</v>
      </c>
      <c r="F803">
        <v>5</v>
      </c>
      <c r="G803" s="16" t="str">
        <f>VLOOKUP(TDays[[#This Row],[کد روز هفته]],TDaysOfTheWeek[],2,FALSE)</f>
        <v>پنجشنبه</v>
      </c>
      <c r="H803" s="16">
        <f>IFERROR(IF(E802&lt;&gt;E803,1,INT(H802)+IF(TDays[[#This Row],[کد روز هفته]]=0,1,0)),1)</f>
        <v>2</v>
      </c>
      <c r="I803">
        <f>-SUMIF(TArticle[تاریخ],TDays[[#This Row],[تاریخ]],TArticle[هزینه])</f>
        <v>0</v>
      </c>
      <c r="J803">
        <f>SUMIF(TArticle[تاریخ],TDays[[#This Row],[تاریخ]],TArticle[درآمد تتا])</f>
        <v>0</v>
      </c>
      <c r="K803">
        <f>SUMIF(TArticle[تاریخ],TDays[[#This Row],[تاریخ]],TArticle[اسنپ])</f>
        <v>0</v>
      </c>
      <c r="L803">
        <f>-SUMIF(TArticle[تاریخ],TDays[[#This Row],[تاریخ]],TArticle[پرداخت بدهی])</f>
        <v>0</v>
      </c>
      <c r="M803">
        <f>SUMIF(TArticle[تاریخ],TDays[[#This Row],[تاریخ]],TArticle[افزایش بدهی])</f>
        <v>0</v>
      </c>
      <c r="N803">
        <f>-SUMIF(TArticle[تاریخ],TDays[[#This Row],[تاریخ]],TArticle[افزایش سرمایه])</f>
        <v>0</v>
      </c>
      <c r="O803">
        <f>SUMIF(TArticle[تاریخ],TDays[[#This Row],[تاریخ]],TArticle[تعداد تراکنش انجام شده])</f>
        <v>0</v>
      </c>
      <c r="P803">
        <f>INT(((TDays[[#This Row],[ماه]]-1)*31+TDays[[#This Row],[روز]]+1)/7)+1</f>
        <v>11</v>
      </c>
      <c r="Q803">
        <f>SUMIF(TArticle[تاریخ],TDays[[#This Row],[تاریخ]],TArticle[تراکنش برنامه ریزی شده])</f>
        <v>0</v>
      </c>
    </row>
    <row r="804" spans="1:17" x14ac:dyDescent="0.25">
      <c r="A804" s="3" t="s">
        <v>1298</v>
      </c>
      <c r="B804" t="str">
        <f>RIGHT(TDays[[#This Row],[تاریخ]],2)</f>
        <v>11</v>
      </c>
      <c r="C804" t="str">
        <f>RIGHT(LEFT(TDays[[#This Row],[تاریخ]],7),2)</f>
        <v>03</v>
      </c>
      <c r="D804" t="str">
        <f>LEFT(TDays[[#This Row],[تاریخ]],4)</f>
        <v>1403</v>
      </c>
      <c r="E804" t="str">
        <f>LEFT(TDays[[#This Row],[تاریخ]],7)</f>
        <v>1403-03</v>
      </c>
      <c r="F804">
        <v>6</v>
      </c>
      <c r="G804" s="16" t="str">
        <f>VLOOKUP(TDays[[#This Row],[کد روز هفته]],TDaysOfTheWeek[],2,FALSE)</f>
        <v>جمعه</v>
      </c>
      <c r="H804" s="16">
        <f>IFERROR(IF(E803&lt;&gt;E804,1,INT(H803)+IF(TDays[[#This Row],[کد روز هفته]]=0,1,0)),1)</f>
        <v>2</v>
      </c>
      <c r="I804">
        <f>-SUMIF(TArticle[تاریخ],TDays[[#This Row],[تاریخ]],TArticle[هزینه])</f>
        <v>0</v>
      </c>
      <c r="J804">
        <f>SUMIF(TArticle[تاریخ],TDays[[#This Row],[تاریخ]],TArticle[درآمد تتا])</f>
        <v>0</v>
      </c>
      <c r="K804">
        <f>SUMIF(TArticle[تاریخ],TDays[[#This Row],[تاریخ]],TArticle[اسنپ])</f>
        <v>0</v>
      </c>
      <c r="L804">
        <f>-SUMIF(TArticle[تاریخ],TDays[[#This Row],[تاریخ]],TArticle[پرداخت بدهی])</f>
        <v>0</v>
      </c>
      <c r="M804">
        <f>SUMIF(TArticle[تاریخ],TDays[[#This Row],[تاریخ]],TArticle[افزایش بدهی])</f>
        <v>0</v>
      </c>
      <c r="N804">
        <f>-SUMIF(TArticle[تاریخ],TDays[[#This Row],[تاریخ]],TArticle[افزایش سرمایه])</f>
        <v>0</v>
      </c>
      <c r="O804">
        <f>SUMIF(TArticle[تاریخ],TDays[[#This Row],[تاریخ]],TArticle[تعداد تراکنش انجام شده])</f>
        <v>0</v>
      </c>
      <c r="P804">
        <f>INT(((TDays[[#This Row],[ماه]]-1)*31+TDays[[#This Row],[روز]]+1)/7)+1</f>
        <v>11</v>
      </c>
      <c r="Q804">
        <f>SUMIF(TArticle[تاریخ],TDays[[#This Row],[تاریخ]],TArticle[تراکنش برنامه ریزی شده])</f>
        <v>0</v>
      </c>
    </row>
    <row r="805" spans="1:17" x14ac:dyDescent="0.25">
      <c r="A805" s="3" t="s">
        <v>1299</v>
      </c>
      <c r="B805" t="str">
        <f>RIGHT(TDays[[#This Row],[تاریخ]],2)</f>
        <v>12</v>
      </c>
      <c r="C805" t="str">
        <f>RIGHT(LEFT(TDays[[#This Row],[تاریخ]],7),2)</f>
        <v>03</v>
      </c>
      <c r="D805" t="str">
        <f>LEFT(TDays[[#This Row],[تاریخ]],4)</f>
        <v>1403</v>
      </c>
      <c r="E805" t="str">
        <f>LEFT(TDays[[#This Row],[تاریخ]],7)</f>
        <v>1403-03</v>
      </c>
      <c r="F805">
        <v>0</v>
      </c>
      <c r="G805" s="16" t="str">
        <f>VLOOKUP(TDays[[#This Row],[کد روز هفته]],TDaysOfTheWeek[],2,FALSE)</f>
        <v>شنبه</v>
      </c>
      <c r="H805" s="16">
        <f>IFERROR(IF(E804&lt;&gt;E805,1,INT(H804)+IF(TDays[[#This Row],[کد روز هفته]]=0,1,0)),1)</f>
        <v>3</v>
      </c>
      <c r="I805">
        <f>-SUMIF(TArticle[تاریخ],TDays[[#This Row],[تاریخ]],TArticle[هزینه])</f>
        <v>0</v>
      </c>
      <c r="J805">
        <f>SUMIF(TArticle[تاریخ],TDays[[#This Row],[تاریخ]],TArticle[درآمد تتا])</f>
        <v>0</v>
      </c>
      <c r="K805">
        <f>SUMIF(TArticle[تاریخ],TDays[[#This Row],[تاریخ]],TArticle[اسنپ])</f>
        <v>0</v>
      </c>
      <c r="L805">
        <f>-SUMIF(TArticle[تاریخ],TDays[[#This Row],[تاریخ]],TArticle[پرداخت بدهی])</f>
        <v>0</v>
      </c>
      <c r="M805">
        <f>SUMIF(TArticle[تاریخ],TDays[[#This Row],[تاریخ]],TArticle[افزایش بدهی])</f>
        <v>0</v>
      </c>
      <c r="N805">
        <f>-SUMIF(TArticle[تاریخ],TDays[[#This Row],[تاریخ]],TArticle[افزایش سرمایه])</f>
        <v>0</v>
      </c>
      <c r="O805">
        <f>SUMIF(TArticle[تاریخ],TDays[[#This Row],[تاریخ]],TArticle[تعداد تراکنش انجام شده])</f>
        <v>0</v>
      </c>
      <c r="P805">
        <f>INT(((TDays[[#This Row],[ماه]]-1)*31+TDays[[#This Row],[روز]]+1)/7)+1</f>
        <v>11</v>
      </c>
      <c r="Q805">
        <f>SUMIF(TArticle[تاریخ],TDays[[#This Row],[تاریخ]],TArticle[تراکنش برنامه ریزی شده])</f>
        <v>0</v>
      </c>
    </row>
    <row r="806" spans="1:17" x14ac:dyDescent="0.25">
      <c r="A806" s="3" t="s">
        <v>1300</v>
      </c>
      <c r="B806" t="str">
        <f>RIGHT(TDays[[#This Row],[تاریخ]],2)</f>
        <v>13</v>
      </c>
      <c r="C806" t="str">
        <f>RIGHT(LEFT(TDays[[#This Row],[تاریخ]],7),2)</f>
        <v>03</v>
      </c>
      <c r="D806" t="str">
        <f>LEFT(TDays[[#This Row],[تاریخ]],4)</f>
        <v>1403</v>
      </c>
      <c r="E806" t="str">
        <f>LEFT(TDays[[#This Row],[تاریخ]],7)</f>
        <v>1403-03</v>
      </c>
      <c r="F806">
        <v>1</v>
      </c>
      <c r="G806" s="16" t="str">
        <f>VLOOKUP(TDays[[#This Row],[کد روز هفته]],TDaysOfTheWeek[],2,FALSE)</f>
        <v>یکشنبه</v>
      </c>
      <c r="H806" s="16">
        <f>IFERROR(IF(E805&lt;&gt;E806,1,INT(H805)+IF(TDays[[#This Row],[کد روز هفته]]=0,1,0)),1)</f>
        <v>3</v>
      </c>
      <c r="I806">
        <f>-SUMIF(TArticle[تاریخ],TDays[[#This Row],[تاریخ]],TArticle[هزینه])</f>
        <v>0</v>
      </c>
      <c r="J806">
        <f>SUMIF(TArticle[تاریخ],TDays[[#This Row],[تاریخ]],TArticle[درآمد تتا])</f>
        <v>0</v>
      </c>
      <c r="K806">
        <f>SUMIF(TArticle[تاریخ],TDays[[#This Row],[تاریخ]],TArticle[اسنپ])</f>
        <v>0</v>
      </c>
      <c r="L806">
        <f>-SUMIF(TArticle[تاریخ],TDays[[#This Row],[تاریخ]],TArticle[پرداخت بدهی])</f>
        <v>0</v>
      </c>
      <c r="M806">
        <f>SUMIF(TArticle[تاریخ],TDays[[#This Row],[تاریخ]],TArticle[افزایش بدهی])</f>
        <v>0</v>
      </c>
      <c r="N806">
        <f>-SUMIF(TArticle[تاریخ],TDays[[#This Row],[تاریخ]],TArticle[افزایش سرمایه])</f>
        <v>0</v>
      </c>
      <c r="O806">
        <f>SUMIF(TArticle[تاریخ],TDays[[#This Row],[تاریخ]],TArticle[تعداد تراکنش انجام شده])</f>
        <v>0</v>
      </c>
      <c r="P806">
        <f>INT(((TDays[[#This Row],[ماه]]-1)*31+TDays[[#This Row],[روز]]+1)/7)+1</f>
        <v>11</v>
      </c>
      <c r="Q806">
        <f>SUMIF(TArticle[تاریخ],TDays[[#This Row],[تاریخ]],TArticle[تراکنش برنامه ریزی شده])</f>
        <v>0</v>
      </c>
    </row>
    <row r="807" spans="1:17" x14ac:dyDescent="0.25">
      <c r="A807" s="3" t="s">
        <v>1301</v>
      </c>
      <c r="B807" t="str">
        <f>RIGHT(TDays[[#This Row],[تاریخ]],2)</f>
        <v>14</v>
      </c>
      <c r="C807" t="str">
        <f>RIGHT(LEFT(TDays[[#This Row],[تاریخ]],7),2)</f>
        <v>03</v>
      </c>
      <c r="D807" t="str">
        <f>LEFT(TDays[[#This Row],[تاریخ]],4)</f>
        <v>1403</v>
      </c>
      <c r="E807" t="str">
        <f>LEFT(TDays[[#This Row],[تاریخ]],7)</f>
        <v>1403-03</v>
      </c>
      <c r="F807">
        <v>2</v>
      </c>
      <c r="G807" s="16" t="str">
        <f>VLOOKUP(TDays[[#This Row],[کد روز هفته]],TDaysOfTheWeek[],2,FALSE)</f>
        <v>دوشنبه</v>
      </c>
      <c r="H807" s="16">
        <f>IFERROR(IF(E806&lt;&gt;E807,1,INT(H806)+IF(TDays[[#This Row],[کد روز هفته]]=0,1,0)),1)</f>
        <v>3</v>
      </c>
      <c r="I807">
        <f>-SUMIF(TArticle[تاریخ],TDays[[#This Row],[تاریخ]],TArticle[هزینه])</f>
        <v>0</v>
      </c>
      <c r="J807">
        <f>SUMIF(TArticle[تاریخ],TDays[[#This Row],[تاریخ]],TArticle[درآمد تتا])</f>
        <v>0</v>
      </c>
      <c r="K807">
        <f>SUMIF(TArticle[تاریخ],TDays[[#This Row],[تاریخ]],TArticle[اسنپ])</f>
        <v>0</v>
      </c>
      <c r="L807">
        <f>-SUMIF(TArticle[تاریخ],TDays[[#This Row],[تاریخ]],TArticle[پرداخت بدهی])</f>
        <v>0</v>
      </c>
      <c r="M807">
        <f>SUMIF(TArticle[تاریخ],TDays[[#This Row],[تاریخ]],TArticle[افزایش بدهی])</f>
        <v>0</v>
      </c>
      <c r="N807">
        <f>-SUMIF(TArticle[تاریخ],TDays[[#This Row],[تاریخ]],TArticle[افزایش سرمایه])</f>
        <v>0</v>
      </c>
      <c r="O807">
        <f>SUMIF(TArticle[تاریخ],TDays[[#This Row],[تاریخ]],TArticle[تعداد تراکنش انجام شده])</f>
        <v>0</v>
      </c>
      <c r="P807">
        <f>INT(((TDays[[#This Row],[ماه]]-1)*31+TDays[[#This Row],[روز]]+1)/7)+1</f>
        <v>12</v>
      </c>
      <c r="Q807">
        <f>SUMIF(TArticle[تاریخ],TDays[[#This Row],[تاریخ]],TArticle[تراکنش برنامه ریزی شده])</f>
        <v>0</v>
      </c>
    </row>
    <row r="808" spans="1:17" x14ac:dyDescent="0.25">
      <c r="A808" s="3" t="s">
        <v>1302</v>
      </c>
      <c r="B808" t="str">
        <f>RIGHT(TDays[[#This Row],[تاریخ]],2)</f>
        <v>15</v>
      </c>
      <c r="C808" t="str">
        <f>RIGHT(LEFT(TDays[[#This Row],[تاریخ]],7),2)</f>
        <v>03</v>
      </c>
      <c r="D808" t="str">
        <f>LEFT(TDays[[#This Row],[تاریخ]],4)</f>
        <v>1403</v>
      </c>
      <c r="E808" t="str">
        <f>LEFT(TDays[[#This Row],[تاریخ]],7)</f>
        <v>1403-03</v>
      </c>
      <c r="F808">
        <v>3</v>
      </c>
      <c r="G808" s="16" t="str">
        <f>VLOOKUP(TDays[[#This Row],[کد روز هفته]],TDaysOfTheWeek[],2,FALSE)</f>
        <v>سه شنبه</v>
      </c>
      <c r="H808" s="16">
        <f>IFERROR(IF(E807&lt;&gt;E808,1,INT(H807)+IF(TDays[[#This Row],[کد روز هفته]]=0,1,0)),1)</f>
        <v>3</v>
      </c>
      <c r="I808">
        <f>-SUMIF(TArticle[تاریخ],TDays[[#This Row],[تاریخ]],TArticle[هزینه])</f>
        <v>0</v>
      </c>
      <c r="J808">
        <f>SUMIF(TArticle[تاریخ],TDays[[#This Row],[تاریخ]],TArticle[درآمد تتا])</f>
        <v>0</v>
      </c>
      <c r="K808">
        <f>SUMIF(TArticle[تاریخ],TDays[[#This Row],[تاریخ]],TArticle[اسنپ])</f>
        <v>0</v>
      </c>
      <c r="L808">
        <f>-SUMIF(TArticle[تاریخ],TDays[[#This Row],[تاریخ]],TArticle[پرداخت بدهی])</f>
        <v>0</v>
      </c>
      <c r="M808">
        <f>SUMIF(TArticle[تاریخ],TDays[[#This Row],[تاریخ]],TArticle[افزایش بدهی])</f>
        <v>0</v>
      </c>
      <c r="N808">
        <f>-SUMIF(TArticle[تاریخ],TDays[[#This Row],[تاریخ]],TArticle[افزایش سرمایه])</f>
        <v>0</v>
      </c>
      <c r="O808">
        <f>SUMIF(TArticle[تاریخ],TDays[[#This Row],[تاریخ]],TArticle[تعداد تراکنش انجام شده])</f>
        <v>0</v>
      </c>
      <c r="P808">
        <f>INT(((TDays[[#This Row],[ماه]]-1)*31+TDays[[#This Row],[روز]]+1)/7)+1</f>
        <v>12</v>
      </c>
      <c r="Q808">
        <f>SUMIF(TArticle[تاریخ],TDays[[#This Row],[تاریخ]],TArticle[تراکنش برنامه ریزی شده])</f>
        <v>0</v>
      </c>
    </row>
    <row r="809" spans="1:17" x14ac:dyDescent="0.25">
      <c r="A809" s="3" t="s">
        <v>1303</v>
      </c>
      <c r="B809" t="str">
        <f>RIGHT(TDays[[#This Row],[تاریخ]],2)</f>
        <v>16</v>
      </c>
      <c r="C809" t="str">
        <f>RIGHT(LEFT(TDays[[#This Row],[تاریخ]],7),2)</f>
        <v>03</v>
      </c>
      <c r="D809" t="str">
        <f>LEFT(TDays[[#This Row],[تاریخ]],4)</f>
        <v>1403</v>
      </c>
      <c r="E809" t="str">
        <f>LEFT(TDays[[#This Row],[تاریخ]],7)</f>
        <v>1403-03</v>
      </c>
      <c r="F809">
        <v>4</v>
      </c>
      <c r="G809" s="16" t="str">
        <f>VLOOKUP(TDays[[#This Row],[کد روز هفته]],TDaysOfTheWeek[],2,FALSE)</f>
        <v>چهارشنبه</v>
      </c>
      <c r="H809" s="16">
        <f>IFERROR(IF(E808&lt;&gt;E809,1,INT(H808)+IF(TDays[[#This Row],[کد روز هفته]]=0,1,0)),1)</f>
        <v>3</v>
      </c>
      <c r="I809">
        <f>-SUMIF(TArticle[تاریخ],TDays[[#This Row],[تاریخ]],TArticle[هزینه])</f>
        <v>0</v>
      </c>
      <c r="J809">
        <f>SUMIF(TArticle[تاریخ],TDays[[#This Row],[تاریخ]],TArticle[درآمد تتا])</f>
        <v>0</v>
      </c>
      <c r="K809">
        <f>SUMIF(TArticle[تاریخ],TDays[[#This Row],[تاریخ]],TArticle[اسنپ])</f>
        <v>0</v>
      </c>
      <c r="L809">
        <f>-SUMIF(TArticle[تاریخ],TDays[[#This Row],[تاریخ]],TArticle[پرداخت بدهی])</f>
        <v>0</v>
      </c>
      <c r="M809">
        <f>SUMIF(TArticle[تاریخ],TDays[[#This Row],[تاریخ]],TArticle[افزایش بدهی])</f>
        <v>0</v>
      </c>
      <c r="N809">
        <f>-SUMIF(TArticle[تاریخ],TDays[[#This Row],[تاریخ]],TArticle[افزایش سرمایه])</f>
        <v>0</v>
      </c>
      <c r="O809">
        <f>SUMIF(TArticle[تاریخ],TDays[[#This Row],[تاریخ]],TArticle[تعداد تراکنش انجام شده])</f>
        <v>0</v>
      </c>
      <c r="P809">
        <f>INT(((TDays[[#This Row],[ماه]]-1)*31+TDays[[#This Row],[روز]]+1)/7)+1</f>
        <v>12</v>
      </c>
      <c r="Q809">
        <f>SUMIF(TArticle[تاریخ],TDays[[#This Row],[تاریخ]],TArticle[تراکنش برنامه ریزی شده])</f>
        <v>0</v>
      </c>
    </row>
    <row r="810" spans="1:17" x14ac:dyDescent="0.25">
      <c r="A810" s="3" t="s">
        <v>1304</v>
      </c>
      <c r="B810" t="str">
        <f>RIGHT(TDays[[#This Row],[تاریخ]],2)</f>
        <v>17</v>
      </c>
      <c r="C810" t="str">
        <f>RIGHT(LEFT(TDays[[#This Row],[تاریخ]],7),2)</f>
        <v>03</v>
      </c>
      <c r="D810" t="str">
        <f>LEFT(TDays[[#This Row],[تاریخ]],4)</f>
        <v>1403</v>
      </c>
      <c r="E810" t="str">
        <f>LEFT(TDays[[#This Row],[تاریخ]],7)</f>
        <v>1403-03</v>
      </c>
      <c r="F810">
        <v>5</v>
      </c>
      <c r="G810" s="16" t="str">
        <f>VLOOKUP(TDays[[#This Row],[کد روز هفته]],TDaysOfTheWeek[],2,FALSE)</f>
        <v>پنجشنبه</v>
      </c>
      <c r="H810" s="16">
        <f>IFERROR(IF(E809&lt;&gt;E810,1,INT(H809)+IF(TDays[[#This Row],[کد روز هفته]]=0,1,0)),1)</f>
        <v>3</v>
      </c>
      <c r="I810">
        <f>-SUMIF(TArticle[تاریخ],TDays[[#This Row],[تاریخ]],TArticle[هزینه])</f>
        <v>0</v>
      </c>
      <c r="J810">
        <f>SUMIF(TArticle[تاریخ],TDays[[#This Row],[تاریخ]],TArticle[درآمد تتا])</f>
        <v>0</v>
      </c>
      <c r="K810">
        <f>SUMIF(TArticle[تاریخ],TDays[[#This Row],[تاریخ]],TArticle[اسنپ])</f>
        <v>0</v>
      </c>
      <c r="L810">
        <f>-SUMIF(TArticle[تاریخ],TDays[[#This Row],[تاریخ]],TArticle[پرداخت بدهی])</f>
        <v>0</v>
      </c>
      <c r="M810">
        <f>SUMIF(TArticle[تاریخ],TDays[[#This Row],[تاریخ]],TArticle[افزایش بدهی])</f>
        <v>0</v>
      </c>
      <c r="N810">
        <f>-SUMIF(TArticle[تاریخ],TDays[[#This Row],[تاریخ]],TArticle[افزایش سرمایه])</f>
        <v>0</v>
      </c>
      <c r="O810">
        <f>SUMIF(TArticle[تاریخ],TDays[[#This Row],[تاریخ]],TArticle[تعداد تراکنش انجام شده])</f>
        <v>0</v>
      </c>
      <c r="P810">
        <f>INT(((TDays[[#This Row],[ماه]]-1)*31+TDays[[#This Row],[روز]]+1)/7)+1</f>
        <v>12</v>
      </c>
      <c r="Q810">
        <f>SUMIF(TArticle[تاریخ],TDays[[#This Row],[تاریخ]],TArticle[تراکنش برنامه ریزی شده])</f>
        <v>0</v>
      </c>
    </row>
    <row r="811" spans="1:17" x14ac:dyDescent="0.25">
      <c r="A811" s="3" t="s">
        <v>1305</v>
      </c>
      <c r="B811" t="str">
        <f>RIGHT(TDays[[#This Row],[تاریخ]],2)</f>
        <v>18</v>
      </c>
      <c r="C811" t="str">
        <f>RIGHT(LEFT(TDays[[#This Row],[تاریخ]],7),2)</f>
        <v>03</v>
      </c>
      <c r="D811" t="str">
        <f>LEFT(TDays[[#This Row],[تاریخ]],4)</f>
        <v>1403</v>
      </c>
      <c r="E811" t="str">
        <f>LEFT(TDays[[#This Row],[تاریخ]],7)</f>
        <v>1403-03</v>
      </c>
      <c r="F811">
        <v>6</v>
      </c>
      <c r="G811" s="16" t="str">
        <f>VLOOKUP(TDays[[#This Row],[کد روز هفته]],TDaysOfTheWeek[],2,FALSE)</f>
        <v>جمعه</v>
      </c>
      <c r="H811" s="16">
        <f>IFERROR(IF(E810&lt;&gt;E811,1,INT(H810)+IF(TDays[[#This Row],[کد روز هفته]]=0,1,0)),1)</f>
        <v>3</v>
      </c>
      <c r="I811">
        <f>-SUMIF(TArticle[تاریخ],TDays[[#This Row],[تاریخ]],TArticle[هزینه])</f>
        <v>0</v>
      </c>
      <c r="J811">
        <f>SUMIF(TArticle[تاریخ],TDays[[#This Row],[تاریخ]],TArticle[درآمد تتا])</f>
        <v>0</v>
      </c>
      <c r="K811">
        <f>SUMIF(TArticle[تاریخ],TDays[[#This Row],[تاریخ]],TArticle[اسنپ])</f>
        <v>0</v>
      </c>
      <c r="L811">
        <f>-SUMIF(TArticle[تاریخ],TDays[[#This Row],[تاریخ]],TArticle[پرداخت بدهی])</f>
        <v>0</v>
      </c>
      <c r="M811">
        <f>SUMIF(TArticle[تاریخ],TDays[[#This Row],[تاریخ]],TArticle[افزایش بدهی])</f>
        <v>0</v>
      </c>
      <c r="N811">
        <f>-SUMIF(TArticle[تاریخ],TDays[[#This Row],[تاریخ]],TArticle[افزایش سرمایه])</f>
        <v>0</v>
      </c>
      <c r="O811">
        <f>SUMIF(TArticle[تاریخ],TDays[[#This Row],[تاریخ]],TArticle[تعداد تراکنش انجام شده])</f>
        <v>0</v>
      </c>
      <c r="P811">
        <f>INT(((TDays[[#This Row],[ماه]]-1)*31+TDays[[#This Row],[روز]]+1)/7)+1</f>
        <v>12</v>
      </c>
      <c r="Q811">
        <f>SUMIF(TArticle[تاریخ],TDays[[#This Row],[تاریخ]],TArticle[تراکنش برنامه ریزی شده])</f>
        <v>0</v>
      </c>
    </row>
    <row r="812" spans="1:17" x14ac:dyDescent="0.25">
      <c r="A812" s="3" t="s">
        <v>1306</v>
      </c>
      <c r="B812" t="str">
        <f>RIGHT(TDays[[#This Row],[تاریخ]],2)</f>
        <v>19</v>
      </c>
      <c r="C812" t="str">
        <f>RIGHT(LEFT(TDays[[#This Row],[تاریخ]],7),2)</f>
        <v>03</v>
      </c>
      <c r="D812" t="str">
        <f>LEFT(TDays[[#This Row],[تاریخ]],4)</f>
        <v>1403</v>
      </c>
      <c r="E812" t="str">
        <f>LEFT(TDays[[#This Row],[تاریخ]],7)</f>
        <v>1403-03</v>
      </c>
      <c r="F812">
        <v>0</v>
      </c>
      <c r="G812" s="16" t="str">
        <f>VLOOKUP(TDays[[#This Row],[کد روز هفته]],TDaysOfTheWeek[],2,FALSE)</f>
        <v>شنبه</v>
      </c>
      <c r="H812" s="16">
        <f>IFERROR(IF(E811&lt;&gt;E812,1,INT(H811)+IF(TDays[[#This Row],[کد روز هفته]]=0,1,0)),1)</f>
        <v>4</v>
      </c>
      <c r="I812">
        <f>-SUMIF(TArticle[تاریخ],TDays[[#This Row],[تاریخ]],TArticle[هزینه])</f>
        <v>0</v>
      </c>
      <c r="J812">
        <f>SUMIF(TArticle[تاریخ],TDays[[#This Row],[تاریخ]],TArticle[درآمد تتا])</f>
        <v>0</v>
      </c>
      <c r="K812">
        <f>SUMIF(TArticle[تاریخ],TDays[[#This Row],[تاریخ]],TArticle[اسنپ])</f>
        <v>0</v>
      </c>
      <c r="L812">
        <f>-SUMIF(TArticle[تاریخ],TDays[[#This Row],[تاریخ]],TArticle[پرداخت بدهی])</f>
        <v>0</v>
      </c>
      <c r="M812">
        <f>SUMIF(TArticle[تاریخ],TDays[[#This Row],[تاریخ]],TArticle[افزایش بدهی])</f>
        <v>0</v>
      </c>
      <c r="N812">
        <f>-SUMIF(TArticle[تاریخ],TDays[[#This Row],[تاریخ]],TArticle[افزایش سرمایه])</f>
        <v>0</v>
      </c>
      <c r="O812">
        <f>SUMIF(TArticle[تاریخ],TDays[[#This Row],[تاریخ]],TArticle[تعداد تراکنش انجام شده])</f>
        <v>0</v>
      </c>
      <c r="P812">
        <f>INT(((TDays[[#This Row],[ماه]]-1)*31+TDays[[#This Row],[روز]]+1)/7)+1</f>
        <v>12</v>
      </c>
      <c r="Q812">
        <f>SUMIF(TArticle[تاریخ],TDays[[#This Row],[تاریخ]],TArticle[تراکنش برنامه ریزی شده])</f>
        <v>0</v>
      </c>
    </row>
    <row r="813" spans="1:17" x14ac:dyDescent="0.25">
      <c r="A813" s="3" t="s">
        <v>1307</v>
      </c>
      <c r="B813" t="str">
        <f>RIGHT(TDays[[#This Row],[تاریخ]],2)</f>
        <v>20</v>
      </c>
      <c r="C813" t="str">
        <f>RIGHT(LEFT(TDays[[#This Row],[تاریخ]],7),2)</f>
        <v>03</v>
      </c>
      <c r="D813" t="str">
        <f>LEFT(TDays[[#This Row],[تاریخ]],4)</f>
        <v>1403</v>
      </c>
      <c r="E813" t="str">
        <f>LEFT(TDays[[#This Row],[تاریخ]],7)</f>
        <v>1403-03</v>
      </c>
      <c r="F813">
        <v>1</v>
      </c>
      <c r="G813" s="16" t="str">
        <f>VLOOKUP(TDays[[#This Row],[کد روز هفته]],TDaysOfTheWeek[],2,FALSE)</f>
        <v>یکشنبه</v>
      </c>
      <c r="H813" s="16">
        <f>IFERROR(IF(E812&lt;&gt;E813,1,INT(H812)+IF(TDays[[#This Row],[کد روز هفته]]=0,1,0)),1)</f>
        <v>4</v>
      </c>
      <c r="I813">
        <f>-SUMIF(TArticle[تاریخ],TDays[[#This Row],[تاریخ]],TArticle[هزینه])</f>
        <v>0</v>
      </c>
      <c r="J813">
        <f>SUMIF(TArticle[تاریخ],TDays[[#This Row],[تاریخ]],TArticle[درآمد تتا])</f>
        <v>0</v>
      </c>
      <c r="K813">
        <f>SUMIF(TArticle[تاریخ],TDays[[#This Row],[تاریخ]],TArticle[اسنپ])</f>
        <v>0</v>
      </c>
      <c r="L813">
        <f>-SUMIF(TArticle[تاریخ],TDays[[#This Row],[تاریخ]],TArticle[پرداخت بدهی])</f>
        <v>0</v>
      </c>
      <c r="M813">
        <f>SUMIF(TArticle[تاریخ],TDays[[#This Row],[تاریخ]],TArticle[افزایش بدهی])</f>
        <v>0</v>
      </c>
      <c r="N813">
        <f>-SUMIF(TArticle[تاریخ],TDays[[#This Row],[تاریخ]],TArticle[افزایش سرمایه])</f>
        <v>0</v>
      </c>
      <c r="O813">
        <f>SUMIF(TArticle[تاریخ],TDays[[#This Row],[تاریخ]],TArticle[تعداد تراکنش انجام شده])</f>
        <v>0</v>
      </c>
      <c r="P813">
        <f>INT(((TDays[[#This Row],[ماه]]-1)*31+TDays[[#This Row],[روز]]+1)/7)+1</f>
        <v>12</v>
      </c>
      <c r="Q813">
        <f>SUMIF(TArticle[تاریخ],TDays[[#This Row],[تاریخ]],TArticle[تراکنش برنامه ریزی شده])</f>
        <v>1</v>
      </c>
    </row>
    <row r="814" spans="1:17" x14ac:dyDescent="0.25">
      <c r="A814" s="3" t="s">
        <v>1308</v>
      </c>
      <c r="B814" t="str">
        <f>RIGHT(TDays[[#This Row],[تاریخ]],2)</f>
        <v>21</v>
      </c>
      <c r="C814" t="str">
        <f>RIGHT(LEFT(TDays[[#This Row],[تاریخ]],7),2)</f>
        <v>03</v>
      </c>
      <c r="D814" t="str">
        <f>LEFT(TDays[[#This Row],[تاریخ]],4)</f>
        <v>1403</v>
      </c>
      <c r="E814" t="str">
        <f>LEFT(TDays[[#This Row],[تاریخ]],7)</f>
        <v>1403-03</v>
      </c>
      <c r="F814">
        <v>2</v>
      </c>
      <c r="G814" s="16" t="str">
        <f>VLOOKUP(TDays[[#This Row],[کد روز هفته]],TDaysOfTheWeek[],2,FALSE)</f>
        <v>دوشنبه</v>
      </c>
      <c r="H814" s="16">
        <f>IFERROR(IF(E813&lt;&gt;E814,1,INT(H813)+IF(TDays[[#This Row],[کد روز هفته]]=0,1,0)),1)</f>
        <v>4</v>
      </c>
      <c r="I814">
        <f>-SUMIF(TArticle[تاریخ],TDays[[#This Row],[تاریخ]],TArticle[هزینه])</f>
        <v>0</v>
      </c>
      <c r="J814">
        <f>SUMIF(TArticle[تاریخ],TDays[[#This Row],[تاریخ]],TArticle[درآمد تتا])</f>
        <v>0</v>
      </c>
      <c r="K814">
        <f>SUMIF(TArticle[تاریخ],TDays[[#This Row],[تاریخ]],TArticle[اسنپ])</f>
        <v>0</v>
      </c>
      <c r="L814">
        <f>-SUMIF(TArticle[تاریخ],TDays[[#This Row],[تاریخ]],TArticle[پرداخت بدهی])</f>
        <v>0</v>
      </c>
      <c r="M814">
        <f>SUMIF(TArticle[تاریخ],TDays[[#This Row],[تاریخ]],TArticle[افزایش بدهی])</f>
        <v>0</v>
      </c>
      <c r="N814">
        <f>-SUMIF(TArticle[تاریخ],TDays[[#This Row],[تاریخ]],TArticle[افزایش سرمایه])</f>
        <v>0</v>
      </c>
      <c r="O814">
        <f>SUMIF(TArticle[تاریخ],TDays[[#This Row],[تاریخ]],TArticle[تعداد تراکنش انجام شده])</f>
        <v>0</v>
      </c>
      <c r="P814">
        <f>INT(((TDays[[#This Row],[ماه]]-1)*31+TDays[[#This Row],[روز]]+1)/7)+1</f>
        <v>13</v>
      </c>
      <c r="Q814">
        <f>SUMIF(TArticle[تاریخ],TDays[[#This Row],[تاریخ]],TArticle[تراکنش برنامه ریزی شده])</f>
        <v>0</v>
      </c>
    </row>
    <row r="815" spans="1:17" x14ac:dyDescent="0.25">
      <c r="A815" s="3" t="s">
        <v>1309</v>
      </c>
      <c r="B815" t="str">
        <f>RIGHT(TDays[[#This Row],[تاریخ]],2)</f>
        <v>22</v>
      </c>
      <c r="C815" t="str">
        <f>RIGHT(LEFT(TDays[[#This Row],[تاریخ]],7),2)</f>
        <v>03</v>
      </c>
      <c r="D815" t="str">
        <f>LEFT(TDays[[#This Row],[تاریخ]],4)</f>
        <v>1403</v>
      </c>
      <c r="E815" t="str">
        <f>LEFT(TDays[[#This Row],[تاریخ]],7)</f>
        <v>1403-03</v>
      </c>
      <c r="F815">
        <v>3</v>
      </c>
      <c r="G815" s="16" t="str">
        <f>VLOOKUP(TDays[[#This Row],[کد روز هفته]],TDaysOfTheWeek[],2,FALSE)</f>
        <v>سه شنبه</v>
      </c>
      <c r="H815" s="16">
        <f>IFERROR(IF(E814&lt;&gt;E815,1,INT(H814)+IF(TDays[[#This Row],[کد روز هفته]]=0,1,0)),1)</f>
        <v>4</v>
      </c>
      <c r="I815">
        <f>-SUMIF(TArticle[تاریخ],TDays[[#This Row],[تاریخ]],TArticle[هزینه])</f>
        <v>0</v>
      </c>
      <c r="J815">
        <f>SUMIF(TArticle[تاریخ],TDays[[#This Row],[تاریخ]],TArticle[درآمد تتا])</f>
        <v>0</v>
      </c>
      <c r="K815">
        <f>SUMIF(TArticle[تاریخ],TDays[[#This Row],[تاریخ]],TArticle[اسنپ])</f>
        <v>0</v>
      </c>
      <c r="L815">
        <f>-SUMIF(TArticle[تاریخ],TDays[[#This Row],[تاریخ]],TArticle[پرداخت بدهی])</f>
        <v>0</v>
      </c>
      <c r="M815">
        <f>SUMIF(TArticle[تاریخ],TDays[[#This Row],[تاریخ]],TArticle[افزایش بدهی])</f>
        <v>0</v>
      </c>
      <c r="N815">
        <f>-SUMIF(TArticle[تاریخ],TDays[[#This Row],[تاریخ]],TArticle[افزایش سرمایه])</f>
        <v>0</v>
      </c>
      <c r="O815">
        <f>SUMIF(TArticle[تاریخ],TDays[[#This Row],[تاریخ]],TArticle[تعداد تراکنش انجام شده])</f>
        <v>0</v>
      </c>
      <c r="P815">
        <f>INT(((TDays[[#This Row],[ماه]]-1)*31+TDays[[#This Row],[روز]]+1)/7)+1</f>
        <v>13</v>
      </c>
      <c r="Q815">
        <f>SUMIF(TArticle[تاریخ],TDays[[#This Row],[تاریخ]],TArticle[تراکنش برنامه ریزی شده])</f>
        <v>0</v>
      </c>
    </row>
    <row r="816" spans="1:17" x14ac:dyDescent="0.25">
      <c r="A816" s="3" t="s">
        <v>1310</v>
      </c>
      <c r="B816" t="str">
        <f>RIGHT(TDays[[#This Row],[تاریخ]],2)</f>
        <v>23</v>
      </c>
      <c r="C816" t="str">
        <f>RIGHT(LEFT(TDays[[#This Row],[تاریخ]],7),2)</f>
        <v>03</v>
      </c>
      <c r="D816" t="str">
        <f>LEFT(TDays[[#This Row],[تاریخ]],4)</f>
        <v>1403</v>
      </c>
      <c r="E816" t="str">
        <f>LEFT(TDays[[#This Row],[تاریخ]],7)</f>
        <v>1403-03</v>
      </c>
      <c r="F816">
        <v>4</v>
      </c>
      <c r="G816" s="16" t="str">
        <f>VLOOKUP(TDays[[#This Row],[کد روز هفته]],TDaysOfTheWeek[],2,FALSE)</f>
        <v>چهارشنبه</v>
      </c>
      <c r="H816" s="16">
        <f>IFERROR(IF(E815&lt;&gt;E816,1,INT(H815)+IF(TDays[[#This Row],[کد روز هفته]]=0,1,0)),1)</f>
        <v>4</v>
      </c>
      <c r="I816">
        <f>-SUMIF(TArticle[تاریخ],TDays[[#This Row],[تاریخ]],TArticle[هزینه])</f>
        <v>0</v>
      </c>
      <c r="J816">
        <f>SUMIF(TArticle[تاریخ],TDays[[#This Row],[تاریخ]],TArticle[درآمد تتا])</f>
        <v>0</v>
      </c>
      <c r="K816">
        <f>SUMIF(TArticle[تاریخ],TDays[[#This Row],[تاریخ]],TArticle[اسنپ])</f>
        <v>0</v>
      </c>
      <c r="L816">
        <f>-SUMIF(TArticle[تاریخ],TDays[[#This Row],[تاریخ]],TArticle[پرداخت بدهی])</f>
        <v>0</v>
      </c>
      <c r="M816">
        <f>SUMIF(TArticle[تاریخ],TDays[[#This Row],[تاریخ]],TArticle[افزایش بدهی])</f>
        <v>0</v>
      </c>
      <c r="N816">
        <f>-SUMIF(TArticle[تاریخ],TDays[[#This Row],[تاریخ]],TArticle[افزایش سرمایه])</f>
        <v>0</v>
      </c>
      <c r="O816">
        <f>SUMIF(TArticle[تاریخ],TDays[[#This Row],[تاریخ]],TArticle[تعداد تراکنش انجام شده])</f>
        <v>0</v>
      </c>
      <c r="P816">
        <f>INT(((TDays[[#This Row],[ماه]]-1)*31+TDays[[#This Row],[روز]]+1)/7)+1</f>
        <v>13</v>
      </c>
      <c r="Q816">
        <f>SUMIF(TArticle[تاریخ],TDays[[#This Row],[تاریخ]],TArticle[تراکنش برنامه ریزی شده])</f>
        <v>0</v>
      </c>
    </row>
    <row r="817" spans="1:17" x14ac:dyDescent="0.25">
      <c r="A817" s="3" t="s">
        <v>1311</v>
      </c>
      <c r="B817" t="str">
        <f>RIGHT(TDays[[#This Row],[تاریخ]],2)</f>
        <v>24</v>
      </c>
      <c r="C817" t="str">
        <f>RIGHT(LEFT(TDays[[#This Row],[تاریخ]],7),2)</f>
        <v>03</v>
      </c>
      <c r="D817" t="str">
        <f>LEFT(TDays[[#This Row],[تاریخ]],4)</f>
        <v>1403</v>
      </c>
      <c r="E817" t="str">
        <f>LEFT(TDays[[#This Row],[تاریخ]],7)</f>
        <v>1403-03</v>
      </c>
      <c r="F817">
        <v>5</v>
      </c>
      <c r="G817" s="16" t="str">
        <f>VLOOKUP(TDays[[#This Row],[کد روز هفته]],TDaysOfTheWeek[],2,FALSE)</f>
        <v>پنجشنبه</v>
      </c>
      <c r="H817" s="16">
        <f>IFERROR(IF(E816&lt;&gt;E817,1,INT(H816)+IF(TDays[[#This Row],[کد روز هفته]]=0,1,0)),1)</f>
        <v>4</v>
      </c>
      <c r="I817">
        <f>-SUMIF(TArticle[تاریخ],TDays[[#This Row],[تاریخ]],TArticle[هزینه])</f>
        <v>0</v>
      </c>
      <c r="J817">
        <f>SUMIF(TArticle[تاریخ],TDays[[#This Row],[تاریخ]],TArticle[درآمد تتا])</f>
        <v>0</v>
      </c>
      <c r="K817">
        <f>SUMIF(TArticle[تاریخ],TDays[[#This Row],[تاریخ]],TArticle[اسنپ])</f>
        <v>0</v>
      </c>
      <c r="L817">
        <f>-SUMIF(TArticle[تاریخ],TDays[[#This Row],[تاریخ]],TArticle[پرداخت بدهی])</f>
        <v>0</v>
      </c>
      <c r="M817">
        <f>SUMIF(TArticle[تاریخ],TDays[[#This Row],[تاریخ]],TArticle[افزایش بدهی])</f>
        <v>0</v>
      </c>
      <c r="N817">
        <f>-SUMIF(TArticle[تاریخ],TDays[[#This Row],[تاریخ]],TArticle[افزایش سرمایه])</f>
        <v>0</v>
      </c>
      <c r="O817">
        <f>SUMIF(TArticle[تاریخ],TDays[[#This Row],[تاریخ]],TArticle[تعداد تراکنش انجام شده])</f>
        <v>0</v>
      </c>
      <c r="P817">
        <f>INT(((TDays[[#This Row],[ماه]]-1)*31+TDays[[#This Row],[روز]]+1)/7)+1</f>
        <v>13</v>
      </c>
      <c r="Q817">
        <f>SUMIF(TArticle[تاریخ],TDays[[#This Row],[تاریخ]],TArticle[تراکنش برنامه ریزی شده])</f>
        <v>0</v>
      </c>
    </row>
    <row r="818" spans="1:17" x14ac:dyDescent="0.25">
      <c r="A818" s="3" t="s">
        <v>1312</v>
      </c>
      <c r="B818" t="str">
        <f>RIGHT(TDays[[#This Row],[تاریخ]],2)</f>
        <v>25</v>
      </c>
      <c r="C818" t="str">
        <f>RIGHT(LEFT(TDays[[#This Row],[تاریخ]],7),2)</f>
        <v>03</v>
      </c>
      <c r="D818" t="str">
        <f>LEFT(TDays[[#This Row],[تاریخ]],4)</f>
        <v>1403</v>
      </c>
      <c r="E818" t="str">
        <f>LEFT(TDays[[#This Row],[تاریخ]],7)</f>
        <v>1403-03</v>
      </c>
      <c r="F818">
        <v>6</v>
      </c>
      <c r="G818" s="16" t="str">
        <f>VLOOKUP(TDays[[#This Row],[کد روز هفته]],TDaysOfTheWeek[],2,FALSE)</f>
        <v>جمعه</v>
      </c>
      <c r="H818" s="16">
        <f>IFERROR(IF(E817&lt;&gt;E818,1,INT(H817)+IF(TDays[[#This Row],[کد روز هفته]]=0,1,0)),1)</f>
        <v>4</v>
      </c>
      <c r="I818">
        <f>-SUMIF(TArticle[تاریخ],TDays[[#This Row],[تاریخ]],TArticle[هزینه])</f>
        <v>0</v>
      </c>
      <c r="J818">
        <f>SUMIF(TArticle[تاریخ],TDays[[#This Row],[تاریخ]],TArticle[درآمد تتا])</f>
        <v>0</v>
      </c>
      <c r="K818">
        <f>SUMIF(TArticle[تاریخ],TDays[[#This Row],[تاریخ]],TArticle[اسنپ])</f>
        <v>0</v>
      </c>
      <c r="L818">
        <f>-SUMIF(TArticle[تاریخ],TDays[[#This Row],[تاریخ]],TArticle[پرداخت بدهی])</f>
        <v>0</v>
      </c>
      <c r="M818">
        <f>SUMIF(TArticle[تاریخ],TDays[[#This Row],[تاریخ]],TArticle[افزایش بدهی])</f>
        <v>0</v>
      </c>
      <c r="N818">
        <f>-SUMIF(TArticle[تاریخ],TDays[[#This Row],[تاریخ]],TArticle[افزایش سرمایه])</f>
        <v>0</v>
      </c>
      <c r="O818">
        <f>SUMIF(TArticle[تاریخ],TDays[[#This Row],[تاریخ]],TArticle[تعداد تراکنش انجام شده])</f>
        <v>0</v>
      </c>
      <c r="P818">
        <f>INT(((TDays[[#This Row],[ماه]]-1)*31+TDays[[#This Row],[روز]]+1)/7)+1</f>
        <v>13</v>
      </c>
      <c r="Q818">
        <f>SUMIF(TArticle[تاریخ],TDays[[#This Row],[تاریخ]],TArticle[تراکنش برنامه ریزی شده])</f>
        <v>0</v>
      </c>
    </row>
    <row r="819" spans="1:17" x14ac:dyDescent="0.25">
      <c r="A819" s="3" t="s">
        <v>1313</v>
      </c>
      <c r="B819" t="str">
        <f>RIGHT(TDays[[#This Row],[تاریخ]],2)</f>
        <v>26</v>
      </c>
      <c r="C819" t="str">
        <f>RIGHT(LEFT(TDays[[#This Row],[تاریخ]],7),2)</f>
        <v>03</v>
      </c>
      <c r="D819" t="str">
        <f>LEFT(TDays[[#This Row],[تاریخ]],4)</f>
        <v>1403</v>
      </c>
      <c r="E819" t="str">
        <f>LEFT(TDays[[#This Row],[تاریخ]],7)</f>
        <v>1403-03</v>
      </c>
      <c r="F819">
        <v>0</v>
      </c>
      <c r="G819" s="16" t="str">
        <f>VLOOKUP(TDays[[#This Row],[کد روز هفته]],TDaysOfTheWeek[],2,FALSE)</f>
        <v>شنبه</v>
      </c>
      <c r="H819" s="16">
        <f>IFERROR(IF(E818&lt;&gt;E819,1,INT(H818)+IF(TDays[[#This Row],[کد روز هفته]]=0,1,0)),1)</f>
        <v>5</v>
      </c>
      <c r="I819">
        <f>-SUMIF(TArticle[تاریخ],TDays[[#This Row],[تاریخ]],TArticle[هزینه])</f>
        <v>0</v>
      </c>
      <c r="J819">
        <f>SUMIF(TArticle[تاریخ],TDays[[#This Row],[تاریخ]],TArticle[درآمد تتا])</f>
        <v>0</v>
      </c>
      <c r="K819">
        <f>SUMIF(TArticle[تاریخ],TDays[[#This Row],[تاریخ]],TArticle[اسنپ])</f>
        <v>0</v>
      </c>
      <c r="L819">
        <f>-SUMIF(TArticle[تاریخ],TDays[[#This Row],[تاریخ]],TArticle[پرداخت بدهی])</f>
        <v>0</v>
      </c>
      <c r="M819">
        <f>SUMIF(TArticle[تاریخ],TDays[[#This Row],[تاریخ]],TArticle[افزایش بدهی])</f>
        <v>0</v>
      </c>
      <c r="N819">
        <f>-SUMIF(TArticle[تاریخ],TDays[[#This Row],[تاریخ]],TArticle[افزایش سرمایه])</f>
        <v>0</v>
      </c>
      <c r="O819">
        <f>SUMIF(TArticle[تاریخ],TDays[[#This Row],[تاریخ]],TArticle[تعداد تراکنش انجام شده])</f>
        <v>0</v>
      </c>
      <c r="P819">
        <f>INT(((TDays[[#This Row],[ماه]]-1)*31+TDays[[#This Row],[روز]]+1)/7)+1</f>
        <v>13</v>
      </c>
      <c r="Q819">
        <f>SUMIF(TArticle[تاریخ],TDays[[#This Row],[تاریخ]],TArticle[تراکنش برنامه ریزی شده])</f>
        <v>0</v>
      </c>
    </row>
    <row r="820" spans="1:17" x14ac:dyDescent="0.25">
      <c r="A820" s="3" t="s">
        <v>1314</v>
      </c>
      <c r="B820" t="str">
        <f>RIGHT(TDays[[#This Row],[تاریخ]],2)</f>
        <v>27</v>
      </c>
      <c r="C820" t="str">
        <f>RIGHT(LEFT(TDays[[#This Row],[تاریخ]],7),2)</f>
        <v>03</v>
      </c>
      <c r="D820" t="str">
        <f>LEFT(TDays[[#This Row],[تاریخ]],4)</f>
        <v>1403</v>
      </c>
      <c r="E820" t="str">
        <f>LEFT(TDays[[#This Row],[تاریخ]],7)</f>
        <v>1403-03</v>
      </c>
      <c r="F820">
        <v>1</v>
      </c>
      <c r="G820" s="16" t="str">
        <f>VLOOKUP(TDays[[#This Row],[کد روز هفته]],TDaysOfTheWeek[],2,FALSE)</f>
        <v>یکشنبه</v>
      </c>
      <c r="H820" s="16">
        <f>IFERROR(IF(E819&lt;&gt;E820,1,INT(H819)+IF(TDays[[#This Row],[کد روز هفته]]=0,1,0)),1)</f>
        <v>5</v>
      </c>
      <c r="I820">
        <f>-SUMIF(TArticle[تاریخ],TDays[[#This Row],[تاریخ]],TArticle[هزینه])</f>
        <v>0</v>
      </c>
      <c r="J820">
        <f>SUMIF(TArticle[تاریخ],TDays[[#This Row],[تاریخ]],TArticle[درآمد تتا])</f>
        <v>0</v>
      </c>
      <c r="K820">
        <f>SUMIF(TArticle[تاریخ],TDays[[#This Row],[تاریخ]],TArticle[اسنپ])</f>
        <v>0</v>
      </c>
      <c r="L820">
        <f>-SUMIF(TArticle[تاریخ],TDays[[#This Row],[تاریخ]],TArticle[پرداخت بدهی])</f>
        <v>0</v>
      </c>
      <c r="M820">
        <f>SUMIF(TArticle[تاریخ],TDays[[#This Row],[تاریخ]],TArticle[افزایش بدهی])</f>
        <v>0</v>
      </c>
      <c r="N820">
        <f>-SUMIF(TArticle[تاریخ],TDays[[#This Row],[تاریخ]],TArticle[افزایش سرمایه])</f>
        <v>0</v>
      </c>
      <c r="O820">
        <f>SUMIF(TArticle[تاریخ],TDays[[#This Row],[تاریخ]],TArticle[تعداد تراکنش انجام شده])</f>
        <v>0</v>
      </c>
      <c r="P820">
        <f>INT(((TDays[[#This Row],[ماه]]-1)*31+TDays[[#This Row],[روز]]+1)/7)+1</f>
        <v>13</v>
      </c>
      <c r="Q820">
        <f>SUMIF(TArticle[تاریخ],TDays[[#This Row],[تاریخ]],TArticle[تراکنش برنامه ریزی شده])</f>
        <v>0</v>
      </c>
    </row>
    <row r="821" spans="1:17" x14ac:dyDescent="0.25">
      <c r="A821" s="3" t="s">
        <v>1315</v>
      </c>
      <c r="B821" t="str">
        <f>RIGHT(TDays[[#This Row],[تاریخ]],2)</f>
        <v>28</v>
      </c>
      <c r="C821" t="str">
        <f>RIGHT(LEFT(TDays[[#This Row],[تاریخ]],7),2)</f>
        <v>03</v>
      </c>
      <c r="D821" t="str">
        <f>LEFT(TDays[[#This Row],[تاریخ]],4)</f>
        <v>1403</v>
      </c>
      <c r="E821" t="str">
        <f>LEFT(TDays[[#This Row],[تاریخ]],7)</f>
        <v>1403-03</v>
      </c>
      <c r="F821">
        <v>2</v>
      </c>
      <c r="G821" s="16" t="str">
        <f>VLOOKUP(TDays[[#This Row],[کد روز هفته]],TDaysOfTheWeek[],2,FALSE)</f>
        <v>دوشنبه</v>
      </c>
      <c r="H821" s="16">
        <f>IFERROR(IF(E820&lt;&gt;E821,1,INT(H820)+IF(TDays[[#This Row],[کد روز هفته]]=0,1,0)),1)</f>
        <v>5</v>
      </c>
      <c r="I821">
        <f>-SUMIF(TArticle[تاریخ],TDays[[#This Row],[تاریخ]],TArticle[هزینه])</f>
        <v>0</v>
      </c>
      <c r="J821">
        <f>SUMIF(TArticle[تاریخ],TDays[[#This Row],[تاریخ]],TArticle[درآمد تتا])</f>
        <v>0</v>
      </c>
      <c r="K821">
        <f>SUMIF(TArticle[تاریخ],TDays[[#This Row],[تاریخ]],TArticle[اسنپ])</f>
        <v>0</v>
      </c>
      <c r="L821">
        <f>-SUMIF(TArticle[تاریخ],TDays[[#This Row],[تاریخ]],TArticle[پرداخت بدهی])</f>
        <v>0</v>
      </c>
      <c r="M821">
        <f>SUMIF(TArticle[تاریخ],TDays[[#This Row],[تاریخ]],TArticle[افزایش بدهی])</f>
        <v>0</v>
      </c>
      <c r="N821">
        <f>-SUMIF(TArticle[تاریخ],TDays[[#This Row],[تاریخ]],TArticle[افزایش سرمایه])</f>
        <v>0</v>
      </c>
      <c r="O821">
        <f>SUMIF(TArticle[تاریخ],TDays[[#This Row],[تاریخ]],TArticle[تعداد تراکنش انجام شده])</f>
        <v>0</v>
      </c>
      <c r="P821">
        <f>INT(((TDays[[#This Row],[ماه]]-1)*31+TDays[[#This Row],[روز]]+1)/7)+1</f>
        <v>14</v>
      </c>
      <c r="Q821">
        <f>SUMIF(TArticle[تاریخ],TDays[[#This Row],[تاریخ]],TArticle[تراکنش برنامه ریزی شده])</f>
        <v>2</v>
      </c>
    </row>
    <row r="822" spans="1:17" x14ac:dyDescent="0.25">
      <c r="A822" s="3" t="s">
        <v>1316</v>
      </c>
      <c r="B822" t="str">
        <f>RIGHT(TDays[[#This Row],[تاریخ]],2)</f>
        <v>29</v>
      </c>
      <c r="C822" t="str">
        <f>RIGHT(LEFT(TDays[[#This Row],[تاریخ]],7),2)</f>
        <v>03</v>
      </c>
      <c r="D822" t="str">
        <f>LEFT(TDays[[#This Row],[تاریخ]],4)</f>
        <v>1403</v>
      </c>
      <c r="E822" t="str">
        <f>LEFT(TDays[[#This Row],[تاریخ]],7)</f>
        <v>1403-03</v>
      </c>
      <c r="F822">
        <v>3</v>
      </c>
      <c r="G822" s="16" t="str">
        <f>VLOOKUP(TDays[[#This Row],[کد روز هفته]],TDaysOfTheWeek[],2,FALSE)</f>
        <v>سه شنبه</v>
      </c>
      <c r="H822" s="16">
        <f>IFERROR(IF(E821&lt;&gt;E822,1,INT(H821)+IF(TDays[[#This Row],[کد روز هفته]]=0,1,0)),1)</f>
        <v>5</v>
      </c>
      <c r="I822">
        <f>-SUMIF(TArticle[تاریخ],TDays[[#This Row],[تاریخ]],TArticle[هزینه])</f>
        <v>0</v>
      </c>
      <c r="J822">
        <f>SUMIF(TArticle[تاریخ],TDays[[#This Row],[تاریخ]],TArticle[درآمد تتا])</f>
        <v>0</v>
      </c>
      <c r="K822">
        <f>SUMIF(TArticle[تاریخ],TDays[[#This Row],[تاریخ]],TArticle[اسنپ])</f>
        <v>0</v>
      </c>
      <c r="L822">
        <f>-SUMIF(TArticle[تاریخ],TDays[[#This Row],[تاریخ]],TArticle[پرداخت بدهی])</f>
        <v>0</v>
      </c>
      <c r="M822">
        <f>SUMIF(TArticle[تاریخ],TDays[[#This Row],[تاریخ]],TArticle[افزایش بدهی])</f>
        <v>0</v>
      </c>
      <c r="N822">
        <f>-SUMIF(TArticle[تاریخ],TDays[[#This Row],[تاریخ]],TArticle[افزایش سرمایه])</f>
        <v>0</v>
      </c>
      <c r="O822">
        <f>SUMIF(TArticle[تاریخ],TDays[[#This Row],[تاریخ]],TArticle[تعداد تراکنش انجام شده])</f>
        <v>0</v>
      </c>
      <c r="P822">
        <f>INT(((TDays[[#This Row],[ماه]]-1)*31+TDays[[#This Row],[روز]]+1)/7)+1</f>
        <v>14</v>
      </c>
      <c r="Q822">
        <f>SUMIF(TArticle[تاریخ],TDays[[#This Row],[تاریخ]],TArticle[تراکنش برنامه ریزی شده])</f>
        <v>0</v>
      </c>
    </row>
    <row r="823" spans="1:17" x14ac:dyDescent="0.25">
      <c r="A823" s="3" t="s">
        <v>1317</v>
      </c>
      <c r="B823" t="str">
        <f>RIGHT(TDays[[#This Row],[تاریخ]],2)</f>
        <v>30</v>
      </c>
      <c r="C823" t="str">
        <f>RIGHT(LEFT(TDays[[#This Row],[تاریخ]],7),2)</f>
        <v>03</v>
      </c>
      <c r="D823" t="str">
        <f>LEFT(TDays[[#This Row],[تاریخ]],4)</f>
        <v>1403</v>
      </c>
      <c r="E823" t="str">
        <f>LEFT(TDays[[#This Row],[تاریخ]],7)</f>
        <v>1403-03</v>
      </c>
      <c r="F823">
        <v>4</v>
      </c>
      <c r="G823" s="16" t="str">
        <f>VLOOKUP(TDays[[#This Row],[کد روز هفته]],TDaysOfTheWeek[],2,FALSE)</f>
        <v>چهارشنبه</v>
      </c>
      <c r="H823" s="16">
        <f>IFERROR(IF(E822&lt;&gt;E823,1,INT(H822)+IF(TDays[[#This Row],[کد روز هفته]]=0,1,0)),1)</f>
        <v>5</v>
      </c>
      <c r="I823">
        <f>-SUMIF(TArticle[تاریخ],TDays[[#This Row],[تاریخ]],TArticle[هزینه])</f>
        <v>0</v>
      </c>
      <c r="J823">
        <f>SUMIF(TArticle[تاریخ],TDays[[#This Row],[تاریخ]],TArticle[درآمد تتا])</f>
        <v>0</v>
      </c>
      <c r="K823">
        <f>SUMIF(TArticle[تاریخ],TDays[[#This Row],[تاریخ]],TArticle[اسنپ])</f>
        <v>0</v>
      </c>
      <c r="L823">
        <f>-SUMIF(TArticle[تاریخ],TDays[[#This Row],[تاریخ]],TArticle[پرداخت بدهی])</f>
        <v>0</v>
      </c>
      <c r="M823">
        <f>SUMIF(TArticle[تاریخ],TDays[[#This Row],[تاریخ]],TArticle[افزایش بدهی])</f>
        <v>0</v>
      </c>
      <c r="N823">
        <f>-SUMIF(TArticle[تاریخ],TDays[[#This Row],[تاریخ]],TArticle[افزایش سرمایه])</f>
        <v>0</v>
      </c>
      <c r="O823">
        <f>SUMIF(TArticle[تاریخ],TDays[[#This Row],[تاریخ]],TArticle[تعداد تراکنش انجام شده])</f>
        <v>0</v>
      </c>
      <c r="P823">
        <f>INT(((TDays[[#This Row],[ماه]]-1)*31+TDays[[#This Row],[روز]]+1)/7)+1</f>
        <v>14</v>
      </c>
      <c r="Q823">
        <f>SUMIF(TArticle[تاریخ],TDays[[#This Row],[تاریخ]],TArticle[تراکنش برنامه ریزی شده])</f>
        <v>0</v>
      </c>
    </row>
    <row r="824" spans="1:17" x14ac:dyDescent="0.25">
      <c r="A824" s="3" t="s">
        <v>1318</v>
      </c>
      <c r="B824" t="str">
        <f>RIGHT(TDays[[#This Row],[تاریخ]],2)</f>
        <v>31</v>
      </c>
      <c r="C824" t="str">
        <f>RIGHT(LEFT(TDays[[#This Row],[تاریخ]],7),2)</f>
        <v>03</v>
      </c>
      <c r="D824" t="str">
        <f>LEFT(TDays[[#This Row],[تاریخ]],4)</f>
        <v>1403</v>
      </c>
      <c r="E824" t="str">
        <f>LEFT(TDays[[#This Row],[تاریخ]],7)</f>
        <v>1403-03</v>
      </c>
      <c r="F824">
        <v>5</v>
      </c>
      <c r="G824" s="16" t="str">
        <f>VLOOKUP(TDays[[#This Row],[کد روز هفته]],TDaysOfTheWeek[],2,FALSE)</f>
        <v>پنجشنبه</v>
      </c>
      <c r="H824" s="16">
        <f>IFERROR(IF(E823&lt;&gt;E824,1,INT(H823)+IF(TDays[[#This Row],[کد روز هفته]]=0,1,0)),1)</f>
        <v>5</v>
      </c>
      <c r="I824">
        <f>-SUMIF(TArticle[تاریخ],TDays[[#This Row],[تاریخ]],TArticle[هزینه])</f>
        <v>0</v>
      </c>
      <c r="J824">
        <f>SUMIF(TArticle[تاریخ],TDays[[#This Row],[تاریخ]],TArticle[درآمد تتا])</f>
        <v>0</v>
      </c>
      <c r="K824">
        <f>SUMIF(TArticle[تاریخ],TDays[[#This Row],[تاریخ]],TArticle[اسنپ])</f>
        <v>0</v>
      </c>
      <c r="L824">
        <f>-SUMIF(TArticle[تاریخ],TDays[[#This Row],[تاریخ]],TArticle[پرداخت بدهی])</f>
        <v>0</v>
      </c>
      <c r="M824">
        <f>SUMIF(TArticle[تاریخ],TDays[[#This Row],[تاریخ]],TArticle[افزایش بدهی])</f>
        <v>0</v>
      </c>
      <c r="N824">
        <f>-SUMIF(TArticle[تاریخ],TDays[[#This Row],[تاریخ]],TArticle[افزایش سرمایه])</f>
        <v>0</v>
      </c>
      <c r="O824">
        <f>SUMIF(TArticle[تاریخ],TDays[[#This Row],[تاریخ]],TArticle[تعداد تراکنش انجام شده])</f>
        <v>0</v>
      </c>
      <c r="P824">
        <f>INT(((TDays[[#This Row],[ماه]]-1)*31+TDays[[#This Row],[روز]]+1)/7)+1</f>
        <v>14</v>
      </c>
      <c r="Q824">
        <f>SUMIF(TArticle[تاریخ],TDays[[#This Row],[تاریخ]],TArticle[تراکنش برنامه ریزی شده])</f>
        <v>0</v>
      </c>
    </row>
    <row r="825" spans="1:17" x14ac:dyDescent="0.25">
      <c r="A825" s="3" t="s">
        <v>1319</v>
      </c>
      <c r="B825" t="str">
        <f>RIGHT(TDays[[#This Row],[تاریخ]],2)</f>
        <v>01</v>
      </c>
      <c r="C825" t="str">
        <f>RIGHT(LEFT(TDays[[#This Row],[تاریخ]],7),2)</f>
        <v>04</v>
      </c>
      <c r="D825" t="str">
        <f>LEFT(TDays[[#This Row],[تاریخ]],4)</f>
        <v>1403</v>
      </c>
      <c r="E825" t="str">
        <f>LEFT(TDays[[#This Row],[تاریخ]],7)</f>
        <v>1403-04</v>
      </c>
      <c r="F825">
        <v>6</v>
      </c>
      <c r="G825" s="16" t="str">
        <f>VLOOKUP(TDays[[#This Row],[کد روز هفته]],TDaysOfTheWeek[],2,FALSE)</f>
        <v>جمعه</v>
      </c>
      <c r="H825" s="16">
        <f>IFERROR(IF(E824&lt;&gt;E825,1,INT(H824)+IF(TDays[[#This Row],[کد روز هفته]]=0,1,0)),1)</f>
        <v>1</v>
      </c>
      <c r="I825">
        <f>-SUMIF(TArticle[تاریخ],TDays[[#This Row],[تاریخ]],TArticle[هزینه])</f>
        <v>0</v>
      </c>
      <c r="J825">
        <f>SUMIF(TArticle[تاریخ],TDays[[#This Row],[تاریخ]],TArticle[درآمد تتا])</f>
        <v>0</v>
      </c>
      <c r="K825">
        <f>SUMIF(TArticle[تاریخ],TDays[[#This Row],[تاریخ]],TArticle[اسنپ])</f>
        <v>0</v>
      </c>
      <c r="L825">
        <f>-SUMIF(TArticle[تاریخ],TDays[[#This Row],[تاریخ]],TArticle[پرداخت بدهی])</f>
        <v>0</v>
      </c>
      <c r="M825">
        <f>SUMIF(TArticle[تاریخ],TDays[[#This Row],[تاریخ]],TArticle[افزایش بدهی])</f>
        <v>0</v>
      </c>
      <c r="N825">
        <f>-SUMIF(TArticle[تاریخ],TDays[[#This Row],[تاریخ]],TArticle[افزایش سرمایه])</f>
        <v>0</v>
      </c>
      <c r="O825">
        <f>SUMIF(TArticle[تاریخ],TDays[[#This Row],[تاریخ]],TArticle[تعداد تراکنش انجام شده])</f>
        <v>0</v>
      </c>
      <c r="P825">
        <f>INT(((TDays[[#This Row],[ماه]]-1)*31+TDays[[#This Row],[روز]]+1)/7)+1</f>
        <v>14</v>
      </c>
      <c r="Q825">
        <f>SUMIF(TArticle[تاریخ],TDays[[#This Row],[تاریخ]],TArticle[تراکنش برنامه ریزی شده])</f>
        <v>2</v>
      </c>
    </row>
    <row r="826" spans="1:17" x14ac:dyDescent="0.25">
      <c r="A826" s="3" t="s">
        <v>1320</v>
      </c>
      <c r="B826" t="str">
        <f>RIGHT(TDays[[#This Row],[تاریخ]],2)</f>
        <v>02</v>
      </c>
      <c r="C826" t="str">
        <f>RIGHT(LEFT(TDays[[#This Row],[تاریخ]],7),2)</f>
        <v>04</v>
      </c>
      <c r="D826" t="str">
        <f>LEFT(TDays[[#This Row],[تاریخ]],4)</f>
        <v>1403</v>
      </c>
      <c r="E826" t="str">
        <f>LEFT(TDays[[#This Row],[تاریخ]],7)</f>
        <v>1403-04</v>
      </c>
      <c r="F826">
        <v>0</v>
      </c>
      <c r="G826" s="16" t="str">
        <f>VLOOKUP(TDays[[#This Row],[کد روز هفته]],TDaysOfTheWeek[],2,FALSE)</f>
        <v>شنبه</v>
      </c>
      <c r="H826" s="16">
        <f>IFERROR(IF(E825&lt;&gt;E826,1,INT(H825)+IF(TDays[[#This Row],[کد روز هفته]]=0,1,0)),1)</f>
        <v>2</v>
      </c>
      <c r="I826">
        <f>-SUMIF(TArticle[تاریخ],TDays[[#This Row],[تاریخ]],TArticle[هزینه])</f>
        <v>0</v>
      </c>
      <c r="J826">
        <f>SUMIF(TArticle[تاریخ],TDays[[#This Row],[تاریخ]],TArticle[درآمد تتا])</f>
        <v>0</v>
      </c>
      <c r="K826">
        <f>SUMIF(TArticle[تاریخ],TDays[[#This Row],[تاریخ]],TArticle[اسنپ])</f>
        <v>0</v>
      </c>
      <c r="L826">
        <f>-SUMIF(TArticle[تاریخ],TDays[[#This Row],[تاریخ]],TArticle[پرداخت بدهی])</f>
        <v>0</v>
      </c>
      <c r="M826">
        <f>SUMIF(TArticle[تاریخ],TDays[[#This Row],[تاریخ]],TArticle[افزایش بدهی])</f>
        <v>0</v>
      </c>
      <c r="N826">
        <f>-SUMIF(TArticle[تاریخ],TDays[[#This Row],[تاریخ]],TArticle[افزایش سرمایه])</f>
        <v>0</v>
      </c>
      <c r="O826">
        <f>SUMIF(TArticle[تاریخ],TDays[[#This Row],[تاریخ]],TArticle[تعداد تراکنش انجام شده])</f>
        <v>0</v>
      </c>
      <c r="P826">
        <f>INT(((TDays[[#This Row],[ماه]]-1)*31+TDays[[#This Row],[روز]]+1)/7)+1</f>
        <v>14</v>
      </c>
      <c r="Q826">
        <f>SUMIF(TArticle[تاریخ],TDays[[#This Row],[تاریخ]],TArticle[تراکنش برنامه ریزی شده])</f>
        <v>0</v>
      </c>
    </row>
    <row r="827" spans="1:17" x14ac:dyDescent="0.25">
      <c r="A827" s="3" t="s">
        <v>1321</v>
      </c>
      <c r="B827" t="str">
        <f>RIGHT(TDays[[#This Row],[تاریخ]],2)</f>
        <v>03</v>
      </c>
      <c r="C827" t="str">
        <f>RIGHT(LEFT(TDays[[#This Row],[تاریخ]],7),2)</f>
        <v>04</v>
      </c>
      <c r="D827" t="str">
        <f>LEFT(TDays[[#This Row],[تاریخ]],4)</f>
        <v>1403</v>
      </c>
      <c r="E827" t="str">
        <f>LEFT(TDays[[#This Row],[تاریخ]],7)</f>
        <v>1403-04</v>
      </c>
      <c r="F827">
        <v>1</v>
      </c>
      <c r="G827" s="16" t="str">
        <f>VLOOKUP(TDays[[#This Row],[کد روز هفته]],TDaysOfTheWeek[],2,FALSE)</f>
        <v>یکشنبه</v>
      </c>
      <c r="H827" s="16">
        <f>IFERROR(IF(E826&lt;&gt;E827,1,INT(H826)+IF(TDays[[#This Row],[کد روز هفته]]=0,1,0)),1)</f>
        <v>2</v>
      </c>
      <c r="I827">
        <f>-SUMIF(TArticle[تاریخ],TDays[[#This Row],[تاریخ]],TArticle[هزینه])</f>
        <v>0</v>
      </c>
      <c r="J827">
        <f>SUMIF(TArticle[تاریخ],TDays[[#This Row],[تاریخ]],TArticle[درآمد تتا])</f>
        <v>0</v>
      </c>
      <c r="K827">
        <f>SUMIF(TArticle[تاریخ],TDays[[#This Row],[تاریخ]],TArticle[اسنپ])</f>
        <v>0</v>
      </c>
      <c r="L827">
        <f>-SUMIF(TArticle[تاریخ],TDays[[#This Row],[تاریخ]],TArticle[پرداخت بدهی])</f>
        <v>0</v>
      </c>
      <c r="M827">
        <f>SUMIF(TArticle[تاریخ],TDays[[#This Row],[تاریخ]],TArticle[افزایش بدهی])</f>
        <v>0</v>
      </c>
      <c r="N827">
        <f>-SUMIF(TArticle[تاریخ],TDays[[#This Row],[تاریخ]],TArticle[افزایش سرمایه])</f>
        <v>0</v>
      </c>
      <c r="O827">
        <f>SUMIF(TArticle[تاریخ],TDays[[#This Row],[تاریخ]],TArticle[تعداد تراکنش انجام شده])</f>
        <v>0</v>
      </c>
      <c r="P827">
        <f>INT(((TDays[[#This Row],[ماه]]-1)*31+TDays[[#This Row],[روز]]+1)/7)+1</f>
        <v>14</v>
      </c>
      <c r="Q827">
        <f>SUMIF(TArticle[تاریخ],TDays[[#This Row],[تاریخ]],TArticle[تراکنش برنامه ریزی شده])</f>
        <v>1</v>
      </c>
    </row>
    <row r="828" spans="1:17" x14ac:dyDescent="0.25">
      <c r="A828" s="3" t="s">
        <v>1322</v>
      </c>
      <c r="B828" t="str">
        <f>RIGHT(TDays[[#This Row],[تاریخ]],2)</f>
        <v>04</v>
      </c>
      <c r="C828" t="str">
        <f>RIGHT(LEFT(TDays[[#This Row],[تاریخ]],7),2)</f>
        <v>04</v>
      </c>
      <c r="D828" t="str">
        <f>LEFT(TDays[[#This Row],[تاریخ]],4)</f>
        <v>1403</v>
      </c>
      <c r="E828" t="str">
        <f>LEFT(TDays[[#This Row],[تاریخ]],7)</f>
        <v>1403-04</v>
      </c>
      <c r="F828">
        <v>2</v>
      </c>
      <c r="G828" s="16" t="str">
        <f>VLOOKUP(TDays[[#This Row],[کد روز هفته]],TDaysOfTheWeek[],2,FALSE)</f>
        <v>دوشنبه</v>
      </c>
      <c r="H828" s="16">
        <f>IFERROR(IF(E827&lt;&gt;E828,1,INT(H827)+IF(TDays[[#This Row],[کد روز هفته]]=0,1,0)),1)</f>
        <v>2</v>
      </c>
      <c r="I828">
        <f>-SUMIF(TArticle[تاریخ],TDays[[#This Row],[تاریخ]],TArticle[هزینه])</f>
        <v>0</v>
      </c>
      <c r="J828">
        <f>SUMIF(TArticle[تاریخ],TDays[[#This Row],[تاریخ]],TArticle[درآمد تتا])</f>
        <v>0</v>
      </c>
      <c r="K828">
        <f>SUMIF(TArticle[تاریخ],TDays[[#This Row],[تاریخ]],TArticle[اسنپ])</f>
        <v>0</v>
      </c>
      <c r="L828">
        <f>-SUMIF(TArticle[تاریخ],TDays[[#This Row],[تاریخ]],TArticle[پرداخت بدهی])</f>
        <v>0</v>
      </c>
      <c r="M828">
        <f>SUMIF(TArticle[تاریخ],TDays[[#This Row],[تاریخ]],TArticle[افزایش بدهی])</f>
        <v>0</v>
      </c>
      <c r="N828">
        <f>-SUMIF(TArticle[تاریخ],TDays[[#This Row],[تاریخ]],TArticle[افزایش سرمایه])</f>
        <v>0</v>
      </c>
      <c r="O828">
        <f>SUMIF(TArticle[تاریخ],TDays[[#This Row],[تاریخ]],TArticle[تعداد تراکنش انجام شده])</f>
        <v>0</v>
      </c>
      <c r="P828">
        <f>INT(((TDays[[#This Row],[ماه]]-1)*31+TDays[[#This Row],[روز]]+1)/7)+1</f>
        <v>15</v>
      </c>
      <c r="Q828">
        <f>SUMIF(TArticle[تاریخ],TDays[[#This Row],[تاریخ]],TArticle[تراکنش برنامه ریزی شده])</f>
        <v>1</v>
      </c>
    </row>
    <row r="829" spans="1:17" x14ac:dyDescent="0.25">
      <c r="A829" s="3" t="s">
        <v>1323</v>
      </c>
      <c r="B829" t="str">
        <f>RIGHT(TDays[[#This Row],[تاریخ]],2)</f>
        <v>05</v>
      </c>
      <c r="C829" t="str">
        <f>RIGHT(LEFT(TDays[[#This Row],[تاریخ]],7),2)</f>
        <v>04</v>
      </c>
      <c r="D829" t="str">
        <f>LEFT(TDays[[#This Row],[تاریخ]],4)</f>
        <v>1403</v>
      </c>
      <c r="E829" t="str">
        <f>LEFT(TDays[[#This Row],[تاریخ]],7)</f>
        <v>1403-04</v>
      </c>
      <c r="F829">
        <v>3</v>
      </c>
      <c r="G829" s="16" t="str">
        <f>VLOOKUP(TDays[[#This Row],[کد روز هفته]],TDaysOfTheWeek[],2,FALSE)</f>
        <v>سه شنبه</v>
      </c>
      <c r="H829" s="16">
        <f>IFERROR(IF(E828&lt;&gt;E829,1,INT(H828)+IF(TDays[[#This Row],[کد روز هفته]]=0,1,0)),1)</f>
        <v>2</v>
      </c>
      <c r="I829">
        <f>-SUMIF(TArticle[تاریخ],TDays[[#This Row],[تاریخ]],TArticle[هزینه])</f>
        <v>0</v>
      </c>
      <c r="J829">
        <f>SUMIF(TArticle[تاریخ],TDays[[#This Row],[تاریخ]],TArticle[درآمد تتا])</f>
        <v>0</v>
      </c>
      <c r="K829">
        <f>SUMIF(TArticle[تاریخ],TDays[[#This Row],[تاریخ]],TArticle[اسنپ])</f>
        <v>0</v>
      </c>
      <c r="L829">
        <f>-SUMIF(TArticle[تاریخ],TDays[[#This Row],[تاریخ]],TArticle[پرداخت بدهی])</f>
        <v>0</v>
      </c>
      <c r="M829">
        <f>SUMIF(TArticle[تاریخ],TDays[[#This Row],[تاریخ]],TArticle[افزایش بدهی])</f>
        <v>0</v>
      </c>
      <c r="N829">
        <f>-SUMIF(TArticle[تاریخ],TDays[[#This Row],[تاریخ]],TArticle[افزایش سرمایه])</f>
        <v>0</v>
      </c>
      <c r="O829">
        <f>SUMIF(TArticle[تاریخ],TDays[[#This Row],[تاریخ]],TArticle[تعداد تراکنش انجام شده])</f>
        <v>0</v>
      </c>
      <c r="P829">
        <f>INT(((TDays[[#This Row],[ماه]]-1)*31+TDays[[#This Row],[روز]]+1)/7)+1</f>
        <v>15</v>
      </c>
      <c r="Q829">
        <f>SUMIF(TArticle[تاریخ],TDays[[#This Row],[تاریخ]],TArticle[تراکنش برنامه ریزی شده])</f>
        <v>0</v>
      </c>
    </row>
    <row r="830" spans="1:17" x14ac:dyDescent="0.25">
      <c r="A830" s="3" t="s">
        <v>1324</v>
      </c>
      <c r="B830" t="str">
        <f>RIGHT(TDays[[#This Row],[تاریخ]],2)</f>
        <v>06</v>
      </c>
      <c r="C830" t="str">
        <f>RIGHT(LEFT(TDays[[#This Row],[تاریخ]],7),2)</f>
        <v>04</v>
      </c>
      <c r="D830" t="str">
        <f>LEFT(TDays[[#This Row],[تاریخ]],4)</f>
        <v>1403</v>
      </c>
      <c r="E830" t="str">
        <f>LEFT(TDays[[#This Row],[تاریخ]],7)</f>
        <v>1403-04</v>
      </c>
      <c r="F830">
        <v>4</v>
      </c>
      <c r="G830" s="16" t="str">
        <f>VLOOKUP(TDays[[#This Row],[کد روز هفته]],TDaysOfTheWeek[],2,FALSE)</f>
        <v>چهارشنبه</v>
      </c>
      <c r="H830" s="16">
        <f>IFERROR(IF(E829&lt;&gt;E830,1,INT(H829)+IF(TDays[[#This Row],[کد روز هفته]]=0,1,0)),1)</f>
        <v>2</v>
      </c>
      <c r="I830">
        <f>-SUMIF(TArticle[تاریخ],TDays[[#This Row],[تاریخ]],TArticle[هزینه])</f>
        <v>0</v>
      </c>
      <c r="J830">
        <f>SUMIF(TArticle[تاریخ],TDays[[#This Row],[تاریخ]],TArticle[درآمد تتا])</f>
        <v>0</v>
      </c>
      <c r="K830">
        <f>SUMIF(TArticle[تاریخ],TDays[[#This Row],[تاریخ]],TArticle[اسنپ])</f>
        <v>0</v>
      </c>
      <c r="L830">
        <f>-SUMIF(TArticle[تاریخ],TDays[[#This Row],[تاریخ]],TArticle[پرداخت بدهی])</f>
        <v>0</v>
      </c>
      <c r="M830">
        <f>SUMIF(TArticle[تاریخ],TDays[[#This Row],[تاریخ]],TArticle[افزایش بدهی])</f>
        <v>0</v>
      </c>
      <c r="N830">
        <f>-SUMIF(TArticle[تاریخ],TDays[[#This Row],[تاریخ]],TArticle[افزایش سرمایه])</f>
        <v>0</v>
      </c>
      <c r="O830">
        <f>SUMIF(TArticle[تاریخ],TDays[[#This Row],[تاریخ]],TArticle[تعداد تراکنش انجام شده])</f>
        <v>0</v>
      </c>
      <c r="P830">
        <f>INT(((TDays[[#This Row],[ماه]]-1)*31+TDays[[#This Row],[روز]]+1)/7)+1</f>
        <v>15</v>
      </c>
      <c r="Q830">
        <f>SUMIF(TArticle[تاریخ],TDays[[#This Row],[تاریخ]],TArticle[تراکنش برنامه ریزی شده])</f>
        <v>0</v>
      </c>
    </row>
    <row r="831" spans="1:17" x14ac:dyDescent="0.25">
      <c r="A831" s="3" t="s">
        <v>1325</v>
      </c>
      <c r="B831" t="str">
        <f>RIGHT(TDays[[#This Row],[تاریخ]],2)</f>
        <v>07</v>
      </c>
      <c r="C831" t="str">
        <f>RIGHT(LEFT(TDays[[#This Row],[تاریخ]],7),2)</f>
        <v>04</v>
      </c>
      <c r="D831" t="str">
        <f>LEFT(TDays[[#This Row],[تاریخ]],4)</f>
        <v>1403</v>
      </c>
      <c r="E831" t="str">
        <f>LEFT(TDays[[#This Row],[تاریخ]],7)</f>
        <v>1403-04</v>
      </c>
      <c r="F831">
        <v>5</v>
      </c>
      <c r="G831" s="16" t="str">
        <f>VLOOKUP(TDays[[#This Row],[کد روز هفته]],TDaysOfTheWeek[],2,FALSE)</f>
        <v>پنجشنبه</v>
      </c>
      <c r="H831" s="16">
        <f>IFERROR(IF(E830&lt;&gt;E831,1,INT(H830)+IF(TDays[[#This Row],[کد روز هفته]]=0,1,0)),1)</f>
        <v>2</v>
      </c>
      <c r="I831">
        <f>-SUMIF(TArticle[تاریخ],TDays[[#This Row],[تاریخ]],TArticle[هزینه])</f>
        <v>0</v>
      </c>
      <c r="J831">
        <f>SUMIF(TArticle[تاریخ],TDays[[#This Row],[تاریخ]],TArticle[درآمد تتا])</f>
        <v>0</v>
      </c>
      <c r="K831">
        <f>SUMIF(TArticle[تاریخ],TDays[[#This Row],[تاریخ]],TArticle[اسنپ])</f>
        <v>0</v>
      </c>
      <c r="L831">
        <f>-SUMIF(TArticle[تاریخ],TDays[[#This Row],[تاریخ]],TArticle[پرداخت بدهی])</f>
        <v>0</v>
      </c>
      <c r="M831">
        <f>SUMIF(TArticle[تاریخ],TDays[[#This Row],[تاریخ]],TArticle[افزایش بدهی])</f>
        <v>0</v>
      </c>
      <c r="N831">
        <f>-SUMIF(TArticle[تاریخ],TDays[[#This Row],[تاریخ]],TArticle[افزایش سرمایه])</f>
        <v>0</v>
      </c>
      <c r="O831">
        <f>SUMIF(TArticle[تاریخ],TDays[[#This Row],[تاریخ]],TArticle[تعداد تراکنش انجام شده])</f>
        <v>0</v>
      </c>
      <c r="P831">
        <f>INT(((TDays[[#This Row],[ماه]]-1)*31+TDays[[#This Row],[روز]]+1)/7)+1</f>
        <v>15</v>
      </c>
      <c r="Q831">
        <f>SUMIF(TArticle[تاریخ],TDays[[#This Row],[تاریخ]],TArticle[تراکنش برنامه ریزی شده])</f>
        <v>0</v>
      </c>
    </row>
    <row r="832" spans="1:17" x14ac:dyDescent="0.25">
      <c r="A832" s="3" t="s">
        <v>1326</v>
      </c>
      <c r="B832" t="str">
        <f>RIGHT(TDays[[#This Row],[تاریخ]],2)</f>
        <v>08</v>
      </c>
      <c r="C832" t="str">
        <f>RIGHT(LEFT(TDays[[#This Row],[تاریخ]],7),2)</f>
        <v>04</v>
      </c>
      <c r="D832" t="str">
        <f>LEFT(TDays[[#This Row],[تاریخ]],4)</f>
        <v>1403</v>
      </c>
      <c r="E832" t="str">
        <f>LEFT(TDays[[#This Row],[تاریخ]],7)</f>
        <v>1403-04</v>
      </c>
      <c r="F832">
        <v>6</v>
      </c>
      <c r="G832" s="16" t="str">
        <f>VLOOKUP(TDays[[#This Row],[کد روز هفته]],TDaysOfTheWeek[],2,FALSE)</f>
        <v>جمعه</v>
      </c>
      <c r="H832" s="16">
        <f>IFERROR(IF(E831&lt;&gt;E832,1,INT(H831)+IF(TDays[[#This Row],[کد روز هفته]]=0,1,0)),1)</f>
        <v>2</v>
      </c>
      <c r="I832">
        <f>-SUMIF(TArticle[تاریخ],TDays[[#This Row],[تاریخ]],TArticle[هزینه])</f>
        <v>0</v>
      </c>
      <c r="J832">
        <f>SUMIF(TArticle[تاریخ],TDays[[#This Row],[تاریخ]],TArticle[درآمد تتا])</f>
        <v>0</v>
      </c>
      <c r="K832">
        <f>SUMIF(TArticle[تاریخ],TDays[[#This Row],[تاریخ]],TArticle[اسنپ])</f>
        <v>0</v>
      </c>
      <c r="L832">
        <f>-SUMIF(TArticle[تاریخ],TDays[[#This Row],[تاریخ]],TArticle[پرداخت بدهی])</f>
        <v>0</v>
      </c>
      <c r="M832">
        <f>SUMIF(TArticle[تاریخ],TDays[[#This Row],[تاریخ]],TArticle[افزایش بدهی])</f>
        <v>0</v>
      </c>
      <c r="N832">
        <f>-SUMIF(TArticle[تاریخ],TDays[[#This Row],[تاریخ]],TArticle[افزایش سرمایه])</f>
        <v>0</v>
      </c>
      <c r="O832">
        <f>SUMIF(TArticle[تاریخ],TDays[[#This Row],[تاریخ]],TArticle[تعداد تراکنش انجام شده])</f>
        <v>0</v>
      </c>
      <c r="P832">
        <f>INT(((TDays[[#This Row],[ماه]]-1)*31+TDays[[#This Row],[روز]]+1)/7)+1</f>
        <v>15</v>
      </c>
      <c r="Q832">
        <f>SUMIF(TArticle[تاریخ],TDays[[#This Row],[تاریخ]],TArticle[تراکنش برنامه ریزی شده])</f>
        <v>0</v>
      </c>
    </row>
    <row r="833" spans="1:17" x14ac:dyDescent="0.25">
      <c r="A833" s="3" t="s">
        <v>1327</v>
      </c>
      <c r="B833" t="str">
        <f>RIGHT(TDays[[#This Row],[تاریخ]],2)</f>
        <v>09</v>
      </c>
      <c r="C833" t="str">
        <f>RIGHT(LEFT(TDays[[#This Row],[تاریخ]],7),2)</f>
        <v>04</v>
      </c>
      <c r="D833" t="str">
        <f>LEFT(TDays[[#This Row],[تاریخ]],4)</f>
        <v>1403</v>
      </c>
      <c r="E833" t="str">
        <f>LEFT(TDays[[#This Row],[تاریخ]],7)</f>
        <v>1403-04</v>
      </c>
      <c r="F833">
        <v>0</v>
      </c>
      <c r="G833" s="16" t="str">
        <f>VLOOKUP(TDays[[#This Row],[کد روز هفته]],TDaysOfTheWeek[],2,FALSE)</f>
        <v>شنبه</v>
      </c>
      <c r="H833" s="16">
        <f>IFERROR(IF(E832&lt;&gt;E833,1,INT(H832)+IF(TDays[[#This Row],[کد روز هفته]]=0,1,0)),1)</f>
        <v>3</v>
      </c>
      <c r="I833">
        <f>-SUMIF(TArticle[تاریخ],TDays[[#This Row],[تاریخ]],TArticle[هزینه])</f>
        <v>0</v>
      </c>
      <c r="J833">
        <f>SUMIF(TArticle[تاریخ],TDays[[#This Row],[تاریخ]],TArticle[درآمد تتا])</f>
        <v>0</v>
      </c>
      <c r="K833">
        <f>SUMIF(TArticle[تاریخ],TDays[[#This Row],[تاریخ]],TArticle[اسنپ])</f>
        <v>0</v>
      </c>
      <c r="L833">
        <f>-SUMIF(TArticle[تاریخ],TDays[[#This Row],[تاریخ]],TArticle[پرداخت بدهی])</f>
        <v>0</v>
      </c>
      <c r="M833">
        <f>SUMIF(TArticle[تاریخ],TDays[[#This Row],[تاریخ]],TArticle[افزایش بدهی])</f>
        <v>0</v>
      </c>
      <c r="N833">
        <f>-SUMIF(TArticle[تاریخ],TDays[[#This Row],[تاریخ]],TArticle[افزایش سرمایه])</f>
        <v>0</v>
      </c>
      <c r="O833">
        <f>SUMIF(TArticle[تاریخ],TDays[[#This Row],[تاریخ]],TArticle[تعداد تراکنش انجام شده])</f>
        <v>0</v>
      </c>
      <c r="P833">
        <f>INT(((TDays[[#This Row],[ماه]]-1)*31+TDays[[#This Row],[روز]]+1)/7)+1</f>
        <v>15</v>
      </c>
      <c r="Q833">
        <f>SUMIF(TArticle[تاریخ],TDays[[#This Row],[تاریخ]],TArticle[تراکنش برنامه ریزی شده])</f>
        <v>1</v>
      </c>
    </row>
    <row r="834" spans="1:17" x14ac:dyDescent="0.25">
      <c r="A834" s="3" t="s">
        <v>1328</v>
      </c>
      <c r="B834" t="str">
        <f>RIGHT(TDays[[#This Row],[تاریخ]],2)</f>
        <v>10</v>
      </c>
      <c r="C834" t="str">
        <f>RIGHT(LEFT(TDays[[#This Row],[تاریخ]],7),2)</f>
        <v>04</v>
      </c>
      <c r="D834" t="str">
        <f>LEFT(TDays[[#This Row],[تاریخ]],4)</f>
        <v>1403</v>
      </c>
      <c r="E834" t="str">
        <f>LEFT(TDays[[#This Row],[تاریخ]],7)</f>
        <v>1403-04</v>
      </c>
      <c r="F834">
        <v>1</v>
      </c>
      <c r="G834" s="16" t="str">
        <f>VLOOKUP(TDays[[#This Row],[کد روز هفته]],TDaysOfTheWeek[],2,FALSE)</f>
        <v>یکشنبه</v>
      </c>
      <c r="H834" s="16">
        <f>IFERROR(IF(E833&lt;&gt;E834,1,INT(H833)+IF(TDays[[#This Row],[کد روز هفته]]=0,1,0)),1)</f>
        <v>3</v>
      </c>
      <c r="I834">
        <f>-SUMIF(TArticle[تاریخ],TDays[[#This Row],[تاریخ]],TArticle[هزینه])</f>
        <v>0</v>
      </c>
      <c r="J834">
        <f>SUMIF(TArticle[تاریخ],TDays[[#This Row],[تاریخ]],TArticle[درآمد تتا])</f>
        <v>0</v>
      </c>
      <c r="K834">
        <f>SUMIF(TArticle[تاریخ],TDays[[#This Row],[تاریخ]],TArticle[اسنپ])</f>
        <v>0</v>
      </c>
      <c r="L834">
        <f>-SUMIF(TArticle[تاریخ],TDays[[#This Row],[تاریخ]],TArticle[پرداخت بدهی])</f>
        <v>0</v>
      </c>
      <c r="M834">
        <f>SUMIF(TArticle[تاریخ],TDays[[#This Row],[تاریخ]],TArticle[افزایش بدهی])</f>
        <v>0</v>
      </c>
      <c r="N834">
        <f>-SUMIF(TArticle[تاریخ],TDays[[#This Row],[تاریخ]],TArticle[افزایش سرمایه])</f>
        <v>0</v>
      </c>
      <c r="O834">
        <f>SUMIF(TArticle[تاریخ],TDays[[#This Row],[تاریخ]],TArticle[تعداد تراکنش انجام شده])</f>
        <v>0</v>
      </c>
      <c r="P834">
        <f>INT(((TDays[[#This Row],[ماه]]-1)*31+TDays[[#This Row],[روز]]+1)/7)+1</f>
        <v>15</v>
      </c>
      <c r="Q834">
        <f>SUMIF(TArticle[تاریخ],TDays[[#This Row],[تاریخ]],TArticle[تراکنش برنامه ریزی شده])</f>
        <v>0</v>
      </c>
    </row>
    <row r="835" spans="1:17" x14ac:dyDescent="0.25">
      <c r="A835" s="3" t="s">
        <v>1329</v>
      </c>
      <c r="B835" t="str">
        <f>RIGHT(TDays[[#This Row],[تاریخ]],2)</f>
        <v>11</v>
      </c>
      <c r="C835" t="str">
        <f>RIGHT(LEFT(TDays[[#This Row],[تاریخ]],7),2)</f>
        <v>04</v>
      </c>
      <c r="D835" t="str">
        <f>LEFT(TDays[[#This Row],[تاریخ]],4)</f>
        <v>1403</v>
      </c>
      <c r="E835" t="str">
        <f>LEFT(TDays[[#This Row],[تاریخ]],7)</f>
        <v>1403-04</v>
      </c>
      <c r="F835">
        <v>2</v>
      </c>
      <c r="G835" s="16" t="str">
        <f>VLOOKUP(TDays[[#This Row],[کد روز هفته]],TDaysOfTheWeek[],2,FALSE)</f>
        <v>دوشنبه</v>
      </c>
      <c r="H835" s="16">
        <f>IFERROR(IF(E834&lt;&gt;E835,1,INT(H834)+IF(TDays[[#This Row],[کد روز هفته]]=0,1,0)),1)</f>
        <v>3</v>
      </c>
      <c r="I835">
        <f>-SUMIF(TArticle[تاریخ],TDays[[#This Row],[تاریخ]],TArticle[هزینه])</f>
        <v>0</v>
      </c>
      <c r="J835">
        <f>SUMIF(TArticle[تاریخ],TDays[[#This Row],[تاریخ]],TArticle[درآمد تتا])</f>
        <v>0</v>
      </c>
      <c r="K835">
        <f>SUMIF(TArticle[تاریخ],TDays[[#This Row],[تاریخ]],TArticle[اسنپ])</f>
        <v>0</v>
      </c>
      <c r="L835">
        <f>-SUMIF(TArticle[تاریخ],TDays[[#This Row],[تاریخ]],TArticle[پرداخت بدهی])</f>
        <v>0</v>
      </c>
      <c r="M835">
        <f>SUMIF(TArticle[تاریخ],TDays[[#This Row],[تاریخ]],TArticle[افزایش بدهی])</f>
        <v>0</v>
      </c>
      <c r="N835">
        <f>-SUMIF(TArticle[تاریخ],TDays[[#This Row],[تاریخ]],TArticle[افزایش سرمایه])</f>
        <v>0</v>
      </c>
      <c r="O835">
        <f>SUMIF(TArticle[تاریخ],TDays[[#This Row],[تاریخ]],TArticle[تعداد تراکنش انجام شده])</f>
        <v>0</v>
      </c>
      <c r="P835">
        <f>INT(((TDays[[#This Row],[ماه]]-1)*31+TDays[[#This Row],[روز]]+1)/7)+1</f>
        <v>16</v>
      </c>
      <c r="Q835">
        <f>SUMIF(TArticle[تاریخ],TDays[[#This Row],[تاریخ]],TArticle[تراکنش برنامه ریزی شده])</f>
        <v>0</v>
      </c>
    </row>
    <row r="836" spans="1:17" x14ac:dyDescent="0.25">
      <c r="A836" s="3" t="s">
        <v>1330</v>
      </c>
      <c r="B836" t="str">
        <f>RIGHT(TDays[[#This Row],[تاریخ]],2)</f>
        <v>12</v>
      </c>
      <c r="C836" t="str">
        <f>RIGHT(LEFT(TDays[[#This Row],[تاریخ]],7),2)</f>
        <v>04</v>
      </c>
      <c r="D836" t="str">
        <f>LEFT(TDays[[#This Row],[تاریخ]],4)</f>
        <v>1403</v>
      </c>
      <c r="E836" t="str">
        <f>LEFT(TDays[[#This Row],[تاریخ]],7)</f>
        <v>1403-04</v>
      </c>
      <c r="F836">
        <v>3</v>
      </c>
      <c r="G836" s="16" t="str">
        <f>VLOOKUP(TDays[[#This Row],[کد روز هفته]],TDaysOfTheWeek[],2,FALSE)</f>
        <v>سه شنبه</v>
      </c>
      <c r="H836" s="16">
        <f>IFERROR(IF(E835&lt;&gt;E836,1,INT(H835)+IF(TDays[[#This Row],[کد روز هفته]]=0,1,0)),1)</f>
        <v>3</v>
      </c>
      <c r="I836">
        <f>-SUMIF(TArticle[تاریخ],TDays[[#This Row],[تاریخ]],TArticle[هزینه])</f>
        <v>0</v>
      </c>
      <c r="J836">
        <f>SUMIF(TArticle[تاریخ],TDays[[#This Row],[تاریخ]],TArticle[درآمد تتا])</f>
        <v>0</v>
      </c>
      <c r="K836">
        <f>SUMIF(TArticle[تاریخ],TDays[[#This Row],[تاریخ]],TArticle[اسنپ])</f>
        <v>0</v>
      </c>
      <c r="L836">
        <f>-SUMIF(TArticle[تاریخ],TDays[[#This Row],[تاریخ]],TArticle[پرداخت بدهی])</f>
        <v>0</v>
      </c>
      <c r="M836">
        <f>SUMIF(TArticle[تاریخ],TDays[[#This Row],[تاریخ]],TArticle[افزایش بدهی])</f>
        <v>0</v>
      </c>
      <c r="N836">
        <f>-SUMIF(TArticle[تاریخ],TDays[[#This Row],[تاریخ]],TArticle[افزایش سرمایه])</f>
        <v>0</v>
      </c>
      <c r="O836">
        <f>SUMIF(TArticle[تاریخ],TDays[[#This Row],[تاریخ]],TArticle[تعداد تراکنش انجام شده])</f>
        <v>0</v>
      </c>
      <c r="P836">
        <f>INT(((TDays[[#This Row],[ماه]]-1)*31+TDays[[#This Row],[روز]]+1)/7)+1</f>
        <v>16</v>
      </c>
      <c r="Q836">
        <f>SUMIF(TArticle[تاریخ],TDays[[#This Row],[تاریخ]],TArticle[تراکنش برنامه ریزی شده])</f>
        <v>0</v>
      </c>
    </row>
    <row r="837" spans="1:17" x14ac:dyDescent="0.25">
      <c r="A837" s="3" t="s">
        <v>1331</v>
      </c>
      <c r="B837" t="str">
        <f>RIGHT(TDays[[#This Row],[تاریخ]],2)</f>
        <v>13</v>
      </c>
      <c r="C837" t="str">
        <f>RIGHT(LEFT(TDays[[#This Row],[تاریخ]],7),2)</f>
        <v>04</v>
      </c>
      <c r="D837" t="str">
        <f>LEFT(TDays[[#This Row],[تاریخ]],4)</f>
        <v>1403</v>
      </c>
      <c r="E837" t="str">
        <f>LEFT(TDays[[#This Row],[تاریخ]],7)</f>
        <v>1403-04</v>
      </c>
      <c r="F837">
        <v>4</v>
      </c>
      <c r="G837" s="16" t="str">
        <f>VLOOKUP(TDays[[#This Row],[کد روز هفته]],TDaysOfTheWeek[],2,FALSE)</f>
        <v>چهارشنبه</v>
      </c>
      <c r="H837" s="16">
        <f>IFERROR(IF(E836&lt;&gt;E837,1,INT(H836)+IF(TDays[[#This Row],[کد روز هفته]]=0,1,0)),1)</f>
        <v>3</v>
      </c>
      <c r="I837">
        <f>-SUMIF(TArticle[تاریخ],TDays[[#This Row],[تاریخ]],TArticle[هزینه])</f>
        <v>0</v>
      </c>
      <c r="J837">
        <f>SUMIF(TArticle[تاریخ],TDays[[#This Row],[تاریخ]],TArticle[درآمد تتا])</f>
        <v>0</v>
      </c>
      <c r="K837">
        <f>SUMIF(TArticle[تاریخ],TDays[[#This Row],[تاریخ]],TArticle[اسنپ])</f>
        <v>0</v>
      </c>
      <c r="L837">
        <f>-SUMIF(TArticle[تاریخ],TDays[[#This Row],[تاریخ]],TArticle[پرداخت بدهی])</f>
        <v>0</v>
      </c>
      <c r="M837">
        <f>SUMIF(TArticle[تاریخ],TDays[[#This Row],[تاریخ]],TArticle[افزایش بدهی])</f>
        <v>0</v>
      </c>
      <c r="N837">
        <f>-SUMIF(TArticle[تاریخ],TDays[[#This Row],[تاریخ]],TArticle[افزایش سرمایه])</f>
        <v>0</v>
      </c>
      <c r="O837">
        <f>SUMIF(TArticle[تاریخ],TDays[[#This Row],[تاریخ]],TArticle[تعداد تراکنش انجام شده])</f>
        <v>0</v>
      </c>
      <c r="P837">
        <f>INT(((TDays[[#This Row],[ماه]]-1)*31+TDays[[#This Row],[روز]]+1)/7)+1</f>
        <v>16</v>
      </c>
      <c r="Q837">
        <f>SUMIF(TArticle[تاریخ],TDays[[#This Row],[تاریخ]],TArticle[تراکنش برنامه ریزی شده])</f>
        <v>0</v>
      </c>
    </row>
    <row r="838" spans="1:17" x14ac:dyDescent="0.25">
      <c r="A838" s="3" t="s">
        <v>1332</v>
      </c>
      <c r="B838" t="str">
        <f>RIGHT(TDays[[#This Row],[تاریخ]],2)</f>
        <v>14</v>
      </c>
      <c r="C838" t="str">
        <f>RIGHT(LEFT(TDays[[#This Row],[تاریخ]],7),2)</f>
        <v>04</v>
      </c>
      <c r="D838" t="str">
        <f>LEFT(TDays[[#This Row],[تاریخ]],4)</f>
        <v>1403</v>
      </c>
      <c r="E838" t="str">
        <f>LEFT(TDays[[#This Row],[تاریخ]],7)</f>
        <v>1403-04</v>
      </c>
      <c r="F838">
        <v>5</v>
      </c>
      <c r="G838" s="16" t="str">
        <f>VLOOKUP(TDays[[#This Row],[کد روز هفته]],TDaysOfTheWeek[],2,FALSE)</f>
        <v>پنجشنبه</v>
      </c>
      <c r="H838" s="16">
        <f>IFERROR(IF(E837&lt;&gt;E838,1,INT(H837)+IF(TDays[[#This Row],[کد روز هفته]]=0,1,0)),1)</f>
        <v>3</v>
      </c>
      <c r="I838">
        <f>-SUMIF(TArticle[تاریخ],TDays[[#This Row],[تاریخ]],TArticle[هزینه])</f>
        <v>0</v>
      </c>
      <c r="J838">
        <f>SUMIF(TArticle[تاریخ],TDays[[#This Row],[تاریخ]],TArticle[درآمد تتا])</f>
        <v>0</v>
      </c>
      <c r="K838">
        <f>SUMIF(TArticle[تاریخ],TDays[[#This Row],[تاریخ]],TArticle[اسنپ])</f>
        <v>0</v>
      </c>
      <c r="L838">
        <f>-SUMIF(TArticle[تاریخ],TDays[[#This Row],[تاریخ]],TArticle[پرداخت بدهی])</f>
        <v>0</v>
      </c>
      <c r="M838">
        <f>SUMIF(TArticle[تاریخ],TDays[[#This Row],[تاریخ]],TArticle[افزایش بدهی])</f>
        <v>0</v>
      </c>
      <c r="N838">
        <f>-SUMIF(TArticle[تاریخ],TDays[[#This Row],[تاریخ]],TArticle[افزایش سرمایه])</f>
        <v>0</v>
      </c>
      <c r="O838">
        <f>SUMIF(TArticle[تاریخ],TDays[[#This Row],[تاریخ]],TArticle[تعداد تراکنش انجام شده])</f>
        <v>0</v>
      </c>
      <c r="P838">
        <f>INT(((TDays[[#This Row],[ماه]]-1)*31+TDays[[#This Row],[روز]]+1)/7)+1</f>
        <v>16</v>
      </c>
      <c r="Q838">
        <f>SUMIF(TArticle[تاریخ],TDays[[#This Row],[تاریخ]],TArticle[تراکنش برنامه ریزی شده])</f>
        <v>0</v>
      </c>
    </row>
    <row r="839" spans="1:17" x14ac:dyDescent="0.25">
      <c r="A839" s="3" t="s">
        <v>1333</v>
      </c>
      <c r="B839" t="str">
        <f>RIGHT(TDays[[#This Row],[تاریخ]],2)</f>
        <v>15</v>
      </c>
      <c r="C839" t="str">
        <f>RIGHT(LEFT(TDays[[#This Row],[تاریخ]],7),2)</f>
        <v>04</v>
      </c>
      <c r="D839" t="str">
        <f>LEFT(TDays[[#This Row],[تاریخ]],4)</f>
        <v>1403</v>
      </c>
      <c r="E839" t="str">
        <f>LEFT(TDays[[#This Row],[تاریخ]],7)</f>
        <v>1403-04</v>
      </c>
      <c r="F839">
        <v>6</v>
      </c>
      <c r="G839" s="16" t="str">
        <f>VLOOKUP(TDays[[#This Row],[کد روز هفته]],TDaysOfTheWeek[],2,FALSE)</f>
        <v>جمعه</v>
      </c>
      <c r="H839" s="16">
        <f>IFERROR(IF(E838&lt;&gt;E839,1,INT(H838)+IF(TDays[[#This Row],[کد روز هفته]]=0,1,0)),1)</f>
        <v>3</v>
      </c>
      <c r="I839">
        <f>-SUMIF(TArticle[تاریخ],TDays[[#This Row],[تاریخ]],TArticle[هزینه])</f>
        <v>0</v>
      </c>
      <c r="J839">
        <f>SUMIF(TArticle[تاریخ],TDays[[#This Row],[تاریخ]],TArticle[درآمد تتا])</f>
        <v>0</v>
      </c>
      <c r="K839">
        <f>SUMIF(TArticle[تاریخ],TDays[[#This Row],[تاریخ]],TArticle[اسنپ])</f>
        <v>0</v>
      </c>
      <c r="L839">
        <f>-SUMIF(TArticle[تاریخ],TDays[[#This Row],[تاریخ]],TArticle[پرداخت بدهی])</f>
        <v>0</v>
      </c>
      <c r="M839">
        <f>SUMIF(TArticle[تاریخ],TDays[[#This Row],[تاریخ]],TArticle[افزایش بدهی])</f>
        <v>0</v>
      </c>
      <c r="N839">
        <f>-SUMIF(TArticle[تاریخ],TDays[[#This Row],[تاریخ]],TArticle[افزایش سرمایه])</f>
        <v>0</v>
      </c>
      <c r="O839">
        <f>SUMIF(TArticle[تاریخ],TDays[[#This Row],[تاریخ]],TArticle[تعداد تراکنش انجام شده])</f>
        <v>0</v>
      </c>
      <c r="P839">
        <f>INT(((TDays[[#This Row],[ماه]]-1)*31+TDays[[#This Row],[روز]]+1)/7)+1</f>
        <v>16</v>
      </c>
      <c r="Q839">
        <f>SUMIF(TArticle[تاریخ],TDays[[#This Row],[تاریخ]],TArticle[تراکنش برنامه ریزی شده])</f>
        <v>0</v>
      </c>
    </row>
    <row r="840" spans="1:17" x14ac:dyDescent="0.25">
      <c r="A840" s="3" t="s">
        <v>1334</v>
      </c>
      <c r="B840" t="str">
        <f>RIGHT(TDays[[#This Row],[تاریخ]],2)</f>
        <v>16</v>
      </c>
      <c r="C840" t="str">
        <f>RIGHT(LEFT(TDays[[#This Row],[تاریخ]],7),2)</f>
        <v>04</v>
      </c>
      <c r="D840" t="str">
        <f>LEFT(TDays[[#This Row],[تاریخ]],4)</f>
        <v>1403</v>
      </c>
      <c r="E840" t="str">
        <f>LEFT(TDays[[#This Row],[تاریخ]],7)</f>
        <v>1403-04</v>
      </c>
      <c r="F840">
        <v>0</v>
      </c>
      <c r="G840" s="16" t="str">
        <f>VLOOKUP(TDays[[#This Row],[کد روز هفته]],TDaysOfTheWeek[],2,FALSE)</f>
        <v>شنبه</v>
      </c>
      <c r="H840" s="16">
        <f>IFERROR(IF(E839&lt;&gt;E840,1,INT(H839)+IF(TDays[[#This Row],[کد روز هفته]]=0,1,0)),1)</f>
        <v>4</v>
      </c>
      <c r="I840">
        <f>-SUMIF(TArticle[تاریخ],TDays[[#This Row],[تاریخ]],TArticle[هزینه])</f>
        <v>0</v>
      </c>
      <c r="J840">
        <f>SUMIF(TArticle[تاریخ],TDays[[#This Row],[تاریخ]],TArticle[درآمد تتا])</f>
        <v>0</v>
      </c>
      <c r="K840">
        <f>SUMIF(TArticle[تاریخ],TDays[[#This Row],[تاریخ]],TArticle[اسنپ])</f>
        <v>0</v>
      </c>
      <c r="L840">
        <f>-SUMIF(TArticle[تاریخ],TDays[[#This Row],[تاریخ]],TArticle[پرداخت بدهی])</f>
        <v>0</v>
      </c>
      <c r="M840">
        <f>SUMIF(TArticle[تاریخ],TDays[[#This Row],[تاریخ]],TArticle[افزایش بدهی])</f>
        <v>0</v>
      </c>
      <c r="N840">
        <f>-SUMIF(TArticle[تاریخ],TDays[[#This Row],[تاریخ]],TArticle[افزایش سرمایه])</f>
        <v>0</v>
      </c>
      <c r="O840">
        <f>SUMIF(TArticle[تاریخ],TDays[[#This Row],[تاریخ]],TArticle[تعداد تراکنش انجام شده])</f>
        <v>0</v>
      </c>
      <c r="P840">
        <f>INT(((TDays[[#This Row],[ماه]]-1)*31+TDays[[#This Row],[روز]]+1)/7)+1</f>
        <v>16</v>
      </c>
      <c r="Q840">
        <f>SUMIF(TArticle[تاریخ],TDays[[#This Row],[تاریخ]],TArticle[تراکنش برنامه ریزی شده])</f>
        <v>0</v>
      </c>
    </row>
    <row r="841" spans="1:17" x14ac:dyDescent="0.25">
      <c r="A841" s="3" t="s">
        <v>1335</v>
      </c>
      <c r="B841" t="str">
        <f>RIGHT(TDays[[#This Row],[تاریخ]],2)</f>
        <v>17</v>
      </c>
      <c r="C841" t="str">
        <f>RIGHT(LEFT(TDays[[#This Row],[تاریخ]],7),2)</f>
        <v>04</v>
      </c>
      <c r="D841" t="str">
        <f>LEFT(TDays[[#This Row],[تاریخ]],4)</f>
        <v>1403</v>
      </c>
      <c r="E841" t="str">
        <f>LEFT(TDays[[#This Row],[تاریخ]],7)</f>
        <v>1403-04</v>
      </c>
      <c r="F841">
        <v>1</v>
      </c>
      <c r="G841" s="16" t="str">
        <f>VLOOKUP(TDays[[#This Row],[کد روز هفته]],TDaysOfTheWeek[],2,FALSE)</f>
        <v>یکشنبه</v>
      </c>
      <c r="H841" s="16">
        <f>IFERROR(IF(E840&lt;&gt;E841,1,INT(H840)+IF(TDays[[#This Row],[کد روز هفته]]=0,1,0)),1)</f>
        <v>4</v>
      </c>
      <c r="I841">
        <f>-SUMIF(TArticle[تاریخ],TDays[[#This Row],[تاریخ]],TArticle[هزینه])</f>
        <v>0</v>
      </c>
      <c r="J841">
        <f>SUMIF(TArticle[تاریخ],TDays[[#This Row],[تاریخ]],TArticle[درآمد تتا])</f>
        <v>0</v>
      </c>
      <c r="K841">
        <f>SUMIF(TArticle[تاریخ],TDays[[#This Row],[تاریخ]],TArticle[اسنپ])</f>
        <v>0</v>
      </c>
      <c r="L841">
        <f>-SUMIF(TArticle[تاریخ],TDays[[#This Row],[تاریخ]],TArticle[پرداخت بدهی])</f>
        <v>0</v>
      </c>
      <c r="M841">
        <f>SUMIF(TArticle[تاریخ],TDays[[#This Row],[تاریخ]],TArticle[افزایش بدهی])</f>
        <v>0</v>
      </c>
      <c r="N841">
        <f>-SUMIF(TArticle[تاریخ],TDays[[#This Row],[تاریخ]],TArticle[افزایش سرمایه])</f>
        <v>0</v>
      </c>
      <c r="O841">
        <f>SUMIF(TArticle[تاریخ],TDays[[#This Row],[تاریخ]],TArticle[تعداد تراکنش انجام شده])</f>
        <v>0</v>
      </c>
      <c r="P841">
        <f>INT(((TDays[[#This Row],[ماه]]-1)*31+TDays[[#This Row],[روز]]+1)/7)+1</f>
        <v>16</v>
      </c>
      <c r="Q841">
        <f>SUMIF(TArticle[تاریخ],TDays[[#This Row],[تاریخ]],TArticle[تراکنش برنامه ریزی شده])</f>
        <v>0</v>
      </c>
    </row>
    <row r="842" spans="1:17" x14ac:dyDescent="0.25">
      <c r="A842" s="3" t="s">
        <v>1336</v>
      </c>
      <c r="B842" t="str">
        <f>RIGHT(TDays[[#This Row],[تاریخ]],2)</f>
        <v>18</v>
      </c>
      <c r="C842" t="str">
        <f>RIGHT(LEFT(TDays[[#This Row],[تاریخ]],7),2)</f>
        <v>04</v>
      </c>
      <c r="D842" t="str">
        <f>LEFT(TDays[[#This Row],[تاریخ]],4)</f>
        <v>1403</v>
      </c>
      <c r="E842" t="str">
        <f>LEFT(TDays[[#This Row],[تاریخ]],7)</f>
        <v>1403-04</v>
      </c>
      <c r="F842">
        <v>2</v>
      </c>
      <c r="G842" s="16" t="str">
        <f>VLOOKUP(TDays[[#This Row],[کد روز هفته]],TDaysOfTheWeek[],2,FALSE)</f>
        <v>دوشنبه</v>
      </c>
      <c r="H842" s="16">
        <f>IFERROR(IF(E841&lt;&gt;E842,1,INT(H841)+IF(TDays[[#This Row],[کد روز هفته]]=0,1,0)),1)</f>
        <v>4</v>
      </c>
      <c r="I842">
        <f>-SUMIF(TArticle[تاریخ],TDays[[#This Row],[تاریخ]],TArticle[هزینه])</f>
        <v>0</v>
      </c>
      <c r="J842">
        <f>SUMIF(TArticle[تاریخ],TDays[[#This Row],[تاریخ]],TArticle[درآمد تتا])</f>
        <v>0</v>
      </c>
      <c r="K842">
        <f>SUMIF(TArticle[تاریخ],TDays[[#This Row],[تاریخ]],TArticle[اسنپ])</f>
        <v>0</v>
      </c>
      <c r="L842">
        <f>-SUMIF(TArticle[تاریخ],TDays[[#This Row],[تاریخ]],TArticle[پرداخت بدهی])</f>
        <v>0</v>
      </c>
      <c r="M842">
        <f>SUMIF(TArticle[تاریخ],TDays[[#This Row],[تاریخ]],TArticle[افزایش بدهی])</f>
        <v>0</v>
      </c>
      <c r="N842">
        <f>-SUMIF(TArticle[تاریخ],TDays[[#This Row],[تاریخ]],TArticle[افزایش سرمایه])</f>
        <v>0</v>
      </c>
      <c r="O842">
        <f>SUMIF(TArticle[تاریخ],TDays[[#This Row],[تاریخ]],TArticle[تعداد تراکنش انجام شده])</f>
        <v>0</v>
      </c>
      <c r="P842">
        <f>INT(((TDays[[#This Row],[ماه]]-1)*31+TDays[[#This Row],[روز]]+1)/7)+1</f>
        <v>17</v>
      </c>
      <c r="Q842">
        <f>SUMIF(TArticle[تاریخ],TDays[[#This Row],[تاریخ]],TArticle[تراکنش برنامه ریزی شده])</f>
        <v>0</v>
      </c>
    </row>
    <row r="843" spans="1:17" x14ac:dyDescent="0.25">
      <c r="A843" s="3" t="s">
        <v>1337</v>
      </c>
      <c r="B843" t="str">
        <f>RIGHT(TDays[[#This Row],[تاریخ]],2)</f>
        <v>19</v>
      </c>
      <c r="C843" t="str">
        <f>RIGHT(LEFT(TDays[[#This Row],[تاریخ]],7),2)</f>
        <v>04</v>
      </c>
      <c r="D843" t="str">
        <f>LEFT(TDays[[#This Row],[تاریخ]],4)</f>
        <v>1403</v>
      </c>
      <c r="E843" t="str">
        <f>LEFT(TDays[[#This Row],[تاریخ]],7)</f>
        <v>1403-04</v>
      </c>
      <c r="F843">
        <v>3</v>
      </c>
      <c r="G843" s="16" t="str">
        <f>VLOOKUP(TDays[[#This Row],[کد روز هفته]],TDaysOfTheWeek[],2,FALSE)</f>
        <v>سه شنبه</v>
      </c>
      <c r="H843" s="16">
        <f>IFERROR(IF(E842&lt;&gt;E843,1,INT(H842)+IF(TDays[[#This Row],[کد روز هفته]]=0,1,0)),1)</f>
        <v>4</v>
      </c>
      <c r="I843">
        <f>-SUMIF(TArticle[تاریخ],TDays[[#This Row],[تاریخ]],TArticle[هزینه])</f>
        <v>0</v>
      </c>
      <c r="J843">
        <f>SUMIF(TArticle[تاریخ],TDays[[#This Row],[تاریخ]],TArticle[درآمد تتا])</f>
        <v>0</v>
      </c>
      <c r="K843">
        <f>SUMIF(TArticle[تاریخ],TDays[[#This Row],[تاریخ]],TArticle[اسنپ])</f>
        <v>0</v>
      </c>
      <c r="L843">
        <f>-SUMIF(TArticle[تاریخ],TDays[[#This Row],[تاریخ]],TArticle[پرداخت بدهی])</f>
        <v>0</v>
      </c>
      <c r="M843">
        <f>SUMIF(TArticle[تاریخ],TDays[[#This Row],[تاریخ]],TArticle[افزایش بدهی])</f>
        <v>0</v>
      </c>
      <c r="N843">
        <f>-SUMIF(TArticle[تاریخ],TDays[[#This Row],[تاریخ]],TArticle[افزایش سرمایه])</f>
        <v>0</v>
      </c>
      <c r="O843">
        <f>SUMIF(TArticle[تاریخ],TDays[[#This Row],[تاریخ]],TArticle[تعداد تراکنش انجام شده])</f>
        <v>0</v>
      </c>
      <c r="P843">
        <f>INT(((TDays[[#This Row],[ماه]]-1)*31+TDays[[#This Row],[روز]]+1)/7)+1</f>
        <v>17</v>
      </c>
      <c r="Q843">
        <f>SUMIF(TArticle[تاریخ],TDays[[#This Row],[تاریخ]],TArticle[تراکنش برنامه ریزی شده])</f>
        <v>0</v>
      </c>
    </row>
    <row r="844" spans="1:17" x14ac:dyDescent="0.25">
      <c r="A844" s="3" t="s">
        <v>1338</v>
      </c>
      <c r="B844" t="str">
        <f>RIGHT(TDays[[#This Row],[تاریخ]],2)</f>
        <v>20</v>
      </c>
      <c r="C844" t="str">
        <f>RIGHT(LEFT(TDays[[#This Row],[تاریخ]],7),2)</f>
        <v>04</v>
      </c>
      <c r="D844" t="str">
        <f>LEFT(TDays[[#This Row],[تاریخ]],4)</f>
        <v>1403</v>
      </c>
      <c r="E844" t="str">
        <f>LEFT(TDays[[#This Row],[تاریخ]],7)</f>
        <v>1403-04</v>
      </c>
      <c r="F844">
        <v>4</v>
      </c>
      <c r="G844" s="16" t="str">
        <f>VLOOKUP(TDays[[#This Row],[کد روز هفته]],TDaysOfTheWeek[],2,FALSE)</f>
        <v>چهارشنبه</v>
      </c>
      <c r="H844" s="16">
        <f>IFERROR(IF(E843&lt;&gt;E844,1,INT(H843)+IF(TDays[[#This Row],[کد روز هفته]]=0,1,0)),1)</f>
        <v>4</v>
      </c>
      <c r="I844">
        <f>-SUMIF(TArticle[تاریخ],TDays[[#This Row],[تاریخ]],TArticle[هزینه])</f>
        <v>0</v>
      </c>
      <c r="J844">
        <f>SUMIF(TArticle[تاریخ],TDays[[#This Row],[تاریخ]],TArticle[درآمد تتا])</f>
        <v>0</v>
      </c>
      <c r="K844">
        <f>SUMIF(TArticle[تاریخ],TDays[[#This Row],[تاریخ]],TArticle[اسنپ])</f>
        <v>0</v>
      </c>
      <c r="L844">
        <f>-SUMIF(TArticle[تاریخ],TDays[[#This Row],[تاریخ]],TArticle[پرداخت بدهی])</f>
        <v>0</v>
      </c>
      <c r="M844">
        <f>SUMIF(TArticle[تاریخ],TDays[[#This Row],[تاریخ]],TArticle[افزایش بدهی])</f>
        <v>0</v>
      </c>
      <c r="N844">
        <f>-SUMIF(TArticle[تاریخ],TDays[[#This Row],[تاریخ]],TArticle[افزایش سرمایه])</f>
        <v>0</v>
      </c>
      <c r="O844">
        <f>SUMIF(TArticle[تاریخ],TDays[[#This Row],[تاریخ]],TArticle[تعداد تراکنش انجام شده])</f>
        <v>0</v>
      </c>
      <c r="P844">
        <f>INT(((TDays[[#This Row],[ماه]]-1)*31+TDays[[#This Row],[روز]]+1)/7)+1</f>
        <v>17</v>
      </c>
      <c r="Q844">
        <f>SUMIF(TArticle[تاریخ],TDays[[#This Row],[تاریخ]],TArticle[تراکنش برنامه ریزی شده])</f>
        <v>1</v>
      </c>
    </row>
    <row r="845" spans="1:17" x14ac:dyDescent="0.25">
      <c r="A845" s="3" t="s">
        <v>1339</v>
      </c>
      <c r="B845" t="str">
        <f>RIGHT(TDays[[#This Row],[تاریخ]],2)</f>
        <v>21</v>
      </c>
      <c r="C845" t="str">
        <f>RIGHT(LEFT(TDays[[#This Row],[تاریخ]],7),2)</f>
        <v>04</v>
      </c>
      <c r="D845" t="str">
        <f>LEFT(TDays[[#This Row],[تاریخ]],4)</f>
        <v>1403</v>
      </c>
      <c r="E845" t="str">
        <f>LEFT(TDays[[#This Row],[تاریخ]],7)</f>
        <v>1403-04</v>
      </c>
      <c r="F845">
        <v>5</v>
      </c>
      <c r="G845" s="16" t="str">
        <f>VLOOKUP(TDays[[#This Row],[کد روز هفته]],TDaysOfTheWeek[],2,FALSE)</f>
        <v>پنجشنبه</v>
      </c>
      <c r="H845" s="16">
        <f>IFERROR(IF(E844&lt;&gt;E845,1,INT(H844)+IF(TDays[[#This Row],[کد روز هفته]]=0,1,0)),1)</f>
        <v>4</v>
      </c>
      <c r="I845">
        <f>-SUMIF(TArticle[تاریخ],TDays[[#This Row],[تاریخ]],TArticle[هزینه])</f>
        <v>0</v>
      </c>
      <c r="J845">
        <f>SUMIF(TArticle[تاریخ],TDays[[#This Row],[تاریخ]],TArticle[درآمد تتا])</f>
        <v>0</v>
      </c>
      <c r="K845">
        <f>SUMIF(TArticle[تاریخ],TDays[[#This Row],[تاریخ]],TArticle[اسنپ])</f>
        <v>0</v>
      </c>
      <c r="L845">
        <f>-SUMIF(TArticle[تاریخ],TDays[[#This Row],[تاریخ]],TArticle[پرداخت بدهی])</f>
        <v>0</v>
      </c>
      <c r="M845">
        <f>SUMIF(TArticle[تاریخ],TDays[[#This Row],[تاریخ]],TArticle[افزایش بدهی])</f>
        <v>0</v>
      </c>
      <c r="N845">
        <f>-SUMIF(TArticle[تاریخ],TDays[[#This Row],[تاریخ]],TArticle[افزایش سرمایه])</f>
        <v>0</v>
      </c>
      <c r="O845">
        <f>SUMIF(TArticle[تاریخ],TDays[[#This Row],[تاریخ]],TArticle[تعداد تراکنش انجام شده])</f>
        <v>0</v>
      </c>
      <c r="P845">
        <f>INT(((TDays[[#This Row],[ماه]]-1)*31+TDays[[#This Row],[روز]]+1)/7)+1</f>
        <v>17</v>
      </c>
      <c r="Q845">
        <f>SUMIF(TArticle[تاریخ],TDays[[#This Row],[تاریخ]],TArticle[تراکنش برنامه ریزی شده])</f>
        <v>0</v>
      </c>
    </row>
    <row r="846" spans="1:17" x14ac:dyDescent="0.25">
      <c r="A846" s="3" t="s">
        <v>1340</v>
      </c>
      <c r="B846" t="str">
        <f>RIGHT(TDays[[#This Row],[تاریخ]],2)</f>
        <v>22</v>
      </c>
      <c r="C846" t="str">
        <f>RIGHT(LEFT(TDays[[#This Row],[تاریخ]],7),2)</f>
        <v>04</v>
      </c>
      <c r="D846" t="str">
        <f>LEFT(TDays[[#This Row],[تاریخ]],4)</f>
        <v>1403</v>
      </c>
      <c r="E846" t="str">
        <f>LEFT(TDays[[#This Row],[تاریخ]],7)</f>
        <v>1403-04</v>
      </c>
      <c r="F846">
        <v>6</v>
      </c>
      <c r="G846" s="16" t="str">
        <f>VLOOKUP(TDays[[#This Row],[کد روز هفته]],TDaysOfTheWeek[],2,FALSE)</f>
        <v>جمعه</v>
      </c>
      <c r="H846" s="16">
        <f>IFERROR(IF(E845&lt;&gt;E846,1,INT(H845)+IF(TDays[[#This Row],[کد روز هفته]]=0,1,0)),1)</f>
        <v>4</v>
      </c>
      <c r="I846">
        <f>-SUMIF(TArticle[تاریخ],TDays[[#This Row],[تاریخ]],TArticle[هزینه])</f>
        <v>0</v>
      </c>
      <c r="J846">
        <f>SUMIF(TArticle[تاریخ],TDays[[#This Row],[تاریخ]],TArticle[درآمد تتا])</f>
        <v>0</v>
      </c>
      <c r="K846">
        <f>SUMIF(TArticle[تاریخ],TDays[[#This Row],[تاریخ]],TArticle[اسنپ])</f>
        <v>0</v>
      </c>
      <c r="L846">
        <f>-SUMIF(TArticle[تاریخ],TDays[[#This Row],[تاریخ]],TArticle[پرداخت بدهی])</f>
        <v>0</v>
      </c>
      <c r="M846">
        <f>SUMIF(TArticle[تاریخ],TDays[[#This Row],[تاریخ]],TArticle[افزایش بدهی])</f>
        <v>0</v>
      </c>
      <c r="N846">
        <f>-SUMIF(TArticle[تاریخ],TDays[[#This Row],[تاریخ]],TArticle[افزایش سرمایه])</f>
        <v>0</v>
      </c>
      <c r="O846">
        <f>SUMIF(TArticle[تاریخ],TDays[[#This Row],[تاریخ]],TArticle[تعداد تراکنش انجام شده])</f>
        <v>0</v>
      </c>
      <c r="P846">
        <f>INT(((TDays[[#This Row],[ماه]]-1)*31+TDays[[#This Row],[روز]]+1)/7)+1</f>
        <v>17</v>
      </c>
      <c r="Q846">
        <f>SUMIF(TArticle[تاریخ],TDays[[#This Row],[تاریخ]],TArticle[تراکنش برنامه ریزی شده])</f>
        <v>0</v>
      </c>
    </row>
    <row r="847" spans="1:17" x14ac:dyDescent="0.25">
      <c r="A847" s="3" t="s">
        <v>1341</v>
      </c>
      <c r="B847" t="str">
        <f>RIGHT(TDays[[#This Row],[تاریخ]],2)</f>
        <v>23</v>
      </c>
      <c r="C847" t="str">
        <f>RIGHT(LEFT(TDays[[#This Row],[تاریخ]],7),2)</f>
        <v>04</v>
      </c>
      <c r="D847" t="str">
        <f>LEFT(TDays[[#This Row],[تاریخ]],4)</f>
        <v>1403</v>
      </c>
      <c r="E847" t="str">
        <f>LEFT(TDays[[#This Row],[تاریخ]],7)</f>
        <v>1403-04</v>
      </c>
      <c r="F847">
        <v>0</v>
      </c>
      <c r="G847" s="16" t="str">
        <f>VLOOKUP(TDays[[#This Row],[کد روز هفته]],TDaysOfTheWeek[],2,FALSE)</f>
        <v>شنبه</v>
      </c>
      <c r="H847" s="16">
        <f>IFERROR(IF(E846&lt;&gt;E847,1,INT(H846)+IF(TDays[[#This Row],[کد روز هفته]]=0,1,0)),1)</f>
        <v>5</v>
      </c>
      <c r="I847">
        <f>-SUMIF(TArticle[تاریخ],TDays[[#This Row],[تاریخ]],TArticle[هزینه])</f>
        <v>0</v>
      </c>
      <c r="J847">
        <f>SUMIF(TArticle[تاریخ],TDays[[#This Row],[تاریخ]],TArticle[درآمد تتا])</f>
        <v>0</v>
      </c>
      <c r="K847">
        <f>SUMIF(TArticle[تاریخ],TDays[[#This Row],[تاریخ]],TArticle[اسنپ])</f>
        <v>0</v>
      </c>
      <c r="L847">
        <f>-SUMIF(TArticle[تاریخ],TDays[[#This Row],[تاریخ]],TArticle[پرداخت بدهی])</f>
        <v>0</v>
      </c>
      <c r="M847">
        <f>SUMIF(TArticle[تاریخ],TDays[[#This Row],[تاریخ]],TArticle[افزایش بدهی])</f>
        <v>0</v>
      </c>
      <c r="N847">
        <f>-SUMIF(TArticle[تاریخ],TDays[[#This Row],[تاریخ]],TArticle[افزایش سرمایه])</f>
        <v>0</v>
      </c>
      <c r="O847">
        <f>SUMIF(TArticle[تاریخ],TDays[[#This Row],[تاریخ]],TArticle[تعداد تراکنش انجام شده])</f>
        <v>0</v>
      </c>
      <c r="P847">
        <f>INT(((TDays[[#This Row],[ماه]]-1)*31+TDays[[#This Row],[روز]]+1)/7)+1</f>
        <v>17</v>
      </c>
      <c r="Q847">
        <f>SUMIF(TArticle[تاریخ],TDays[[#This Row],[تاریخ]],TArticle[تراکنش برنامه ریزی شده])</f>
        <v>0</v>
      </c>
    </row>
    <row r="848" spans="1:17" x14ac:dyDescent="0.25">
      <c r="A848" s="3" t="s">
        <v>1342</v>
      </c>
      <c r="B848" t="str">
        <f>RIGHT(TDays[[#This Row],[تاریخ]],2)</f>
        <v>24</v>
      </c>
      <c r="C848" t="str">
        <f>RIGHT(LEFT(TDays[[#This Row],[تاریخ]],7),2)</f>
        <v>04</v>
      </c>
      <c r="D848" t="str">
        <f>LEFT(TDays[[#This Row],[تاریخ]],4)</f>
        <v>1403</v>
      </c>
      <c r="E848" t="str">
        <f>LEFT(TDays[[#This Row],[تاریخ]],7)</f>
        <v>1403-04</v>
      </c>
      <c r="F848">
        <v>1</v>
      </c>
      <c r="G848" s="16" t="str">
        <f>VLOOKUP(TDays[[#This Row],[کد روز هفته]],TDaysOfTheWeek[],2,FALSE)</f>
        <v>یکشنبه</v>
      </c>
      <c r="H848" s="16">
        <f>IFERROR(IF(E847&lt;&gt;E848,1,INT(H847)+IF(TDays[[#This Row],[کد روز هفته]]=0,1,0)),1)</f>
        <v>5</v>
      </c>
      <c r="I848">
        <f>-SUMIF(TArticle[تاریخ],TDays[[#This Row],[تاریخ]],TArticle[هزینه])</f>
        <v>0</v>
      </c>
      <c r="J848">
        <f>SUMIF(TArticle[تاریخ],TDays[[#This Row],[تاریخ]],TArticle[درآمد تتا])</f>
        <v>0</v>
      </c>
      <c r="K848">
        <f>SUMIF(TArticle[تاریخ],TDays[[#This Row],[تاریخ]],TArticle[اسنپ])</f>
        <v>0</v>
      </c>
      <c r="L848">
        <f>-SUMIF(TArticle[تاریخ],TDays[[#This Row],[تاریخ]],TArticle[پرداخت بدهی])</f>
        <v>0</v>
      </c>
      <c r="M848">
        <f>SUMIF(TArticle[تاریخ],TDays[[#This Row],[تاریخ]],TArticle[افزایش بدهی])</f>
        <v>0</v>
      </c>
      <c r="N848">
        <f>-SUMIF(TArticle[تاریخ],TDays[[#This Row],[تاریخ]],TArticle[افزایش سرمایه])</f>
        <v>0</v>
      </c>
      <c r="O848">
        <f>SUMIF(TArticle[تاریخ],TDays[[#This Row],[تاریخ]],TArticle[تعداد تراکنش انجام شده])</f>
        <v>0</v>
      </c>
      <c r="P848">
        <f>INT(((TDays[[#This Row],[ماه]]-1)*31+TDays[[#This Row],[روز]]+1)/7)+1</f>
        <v>17</v>
      </c>
      <c r="Q848">
        <f>SUMIF(TArticle[تاریخ],TDays[[#This Row],[تاریخ]],TArticle[تراکنش برنامه ریزی شده])</f>
        <v>0</v>
      </c>
    </row>
    <row r="849" spans="1:17" x14ac:dyDescent="0.25">
      <c r="A849" s="3" t="s">
        <v>1343</v>
      </c>
      <c r="B849" t="str">
        <f>RIGHT(TDays[[#This Row],[تاریخ]],2)</f>
        <v>25</v>
      </c>
      <c r="C849" t="str">
        <f>RIGHT(LEFT(TDays[[#This Row],[تاریخ]],7),2)</f>
        <v>04</v>
      </c>
      <c r="D849" t="str">
        <f>LEFT(TDays[[#This Row],[تاریخ]],4)</f>
        <v>1403</v>
      </c>
      <c r="E849" t="str">
        <f>LEFT(TDays[[#This Row],[تاریخ]],7)</f>
        <v>1403-04</v>
      </c>
      <c r="F849">
        <v>2</v>
      </c>
      <c r="G849" s="16" t="str">
        <f>VLOOKUP(TDays[[#This Row],[کد روز هفته]],TDaysOfTheWeek[],2,FALSE)</f>
        <v>دوشنبه</v>
      </c>
      <c r="H849" s="16">
        <f>IFERROR(IF(E848&lt;&gt;E849,1,INT(H848)+IF(TDays[[#This Row],[کد روز هفته]]=0,1,0)),1)</f>
        <v>5</v>
      </c>
      <c r="I849">
        <f>-SUMIF(TArticle[تاریخ],TDays[[#This Row],[تاریخ]],TArticle[هزینه])</f>
        <v>0</v>
      </c>
      <c r="J849">
        <f>SUMIF(TArticle[تاریخ],TDays[[#This Row],[تاریخ]],TArticle[درآمد تتا])</f>
        <v>0</v>
      </c>
      <c r="K849">
        <f>SUMIF(TArticle[تاریخ],TDays[[#This Row],[تاریخ]],TArticle[اسنپ])</f>
        <v>0</v>
      </c>
      <c r="L849">
        <f>-SUMIF(TArticle[تاریخ],TDays[[#This Row],[تاریخ]],TArticle[پرداخت بدهی])</f>
        <v>0</v>
      </c>
      <c r="M849">
        <f>SUMIF(TArticle[تاریخ],TDays[[#This Row],[تاریخ]],TArticle[افزایش بدهی])</f>
        <v>0</v>
      </c>
      <c r="N849">
        <f>-SUMIF(TArticle[تاریخ],TDays[[#This Row],[تاریخ]],TArticle[افزایش سرمایه])</f>
        <v>0</v>
      </c>
      <c r="O849">
        <f>SUMIF(TArticle[تاریخ],TDays[[#This Row],[تاریخ]],TArticle[تعداد تراکنش انجام شده])</f>
        <v>0</v>
      </c>
      <c r="P849">
        <f>INT(((TDays[[#This Row],[ماه]]-1)*31+TDays[[#This Row],[روز]]+1)/7)+1</f>
        <v>18</v>
      </c>
      <c r="Q849">
        <f>SUMIF(TArticle[تاریخ],TDays[[#This Row],[تاریخ]],TArticle[تراکنش برنامه ریزی شده])</f>
        <v>0</v>
      </c>
    </row>
    <row r="850" spans="1:17" x14ac:dyDescent="0.25">
      <c r="A850" s="3" t="s">
        <v>1344</v>
      </c>
      <c r="B850" t="str">
        <f>RIGHT(TDays[[#This Row],[تاریخ]],2)</f>
        <v>26</v>
      </c>
      <c r="C850" t="str">
        <f>RIGHT(LEFT(TDays[[#This Row],[تاریخ]],7),2)</f>
        <v>04</v>
      </c>
      <c r="D850" t="str">
        <f>LEFT(TDays[[#This Row],[تاریخ]],4)</f>
        <v>1403</v>
      </c>
      <c r="E850" t="str">
        <f>LEFT(TDays[[#This Row],[تاریخ]],7)</f>
        <v>1403-04</v>
      </c>
      <c r="F850">
        <v>3</v>
      </c>
      <c r="G850" s="16" t="str">
        <f>VLOOKUP(TDays[[#This Row],[کد روز هفته]],TDaysOfTheWeek[],2,FALSE)</f>
        <v>سه شنبه</v>
      </c>
      <c r="H850" s="16">
        <f>IFERROR(IF(E849&lt;&gt;E850,1,INT(H849)+IF(TDays[[#This Row],[کد روز هفته]]=0,1,0)),1)</f>
        <v>5</v>
      </c>
      <c r="I850">
        <f>-SUMIF(TArticle[تاریخ],TDays[[#This Row],[تاریخ]],TArticle[هزینه])</f>
        <v>0</v>
      </c>
      <c r="J850">
        <f>SUMIF(TArticle[تاریخ],TDays[[#This Row],[تاریخ]],TArticle[درآمد تتا])</f>
        <v>0</v>
      </c>
      <c r="K850">
        <f>SUMIF(TArticle[تاریخ],TDays[[#This Row],[تاریخ]],TArticle[اسنپ])</f>
        <v>0</v>
      </c>
      <c r="L850">
        <f>-SUMIF(TArticle[تاریخ],TDays[[#This Row],[تاریخ]],TArticle[پرداخت بدهی])</f>
        <v>0</v>
      </c>
      <c r="M850">
        <f>SUMIF(TArticle[تاریخ],TDays[[#This Row],[تاریخ]],TArticle[افزایش بدهی])</f>
        <v>0</v>
      </c>
      <c r="N850">
        <f>-SUMIF(TArticle[تاریخ],TDays[[#This Row],[تاریخ]],TArticle[افزایش سرمایه])</f>
        <v>0</v>
      </c>
      <c r="O850">
        <f>SUMIF(TArticle[تاریخ],TDays[[#This Row],[تاریخ]],TArticle[تعداد تراکنش انجام شده])</f>
        <v>0</v>
      </c>
      <c r="P850">
        <f>INT(((TDays[[#This Row],[ماه]]-1)*31+TDays[[#This Row],[روز]]+1)/7)+1</f>
        <v>18</v>
      </c>
      <c r="Q850">
        <f>SUMIF(TArticle[تاریخ],TDays[[#This Row],[تاریخ]],TArticle[تراکنش برنامه ریزی شده])</f>
        <v>0</v>
      </c>
    </row>
    <row r="851" spans="1:17" x14ac:dyDescent="0.25">
      <c r="A851" s="3" t="s">
        <v>1345</v>
      </c>
      <c r="B851" t="str">
        <f>RIGHT(TDays[[#This Row],[تاریخ]],2)</f>
        <v>27</v>
      </c>
      <c r="C851" t="str">
        <f>RIGHT(LEFT(TDays[[#This Row],[تاریخ]],7),2)</f>
        <v>04</v>
      </c>
      <c r="D851" t="str">
        <f>LEFT(TDays[[#This Row],[تاریخ]],4)</f>
        <v>1403</v>
      </c>
      <c r="E851" t="str">
        <f>LEFT(TDays[[#This Row],[تاریخ]],7)</f>
        <v>1403-04</v>
      </c>
      <c r="F851">
        <v>4</v>
      </c>
      <c r="G851" s="16" t="str">
        <f>VLOOKUP(TDays[[#This Row],[کد روز هفته]],TDaysOfTheWeek[],2,FALSE)</f>
        <v>چهارشنبه</v>
      </c>
      <c r="H851" s="16">
        <f>IFERROR(IF(E850&lt;&gt;E851,1,INT(H850)+IF(TDays[[#This Row],[کد روز هفته]]=0,1,0)),1)</f>
        <v>5</v>
      </c>
      <c r="I851">
        <f>-SUMIF(TArticle[تاریخ],TDays[[#This Row],[تاریخ]],TArticle[هزینه])</f>
        <v>0</v>
      </c>
      <c r="J851">
        <f>SUMIF(TArticle[تاریخ],TDays[[#This Row],[تاریخ]],TArticle[درآمد تتا])</f>
        <v>0</v>
      </c>
      <c r="K851">
        <f>SUMIF(TArticle[تاریخ],TDays[[#This Row],[تاریخ]],TArticle[اسنپ])</f>
        <v>0</v>
      </c>
      <c r="L851">
        <f>-SUMIF(TArticle[تاریخ],TDays[[#This Row],[تاریخ]],TArticle[پرداخت بدهی])</f>
        <v>0</v>
      </c>
      <c r="M851">
        <f>SUMIF(TArticle[تاریخ],TDays[[#This Row],[تاریخ]],TArticle[افزایش بدهی])</f>
        <v>0</v>
      </c>
      <c r="N851">
        <f>-SUMIF(TArticle[تاریخ],TDays[[#This Row],[تاریخ]],TArticle[افزایش سرمایه])</f>
        <v>0</v>
      </c>
      <c r="O851">
        <f>SUMIF(TArticle[تاریخ],TDays[[#This Row],[تاریخ]],TArticle[تعداد تراکنش انجام شده])</f>
        <v>0</v>
      </c>
      <c r="P851">
        <f>INT(((TDays[[#This Row],[ماه]]-1)*31+TDays[[#This Row],[روز]]+1)/7)+1</f>
        <v>18</v>
      </c>
      <c r="Q851">
        <f>SUMIF(TArticle[تاریخ],TDays[[#This Row],[تاریخ]],TArticle[تراکنش برنامه ریزی شده])</f>
        <v>0</v>
      </c>
    </row>
    <row r="852" spans="1:17" x14ac:dyDescent="0.25">
      <c r="A852" s="3" t="s">
        <v>1346</v>
      </c>
      <c r="B852" t="str">
        <f>RIGHT(TDays[[#This Row],[تاریخ]],2)</f>
        <v>28</v>
      </c>
      <c r="C852" t="str">
        <f>RIGHT(LEFT(TDays[[#This Row],[تاریخ]],7),2)</f>
        <v>04</v>
      </c>
      <c r="D852" t="str">
        <f>LEFT(TDays[[#This Row],[تاریخ]],4)</f>
        <v>1403</v>
      </c>
      <c r="E852" t="str">
        <f>LEFT(TDays[[#This Row],[تاریخ]],7)</f>
        <v>1403-04</v>
      </c>
      <c r="F852">
        <v>5</v>
      </c>
      <c r="G852" s="16" t="str">
        <f>VLOOKUP(TDays[[#This Row],[کد روز هفته]],TDaysOfTheWeek[],2,FALSE)</f>
        <v>پنجشنبه</v>
      </c>
      <c r="H852" s="16">
        <f>IFERROR(IF(E851&lt;&gt;E852,1,INT(H851)+IF(TDays[[#This Row],[کد روز هفته]]=0,1,0)),1)</f>
        <v>5</v>
      </c>
      <c r="I852">
        <f>-SUMIF(TArticle[تاریخ],TDays[[#This Row],[تاریخ]],TArticle[هزینه])</f>
        <v>0</v>
      </c>
      <c r="J852">
        <f>SUMIF(TArticle[تاریخ],TDays[[#This Row],[تاریخ]],TArticle[درآمد تتا])</f>
        <v>0</v>
      </c>
      <c r="K852">
        <f>SUMIF(TArticle[تاریخ],TDays[[#This Row],[تاریخ]],TArticle[اسنپ])</f>
        <v>0</v>
      </c>
      <c r="L852">
        <f>-SUMIF(TArticle[تاریخ],TDays[[#This Row],[تاریخ]],TArticle[پرداخت بدهی])</f>
        <v>0</v>
      </c>
      <c r="M852">
        <f>SUMIF(TArticle[تاریخ],TDays[[#This Row],[تاریخ]],TArticle[افزایش بدهی])</f>
        <v>0</v>
      </c>
      <c r="N852">
        <f>-SUMIF(TArticle[تاریخ],TDays[[#This Row],[تاریخ]],TArticle[افزایش سرمایه])</f>
        <v>0</v>
      </c>
      <c r="O852">
        <f>SUMIF(TArticle[تاریخ],TDays[[#This Row],[تاریخ]],TArticle[تعداد تراکنش انجام شده])</f>
        <v>0</v>
      </c>
      <c r="P852">
        <f>INT(((TDays[[#This Row],[ماه]]-1)*31+TDays[[#This Row],[روز]]+1)/7)+1</f>
        <v>18</v>
      </c>
      <c r="Q852">
        <f>SUMIF(TArticle[تاریخ],TDays[[#This Row],[تاریخ]],TArticle[تراکنش برنامه ریزی شده])</f>
        <v>0</v>
      </c>
    </row>
    <row r="853" spans="1:17" x14ac:dyDescent="0.25">
      <c r="A853" s="3" t="s">
        <v>1347</v>
      </c>
      <c r="B853" t="str">
        <f>RIGHT(TDays[[#This Row],[تاریخ]],2)</f>
        <v>29</v>
      </c>
      <c r="C853" t="str">
        <f>RIGHT(LEFT(TDays[[#This Row],[تاریخ]],7),2)</f>
        <v>04</v>
      </c>
      <c r="D853" t="str">
        <f>LEFT(TDays[[#This Row],[تاریخ]],4)</f>
        <v>1403</v>
      </c>
      <c r="E853" t="str">
        <f>LEFT(TDays[[#This Row],[تاریخ]],7)</f>
        <v>1403-04</v>
      </c>
      <c r="F853">
        <v>6</v>
      </c>
      <c r="G853" s="16" t="str">
        <f>VLOOKUP(TDays[[#This Row],[کد روز هفته]],TDaysOfTheWeek[],2,FALSE)</f>
        <v>جمعه</v>
      </c>
      <c r="H853" s="16">
        <f>IFERROR(IF(E852&lt;&gt;E853,1,INT(H852)+IF(TDays[[#This Row],[کد روز هفته]]=0,1,0)),1)</f>
        <v>5</v>
      </c>
      <c r="I853">
        <f>-SUMIF(TArticle[تاریخ],TDays[[#This Row],[تاریخ]],TArticle[هزینه])</f>
        <v>0</v>
      </c>
      <c r="J853">
        <f>SUMIF(TArticle[تاریخ],TDays[[#This Row],[تاریخ]],TArticle[درآمد تتا])</f>
        <v>0</v>
      </c>
      <c r="K853">
        <f>SUMIF(TArticle[تاریخ],TDays[[#This Row],[تاریخ]],TArticle[اسنپ])</f>
        <v>0</v>
      </c>
      <c r="L853">
        <f>-SUMIF(TArticle[تاریخ],TDays[[#This Row],[تاریخ]],TArticle[پرداخت بدهی])</f>
        <v>0</v>
      </c>
      <c r="M853">
        <f>SUMIF(TArticle[تاریخ],TDays[[#This Row],[تاریخ]],TArticle[افزایش بدهی])</f>
        <v>0</v>
      </c>
      <c r="N853">
        <f>-SUMIF(TArticle[تاریخ],TDays[[#This Row],[تاریخ]],TArticle[افزایش سرمایه])</f>
        <v>0</v>
      </c>
      <c r="O853">
        <f>SUMIF(TArticle[تاریخ],TDays[[#This Row],[تاریخ]],TArticle[تعداد تراکنش انجام شده])</f>
        <v>0</v>
      </c>
      <c r="P853">
        <f>INT(((TDays[[#This Row],[ماه]]-1)*31+TDays[[#This Row],[روز]]+1)/7)+1</f>
        <v>18</v>
      </c>
      <c r="Q853">
        <f>SUMIF(TArticle[تاریخ],TDays[[#This Row],[تاریخ]],TArticle[تراکنش برنامه ریزی شده])</f>
        <v>0</v>
      </c>
    </row>
    <row r="854" spans="1:17" x14ac:dyDescent="0.25">
      <c r="A854" s="3" t="s">
        <v>1348</v>
      </c>
      <c r="B854" t="str">
        <f>RIGHT(TDays[[#This Row],[تاریخ]],2)</f>
        <v>30</v>
      </c>
      <c r="C854" t="str">
        <f>RIGHT(LEFT(TDays[[#This Row],[تاریخ]],7),2)</f>
        <v>04</v>
      </c>
      <c r="D854" t="str">
        <f>LEFT(TDays[[#This Row],[تاریخ]],4)</f>
        <v>1403</v>
      </c>
      <c r="E854" t="str">
        <f>LEFT(TDays[[#This Row],[تاریخ]],7)</f>
        <v>1403-04</v>
      </c>
      <c r="F854">
        <v>0</v>
      </c>
      <c r="G854" s="16" t="str">
        <f>VLOOKUP(TDays[[#This Row],[کد روز هفته]],TDaysOfTheWeek[],2,FALSE)</f>
        <v>شنبه</v>
      </c>
      <c r="H854" s="16">
        <f>IFERROR(IF(E853&lt;&gt;E854,1,INT(H853)+IF(TDays[[#This Row],[کد روز هفته]]=0,1,0)),1)</f>
        <v>6</v>
      </c>
      <c r="I854">
        <f>-SUMIF(TArticle[تاریخ],TDays[[#This Row],[تاریخ]],TArticle[هزینه])</f>
        <v>0</v>
      </c>
      <c r="J854">
        <f>SUMIF(TArticle[تاریخ],TDays[[#This Row],[تاریخ]],TArticle[درآمد تتا])</f>
        <v>0</v>
      </c>
      <c r="K854">
        <f>SUMIF(TArticle[تاریخ],TDays[[#This Row],[تاریخ]],TArticle[اسنپ])</f>
        <v>0</v>
      </c>
      <c r="L854">
        <f>-SUMIF(TArticle[تاریخ],TDays[[#This Row],[تاریخ]],TArticle[پرداخت بدهی])</f>
        <v>0</v>
      </c>
      <c r="M854">
        <f>SUMIF(TArticle[تاریخ],TDays[[#This Row],[تاریخ]],TArticle[افزایش بدهی])</f>
        <v>0</v>
      </c>
      <c r="N854">
        <f>-SUMIF(TArticle[تاریخ],TDays[[#This Row],[تاریخ]],TArticle[افزایش سرمایه])</f>
        <v>0</v>
      </c>
      <c r="O854">
        <f>SUMIF(TArticle[تاریخ],TDays[[#This Row],[تاریخ]],TArticle[تعداد تراکنش انجام شده])</f>
        <v>0</v>
      </c>
      <c r="P854">
        <f>INT(((TDays[[#This Row],[ماه]]-1)*31+TDays[[#This Row],[روز]]+1)/7)+1</f>
        <v>18</v>
      </c>
      <c r="Q854">
        <f>SUMIF(TArticle[تاریخ],TDays[[#This Row],[تاریخ]],TArticle[تراکنش برنامه ریزی شده])</f>
        <v>0</v>
      </c>
    </row>
    <row r="855" spans="1:17" x14ac:dyDescent="0.25">
      <c r="A855" s="3" t="s">
        <v>1349</v>
      </c>
      <c r="B855" t="str">
        <f>RIGHT(TDays[[#This Row],[تاریخ]],2)</f>
        <v>31</v>
      </c>
      <c r="C855" t="str">
        <f>RIGHT(LEFT(TDays[[#This Row],[تاریخ]],7),2)</f>
        <v>04</v>
      </c>
      <c r="D855" t="str">
        <f>LEFT(TDays[[#This Row],[تاریخ]],4)</f>
        <v>1403</v>
      </c>
      <c r="E855" t="str">
        <f>LEFT(TDays[[#This Row],[تاریخ]],7)</f>
        <v>1403-04</v>
      </c>
      <c r="F855">
        <v>1</v>
      </c>
      <c r="G855" s="16" t="str">
        <f>VLOOKUP(TDays[[#This Row],[کد روز هفته]],TDaysOfTheWeek[],2,FALSE)</f>
        <v>یکشنبه</v>
      </c>
      <c r="H855" s="16">
        <f>IFERROR(IF(E854&lt;&gt;E855,1,INT(H854)+IF(TDays[[#This Row],[کد روز هفته]]=0,1,0)),1)</f>
        <v>6</v>
      </c>
      <c r="I855">
        <f>-SUMIF(TArticle[تاریخ],TDays[[#This Row],[تاریخ]],TArticle[هزینه])</f>
        <v>0</v>
      </c>
      <c r="J855">
        <f>SUMIF(TArticle[تاریخ],TDays[[#This Row],[تاریخ]],TArticle[درآمد تتا])</f>
        <v>0</v>
      </c>
      <c r="K855">
        <f>SUMIF(TArticle[تاریخ],TDays[[#This Row],[تاریخ]],TArticle[اسنپ])</f>
        <v>0</v>
      </c>
      <c r="L855">
        <f>-SUMIF(TArticle[تاریخ],TDays[[#This Row],[تاریخ]],TArticle[پرداخت بدهی])</f>
        <v>0</v>
      </c>
      <c r="M855">
        <f>SUMIF(TArticle[تاریخ],TDays[[#This Row],[تاریخ]],TArticle[افزایش بدهی])</f>
        <v>0</v>
      </c>
      <c r="N855">
        <f>-SUMIF(TArticle[تاریخ],TDays[[#This Row],[تاریخ]],TArticle[افزایش سرمایه])</f>
        <v>0</v>
      </c>
      <c r="O855">
        <f>SUMIF(TArticle[تاریخ],TDays[[#This Row],[تاریخ]],TArticle[تعداد تراکنش انجام شده])</f>
        <v>0</v>
      </c>
      <c r="P855">
        <f>INT(((TDays[[#This Row],[ماه]]-1)*31+TDays[[#This Row],[روز]]+1)/7)+1</f>
        <v>18</v>
      </c>
      <c r="Q855">
        <f>SUMIF(TArticle[تاریخ],TDays[[#This Row],[تاریخ]],TArticle[تراکنش برنامه ریزی شده])</f>
        <v>0</v>
      </c>
    </row>
    <row r="856" spans="1:17" x14ac:dyDescent="0.25">
      <c r="A856" s="3" t="s">
        <v>1350</v>
      </c>
      <c r="B856" t="str">
        <f>RIGHT(TDays[[#This Row],[تاریخ]],2)</f>
        <v>01</v>
      </c>
      <c r="C856" t="str">
        <f>RIGHT(LEFT(TDays[[#This Row],[تاریخ]],7),2)</f>
        <v>05</v>
      </c>
      <c r="D856" t="str">
        <f>LEFT(TDays[[#This Row],[تاریخ]],4)</f>
        <v>1403</v>
      </c>
      <c r="E856" t="str">
        <f>LEFT(TDays[[#This Row],[تاریخ]],7)</f>
        <v>1403-05</v>
      </c>
      <c r="F856">
        <v>2</v>
      </c>
      <c r="G856" s="16" t="str">
        <f>VLOOKUP(TDays[[#This Row],[کد روز هفته]],TDaysOfTheWeek[],2,FALSE)</f>
        <v>دوشنبه</v>
      </c>
      <c r="H856" s="16">
        <f>IFERROR(IF(E855&lt;&gt;E856,1,INT(H855)+IF(TDays[[#This Row],[کد روز هفته]]=0,1,0)),1)</f>
        <v>1</v>
      </c>
      <c r="I856">
        <f>-SUMIF(TArticle[تاریخ],TDays[[#This Row],[تاریخ]],TArticle[هزینه])</f>
        <v>0</v>
      </c>
      <c r="J856">
        <f>SUMIF(TArticle[تاریخ],TDays[[#This Row],[تاریخ]],TArticle[درآمد تتا])</f>
        <v>0</v>
      </c>
      <c r="K856">
        <f>SUMIF(TArticle[تاریخ],TDays[[#This Row],[تاریخ]],TArticle[اسنپ])</f>
        <v>0</v>
      </c>
      <c r="L856">
        <f>-SUMIF(TArticle[تاریخ],TDays[[#This Row],[تاریخ]],TArticle[پرداخت بدهی])</f>
        <v>0</v>
      </c>
      <c r="M856">
        <f>SUMIF(TArticle[تاریخ],TDays[[#This Row],[تاریخ]],TArticle[افزایش بدهی])</f>
        <v>0</v>
      </c>
      <c r="N856">
        <f>-SUMIF(TArticle[تاریخ],TDays[[#This Row],[تاریخ]],TArticle[افزایش سرمایه])</f>
        <v>0</v>
      </c>
      <c r="O856">
        <f>SUMIF(TArticle[تاریخ],TDays[[#This Row],[تاریخ]],TArticle[تعداد تراکنش انجام شده])</f>
        <v>0</v>
      </c>
      <c r="P856">
        <f>INT(((TDays[[#This Row],[ماه]]-1)*31+TDays[[#This Row],[روز]]+1)/7)+1</f>
        <v>19</v>
      </c>
      <c r="Q856">
        <f>SUMIF(TArticle[تاریخ],TDays[[#This Row],[تاریخ]],TArticle[تراکنش برنامه ریزی شده])</f>
        <v>2</v>
      </c>
    </row>
    <row r="857" spans="1:17" x14ac:dyDescent="0.25">
      <c r="A857" s="3" t="s">
        <v>1351</v>
      </c>
      <c r="B857" t="str">
        <f>RIGHT(TDays[[#This Row],[تاریخ]],2)</f>
        <v>02</v>
      </c>
      <c r="C857" t="str">
        <f>RIGHT(LEFT(TDays[[#This Row],[تاریخ]],7),2)</f>
        <v>05</v>
      </c>
      <c r="D857" t="str">
        <f>LEFT(TDays[[#This Row],[تاریخ]],4)</f>
        <v>1403</v>
      </c>
      <c r="E857" t="str">
        <f>LEFT(TDays[[#This Row],[تاریخ]],7)</f>
        <v>1403-05</v>
      </c>
      <c r="F857">
        <v>3</v>
      </c>
      <c r="G857" s="16" t="str">
        <f>VLOOKUP(TDays[[#This Row],[کد روز هفته]],TDaysOfTheWeek[],2,FALSE)</f>
        <v>سه شنبه</v>
      </c>
      <c r="H857" s="16">
        <f>IFERROR(IF(E856&lt;&gt;E857,1,INT(H856)+IF(TDays[[#This Row],[کد روز هفته]]=0,1,0)),1)</f>
        <v>1</v>
      </c>
      <c r="I857">
        <f>-SUMIF(TArticle[تاریخ],TDays[[#This Row],[تاریخ]],TArticle[هزینه])</f>
        <v>0</v>
      </c>
      <c r="J857">
        <f>SUMIF(TArticle[تاریخ],TDays[[#This Row],[تاریخ]],TArticle[درآمد تتا])</f>
        <v>0</v>
      </c>
      <c r="K857">
        <f>SUMIF(TArticle[تاریخ],TDays[[#This Row],[تاریخ]],TArticle[اسنپ])</f>
        <v>0</v>
      </c>
      <c r="L857">
        <f>-SUMIF(TArticle[تاریخ],TDays[[#This Row],[تاریخ]],TArticle[پرداخت بدهی])</f>
        <v>0</v>
      </c>
      <c r="M857">
        <f>SUMIF(TArticle[تاریخ],TDays[[#This Row],[تاریخ]],TArticle[افزایش بدهی])</f>
        <v>0</v>
      </c>
      <c r="N857">
        <f>-SUMIF(TArticle[تاریخ],TDays[[#This Row],[تاریخ]],TArticle[افزایش سرمایه])</f>
        <v>0</v>
      </c>
      <c r="O857">
        <f>SUMIF(TArticle[تاریخ],TDays[[#This Row],[تاریخ]],TArticle[تعداد تراکنش انجام شده])</f>
        <v>0</v>
      </c>
      <c r="P857">
        <f>INT(((TDays[[#This Row],[ماه]]-1)*31+TDays[[#This Row],[روز]]+1)/7)+1</f>
        <v>19</v>
      </c>
      <c r="Q857">
        <f>SUMIF(TArticle[تاریخ],TDays[[#This Row],[تاریخ]],TArticle[تراکنش برنامه ریزی شده])</f>
        <v>0</v>
      </c>
    </row>
    <row r="858" spans="1:17" x14ac:dyDescent="0.25">
      <c r="A858" s="3" t="s">
        <v>1352</v>
      </c>
      <c r="B858" t="str">
        <f>RIGHT(TDays[[#This Row],[تاریخ]],2)</f>
        <v>03</v>
      </c>
      <c r="C858" t="str">
        <f>RIGHT(LEFT(TDays[[#This Row],[تاریخ]],7),2)</f>
        <v>05</v>
      </c>
      <c r="D858" t="str">
        <f>LEFT(TDays[[#This Row],[تاریخ]],4)</f>
        <v>1403</v>
      </c>
      <c r="E858" t="str">
        <f>LEFT(TDays[[#This Row],[تاریخ]],7)</f>
        <v>1403-05</v>
      </c>
      <c r="F858">
        <v>4</v>
      </c>
      <c r="G858" s="16" t="str">
        <f>VLOOKUP(TDays[[#This Row],[کد روز هفته]],TDaysOfTheWeek[],2,FALSE)</f>
        <v>چهارشنبه</v>
      </c>
      <c r="H858" s="16">
        <f>IFERROR(IF(E857&lt;&gt;E858,1,INT(H857)+IF(TDays[[#This Row],[کد روز هفته]]=0,1,0)),1)</f>
        <v>1</v>
      </c>
      <c r="I858">
        <f>-SUMIF(TArticle[تاریخ],TDays[[#This Row],[تاریخ]],TArticle[هزینه])</f>
        <v>0</v>
      </c>
      <c r="J858">
        <f>SUMIF(TArticle[تاریخ],TDays[[#This Row],[تاریخ]],TArticle[درآمد تتا])</f>
        <v>0</v>
      </c>
      <c r="K858">
        <f>SUMIF(TArticle[تاریخ],TDays[[#This Row],[تاریخ]],TArticle[اسنپ])</f>
        <v>0</v>
      </c>
      <c r="L858">
        <f>-SUMIF(TArticle[تاریخ],TDays[[#This Row],[تاریخ]],TArticle[پرداخت بدهی])</f>
        <v>0</v>
      </c>
      <c r="M858">
        <f>SUMIF(TArticle[تاریخ],TDays[[#This Row],[تاریخ]],TArticle[افزایش بدهی])</f>
        <v>0</v>
      </c>
      <c r="N858">
        <f>-SUMIF(TArticle[تاریخ],TDays[[#This Row],[تاریخ]],TArticle[افزایش سرمایه])</f>
        <v>0</v>
      </c>
      <c r="O858">
        <f>SUMIF(TArticle[تاریخ],TDays[[#This Row],[تاریخ]],TArticle[تعداد تراکنش انجام شده])</f>
        <v>0</v>
      </c>
      <c r="P858">
        <f>INT(((TDays[[#This Row],[ماه]]-1)*31+TDays[[#This Row],[روز]]+1)/7)+1</f>
        <v>19</v>
      </c>
      <c r="Q858">
        <f>SUMIF(TArticle[تاریخ],TDays[[#This Row],[تاریخ]],TArticle[تراکنش برنامه ریزی شده])</f>
        <v>1</v>
      </c>
    </row>
    <row r="859" spans="1:17" x14ac:dyDescent="0.25">
      <c r="A859" s="3" t="s">
        <v>1353</v>
      </c>
      <c r="B859" t="str">
        <f>RIGHT(TDays[[#This Row],[تاریخ]],2)</f>
        <v>04</v>
      </c>
      <c r="C859" t="str">
        <f>RIGHT(LEFT(TDays[[#This Row],[تاریخ]],7),2)</f>
        <v>05</v>
      </c>
      <c r="D859" t="str">
        <f>LEFT(TDays[[#This Row],[تاریخ]],4)</f>
        <v>1403</v>
      </c>
      <c r="E859" t="str">
        <f>LEFT(TDays[[#This Row],[تاریخ]],7)</f>
        <v>1403-05</v>
      </c>
      <c r="F859">
        <v>5</v>
      </c>
      <c r="G859" s="16" t="str">
        <f>VLOOKUP(TDays[[#This Row],[کد روز هفته]],TDaysOfTheWeek[],2,FALSE)</f>
        <v>پنجشنبه</v>
      </c>
      <c r="H859" s="16">
        <f>IFERROR(IF(E858&lt;&gt;E859,1,INT(H858)+IF(TDays[[#This Row],[کد روز هفته]]=0,1,0)),1)</f>
        <v>1</v>
      </c>
      <c r="I859">
        <f>-SUMIF(TArticle[تاریخ],TDays[[#This Row],[تاریخ]],TArticle[هزینه])</f>
        <v>0</v>
      </c>
      <c r="J859">
        <f>SUMIF(TArticle[تاریخ],TDays[[#This Row],[تاریخ]],TArticle[درآمد تتا])</f>
        <v>0</v>
      </c>
      <c r="K859">
        <f>SUMIF(TArticle[تاریخ],TDays[[#This Row],[تاریخ]],TArticle[اسنپ])</f>
        <v>0</v>
      </c>
      <c r="L859">
        <f>-SUMIF(TArticle[تاریخ],TDays[[#This Row],[تاریخ]],TArticle[پرداخت بدهی])</f>
        <v>0</v>
      </c>
      <c r="M859">
        <f>SUMIF(TArticle[تاریخ],TDays[[#This Row],[تاریخ]],TArticle[افزایش بدهی])</f>
        <v>0</v>
      </c>
      <c r="N859">
        <f>-SUMIF(TArticle[تاریخ],TDays[[#This Row],[تاریخ]],TArticle[افزایش سرمایه])</f>
        <v>0</v>
      </c>
      <c r="O859">
        <f>SUMIF(TArticle[تاریخ],TDays[[#This Row],[تاریخ]],TArticle[تعداد تراکنش انجام شده])</f>
        <v>0</v>
      </c>
      <c r="P859">
        <f>INT(((TDays[[#This Row],[ماه]]-1)*31+TDays[[#This Row],[روز]]+1)/7)+1</f>
        <v>19</v>
      </c>
      <c r="Q859">
        <f>SUMIF(TArticle[تاریخ],TDays[[#This Row],[تاریخ]],TArticle[تراکنش برنامه ریزی شده])</f>
        <v>1</v>
      </c>
    </row>
    <row r="860" spans="1:17" x14ac:dyDescent="0.25">
      <c r="A860" s="3" t="s">
        <v>1354</v>
      </c>
      <c r="B860" t="str">
        <f>RIGHT(TDays[[#This Row],[تاریخ]],2)</f>
        <v>05</v>
      </c>
      <c r="C860" t="str">
        <f>RIGHT(LEFT(TDays[[#This Row],[تاریخ]],7),2)</f>
        <v>05</v>
      </c>
      <c r="D860" t="str">
        <f>LEFT(TDays[[#This Row],[تاریخ]],4)</f>
        <v>1403</v>
      </c>
      <c r="E860" t="str">
        <f>LEFT(TDays[[#This Row],[تاریخ]],7)</f>
        <v>1403-05</v>
      </c>
      <c r="F860">
        <v>6</v>
      </c>
      <c r="G860" s="16" t="str">
        <f>VLOOKUP(TDays[[#This Row],[کد روز هفته]],TDaysOfTheWeek[],2,FALSE)</f>
        <v>جمعه</v>
      </c>
      <c r="H860" s="16">
        <f>IFERROR(IF(E859&lt;&gt;E860,1,INT(H859)+IF(TDays[[#This Row],[کد روز هفته]]=0,1,0)),1)</f>
        <v>1</v>
      </c>
      <c r="I860">
        <f>-SUMIF(TArticle[تاریخ],TDays[[#This Row],[تاریخ]],TArticle[هزینه])</f>
        <v>0</v>
      </c>
      <c r="J860">
        <f>SUMIF(TArticle[تاریخ],TDays[[#This Row],[تاریخ]],TArticle[درآمد تتا])</f>
        <v>0</v>
      </c>
      <c r="K860">
        <f>SUMIF(TArticle[تاریخ],TDays[[#This Row],[تاریخ]],TArticle[اسنپ])</f>
        <v>0</v>
      </c>
      <c r="L860">
        <f>-SUMIF(TArticle[تاریخ],TDays[[#This Row],[تاریخ]],TArticle[پرداخت بدهی])</f>
        <v>0</v>
      </c>
      <c r="M860">
        <f>SUMIF(TArticle[تاریخ],TDays[[#This Row],[تاریخ]],TArticle[افزایش بدهی])</f>
        <v>0</v>
      </c>
      <c r="N860">
        <f>-SUMIF(TArticle[تاریخ],TDays[[#This Row],[تاریخ]],TArticle[افزایش سرمایه])</f>
        <v>0</v>
      </c>
      <c r="O860">
        <f>SUMIF(TArticle[تاریخ],TDays[[#This Row],[تاریخ]],TArticle[تعداد تراکنش انجام شده])</f>
        <v>0</v>
      </c>
      <c r="P860">
        <f>INT(((TDays[[#This Row],[ماه]]-1)*31+TDays[[#This Row],[روز]]+1)/7)+1</f>
        <v>19</v>
      </c>
      <c r="Q860">
        <f>SUMIF(TArticle[تاریخ],TDays[[#This Row],[تاریخ]],TArticle[تراکنش برنامه ریزی شده])</f>
        <v>0</v>
      </c>
    </row>
    <row r="861" spans="1:17" x14ac:dyDescent="0.25">
      <c r="A861" s="3" t="s">
        <v>1355</v>
      </c>
      <c r="B861" t="str">
        <f>RIGHT(TDays[[#This Row],[تاریخ]],2)</f>
        <v>06</v>
      </c>
      <c r="C861" t="str">
        <f>RIGHT(LEFT(TDays[[#This Row],[تاریخ]],7),2)</f>
        <v>05</v>
      </c>
      <c r="D861" t="str">
        <f>LEFT(TDays[[#This Row],[تاریخ]],4)</f>
        <v>1403</v>
      </c>
      <c r="E861" t="str">
        <f>LEFT(TDays[[#This Row],[تاریخ]],7)</f>
        <v>1403-05</v>
      </c>
      <c r="F861">
        <v>0</v>
      </c>
      <c r="G861" s="16" t="str">
        <f>VLOOKUP(TDays[[#This Row],[کد روز هفته]],TDaysOfTheWeek[],2,FALSE)</f>
        <v>شنبه</v>
      </c>
      <c r="H861" s="16">
        <f>IFERROR(IF(E860&lt;&gt;E861,1,INT(H860)+IF(TDays[[#This Row],[کد روز هفته]]=0,1,0)),1)</f>
        <v>2</v>
      </c>
      <c r="I861">
        <f>-SUMIF(TArticle[تاریخ],TDays[[#This Row],[تاریخ]],TArticle[هزینه])</f>
        <v>0</v>
      </c>
      <c r="J861">
        <f>SUMIF(TArticle[تاریخ],TDays[[#This Row],[تاریخ]],TArticle[درآمد تتا])</f>
        <v>0</v>
      </c>
      <c r="K861">
        <f>SUMIF(TArticle[تاریخ],TDays[[#This Row],[تاریخ]],TArticle[اسنپ])</f>
        <v>0</v>
      </c>
      <c r="L861">
        <f>-SUMIF(TArticle[تاریخ],TDays[[#This Row],[تاریخ]],TArticle[پرداخت بدهی])</f>
        <v>0</v>
      </c>
      <c r="M861">
        <f>SUMIF(TArticle[تاریخ],TDays[[#This Row],[تاریخ]],TArticle[افزایش بدهی])</f>
        <v>0</v>
      </c>
      <c r="N861">
        <f>-SUMIF(TArticle[تاریخ],TDays[[#This Row],[تاریخ]],TArticle[افزایش سرمایه])</f>
        <v>0</v>
      </c>
      <c r="O861">
        <f>SUMIF(TArticle[تاریخ],TDays[[#This Row],[تاریخ]],TArticle[تعداد تراکنش انجام شده])</f>
        <v>0</v>
      </c>
      <c r="P861">
        <f>INT(((TDays[[#This Row],[ماه]]-1)*31+TDays[[#This Row],[روز]]+1)/7)+1</f>
        <v>19</v>
      </c>
      <c r="Q861">
        <f>SUMIF(TArticle[تاریخ],TDays[[#This Row],[تاریخ]],TArticle[تراکنش برنامه ریزی شده])</f>
        <v>0</v>
      </c>
    </row>
    <row r="862" spans="1:17" x14ac:dyDescent="0.25">
      <c r="A862" s="3" t="s">
        <v>1356</v>
      </c>
      <c r="B862" t="str">
        <f>RIGHT(TDays[[#This Row],[تاریخ]],2)</f>
        <v>07</v>
      </c>
      <c r="C862" t="str">
        <f>RIGHT(LEFT(TDays[[#This Row],[تاریخ]],7),2)</f>
        <v>05</v>
      </c>
      <c r="D862" t="str">
        <f>LEFT(TDays[[#This Row],[تاریخ]],4)</f>
        <v>1403</v>
      </c>
      <c r="E862" t="str">
        <f>LEFT(TDays[[#This Row],[تاریخ]],7)</f>
        <v>1403-05</v>
      </c>
      <c r="F862">
        <v>1</v>
      </c>
      <c r="G862" s="16" t="str">
        <f>VLOOKUP(TDays[[#This Row],[کد روز هفته]],TDaysOfTheWeek[],2,FALSE)</f>
        <v>یکشنبه</v>
      </c>
      <c r="H862" s="16">
        <f>IFERROR(IF(E861&lt;&gt;E862,1,INT(H861)+IF(TDays[[#This Row],[کد روز هفته]]=0,1,0)),1)</f>
        <v>2</v>
      </c>
      <c r="I862">
        <f>-SUMIF(TArticle[تاریخ],TDays[[#This Row],[تاریخ]],TArticle[هزینه])</f>
        <v>0</v>
      </c>
      <c r="J862">
        <f>SUMIF(TArticle[تاریخ],TDays[[#This Row],[تاریخ]],TArticle[درآمد تتا])</f>
        <v>0</v>
      </c>
      <c r="K862">
        <f>SUMIF(TArticle[تاریخ],TDays[[#This Row],[تاریخ]],TArticle[اسنپ])</f>
        <v>0</v>
      </c>
      <c r="L862">
        <f>-SUMIF(TArticle[تاریخ],TDays[[#This Row],[تاریخ]],TArticle[پرداخت بدهی])</f>
        <v>0</v>
      </c>
      <c r="M862">
        <f>SUMIF(TArticle[تاریخ],TDays[[#This Row],[تاریخ]],TArticle[افزایش بدهی])</f>
        <v>0</v>
      </c>
      <c r="N862">
        <f>-SUMIF(TArticle[تاریخ],TDays[[#This Row],[تاریخ]],TArticle[افزایش سرمایه])</f>
        <v>0</v>
      </c>
      <c r="O862">
        <f>SUMIF(TArticle[تاریخ],TDays[[#This Row],[تاریخ]],TArticle[تعداد تراکنش انجام شده])</f>
        <v>0</v>
      </c>
      <c r="P862">
        <f>INT(((TDays[[#This Row],[ماه]]-1)*31+TDays[[#This Row],[روز]]+1)/7)+1</f>
        <v>19</v>
      </c>
      <c r="Q862">
        <f>SUMIF(TArticle[تاریخ],TDays[[#This Row],[تاریخ]],TArticle[تراکنش برنامه ریزی شده])</f>
        <v>0</v>
      </c>
    </row>
    <row r="863" spans="1:17" x14ac:dyDescent="0.25">
      <c r="A863" s="3" t="s">
        <v>1357</v>
      </c>
      <c r="B863" t="str">
        <f>RIGHT(TDays[[#This Row],[تاریخ]],2)</f>
        <v>08</v>
      </c>
      <c r="C863" t="str">
        <f>RIGHT(LEFT(TDays[[#This Row],[تاریخ]],7),2)</f>
        <v>05</v>
      </c>
      <c r="D863" t="str">
        <f>LEFT(TDays[[#This Row],[تاریخ]],4)</f>
        <v>1403</v>
      </c>
      <c r="E863" t="str">
        <f>LEFT(TDays[[#This Row],[تاریخ]],7)</f>
        <v>1403-05</v>
      </c>
      <c r="F863">
        <v>2</v>
      </c>
      <c r="G863" s="16" t="str">
        <f>VLOOKUP(TDays[[#This Row],[کد روز هفته]],TDaysOfTheWeek[],2,FALSE)</f>
        <v>دوشنبه</v>
      </c>
      <c r="H863" s="16">
        <f>IFERROR(IF(E862&lt;&gt;E863,1,INT(H862)+IF(TDays[[#This Row],[کد روز هفته]]=0,1,0)),1)</f>
        <v>2</v>
      </c>
      <c r="I863">
        <f>-SUMIF(TArticle[تاریخ],TDays[[#This Row],[تاریخ]],TArticle[هزینه])</f>
        <v>0</v>
      </c>
      <c r="J863">
        <f>SUMIF(TArticle[تاریخ],TDays[[#This Row],[تاریخ]],TArticle[درآمد تتا])</f>
        <v>0</v>
      </c>
      <c r="K863">
        <f>SUMIF(TArticle[تاریخ],TDays[[#This Row],[تاریخ]],TArticle[اسنپ])</f>
        <v>0</v>
      </c>
      <c r="L863">
        <f>-SUMIF(TArticle[تاریخ],TDays[[#This Row],[تاریخ]],TArticle[پرداخت بدهی])</f>
        <v>0</v>
      </c>
      <c r="M863">
        <f>SUMIF(TArticle[تاریخ],TDays[[#This Row],[تاریخ]],TArticle[افزایش بدهی])</f>
        <v>0</v>
      </c>
      <c r="N863">
        <f>-SUMIF(TArticle[تاریخ],TDays[[#This Row],[تاریخ]],TArticle[افزایش سرمایه])</f>
        <v>0</v>
      </c>
      <c r="O863">
        <f>SUMIF(TArticle[تاریخ],TDays[[#This Row],[تاریخ]],TArticle[تعداد تراکنش انجام شده])</f>
        <v>0</v>
      </c>
      <c r="P863">
        <f>INT(((TDays[[#This Row],[ماه]]-1)*31+TDays[[#This Row],[روز]]+1)/7)+1</f>
        <v>20</v>
      </c>
      <c r="Q863">
        <f>SUMIF(TArticle[تاریخ],TDays[[#This Row],[تاریخ]],TArticle[تراکنش برنامه ریزی شده])</f>
        <v>0</v>
      </c>
    </row>
    <row r="864" spans="1:17" x14ac:dyDescent="0.25">
      <c r="A864" s="3" t="s">
        <v>1358</v>
      </c>
      <c r="B864" t="str">
        <f>RIGHT(TDays[[#This Row],[تاریخ]],2)</f>
        <v>09</v>
      </c>
      <c r="C864" t="str">
        <f>RIGHT(LEFT(TDays[[#This Row],[تاریخ]],7),2)</f>
        <v>05</v>
      </c>
      <c r="D864" t="str">
        <f>LEFT(TDays[[#This Row],[تاریخ]],4)</f>
        <v>1403</v>
      </c>
      <c r="E864" t="str">
        <f>LEFT(TDays[[#This Row],[تاریخ]],7)</f>
        <v>1403-05</v>
      </c>
      <c r="F864">
        <v>3</v>
      </c>
      <c r="G864" s="16" t="str">
        <f>VLOOKUP(TDays[[#This Row],[کد روز هفته]],TDaysOfTheWeek[],2,FALSE)</f>
        <v>سه شنبه</v>
      </c>
      <c r="H864" s="16">
        <f>IFERROR(IF(E863&lt;&gt;E864,1,INT(H863)+IF(TDays[[#This Row],[کد روز هفته]]=0,1,0)),1)</f>
        <v>2</v>
      </c>
      <c r="I864">
        <f>-SUMIF(TArticle[تاریخ],TDays[[#This Row],[تاریخ]],TArticle[هزینه])</f>
        <v>0</v>
      </c>
      <c r="J864">
        <f>SUMIF(TArticle[تاریخ],TDays[[#This Row],[تاریخ]],TArticle[درآمد تتا])</f>
        <v>0</v>
      </c>
      <c r="K864">
        <f>SUMIF(TArticle[تاریخ],TDays[[#This Row],[تاریخ]],TArticle[اسنپ])</f>
        <v>0</v>
      </c>
      <c r="L864">
        <f>-SUMIF(TArticle[تاریخ],TDays[[#This Row],[تاریخ]],TArticle[پرداخت بدهی])</f>
        <v>0</v>
      </c>
      <c r="M864">
        <f>SUMIF(TArticle[تاریخ],TDays[[#This Row],[تاریخ]],TArticle[افزایش بدهی])</f>
        <v>0</v>
      </c>
      <c r="N864">
        <f>-SUMIF(TArticle[تاریخ],TDays[[#This Row],[تاریخ]],TArticle[افزایش سرمایه])</f>
        <v>0</v>
      </c>
      <c r="O864">
        <f>SUMIF(TArticle[تاریخ],TDays[[#This Row],[تاریخ]],TArticle[تعداد تراکنش انجام شده])</f>
        <v>0</v>
      </c>
      <c r="P864">
        <f>INT(((TDays[[#This Row],[ماه]]-1)*31+TDays[[#This Row],[روز]]+1)/7)+1</f>
        <v>20</v>
      </c>
      <c r="Q864">
        <f>SUMIF(TArticle[تاریخ],TDays[[#This Row],[تاریخ]],TArticle[تراکنش برنامه ریزی شده])</f>
        <v>1</v>
      </c>
    </row>
    <row r="865" spans="1:17" x14ac:dyDescent="0.25">
      <c r="A865" s="3" t="s">
        <v>1359</v>
      </c>
      <c r="B865" t="str">
        <f>RIGHT(TDays[[#This Row],[تاریخ]],2)</f>
        <v>10</v>
      </c>
      <c r="C865" t="str">
        <f>RIGHT(LEFT(TDays[[#This Row],[تاریخ]],7),2)</f>
        <v>05</v>
      </c>
      <c r="D865" t="str">
        <f>LEFT(TDays[[#This Row],[تاریخ]],4)</f>
        <v>1403</v>
      </c>
      <c r="E865" t="str">
        <f>LEFT(TDays[[#This Row],[تاریخ]],7)</f>
        <v>1403-05</v>
      </c>
      <c r="F865">
        <v>4</v>
      </c>
      <c r="G865" s="16" t="str">
        <f>VLOOKUP(TDays[[#This Row],[کد روز هفته]],TDaysOfTheWeek[],2,FALSE)</f>
        <v>چهارشنبه</v>
      </c>
      <c r="H865" s="16">
        <f>IFERROR(IF(E864&lt;&gt;E865,1,INT(H864)+IF(TDays[[#This Row],[کد روز هفته]]=0,1,0)),1)</f>
        <v>2</v>
      </c>
      <c r="I865">
        <f>-SUMIF(TArticle[تاریخ],TDays[[#This Row],[تاریخ]],TArticle[هزینه])</f>
        <v>0</v>
      </c>
      <c r="J865">
        <f>SUMIF(TArticle[تاریخ],TDays[[#This Row],[تاریخ]],TArticle[درآمد تتا])</f>
        <v>0</v>
      </c>
      <c r="K865">
        <f>SUMIF(TArticle[تاریخ],TDays[[#This Row],[تاریخ]],TArticle[اسنپ])</f>
        <v>0</v>
      </c>
      <c r="L865">
        <f>-SUMIF(TArticle[تاریخ],TDays[[#This Row],[تاریخ]],TArticle[پرداخت بدهی])</f>
        <v>0</v>
      </c>
      <c r="M865">
        <f>SUMIF(TArticle[تاریخ],TDays[[#This Row],[تاریخ]],TArticle[افزایش بدهی])</f>
        <v>0</v>
      </c>
      <c r="N865">
        <f>-SUMIF(TArticle[تاریخ],TDays[[#This Row],[تاریخ]],TArticle[افزایش سرمایه])</f>
        <v>0</v>
      </c>
      <c r="O865">
        <f>SUMIF(TArticle[تاریخ],TDays[[#This Row],[تاریخ]],TArticle[تعداد تراکنش انجام شده])</f>
        <v>0</v>
      </c>
      <c r="P865">
        <f>INT(((TDays[[#This Row],[ماه]]-1)*31+TDays[[#This Row],[روز]]+1)/7)+1</f>
        <v>20</v>
      </c>
      <c r="Q865">
        <f>SUMIF(TArticle[تاریخ],TDays[[#This Row],[تاریخ]],TArticle[تراکنش برنامه ریزی شده])</f>
        <v>0</v>
      </c>
    </row>
    <row r="866" spans="1:17" x14ac:dyDescent="0.25">
      <c r="A866" s="3" t="s">
        <v>1360</v>
      </c>
      <c r="B866" t="str">
        <f>RIGHT(TDays[[#This Row],[تاریخ]],2)</f>
        <v>11</v>
      </c>
      <c r="C866" t="str">
        <f>RIGHT(LEFT(TDays[[#This Row],[تاریخ]],7),2)</f>
        <v>05</v>
      </c>
      <c r="D866" t="str">
        <f>LEFT(TDays[[#This Row],[تاریخ]],4)</f>
        <v>1403</v>
      </c>
      <c r="E866" t="str">
        <f>LEFT(TDays[[#This Row],[تاریخ]],7)</f>
        <v>1403-05</v>
      </c>
      <c r="F866">
        <v>5</v>
      </c>
      <c r="G866" s="16" t="str">
        <f>VLOOKUP(TDays[[#This Row],[کد روز هفته]],TDaysOfTheWeek[],2,FALSE)</f>
        <v>پنجشنبه</v>
      </c>
      <c r="H866" s="16">
        <f>IFERROR(IF(E865&lt;&gt;E866,1,INT(H865)+IF(TDays[[#This Row],[کد روز هفته]]=0,1,0)),1)</f>
        <v>2</v>
      </c>
      <c r="I866">
        <f>-SUMIF(TArticle[تاریخ],TDays[[#This Row],[تاریخ]],TArticle[هزینه])</f>
        <v>0</v>
      </c>
      <c r="J866">
        <f>SUMIF(TArticle[تاریخ],TDays[[#This Row],[تاریخ]],TArticle[درآمد تتا])</f>
        <v>0</v>
      </c>
      <c r="K866">
        <f>SUMIF(TArticle[تاریخ],TDays[[#This Row],[تاریخ]],TArticle[اسنپ])</f>
        <v>0</v>
      </c>
      <c r="L866">
        <f>-SUMIF(TArticle[تاریخ],TDays[[#This Row],[تاریخ]],TArticle[پرداخت بدهی])</f>
        <v>0</v>
      </c>
      <c r="M866">
        <f>SUMIF(TArticle[تاریخ],TDays[[#This Row],[تاریخ]],TArticle[افزایش بدهی])</f>
        <v>0</v>
      </c>
      <c r="N866">
        <f>-SUMIF(TArticle[تاریخ],TDays[[#This Row],[تاریخ]],TArticle[افزایش سرمایه])</f>
        <v>0</v>
      </c>
      <c r="O866">
        <f>SUMIF(TArticle[تاریخ],TDays[[#This Row],[تاریخ]],TArticle[تعداد تراکنش انجام شده])</f>
        <v>0</v>
      </c>
      <c r="P866">
        <f>INT(((TDays[[#This Row],[ماه]]-1)*31+TDays[[#This Row],[روز]]+1)/7)+1</f>
        <v>20</v>
      </c>
      <c r="Q866">
        <f>SUMIF(TArticle[تاریخ],TDays[[#This Row],[تاریخ]],TArticle[تراکنش برنامه ریزی شده])</f>
        <v>0</v>
      </c>
    </row>
    <row r="867" spans="1:17" x14ac:dyDescent="0.25">
      <c r="A867" s="3" t="s">
        <v>1361</v>
      </c>
      <c r="B867" t="str">
        <f>RIGHT(TDays[[#This Row],[تاریخ]],2)</f>
        <v>12</v>
      </c>
      <c r="C867" t="str">
        <f>RIGHT(LEFT(TDays[[#This Row],[تاریخ]],7),2)</f>
        <v>05</v>
      </c>
      <c r="D867" t="str">
        <f>LEFT(TDays[[#This Row],[تاریخ]],4)</f>
        <v>1403</v>
      </c>
      <c r="E867" t="str">
        <f>LEFT(TDays[[#This Row],[تاریخ]],7)</f>
        <v>1403-05</v>
      </c>
      <c r="F867">
        <v>6</v>
      </c>
      <c r="G867" s="16" t="str">
        <f>VLOOKUP(TDays[[#This Row],[کد روز هفته]],TDaysOfTheWeek[],2,FALSE)</f>
        <v>جمعه</v>
      </c>
      <c r="H867" s="16">
        <f>IFERROR(IF(E866&lt;&gt;E867,1,INT(H866)+IF(TDays[[#This Row],[کد روز هفته]]=0,1,0)),1)</f>
        <v>2</v>
      </c>
      <c r="I867">
        <f>-SUMIF(TArticle[تاریخ],TDays[[#This Row],[تاریخ]],TArticle[هزینه])</f>
        <v>0</v>
      </c>
      <c r="J867">
        <f>SUMIF(TArticle[تاریخ],TDays[[#This Row],[تاریخ]],TArticle[درآمد تتا])</f>
        <v>0</v>
      </c>
      <c r="K867">
        <f>SUMIF(TArticle[تاریخ],TDays[[#This Row],[تاریخ]],TArticle[اسنپ])</f>
        <v>0</v>
      </c>
      <c r="L867">
        <f>-SUMIF(TArticle[تاریخ],TDays[[#This Row],[تاریخ]],TArticle[پرداخت بدهی])</f>
        <v>0</v>
      </c>
      <c r="M867">
        <f>SUMIF(TArticle[تاریخ],TDays[[#This Row],[تاریخ]],TArticle[افزایش بدهی])</f>
        <v>0</v>
      </c>
      <c r="N867">
        <f>-SUMIF(TArticle[تاریخ],TDays[[#This Row],[تاریخ]],TArticle[افزایش سرمایه])</f>
        <v>0</v>
      </c>
      <c r="O867">
        <f>SUMIF(TArticle[تاریخ],TDays[[#This Row],[تاریخ]],TArticle[تعداد تراکنش انجام شده])</f>
        <v>0</v>
      </c>
      <c r="P867">
        <f>INT(((TDays[[#This Row],[ماه]]-1)*31+TDays[[#This Row],[روز]]+1)/7)+1</f>
        <v>20</v>
      </c>
      <c r="Q867">
        <f>SUMIF(TArticle[تاریخ],TDays[[#This Row],[تاریخ]],TArticle[تراکنش برنامه ریزی شده])</f>
        <v>0</v>
      </c>
    </row>
    <row r="868" spans="1:17" x14ac:dyDescent="0.25">
      <c r="A868" s="3" t="s">
        <v>1362</v>
      </c>
      <c r="B868" t="str">
        <f>RIGHT(TDays[[#This Row],[تاریخ]],2)</f>
        <v>13</v>
      </c>
      <c r="C868" t="str">
        <f>RIGHT(LEFT(TDays[[#This Row],[تاریخ]],7),2)</f>
        <v>05</v>
      </c>
      <c r="D868" t="str">
        <f>LEFT(TDays[[#This Row],[تاریخ]],4)</f>
        <v>1403</v>
      </c>
      <c r="E868" t="str">
        <f>LEFT(TDays[[#This Row],[تاریخ]],7)</f>
        <v>1403-05</v>
      </c>
      <c r="F868">
        <v>0</v>
      </c>
      <c r="G868" s="16" t="str">
        <f>VLOOKUP(TDays[[#This Row],[کد روز هفته]],TDaysOfTheWeek[],2,FALSE)</f>
        <v>شنبه</v>
      </c>
      <c r="H868" s="16">
        <f>IFERROR(IF(E867&lt;&gt;E868,1,INT(H867)+IF(TDays[[#This Row],[کد روز هفته]]=0,1,0)),1)</f>
        <v>3</v>
      </c>
      <c r="I868">
        <f>-SUMIF(TArticle[تاریخ],TDays[[#This Row],[تاریخ]],TArticle[هزینه])</f>
        <v>0</v>
      </c>
      <c r="J868">
        <f>SUMIF(TArticle[تاریخ],TDays[[#This Row],[تاریخ]],TArticle[درآمد تتا])</f>
        <v>0</v>
      </c>
      <c r="K868">
        <f>SUMIF(TArticle[تاریخ],TDays[[#This Row],[تاریخ]],TArticle[اسنپ])</f>
        <v>0</v>
      </c>
      <c r="L868">
        <f>-SUMIF(TArticle[تاریخ],TDays[[#This Row],[تاریخ]],TArticle[پرداخت بدهی])</f>
        <v>0</v>
      </c>
      <c r="M868">
        <f>SUMIF(TArticle[تاریخ],TDays[[#This Row],[تاریخ]],TArticle[افزایش بدهی])</f>
        <v>0</v>
      </c>
      <c r="N868">
        <f>-SUMIF(TArticle[تاریخ],TDays[[#This Row],[تاریخ]],TArticle[افزایش سرمایه])</f>
        <v>0</v>
      </c>
      <c r="O868">
        <f>SUMIF(TArticle[تاریخ],TDays[[#This Row],[تاریخ]],TArticle[تعداد تراکنش انجام شده])</f>
        <v>0</v>
      </c>
      <c r="P868">
        <f>INT(((TDays[[#This Row],[ماه]]-1)*31+TDays[[#This Row],[روز]]+1)/7)+1</f>
        <v>20</v>
      </c>
      <c r="Q868">
        <f>SUMIF(TArticle[تاریخ],TDays[[#This Row],[تاریخ]],TArticle[تراکنش برنامه ریزی شده])</f>
        <v>0</v>
      </c>
    </row>
    <row r="869" spans="1:17" x14ac:dyDescent="0.25">
      <c r="A869" s="3" t="s">
        <v>1363</v>
      </c>
      <c r="B869" t="str">
        <f>RIGHT(TDays[[#This Row],[تاریخ]],2)</f>
        <v>14</v>
      </c>
      <c r="C869" t="str">
        <f>RIGHT(LEFT(TDays[[#This Row],[تاریخ]],7),2)</f>
        <v>05</v>
      </c>
      <c r="D869" t="str">
        <f>LEFT(TDays[[#This Row],[تاریخ]],4)</f>
        <v>1403</v>
      </c>
      <c r="E869" t="str">
        <f>LEFT(TDays[[#This Row],[تاریخ]],7)</f>
        <v>1403-05</v>
      </c>
      <c r="F869">
        <v>1</v>
      </c>
      <c r="G869" s="16" t="str">
        <f>VLOOKUP(TDays[[#This Row],[کد روز هفته]],TDaysOfTheWeek[],2,FALSE)</f>
        <v>یکشنبه</v>
      </c>
      <c r="H869" s="16">
        <f>IFERROR(IF(E868&lt;&gt;E869,1,INT(H868)+IF(TDays[[#This Row],[کد روز هفته]]=0,1,0)),1)</f>
        <v>3</v>
      </c>
      <c r="I869">
        <f>-SUMIF(TArticle[تاریخ],TDays[[#This Row],[تاریخ]],TArticle[هزینه])</f>
        <v>0</v>
      </c>
      <c r="J869">
        <f>SUMIF(TArticle[تاریخ],TDays[[#This Row],[تاریخ]],TArticle[درآمد تتا])</f>
        <v>0</v>
      </c>
      <c r="K869">
        <f>SUMIF(TArticle[تاریخ],TDays[[#This Row],[تاریخ]],TArticle[اسنپ])</f>
        <v>0</v>
      </c>
      <c r="L869">
        <f>-SUMIF(TArticle[تاریخ],TDays[[#This Row],[تاریخ]],TArticle[پرداخت بدهی])</f>
        <v>0</v>
      </c>
      <c r="M869">
        <f>SUMIF(TArticle[تاریخ],TDays[[#This Row],[تاریخ]],TArticle[افزایش بدهی])</f>
        <v>0</v>
      </c>
      <c r="N869">
        <f>-SUMIF(TArticle[تاریخ],TDays[[#This Row],[تاریخ]],TArticle[افزایش سرمایه])</f>
        <v>0</v>
      </c>
      <c r="O869">
        <f>SUMIF(TArticle[تاریخ],TDays[[#This Row],[تاریخ]],TArticle[تعداد تراکنش انجام شده])</f>
        <v>0</v>
      </c>
      <c r="P869">
        <f>INT(((TDays[[#This Row],[ماه]]-1)*31+TDays[[#This Row],[روز]]+1)/7)+1</f>
        <v>20</v>
      </c>
      <c r="Q869">
        <f>SUMIF(TArticle[تاریخ],TDays[[#This Row],[تاریخ]],TArticle[تراکنش برنامه ریزی شده])</f>
        <v>0</v>
      </c>
    </row>
    <row r="870" spans="1:17" x14ac:dyDescent="0.25">
      <c r="A870" s="3" t="s">
        <v>1364</v>
      </c>
      <c r="B870" t="str">
        <f>RIGHT(TDays[[#This Row],[تاریخ]],2)</f>
        <v>15</v>
      </c>
      <c r="C870" t="str">
        <f>RIGHT(LEFT(TDays[[#This Row],[تاریخ]],7),2)</f>
        <v>05</v>
      </c>
      <c r="D870" t="str">
        <f>LEFT(TDays[[#This Row],[تاریخ]],4)</f>
        <v>1403</v>
      </c>
      <c r="E870" t="str">
        <f>LEFT(TDays[[#This Row],[تاریخ]],7)</f>
        <v>1403-05</v>
      </c>
      <c r="F870">
        <v>2</v>
      </c>
      <c r="G870" s="16" t="str">
        <f>VLOOKUP(TDays[[#This Row],[کد روز هفته]],TDaysOfTheWeek[],2,FALSE)</f>
        <v>دوشنبه</v>
      </c>
      <c r="H870" s="16">
        <f>IFERROR(IF(E869&lt;&gt;E870,1,INT(H869)+IF(TDays[[#This Row],[کد روز هفته]]=0,1,0)),1)</f>
        <v>3</v>
      </c>
      <c r="I870">
        <f>-SUMIF(TArticle[تاریخ],TDays[[#This Row],[تاریخ]],TArticle[هزینه])</f>
        <v>0</v>
      </c>
      <c r="J870">
        <f>SUMIF(TArticle[تاریخ],TDays[[#This Row],[تاریخ]],TArticle[درآمد تتا])</f>
        <v>0</v>
      </c>
      <c r="K870">
        <f>SUMIF(TArticle[تاریخ],TDays[[#This Row],[تاریخ]],TArticle[اسنپ])</f>
        <v>0</v>
      </c>
      <c r="L870">
        <f>-SUMIF(TArticle[تاریخ],TDays[[#This Row],[تاریخ]],TArticle[پرداخت بدهی])</f>
        <v>0</v>
      </c>
      <c r="M870">
        <f>SUMIF(TArticle[تاریخ],TDays[[#This Row],[تاریخ]],TArticle[افزایش بدهی])</f>
        <v>0</v>
      </c>
      <c r="N870">
        <f>-SUMIF(TArticle[تاریخ],TDays[[#This Row],[تاریخ]],TArticle[افزایش سرمایه])</f>
        <v>0</v>
      </c>
      <c r="O870">
        <f>SUMIF(TArticle[تاریخ],TDays[[#This Row],[تاریخ]],TArticle[تعداد تراکنش انجام شده])</f>
        <v>0</v>
      </c>
      <c r="P870">
        <f>INT(((TDays[[#This Row],[ماه]]-1)*31+TDays[[#This Row],[روز]]+1)/7)+1</f>
        <v>21</v>
      </c>
      <c r="Q870">
        <f>SUMIF(TArticle[تاریخ],TDays[[#This Row],[تاریخ]],TArticle[تراکنش برنامه ریزی شده])</f>
        <v>0</v>
      </c>
    </row>
    <row r="871" spans="1:17" x14ac:dyDescent="0.25">
      <c r="A871" s="3" t="s">
        <v>1365</v>
      </c>
      <c r="B871" t="str">
        <f>RIGHT(TDays[[#This Row],[تاریخ]],2)</f>
        <v>16</v>
      </c>
      <c r="C871" t="str">
        <f>RIGHT(LEFT(TDays[[#This Row],[تاریخ]],7),2)</f>
        <v>05</v>
      </c>
      <c r="D871" t="str">
        <f>LEFT(TDays[[#This Row],[تاریخ]],4)</f>
        <v>1403</v>
      </c>
      <c r="E871" t="str">
        <f>LEFT(TDays[[#This Row],[تاریخ]],7)</f>
        <v>1403-05</v>
      </c>
      <c r="F871">
        <v>3</v>
      </c>
      <c r="G871" s="16" t="str">
        <f>VLOOKUP(TDays[[#This Row],[کد روز هفته]],TDaysOfTheWeek[],2,FALSE)</f>
        <v>سه شنبه</v>
      </c>
      <c r="H871" s="16">
        <f>IFERROR(IF(E870&lt;&gt;E871,1,INT(H870)+IF(TDays[[#This Row],[کد روز هفته]]=0,1,0)),1)</f>
        <v>3</v>
      </c>
      <c r="I871">
        <f>-SUMIF(TArticle[تاریخ],TDays[[#This Row],[تاریخ]],TArticle[هزینه])</f>
        <v>0</v>
      </c>
      <c r="J871">
        <f>SUMIF(TArticle[تاریخ],TDays[[#This Row],[تاریخ]],TArticle[درآمد تتا])</f>
        <v>0</v>
      </c>
      <c r="K871">
        <f>SUMIF(TArticle[تاریخ],TDays[[#This Row],[تاریخ]],TArticle[اسنپ])</f>
        <v>0</v>
      </c>
      <c r="L871">
        <f>-SUMIF(TArticle[تاریخ],TDays[[#This Row],[تاریخ]],TArticle[پرداخت بدهی])</f>
        <v>0</v>
      </c>
      <c r="M871">
        <f>SUMIF(TArticle[تاریخ],TDays[[#This Row],[تاریخ]],TArticle[افزایش بدهی])</f>
        <v>0</v>
      </c>
      <c r="N871">
        <f>-SUMIF(TArticle[تاریخ],TDays[[#This Row],[تاریخ]],TArticle[افزایش سرمایه])</f>
        <v>0</v>
      </c>
      <c r="O871">
        <f>SUMIF(TArticle[تاریخ],TDays[[#This Row],[تاریخ]],TArticle[تعداد تراکنش انجام شده])</f>
        <v>0</v>
      </c>
      <c r="P871">
        <f>INT(((TDays[[#This Row],[ماه]]-1)*31+TDays[[#This Row],[روز]]+1)/7)+1</f>
        <v>21</v>
      </c>
      <c r="Q871">
        <f>SUMIF(TArticle[تاریخ],TDays[[#This Row],[تاریخ]],TArticle[تراکنش برنامه ریزی شده])</f>
        <v>0</v>
      </c>
    </row>
    <row r="872" spans="1:17" x14ac:dyDescent="0.25">
      <c r="A872" s="3" t="s">
        <v>1366</v>
      </c>
      <c r="B872" t="str">
        <f>RIGHT(TDays[[#This Row],[تاریخ]],2)</f>
        <v>17</v>
      </c>
      <c r="C872" t="str">
        <f>RIGHT(LEFT(TDays[[#This Row],[تاریخ]],7),2)</f>
        <v>05</v>
      </c>
      <c r="D872" t="str">
        <f>LEFT(TDays[[#This Row],[تاریخ]],4)</f>
        <v>1403</v>
      </c>
      <c r="E872" t="str">
        <f>LEFT(TDays[[#This Row],[تاریخ]],7)</f>
        <v>1403-05</v>
      </c>
      <c r="F872">
        <v>4</v>
      </c>
      <c r="G872" s="16" t="str">
        <f>VLOOKUP(TDays[[#This Row],[کد روز هفته]],TDaysOfTheWeek[],2,FALSE)</f>
        <v>چهارشنبه</v>
      </c>
      <c r="H872" s="16">
        <f>IFERROR(IF(E871&lt;&gt;E872,1,INT(H871)+IF(TDays[[#This Row],[کد روز هفته]]=0,1,0)),1)</f>
        <v>3</v>
      </c>
      <c r="I872">
        <f>-SUMIF(TArticle[تاریخ],TDays[[#This Row],[تاریخ]],TArticle[هزینه])</f>
        <v>0</v>
      </c>
      <c r="J872">
        <f>SUMIF(TArticle[تاریخ],TDays[[#This Row],[تاریخ]],TArticle[درآمد تتا])</f>
        <v>0</v>
      </c>
      <c r="K872">
        <f>SUMIF(TArticle[تاریخ],TDays[[#This Row],[تاریخ]],TArticle[اسنپ])</f>
        <v>0</v>
      </c>
      <c r="L872">
        <f>-SUMIF(TArticle[تاریخ],TDays[[#This Row],[تاریخ]],TArticle[پرداخت بدهی])</f>
        <v>0</v>
      </c>
      <c r="M872">
        <f>SUMIF(TArticle[تاریخ],TDays[[#This Row],[تاریخ]],TArticle[افزایش بدهی])</f>
        <v>0</v>
      </c>
      <c r="N872">
        <f>-SUMIF(TArticle[تاریخ],TDays[[#This Row],[تاریخ]],TArticle[افزایش سرمایه])</f>
        <v>0</v>
      </c>
      <c r="O872">
        <f>SUMIF(TArticle[تاریخ],TDays[[#This Row],[تاریخ]],TArticle[تعداد تراکنش انجام شده])</f>
        <v>0</v>
      </c>
      <c r="P872">
        <f>INT(((TDays[[#This Row],[ماه]]-1)*31+TDays[[#This Row],[روز]]+1)/7)+1</f>
        <v>21</v>
      </c>
      <c r="Q872">
        <f>SUMIF(TArticle[تاریخ],TDays[[#This Row],[تاریخ]],TArticle[تراکنش برنامه ریزی شده])</f>
        <v>0</v>
      </c>
    </row>
    <row r="873" spans="1:17" x14ac:dyDescent="0.25">
      <c r="A873" s="3" t="s">
        <v>1367</v>
      </c>
      <c r="B873" t="str">
        <f>RIGHT(TDays[[#This Row],[تاریخ]],2)</f>
        <v>18</v>
      </c>
      <c r="C873" t="str">
        <f>RIGHT(LEFT(TDays[[#This Row],[تاریخ]],7),2)</f>
        <v>05</v>
      </c>
      <c r="D873" t="str">
        <f>LEFT(TDays[[#This Row],[تاریخ]],4)</f>
        <v>1403</v>
      </c>
      <c r="E873" t="str">
        <f>LEFT(TDays[[#This Row],[تاریخ]],7)</f>
        <v>1403-05</v>
      </c>
      <c r="F873">
        <v>5</v>
      </c>
      <c r="G873" s="16" t="str">
        <f>VLOOKUP(TDays[[#This Row],[کد روز هفته]],TDaysOfTheWeek[],2,FALSE)</f>
        <v>پنجشنبه</v>
      </c>
      <c r="H873" s="16">
        <f>IFERROR(IF(E872&lt;&gt;E873,1,INT(H872)+IF(TDays[[#This Row],[کد روز هفته]]=0,1,0)),1)</f>
        <v>3</v>
      </c>
      <c r="I873">
        <f>-SUMIF(TArticle[تاریخ],TDays[[#This Row],[تاریخ]],TArticle[هزینه])</f>
        <v>0</v>
      </c>
      <c r="J873">
        <f>SUMIF(TArticle[تاریخ],TDays[[#This Row],[تاریخ]],TArticle[درآمد تتا])</f>
        <v>0</v>
      </c>
      <c r="K873">
        <f>SUMIF(TArticle[تاریخ],TDays[[#This Row],[تاریخ]],TArticle[اسنپ])</f>
        <v>0</v>
      </c>
      <c r="L873">
        <f>-SUMIF(TArticle[تاریخ],TDays[[#This Row],[تاریخ]],TArticle[پرداخت بدهی])</f>
        <v>0</v>
      </c>
      <c r="M873">
        <f>SUMIF(TArticle[تاریخ],TDays[[#This Row],[تاریخ]],TArticle[افزایش بدهی])</f>
        <v>0</v>
      </c>
      <c r="N873">
        <f>-SUMIF(TArticle[تاریخ],TDays[[#This Row],[تاریخ]],TArticle[افزایش سرمایه])</f>
        <v>0</v>
      </c>
      <c r="O873">
        <f>SUMIF(TArticle[تاریخ],TDays[[#This Row],[تاریخ]],TArticle[تعداد تراکنش انجام شده])</f>
        <v>0</v>
      </c>
      <c r="P873">
        <f>INT(((TDays[[#This Row],[ماه]]-1)*31+TDays[[#This Row],[روز]]+1)/7)+1</f>
        <v>21</v>
      </c>
      <c r="Q873">
        <f>SUMIF(TArticle[تاریخ],TDays[[#This Row],[تاریخ]],TArticle[تراکنش برنامه ریزی شده])</f>
        <v>0</v>
      </c>
    </row>
    <row r="874" spans="1:17" x14ac:dyDescent="0.25">
      <c r="A874" s="3" t="s">
        <v>1368</v>
      </c>
      <c r="B874" t="str">
        <f>RIGHT(TDays[[#This Row],[تاریخ]],2)</f>
        <v>19</v>
      </c>
      <c r="C874" t="str">
        <f>RIGHT(LEFT(TDays[[#This Row],[تاریخ]],7),2)</f>
        <v>05</v>
      </c>
      <c r="D874" t="str">
        <f>LEFT(TDays[[#This Row],[تاریخ]],4)</f>
        <v>1403</v>
      </c>
      <c r="E874" t="str">
        <f>LEFT(TDays[[#This Row],[تاریخ]],7)</f>
        <v>1403-05</v>
      </c>
      <c r="F874">
        <v>6</v>
      </c>
      <c r="G874" s="16" t="str">
        <f>VLOOKUP(TDays[[#This Row],[کد روز هفته]],TDaysOfTheWeek[],2,FALSE)</f>
        <v>جمعه</v>
      </c>
      <c r="H874" s="16">
        <f>IFERROR(IF(E873&lt;&gt;E874,1,INT(H873)+IF(TDays[[#This Row],[کد روز هفته]]=0,1,0)),1)</f>
        <v>3</v>
      </c>
      <c r="I874">
        <f>-SUMIF(TArticle[تاریخ],TDays[[#This Row],[تاریخ]],TArticle[هزینه])</f>
        <v>0</v>
      </c>
      <c r="J874">
        <f>SUMIF(TArticle[تاریخ],TDays[[#This Row],[تاریخ]],TArticle[درآمد تتا])</f>
        <v>0</v>
      </c>
      <c r="K874">
        <f>SUMIF(TArticle[تاریخ],TDays[[#This Row],[تاریخ]],TArticle[اسنپ])</f>
        <v>0</v>
      </c>
      <c r="L874">
        <f>-SUMIF(TArticle[تاریخ],TDays[[#This Row],[تاریخ]],TArticle[پرداخت بدهی])</f>
        <v>0</v>
      </c>
      <c r="M874">
        <f>SUMIF(TArticle[تاریخ],TDays[[#This Row],[تاریخ]],TArticle[افزایش بدهی])</f>
        <v>0</v>
      </c>
      <c r="N874">
        <f>-SUMIF(TArticle[تاریخ],TDays[[#This Row],[تاریخ]],TArticle[افزایش سرمایه])</f>
        <v>0</v>
      </c>
      <c r="O874">
        <f>SUMIF(TArticle[تاریخ],TDays[[#This Row],[تاریخ]],TArticle[تعداد تراکنش انجام شده])</f>
        <v>0</v>
      </c>
      <c r="P874">
        <f>INT(((TDays[[#This Row],[ماه]]-1)*31+TDays[[#This Row],[روز]]+1)/7)+1</f>
        <v>21</v>
      </c>
      <c r="Q874">
        <f>SUMIF(TArticle[تاریخ],TDays[[#This Row],[تاریخ]],TArticle[تراکنش برنامه ریزی شده])</f>
        <v>0</v>
      </c>
    </row>
    <row r="875" spans="1:17" x14ac:dyDescent="0.25">
      <c r="A875" s="3" t="s">
        <v>1369</v>
      </c>
      <c r="B875" t="str">
        <f>RIGHT(TDays[[#This Row],[تاریخ]],2)</f>
        <v>20</v>
      </c>
      <c r="C875" t="str">
        <f>RIGHT(LEFT(TDays[[#This Row],[تاریخ]],7),2)</f>
        <v>05</v>
      </c>
      <c r="D875" t="str">
        <f>LEFT(TDays[[#This Row],[تاریخ]],4)</f>
        <v>1403</v>
      </c>
      <c r="E875" t="str">
        <f>LEFT(TDays[[#This Row],[تاریخ]],7)</f>
        <v>1403-05</v>
      </c>
      <c r="F875">
        <v>0</v>
      </c>
      <c r="G875" s="16" t="str">
        <f>VLOOKUP(TDays[[#This Row],[کد روز هفته]],TDaysOfTheWeek[],2,FALSE)</f>
        <v>شنبه</v>
      </c>
      <c r="H875" s="16">
        <f>IFERROR(IF(E874&lt;&gt;E875,1,INT(H874)+IF(TDays[[#This Row],[کد روز هفته]]=0,1,0)),1)</f>
        <v>4</v>
      </c>
      <c r="I875">
        <f>-SUMIF(TArticle[تاریخ],TDays[[#This Row],[تاریخ]],TArticle[هزینه])</f>
        <v>0</v>
      </c>
      <c r="J875">
        <f>SUMIF(TArticle[تاریخ],TDays[[#This Row],[تاریخ]],TArticle[درآمد تتا])</f>
        <v>0</v>
      </c>
      <c r="K875">
        <f>SUMIF(TArticle[تاریخ],TDays[[#This Row],[تاریخ]],TArticle[اسنپ])</f>
        <v>0</v>
      </c>
      <c r="L875">
        <f>-SUMIF(TArticle[تاریخ],TDays[[#This Row],[تاریخ]],TArticle[پرداخت بدهی])</f>
        <v>0</v>
      </c>
      <c r="M875">
        <f>SUMIF(TArticle[تاریخ],TDays[[#This Row],[تاریخ]],TArticle[افزایش بدهی])</f>
        <v>0</v>
      </c>
      <c r="N875">
        <f>-SUMIF(TArticle[تاریخ],TDays[[#This Row],[تاریخ]],TArticle[افزایش سرمایه])</f>
        <v>0</v>
      </c>
      <c r="O875">
        <f>SUMIF(TArticle[تاریخ],TDays[[#This Row],[تاریخ]],TArticle[تعداد تراکنش انجام شده])</f>
        <v>0</v>
      </c>
      <c r="P875">
        <f>INT(((TDays[[#This Row],[ماه]]-1)*31+TDays[[#This Row],[روز]]+1)/7)+1</f>
        <v>21</v>
      </c>
      <c r="Q875">
        <f>SUMIF(TArticle[تاریخ],TDays[[#This Row],[تاریخ]],TArticle[تراکنش برنامه ریزی شده])</f>
        <v>1</v>
      </c>
    </row>
    <row r="876" spans="1:17" x14ac:dyDescent="0.25">
      <c r="A876" s="3" t="s">
        <v>1370</v>
      </c>
      <c r="B876" t="str">
        <f>RIGHT(TDays[[#This Row],[تاریخ]],2)</f>
        <v>21</v>
      </c>
      <c r="C876" t="str">
        <f>RIGHT(LEFT(TDays[[#This Row],[تاریخ]],7),2)</f>
        <v>05</v>
      </c>
      <c r="D876" t="str">
        <f>LEFT(TDays[[#This Row],[تاریخ]],4)</f>
        <v>1403</v>
      </c>
      <c r="E876" t="str">
        <f>LEFT(TDays[[#This Row],[تاریخ]],7)</f>
        <v>1403-05</v>
      </c>
      <c r="F876">
        <v>1</v>
      </c>
      <c r="G876" s="16" t="str">
        <f>VLOOKUP(TDays[[#This Row],[کد روز هفته]],TDaysOfTheWeek[],2,FALSE)</f>
        <v>یکشنبه</v>
      </c>
      <c r="H876" s="16">
        <f>IFERROR(IF(E875&lt;&gt;E876,1,INT(H875)+IF(TDays[[#This Row],[کد روز هفته]]=0,1,0)),1)</f>
        <v>4</v>
      </c>
      <c r="I876">
        <f>-SUMIF(TArticle[تاریخ],TDays[[#This Row],[تاریخ]],TArticle[هزینه])</f>
        <v>0</v>
      </c>
      <c r="J876">
        <f>SUMIF(TArticle[تاریخ],TDays[[#This Row],[تاریخ]],TArticle[درآمد تتا])</f>
        <v>0</v>
      </c>
      <c r="K876">
        <f>SUMIF(TArticle[تاریخ],TDays[[#This Row],[تاریخ]],TArticle[اسنپ])</f>
        <v>0</v>
      </c>
      <c r="L876">
        <f>-SUMIF(TArticle[تاریخ],TDays[[#This Row],[تاریخ]],TArticle[پرداخت بدهی])</f>
        <v>0</v>
      </c>
      <c r="M876">
        <f>SUMIF(TArticle[تاریخ],TDays[[#This Row],[تاریخ]],TArticle[افزایش بدهی])</f>
        <v>0</v>
      </c>
      <c r="N876">
        <f>-SUMIF(TArticle[تاریخ],TDays[[#This Row],[تاریخ]],TArticle[افزایش سرمایه])</f>
        <v>0</v>
      </c>
      <c r="O876">
        <f>SUMIF(TArticle[تاریخ],TDays[[#This Row],[تاریخ]],TArticle[تعداد تراکنش انجام شده])</f>
        <v>0</v>
      </c>
      <c r="P876">
        <f>INT(((TDays[[#This Row],[ماه]]-1)*31+TDays[[#This Row],[روز]]+1)/7)+1</f>
        <v>21</v>
      </c>
      <c r="Q876">
        <f>SUMIF(TArticle[تاریخ],TDays[[#This Row],[تاریخ]],TArticle[تراکنش برنامه ریزی شده])</f>
        <v>0</v>
      </c>
    </row>
    <row r="877" spans="1:17" x14ac:dyDescent="0.25">
      <c r="A877" s="3" t="s">
        <v>1371</v>
      </c>
      <c r="B877" t="str">
        <f>RIGHT(TDays[[#This Row],[تاریخ]],2)</f>
        <v>22</v>
      </c>
      <c r="C877" t="str">
        <f>RIGHT(LEFT(TDays[[#This Row],[تاریخ]],7),2)</f>
        <v>05</v>
      </c>
      <c r="D877" t="str">
        <f>LEFT(TDays[[#This Row],[تاریخ]],4)</f>
        <v>1403</v>
      </c>
      <c r="E877" t="str">
        <f>LEFT(TDays[[#This Row],[تاریخ]],7)</f>
        <v>1403-05</v>
      </c>
      <c r="F877">
        <v>2</v>
      </c>
      <c r="G877" s="16" t="str">
        <f>VLOOKUP(TDays[[#This Row],[کد روز هفته]],TDaysOfTheWeek[],2,FALSE)</f>
        <v>دوشنبه</v>
      </c>
      <c r="H877" s="16">
        <f>IFERROR(IF(E876&lt;&gt;E877,1,INT(H876)+IF(TDays[[#This Row],[کد روز هفته]]=0,1,0)),1)</f>
        <v>4</v>
      </c>
      <c r="I877">
        <f>-SUMIF(TArticle[تاریخ],TDays[[#This Row],[تاریخ]],TArticle[هزینه])</f>
        <v>0</v>
      </c>
      <c r="J877">
        <f>SUMIF(TArticle[تاریخ],TDays[[#This Row],[تاریخ]],TArticle[درآمد تتا])</f>
        <v>0</v>
      </c>
      <c r="K877">
        <f>SUMIF(TArticle[تاریخ],TDays[[#This Row],[تاریخ]],TArticle[اسنپ])</f>
        <v>0</v>
      </c>
      <c r="L877">
        <f>-SUMIF(TArticle[تاریخ],TDays[[#This Row],[تاریخ]],TArticle[پرداخت بدهی])</f>
        <v>0</v>
      </c>
      <c r="M877">
        <f>SUMIF(TArticle[تاریخ],TDays[[#This Row],[تاریخ]],TArticle[افزایش بدهی])</f>
        <v>0</v>
      </c>
      <c r="N877">
        <f>-SUMIF(TArticle[تاریخ],TDays[[#This Row],[تاریخ]],TArticle[افزایش سرمایه])</f>
        <v>0</v>
      </c>
      <c r="O877">
        <f>SUMIF(TArticle[تاریخ],TDays[[#This Row],[تاریخ]],TArticle[تعداد تراکنش انجام شده])</f>
        <v>0</v>
      </c>
      <c r="P877">
        <f>INT(((TDays[[#This Row],[ماه]]-1)*31+TDays[[#This Row],[روز]]+1)/7)+1</f>
        <v>22</v>
      </c>
      <c r="Q877">
        <f>SUMIF(TArticle[تاریخ],TDays[[#This Row],[تاریخ]],TArticle[تراکنش برنامه ریزی شده])</f>
        <v>0</v>
      </c>
    </row>
    <row r="878" spans="1:17" x14ac:dyDescent="0.25">
      <c r="A878" s="3" t="s">
        <v>1372</v>
      </c>
      <c r="B878" t="str">
        <f>RIGHT(TDays[[#This Row],[تاریخ]],2)</f>
        <v>23</v>
      </c>
      <c r="C878" t="str">
        <f>RIGHT(LEFT(TDays[[#This Row],[تاریخ]],7),2)</f>
        <v>05</v>
      </c>
      <c r="D878" t="str">
        <f>LEFT(TDays[[#This Row],[تاریخ]],4)</f>
        <v>1403</v>
      </c>
      <c r="E878" t="str">
        <f>LEFT(TDays[[#This Row],[تاریخ]],7)</f>
        <v>1403-05</v>
      </c>
      <c r="F878">
        <v>3</v>
      </c>
      <c r="G878" s="16" t="str">
        <f>VLOOKUP(TDays[[#This Row],[کد روز هفته]],TDaysOfTheWeek[],2,FALSE)</f>
        <v>سه شنبه</v>
      </c>
      <c r="H878" s="16">
        <f>IFERROR(IF(E877&lt;&gt;E878,1,INT(H877)+IF(TDays[[#This Row],[کد روز هفته]]=0,1,0)),1)</f>
        <v>4</v>
      </c>
      <c r="I878">
        <f>-SUMIF(TArticle[تاریخ],TDays[[#This Row],[تاریخ]],TArticle[هزینه])</f>
        <v>0</v>
      </c>
      <c r="J878">
        <f>SUMIF(TArticle[تاریخ],TDays[[#This Row],[تاریخ]],TArticle[درآمد تتا])</f>
        <v>0</v>
      </c>
      <c r="K878">
        <f>SUMIF(TArticle[تاریخ],TDays[[#This Row],[تاریخ]],TArticle[اسنپ])</f>
        <v>0</v>
      </c>
      <c r="L878">
        <f>-SUMIF(TArticle[تاریخ],TDays[[#This Row],[تاریخ]],TArticle[پرداخت بدهی])</f>
        <v>0</v>
      </c>
      <c r="M878">
        <f>SUMIF(TArticle[تاریخ],TDays[[#This Row],[تاریخ]],TArticle[افزایش بدهی])</f>
        <v>0</v>
      </c>
      <c r="N878">
        <f>-SUMIF(TArticle[تاریخ],TDays[[#This Row],[تاریخ]],TArticle[افزایش سرمایه])</f>
        <v>0</v>
      </c>
      <c r="O878">
        <f>SUMIF(TArticle[تاریخ],TDays[[#This Row],[تاریخ]],TArticle[تعداد تراکنش انجام شده])</f>
        <v>0</v>
      </c>
      <c r="P878">
        <f>INT(((TDays[[#This Row],[ماه]]-1)*31+TDays[[#This Row],[روز]]+1)/7)+1</f>
        <v>22</v>
      </c>
      <c r="Q878">
        <f>SUMIF(TArticle[تاریخ],TDays[[#This Row],[تاریخ]],TArticle[تراکنش برنامه ریزی شده])</f>
        <v>0</v>
      </c>
    </row>
    <row r="879" spans="1:17" x14ac:dyDescent="0.25">
      <c r="A879" s="3" t="s">
        <v>1373</v>
      </c>
      <c r="B879" t="str">
        <f>RIGHT(TDays[[#This Row],[تاریخ]],2)</f>
        <v>24</v>
      </c>
      <c r="C879" t="str">
        <f>RIGHT(LEFT(TDays[[#This Row],[تاریخ]],7),2)</f>
        <v>05</v>
      </c>
      <c r="D879" t="str">
        <f>LEFT(TDays[[#This Row],[تاریخ]],4)</f>
        <v>1403</v>
      </c>
      <c r="E879" t="str">
        <f>LEFT(TDays[[#This Row],[تاریخ]],7)</f>
        <v>1403-05</v>
      </c>
      <c r="F879">
        <v>4</v>
      </c>
      <c r="G879" s="16" t="str">
        <f>VLOOKUP(TDays[[#This Row],[کد روز هفته]],TDaysOfTheWeek[],2,FALSE)</f>
        <v>چهارشنبه</v>
      </c>
      <c r="H879" s="16">
        <f>IFERROR(IF(E878&lt;&gt;E879,1,INT(H878)+IF(TDays[[#This Row],[کد روز هفته]]=0,1,0)),1)</f>
        <v>4</v>
      </c>
      <c r="I879">
        <f>-SUMIF(TArticle[تاریخ],TDays[[#This Row],[تاریخ]],TArticle[هزینه])</f>
        <v>0</v>
      </c>
      <c r="J879">
        <f>SUMIF(TArticle[تاریخ],TDays[[#This Row],[تاریخ]],TArticle[درآمد تتا])</f>
        <v>0</v>
      </c>
      <c r="K879">
        <f>SUMIF(TArticle[تاریخ],TDays[[#This Row],[تاریخ]],TArticle[اسنپ])</f>
        <v>0</v>
      </c>
      <c r="L879">
        <f>-SUMIF(TArticle[تاریخ],TDays[[#This Row],[تاریخ]],TArticle[پرداخت بدهی])</f>
        <v>0</v>
      </c>
      <c r="M879">
        <f>SUMIF(TArticle[تاریخ],TDays[[#This Row],[تاریخ]],TArticle[افزایش بدهی])</f>
        <v>0</v>
      </c>
      <c r="N879">
        <f>-SUMIF(TArticle[تاریخ],TDays[[#This Row],[تاریخ]],TArticle[افزایش سرمایه])</f>
        <v>0</v>
      </c>
      <c r="O879">
        <f>SUMIF(TArticle[تاریخ],TDays[[#This Row],[تاریخ]],TArticle[تعداد تراکنش انجام شده])</f>
        <v>0</v>
      </c>
      <c r="P879">
        <f>INT(((TDays[[#This Row],[ماه]]-1)*31+TDays[[#This Row],[روز]]+1)/7)+1</f>
        <v>22</v>
      </c>
      <c r="Q879">
        <f>SUMIF(TArticle[تاریخ],TDays[[#This Row],[تاریخ]],TArticle[تراکنش برنامه ریزی شده])</f>
        <v>0</v>
      </c>
    </row>
    <row r="880" spans="1:17" x14ac:dyDescent="0.25">
      <c r="A880" s="3" t="s">
        <v>1374</v>
      </c>
      <c r="B880" t="str">
        <f>RIGHT(TDays[[#This Row],[تاریخ]],2)</f>
        <v>25</v>
      </c>
      <c r="C880" t="str">
        <f>RIGHT(LEFT(TDays[[#This Row],[تاریخ]],7),2)</f>
        <v>05</v>
      </c>
      <c r="D880" t="str">
        <f>LEFT(TDays[[#This Row],[تاریخ]],4)</f>
        <v>1403</v>
      </c>
      <c r="E880" t="str">
        <f>LEFT(TDays[[#This Row],[تاریخ]],7)</f>
        <v>1403-05</v>
      </c>
      <c r="F880">
        <v>5</v>
      </c>
      <c r="G880" s="16" t="str">
        <f>VLOOKUP(TDays[[#This Row],[کد روز هفته]],TDaysOfTheWeek[],2,FALSE)</f>
        <v>پنجشنبه</v>
      </c>
      <c r="H880" s="16">
        <f>IFERROR(IF(E879&lt;&gt;E880,1,INT(H879)+IF(TDays[[#This Row],[کد روز هفته]]=0,1,0)),1)</f>
        <v>4</v>
      </c>
      <c r="I880">
        <f>-SUMIF(TArticle[تاریخ],TDays[[#This Row],[تاریخ]],TArticle[هزینه])</f>
        <v>0</v>
      </c>
      <c r="J880">
        <f>SUMIF(TArticle[تاریخ],TDays[[#This Row],[تاریخ]],TArticle[درآمد تتا])</f>
        <v>0</v>
      </c>
      <c r="K880">
        <f>SUMIF(TArticle[تاریخ],TDays[[#This Row],[تاریخ]],TArticle[اسنپ])</f>
        <v>0</v>
      </c>
      <c r="L880">
        <f>-SUMIF(TArticle[تاریخ],TDays[[#This Row],[تاریخ]],TArticle[پرداخت بدهی])</f>
        <v>0</v>
      </c>
      <c r="M880">
        <f>SUMIF(TArticle[تاریخ],TDays[[#This Row],[تاریخ]],TArticle[افزایش بدهی])</f>
        <v>0</v>
      </c>
      <c r="N880">
        <f>-SUMIF(TArticle[تاریخ],TDays[[#This Row],[تاریخ]],TArticle[افزایش سرمایه])</f>
        <v>0</v>
      </c>
      <c r="O880">
        <f>SUMIF(TArticle[تاریخ],TDays[[#This Row],[تاریخ]],TArticle[تعداد تراکنش انجام شده])</f>
        <v>0</v>
      </c>
      <c r="P880">
        <f>INT(((TDays[[#This Row],[ماه]]-1)*31+TDays[[#This Row],[روز]]+1)/7)+1</f>
        <v>22</v>
      </c>
      <c r="Q880">
        <f>SUMIF(TArticle[تاریخ],TDays[[#This Row],[تاریخ]],TArticle[تراکنش برنامه ریزی شده])</f>
        <v>0</v>
      </c>
    </row>
    <row r="881" spans="1:17" x14ac:dyDescent="0.25">
      <c r="A881" s="3" t="s">
        <v>1375</v>
      </c>
      <c r="B881" t="str">
        <f>RIGHT(TDays[[#This Row],[تاریخ]],2)</f>
        <v>26</v>
      </c>
      <c r="C881" t="str">
        <f>RIGHT(LEFT(TDays[[#This Row],[تاریخ]],7),2)</f>
        <v>05</v>
      </c>
      <c r="D881" t="str">
        <f>LEFT(TDays[[#This Row],[تاریخ]],4)</f>
        <v>1403</v>
      </c>
      <c r="E881" t="str">
        <f>LEFT(TDays[[#This Row],[تاریخ]],7)</f>
        <v>1403-05</v>
      </c>
      <c r="F881">
        <v>6</v>
      </c>
      <c r="G881" s="16" t="str">
        <f>VLOOKUP(TDays[[#This Row],[کد روز هفته]],TDaysOfTheWeek[],2,FALSE)</f>
        <v>جمعه</v>
      </c>
      <c r="H881" s="16">
        <f>IFERROR(IF(E880&lt;&gt;E881,1,INT(H880)+IF(TDays[[#This Row],[کد روز هفته]]=0,1,0)),1)</f>
        <v>4</v>
      </c>
      <c r="I881">
        <f>-SUMIF(TArticle[تاریخ],TDays[[#This Row],[تاریخ]],TArticle[هزینه])</f>
        <v>0</v>
      </c>
      <c r="J881">
        <f>SUMIF(TArticle[تاریخ],TDays[[#This Row],[تاریخ]],TArticle[درآمد تتا])</f>
        <v>0</v>
      </c>
      <c r="K881">
        <f>SUMIF(TArticle[تاریخ],TDays[[#This Row],[تاریخ]],TArticle[اسنپ])</f>
        <v>0</v>
      </c>
      <c r="L881">
        <f>-SUMIF(TArticle[تاریخ],TDays[[#This Row],[تاریخ]],TArticle[پرداخت بدهی])</f>
        <v>0</v>
      </c>
      <c r="M881">
        <f>SUMIF(TArticle[تاریخ],TDays[[#This Row],[تاریخ]],TArticle[افزایش بدهی])</f>
        <v>0</v>
      </c>
      <c r="N881">
        <f>-SUMIF(TArticle[تاریخ],TDays[[#This Row],[تاریخ]],TArticle[افزایش سرمایه])</f>
        <v>0</v>
      </c>
      <c r="O881">
        <f>SUMIF(TArticle[تاریخ],TDays[[#This Row],[تاریخ]],TArticle[تعداد تراکنش انجام شده])</f>
        <v>0</v>
      </c>
      <c r="P881">
        <f>INT(((TDays[[#This Row],[ماه]]-1)*31+TDays[[#This Row],[روز]]+1)/7)+1</f>
        <v>22</v>
      </c>
      <c r="Q881">
        <f>SUMIF(TArticle[تاریخ],TDays[[#This Row],[تاریخ]],TArticle[تراکنش برنامه ریزی شده])</f>
        <v>0</v>
      </c>
    </row>
    <row r="882" spans="1:17" x14ac:dyDescent="0.25">
      <c r="A882" s="3" t="s">
        <v>1376</v>
      </c>
      <c r="B882" t="str">
        <f>RIGHT(TDays[[#This Row],[تاریخ]],2)</f>
        <v>27</v>
      </c>
      <c r="C882" t="str">
        <f>RIGHT(LEFT(TDays[[#This Row],[تاریخ]],7),2)</f>
        <v>05</v>
      </c>
      <c r="D882" t="str">
        <f>LEFT(TDays[[#This Row],[تاریخ]],4)</f>
        <v>1403</v>
      </c>
      <c r="E882" t="str">
        <f>LEFT(TDays[[#This Row],[تاریخ]],7)</f>
        <v>1403-05</v>
      </c>
      <c r="F882">
        <v>0</v>
      </c>
      <c r="G882" s="16" t="str">
        <f>VLOOKUP(TDays[[#This Row],[کد روز هفته]],TDaysOfTheWeek[],2,FALSE)</f>
        <v>شنبه</v>
      </c>
      <c r="H882" s="16">
        <f>IFERROR(IF(E881&lt;&gt;E882,1,INT(H881)+IF(TDays[[#This Row],[کد روز هفته]]=0,1,0)),1)</f>
        <v>5</v>
      </c>
      <c r="I882">
        <f>-SUMIF(TArticle[تاریخ],TDays[[#This Row],[تاریخ]],TArticle[هزینه])</f>
        <v>0</v>
      </c>
      <c r="J882">
        <f>SUMIF(TArticle[تاریخ],TDays[[#This Row],[تاریخ]],TArticle[درآمد تتا])</f>
        <v>0</v>
      </c>
      <c r="K882">
        <f>SUMIF(TArticle[تاریخ],TDays[[#This Row],[تاریخ]],TArticle[اسنپ])</f>
        <v>0</v>
      </c>
      <c r="L882">
        <f>-SUMIF(TArticle[تاریخ],TDays[[#This Row],[تاریخ]],TArticle[پرداخت بدهی])</f>
        <v>0</v>
      </c>
      <c r="M882">
        <f>SUMIF(TArticle[تاریخ],TDays[[#This Row],[تاریخ]],TArticle[افزایش بدهی])</f>
        <v>0</v>
      </c>
      <c r="N882">
        <f>-SUMIF(TArticle[تاریخ],TDays[[#This Row],[تاریخ]],TArticle[افزایش سرمایه])</f>
        <v>0</v>
      </c>
      <c r="O882">
        <f>SUMIF(TArticle[تاریخ],TDays[[#This Row],[تاریخ]],TArticle[تعداد تراکنش انجام شده])</f>
        <v>0</v>
      </c>
      <c r="P882">
        <f>INT(((TDays[[#This Row],[ماه]]-1)*31+TDays[[#This Row],[روز]]+1)/7)+1</f>
        <v>22</v>
      </c>
      <c r="Q882">
        <f>SUMIF(TArticle[تاریخ],TDays[[#This Row],[تاریخ]],TArticle[تراکنش برنامه ریزی شده])</f>
        <v>0</v>
      </c>
    </row>
    <row r="883" spans="1:17" x14ac:dyDescent="0.25">
      <c r="A883" s="3" t="s">
        <v>1377</v>
      </c>
      <c r="B883" t="str">
        <f>RIGHT(TDays[[#This Row],[تاریخ]],2)</f>
        <v>28</v>
      </c>
      <c r="C883" t="str">
        <f>RIGHT(LEFT(TDays[[#This Row],[تاریخ]],7),2)</f>
        <v>05</v>
      </c>
      <c r="D883" t="str">
        <f>LEFT(TDays[[#This Row],[تاریخ]],4)</f>
        <v>1403</v>
      </c>
      <c r="E883" t="str">
        <f>LEFT(TDays[[#This Row],[تاریخ]],7)</f>
        <v>1403-05</v>
      </c>
      <c r="F883">
        <v>1</v>
      </c>
      <c r="G883" s="16" t="str">
        <f>VLOOKUP(TDays[[#This Row],[کد روز هفته]],TDaysOfTheWeek[],2,FALSE)</f>
        <v>یکشنبه</v>
      </c>
      <c r="H883" s="16">
        <f>IFERROR(IF(E882&lt;&gt;E883,1,INT(H882)+IF(TDays[[#This Row],[کد روز هفته]]=0,1,0)),1)</f>
        <v>5</v>
      </c>
      <c r="I883">
        <f>-SUMIF(TArticle[تاریخ],TDays[[#This Row],[تاریخ]],TArticle[هزینه])</f>
        <v>0</v>
      </c>
      <c r="J883">
        <f>SUMIF(TArticle[تاریخ],TDays[[#This Row],[تاریخ]],TArticle[درآمد تتا])</f>
        <v>0</v>
      </c>
      <c r="K883">
        <f>SUMIF(TArticle[تاریخ],TDays[[#This Row],[تاریخ]],TArticle[اسنپ])</f>
        <v>0</v>
      </c>
      <c r="L883">
        <f>-SUMIF(TArticle[تاریخ],TDays[[#This Row],[تاریخ]],TArticle[پرداخت بدهی])</f>
        <v>0</v>
      </c>
      <c r="M883">
        <f>SUMIF(TArticle[تاریخ],TDays[[#This Row],[تاریخ]],TArticle[افزایش بدهی])</f>
        <v>0</v>
      </c>
      <c r="N883">
        <f>-SUMIF(TArticle[تاریخ],TDays[[#This Row],[تاریخ]],TArticle[افزایش سرمایه])</f>
        <v>0</v>
      </c>
      <c r="O883">
        <f>SUMIF(TArticle[تاریخ],TDays[[#This Row],[تاریخ]],TArticle[تعداد تراکنش انجام شده])</f>
        <v>0</v>
      </c>
      <c r="P883">
        <f>INT(((TDays[[#This Row],[ماه]]-1)*31+TDays[[#This Row],[روز]]+1)/7)+1</f>
        <v>22</v>
      </c>
      <c r="Q883">
        <f>SUMIF(TArticle[تاریخ],TDays[[#This Row],[تاریخ]],TArticle[تراکنش برنامه ریزی شده])</f>
        <v>0</v>
      </c>
    </row>
    <row r="884" spans="1:17" x14ac:dyDescent="0.25">
      <c r="A884" s="3" t="s">
        <v>1378</v>
      </c>
      <c r="B884" t="str">
        <f>RIGHT(TDays[[#This Row],[تاریخ]],2)</f>
        <v>29</v>
      </c>
      <c r="C884" t="str">
        <f>RIGHT(LEFT(TDays[[#This Row],[تاریخ]],7),2)</f>
        <v>05</v>
      </c>
      <c r="D884" t="str">
        <f>LEFT(TDays[[#This Row],[تاریخ]],4)</f>
        <v>1403</v>
      </c>
      <c r="E884" t="str">
        <f>LEFT(TDays[[#This Row],[تاریخ]],7)</f>
        <v>1403-05</v>
      </c>
      <c r="F884">
        <v>2</v>
      </c>
      <c r="G884" s="16" t="str">
        <f>VLOOKUP(TDays[[#This Row],[کد روز هفته]],TDaysOfTheWeek[],2,FALSE)</f>
        <v>دوشنبه</v>
      </c>
      <c r="H884" s="16">
        <f>IFERROR(IF(E883&lt;&gt;E884,1,INT(H883)+IF(TDays[[#This Row],[کد روز هفته]]=0,1,0)),1)</f>
        <v>5</v>
      </c>
      <c r="I884">
        <f>-SUMIF(TArticle[تاریخ],TDays[[#This Row],[تاریخ]],TArticle[هزینه])</f>
        <v>0</v>
      </c>
      <c r="J884">
        <f>SUMIF(TArticle[تاریخ],TDays[[#This Row],[تاریخ]],TArticle[درآمد تتا])</f>
        <v>0</v>
      </c>
      <c r="K884">
        <f>SUMIF(TArticle[تاریخ],TDays[[#This Row],[تاریخ]],TArticle[اسنپ])</f>
        <v>0</v>
      </c>
      <c r="L884">
        <f>-SUMIF(TArticle[تاریخ],TDays[[#This Row],[تاریخ]],TArticle[پرداخت بدهی])</f>
        <v>0</v>
      </c>
      <c r="M884">
        <f>SUMIF(TArticle[تاریخ],TDays[[#This Row],[تاریخ]],TArticle[افزایش بدهی])</f>
        <v>0</v>
      </c>
      <c r="N884">
        <f>-SUMIF(TArticle[تاریخ],TDays[[#This Row],[تاریخ]],TArticle[افزایش سرمایه])</f>
        <v>0</v>
      </c>
      <c r="O884">
        <f>SUMIF(TArticle[تاریخ],TDays[[#This Row],[تاریخ]],TArticle[تعداد تراکنش انجام شده])</f>
        <v>0</v>
      </c>
      <c r="P884">
        <f>INT(((TDays[[#This Row],[ماه]]-1)*31+TDays[[#This Row],[روز]]+1)/7)+1</f>
        <v>23</v>
      </c>
      <c r="Q884">
        <f>SUMIF(TArticle[تاریخ],TDays[[#This Row],[تاریخ]],TArticle[تراکنش برنامه ریزی شده])</f>
        <v>0</v>
      </c>
    </row>
    <row r="885" spans="1:17" x14ac:dyDescent="0.25">
      <c r="A885" s="3" t="s">
        <v>1379</v>
      </c>
      <c r="B885" t="str">
        <f>RIGHT(TDays[[#This Row],[تاریخ]],2)</f>
        <v>30</v>
      </c>
      <c r="C885" t="str">
        <f>RIGHT(LEFT(TDays[[#This Row],[تاریخ]],7),2)</f>
        <v>05</v>
      </c>
      <c r="D885" t="str">
        <f>LEFT(TDays[[#This Row],[تاریخ]],4)</f>
        <v>1403</v>
      </c>
      <c r="E885" t="str">
        <f>LEFT(TDays[[#This Row],[تاریخ]],7)</f>
        <v>1403-05</v>
      </c>
      <c r="F885">
        <v>3</v>
      </c>
      <c r="G885" s="16" t="str">
        <f>VLOOKUP(TDays[[#This Row],[کد روز هفته]],TDaysOfTheWeek[],2,FALSE)</f>
        <v>سه شنبه</v>
      </c>
      <c r="H885" s="16">
        <f>IFERROR(IF(E884&lt;&gt;E885,1,INT(H884)+IF(TDays[[#This Row],[کد روز هفته]]=0,1,0)),1)</f>
        <v>5</v>
      </c>
      <c r="I885">
        <f>-SUMIF(TArticle[تاریخ],TDays[[#This Row],[تاریخ]],TArticle[هزینه])</f>
        <v>0</v>
      </c>
      <c r="J885">
        <f>SUMIF(TArticle[تاریخ],TDays[[#This Row],[تاریخ]],TArticle[درآمد تتا])</f>
        <v>0</v>
      </c>
      <c r="K885">
        <f>SUMIF(TArticle[تاریخ],TDays[[#This Row],[تاریخ]],TArticle[اسنپ])</f>
        <v>0</v>
      </c>
      <c r="L885">
        <f>-SUMIF(TArticle[تاریخ],TDays[[#This Row],[تاریخ]],TArticle[پرداخت بدهی])</f>
        <v>0</v>
      </c>
      <c r="M885">
        <f>SUMIF(TArticle[تاریخ],TDays[[#This Row],[تاریخ]],TArticle[افزایش بدهی])</f>
        <v>0</v>
      </c>
      <c r="N885">
        <f>-SUMIF(TArticle[تاریخ],TDays[[#This Row],[تاریخ]],TArticle[افزایش سرمایه])</f>
        <v>0</v>
      </c>
      <c r="O885">
        <f>SUMIF(TArticle[تاریخ],TDays[[#This Row],[تاریخ]],TArticle[تعداد تراکنش انجام شده])</f>
        <v>0</v>
      </c>
      <c r="P885">
        <f>INT(((TDays[[#This Row],[ماه]]-1)*31+TDays[[#This Row],[روز]]+1)/7)+1</f>
        <v>23</v>
      </c>
      <c r="Q885">
        <f>SUMIF(TArticle[تاریخ],TDays[[#This Row],[تاریخ]],TArticle[تراکنش برنامه ریزی شده])</f>
        <v>0</v>
      </c>
    </row>
    <row r="886" spans="1:17" x14ac:dyDescent="0.25">
      <c r="A886" s="3" t="s">
        <v>1380</v>
      </c>
      <c r="B886" t="str">
        <f>RIGHT(TDays[[#This Row],[تاریخ]],2)</f>
        <v>31</v>
      </c>
      <c r="C886" t="str">
        <f>RIGHT(LEFT(TDays[[#This Row],[تاریخ]],7),2)</f>
        <v>05</v>
      </c>
      <c r="D886" t="str">
        <f>LEFT(TDays[[#This Row],[تاریخ]],4)</f>
        <v>1403</v>
      </c>
      <c r="E886" t="str">
        <f>LEFT(TDays[[#This Row],[تاریخ]],7)</f>
        <v>1403-05</v>
      </c>
      <c r="F886">
        <v>4</v>
      </c>
      <c r="G886" s="16" t="str">
        <f>VLOOKUP(TDays[[#This Row],[کد روز هفته]],TDaysOfTheWeek[],2,FALSE)</f>
        <v>چهارشنبه</v>
      </c>
      <c r="H886" s="16">
        <f>IFERROR(IF(E885&lt;&gt;E886,1,INT(H885)+IF(TDays[[#This Row],[کد روز هفته]]=0,1,0)),1)</f>
        <v>5</v>
      </c>
      <c r="I886">
        <f>-SUMIF(TArticle[تاریخ],TDays[[#This Row],[تاریخ]],TArticle[هزینه])</f>
        <v>0</v>
      </c>
      <c r="J886">
        <f>SUMIF(TArticle[تاریخ],TDays[[#This Row],[تاریخ]],TArticle[درآمد تتا])</f>
        <v>0</v>
      </c>
      <c r="K886">
        <f>SUMIF(TArticle[تاریخ],TDays[[#This Row],[تاریخ]],TArticle[اسنپ])</f>
        <v>0</v>
      </c>
      <c r="L886">
        <f>-SUMIF(TArticle[تاریخ],TDays[[#This Row],[تاریخ]],TArticle[پرداخت بدهی])</f>
        <v>0</v>
      </c>
      <c r="M886">
        <f>SUMIF(TArticle[تاریخ],TDays[[#This Row],[تاریخ]],TArticle[افزایش بدهی])</f>
        <v>0</v>
      </c>
      <c r="N886">
        <f>-SUMIF(TArticle[تاریخ],TDays[[#This Row],[تاریخ]],TArticle[افزایش سرمایه])</f>
        <v>0</v>
      </c>
      <c r="O886">
        <f>SUMIF(TArticle[تاریخ],TDays[[#This Row],[تاریخ]],TArticle[تعداد تراکنش انجام شده])</f>
        <v>0</v>
      </c>
      <c r="P886">
        <f>INT(((TDays[[#This Row],[ماه]]-1)*31+TDays[[#This Row],[روز]]+1)/7)+1</f>
        <v>23</v>
      </c>
      <c r="Q886">
        <f>SUMIF(TArticle[تاریخ],TDays[[#This Row],[تاریخ]],TArticle[تراکنش برنامه ریزی شده])</f>
        <v>0</v>
      </c>
    </row>
    <row r="887" spans="1:17" x14ac:dyDescent="0.25">
      <c r="A887" s="3" t="s">
        <v>1381</v>
      </c>
      <c r="B887" t="str">
        <f>RIGHT(TDays[[#This Row],[تاریخ]],2)</f>
        <v>01</v>
      </c>
      <c r="C887" t="str">
        <f>RIGHT(LEFT(TDays[[#This Row],[تاریخ]],7),2)</f>
        <v>06</v>
      </c>
      <c r="D887" t="str">
        <f>LEFT(TDays[[#This Row],[تاریخ]],4)</f>
        <v>1403</v>
      </c>
      <c r="E887" t="str">
        <f>LEFT(TDays[[#This Row],[تاریخ]],7)</f>
        <v>1403-06</v>
      </c>
      <c r="F887">
        <v>5</v>
      </c>
      <c r="G887" s="16" t="str">
        <f>VLOOKUP(TDays[[#This Row],[کد روز هفته]],TDaysOfTheWeek[],2,FALSE)</f>
        <v>پنجشنبه</v>
      </c>
      <c r="H887" s="16">
        <f>IFERROR(IF(E886&lt;&gt;E887,1,INT(H886)+IF(TDays[[#This Row],[کد روز هفته]]=0,1,0)),1)</f>
        <v>1</v>
      </c>
      <c r="I887">
        <f>-SUMIF(TArticle[تاریخ],TDays[[#This Row],[تاریخ]],TArticle[هزینه])</f>
        <v>0</v>
      </c>
      <c r="J887">
        <f>SUMIF(TArticle[تاریخ],TDays[[#This Row],[تاریخ]],TArticle[درآمد تتا])</f>
        <v>0</v>
      </c>
      <c r="K887">
        <f>SUMIF(TArticle[تاریخ],TDays[[#This Row],[تاریخ]],TArticle[اسنپ])</f>
        <v>0</v>
      </c>
      <c r="L887">
        <f>-SUMIF(TArticle[تاریخ],TDays[[#This Row],[تاریخ]],TArticle[پرداخت بدهی])</f>
        <v>0</v>
      </c>
      <c r="M887">
        <f>SUMIF(TArticle[تاریخ],TDays[[#This Row],[تاریخ]],TArticle[افزایش بدهی])</f>
        <v>0</v>
      </c>
      <c r="N887">
        <f>-SUMIF(TArticle[تاریخ],TDays[[#This Row],[تاریخ]],TArticle[افزایش سرمایه])</f>
        <v>0</v>
      </c>
      <c r="O887">
        <f>SUMIF(TArticle[تاریخ],TDays[[#This Row],[تاریخ]],TArticle[تعداد تراکنش انجام شده])</f>
        <v>0</v>
      </c>
      <c r="P887">
        <f>INT(((TDays[[#This Row],[ماه]]-1)*31+TDays[[#This Row],[روز]]+1)/7)+1</f>
        <v>23</v>
      </c>
      <c r="Q887">
        <f>SUMIF(TArticle[تاریخ],TDays[[#This Row],[تاریخ]],TArticle[تراکنش برنامه ریزی شده])</f>
        <v>2</v>
      </c>
    </row>
    <row r="888" spans="1:17" x14ac:dyDescent="0.25">
      <c r="A888" s="3" t="s">
        <v>1382</v>
      </c>
      <c r="B888" t="str">
        <f>RIGHT(TDays[[#This Row],[تاریخ]],2)</f>
        <v>02</v>
      </c>
      <c r="C888" t="str">
        <f>RIGHT(LEFT(TDays[[#This Row],[تاریخ]],7),2)</f>
        <v>06</v>
      </c>
      <c r="D888" t="str">
        <f>LEFT(TDays[[#This Row],[تاریخ]],4)</f>
        <v>1403</v>
      </c>
      <c r="E888" t="str">
        <f>LEFT(TDays[[#This Row],[تاریخ]],7)</f>
        <v>1403-06</v>
      </c>
      <c r="F888">
        <v>6</v>
      </c>
      <c r="G888" s="16" t="str">
        <f>VLOOKUP(TDays[[#This Row],[کد روز هفته]],TDaysOfTheWeek[],2,FALSE)</f>
        <v>جمعه</v>
      </c>
      <c r="H888" s="16">
        <f>IFERROR(IF(E887&lt;&gt;E888,1,INT(H887)+IF(TDays[[#This Row],[کد روز هفته]]=0,1,0)),1)</f>
        <v>1</v>
      </c>
      <c r="I888">
        <f>-SUMIF(TArticle[تاریخ],TDays[[#This Row],[تاریخ]],TArticle[هزینه])</f>
        <v>0</v>
      </c>
      <c r="J888">
        <f>SUMIF(TArticle[تاریخ],TDays[[#This Row],[تاریخ]],TArticle[درآمد تتا])</f>
        <v>0</v>
      </c>
      <c r="K888">
        <f>SUMIF(TArticle[تاریخ],TDays[[#This Row],[تاریخ]],TArticle[اسنپ])</f>
        <v>0</v>
      </c>
      <c r="L888">
        <f>-SUMIF(TArticle[تاریخ],TDays[[#This Row],[تاریخ]],TArticle[پرداخت بدهی])</f>
        <v>0</v>
      </c>
      <c r="M888">
        <f>SUMIF(TArticle[تاریخ],TDays[[#This Row],[تاریخ]],TArticle[افزایش بدهی])</f>
        <v>0</v>
      </c>
      <c r="N888">
        <f>-SUMIF(TArticle[تاریخ],TDays[[#This Row],[تاریخ]],TArticle[افزایش سرمایه])</f>
        <v>0</v>
      </c>
      <c r="O888">
        <f>SUMIF(TArticle[تاریخ],TDays[[#This Row],[تاریخ]],TArticle[تعداد تراکنش انجام شده])</f>
        <v>0</v>
      </c>
      <c r="P888">
        <f>INT(((TDays[[#This Row],[ماه]]-1)*31+TDays[[#This Row],[روز]]+1)/7)+1</f>
        <v>23</v>
      </c>
      <c r="Q888">
        <f>SUMIF(TArticle[تاریخ],TDays[[#This Row],[تاریخ]],TArticle[تراکنش برنامه ریزی شده])</f>
        <v>0</v>
      </c>
    </row>
    <row r="889" spans="1:17" x14ac:dyDescent="0.25">
      <c r="A889" s="3" t="s">
        <v>1383</v>
      </c>
      <c r="B889" t="str">
        <f>RIGHT(TDays[[#This Row],[تاریخ]],2)</f>
        <v>03</v>
      </c>
      <c r="C889" t="str">
        <f>RIGHT(LEFT(TDays[[#This Row],[تاریخ]],7),2)</f>
        <v>06</v>
      </c>
      <c r="D889" t="str">
        <f>LEFT(TDays[[#This Row],[تاریخ]],4)</f>
        <v>1403</v>
      </c>
      <c r="E889" t="str">
        <f>LEFT(TDays[[#This Row],[تاریخ]],7)</f>
        <v>1403-06</v>
      </c>
      <c r="F889">
        <v>0</v>
      </c>
      <c r="G889" s="16" t="str">
        <f>VLOOKUP(TDays[[#This Row],[کد روز هفته]],TDaysOfTheWeek[],2,FALSE)</f>
        <v>شنبه</v>
      </c>
      <c r="H889" s="16">
        <f>IFERROR(IF(E888&lt;&gt;E889,1,INT(H888)+IF(TDays[[#This Row],[کد روز هفته]]=0,1,0)),1)</f>
        <v>2</v>
      </c>
      <c r="I889">
        <f>-SUMIF(TArticle[تاریخ],TDays[[#This Row],[تاریخ]],TArticle[هزینه])</f>
        <v>0</v>
      </c>
      <c r="J889">
        <f>SUMIF(TArticle[تاریخ],TDays[[#This Row],[تاریخ]],TArticle[درآمد تتا])</f>
        <v>0</v>
      </c>
      <c r="K889">
        <f>SUMIF(TArticle[تاریخ],TDays[[#This Row],[تاریخ]],TArticle[اسنپ])</f>
        <v>0</v>
      </c>
      <c r="L889">
        <f>-SUMIF(TArticle[تاریخ],TDays[[#This Row],[تاریخ]],TArticle[پرداخت بدهی])</f>
        <v>0</v>
      </c>
      <c r="M889">
        <f>SUMIF(TArticle[تاریخ],TDays[[#This Row],[تاریخ]],TArticle[افزایش بدهی])</f>
        <v>0</v>
      </c>
      <c r="N889">
        <f>-SUMIF(TArticle[تاریخ],TDays[[#This Row],[تاریخ]],TArticle[افزایش سرمایه])</f>
        <v>0</v>
      </c>
      <c r="O889">
        <f>SUMIF(TArticle[تاریخ],TDays[[#This Row],[تاریخ]],TArticle[تعداد تراکنش انجام شده])</f>
        <v>0</v>
      </c>
      <c r="P889">
        <f>INT(((TDays[[#This Row],[ماه]]-1)*31+TDays[[#This Row],[روز]]+1)/7)+1</f>
        <v>23</v>
      </c>
      <c r="Q889">
        <f>SUMIF(TArticle[تاریخ],TDays[[#This Row],[تاریخ]],TArticle[تراکنش برنامه ریزی شده])</f>
        <v>1</v>
      </c>
    </row>
    <row r="890" spans="1:17" x14ac:dyDescent="0.25">
      <c r="A890" s="3" t="s">
        <v>1384</v>
      </c>
      <c r="B890" t="str">
        <f>RIGHT(TDays[[#This Row],[تاریخ]],2)</f>
        <v>04</v>
      </c>
      <c r="C890" t="str">
        <f>RIGHT(LEFT(TDays[[#This Row],[تاریخ]],7),2)</f>
        <v>06</v>
      </c>
      <c r="D890" t="str">
        <f>LEFT(TDays[[#This Row],[تاریخ]],4)</f>
        <v>1403</v>
      </c>
      <c r="E890" t="str">
        <f>LEFT(TDays[[#This Row],[تاریخ]],7)</f>
        <v>1403-06</v>
      </c>
      <c r="F890">
        <v>1</v>
      </c>
      <c r="G890" s="16" t="str">
        <f>VLOOKUP(TDays[[#This Row],[کد روز هفته]],TDaysOfTheWeek[],2,FALSE)</f>
        <v>یکشنبه</v>
      </c>
      <c r="H890" s="16">
        <f>IFERROR(IF(E889&lt;&gt;E890,1,INT(H889)+IF(TDays[[#This Row],[کد روز هفته]]=0,1,0)),1)</f>
        <v>2</v>
      </c>
      <c r="I890">
        <f>-SUMIF(TArticle[تاریخ],TDays[[#This Row],[تاریخ]],TArticle[هزینه])</f>
        <v>0</v>
      </c>
      <c r="J890">
        <f>SUMIF(TArticle[تاریخ],TDays[[#This Row],[تاریخ]],TArticle[درآمد تتا])</f>
        <v>0</v>
      </c>
      <c r="K890">
        <f>SUMIF(TArticle[تاریخ],TDays[[#This Row],[تاریخ]],TArticle[اسنپ])</f>
        <v>0</v>
      </c>
      <c r="L890">
        <f>-SUMIF(TArticle[تاریخ],TDays[[#This Row],[تاریخ]],TArticle[پرداخت بدهی])</f>
        <v>0</v>
      </c>
      <c r="M890">
        <f>SUMIF(TArticle[تاریخ],TDays[[#This Row],[تاریخ]],TArticle[افزایش بدهی])</f>
        <v>0</v>
      </c>
      <c r="N890">
        <f>-SUMIF(TArticle[تاریخ],TDays[[#This Row],[تاریخ]],TArticle[افزایش سرمایه])</f>
        <v>0</v>
      </c>
      <c r="O890">
        <f>SUMIF(TArticle[تاریخ],TDays[[#This Row],[تاریخ]],TArticle[تعداد تراکنش انجام شده])</f>
        <v>0</v>
      </c>
      <c r="P890">
        <f>INT(((TDays[[#This Row],[ماه]]-1)*31+TDays[[#This Row],[روز]]+1)/7)+1</f>
        <v>23</v>
      </c>
      <c r="Q890">
        <f>SUMIF(TArticle[تاریخ],TDays[[#This Row],[تاریخ]],TArticle[تراکنش برنامه ریزی شده])</f>
        <v>1</v>
      </c>
    </row>
    <row r="891" spans="1:17" x14ac:dyDescent="0.25">
      <c r="A891" s="3" t="s">
        <v>1385</v>
      </c>
      <c r="B891" t="str">
        <f>RIGHT(TDays[[#This Row],[تاریخ]],2)</f>
        <v>05</v>
      </c>
      <c r="C891" t="str">
        <f>RIGHT(LEFT(TDays[[#This Row],[تاریخ]],7),2)</f>
        <v>06</v>
      </c>
      <c r="D891" t="str">
        <f>LEFT(TDays[[#This Row],[تاریخ]],4)</f>
        <v>1403</v>
      </c>
      <c r="E891" t="str">
        <f>LEFT(TDays[[#This Row],[تاریخ]],7)</f>
        <v>1403-06</v>
      </c>
      <c r="F891">
        <v>2</v>
      </c>
      <c r="G891" s="16" t="str">
        <f>VLOOKUP(TDays[[#This Row],[کد روز هفته]],TDaysOfTheWeek[],2,FALSE)</f>
        <v>دوشنبه</v>
      </c>
      <c r="H891" s="16">
        <f>IFERROR(IF(E890&lt;&gt;E891,1,INT(H890)+IF(TDays[[#This Row],[کد روز هفته]]=0,1,0)),1)</f>
        <v>2</v>
      </c>
      <c r="I891">
        <f>-SUMIF(TArticle[تاریخ],TDays[[#This Row],[تاریخ]],TArticle[هزینه])</f>
        <v>0</v>
      </c>
      <c r="J891">
        <f>SUMIF(TArticle[تاریخ],TDays[[#This Row],[تاریخ]],TArticle[درآمد تتا])</f>
        <v>0</v>
      </c>
      <c r="K891">
        <f>SUMIF(TArticle[تاریخ],TDays[[#This Row],[تاریخ]],TArticle[اسنپ])</f>
        <v>0</v>
      </c>
      <c r="L891">
        <f>-SUMIF(TArticle[تاریخ],TDays[[#This Row],[تاریخ]],TArticle[پرداخت بدهی])</f>
        <v>0</v>
      </c>
      <c r="M891">
        <f>SUMIF(TArticle[تاریخ],TDays[[#This Row],[تاریخ]],TArticle[افزایش بدهی])</f>
        <v>0</v>
      </c>
      <c r="N891">
        <f>-SUMIF(TArticle[تاریخ],TDays[[#This Row],[تاریخ]],TArticle[افزایش سرمایه])</f>
        <v>0</v>
      </c>
      <c r="O891">
        <f>SUMIF(TArticle[تاریخ],TDays[[#This Row],[تاریخ]],TArticle[تعداد تراکنش انجام شده])</f>
        <v>0</v>
      </c>
      <c r="P891">
        <f>INT(((TDays[[#This Row],[ماه]]-1)*31+TDays[[#This Row],[روز]]+1)/7)+1</f>
        <v>24</v>
      </c>
      <c r="Q891">
        <f>SUMIF(TArticle[تاریخ],TDays[[#This Row],[تاریخ]],TArticle[تراکنش برنامه ریزی شده])</f>
        <v>0</v>
      </c>
    </row>
    <row r="892" spans="1:17" x14ac:dyDescent="0.25">
      <c r="A892" s="3" t="s">
        <v>1386</v>
      </c>
      <c r="B892" t="str">
        <f>RIGHT(TDays[[#This Row],[تاریخ]],2)</f>
        <v>06</v>
      </c>
      <c r="C892" t="str">
        <f>RIGHT(LEFT(TDays[[#This Row],[تاریخ]],7),2)</f>
        <v>06</v>
      </c>
      <c r="D892" t="str">
        <f>LEFT(TDays[[#This Row],[تاریخ]],4)</f>
        <v>1403</v>
      </c>
      <c r="E892" t="str">
        <f>LEFT(TDays[[#This Row],[تاریخ]],7)</f>
        <v>1403-06</v>
      </c>
      <c r="F892">
        <v>3</v>
      </c>
      <c r="G892" s="16" t="str">
        <f>VLOOKUP(TDays[[#This Row],[کد روز هفته]],TDaysOfTheWeek[],2,FALSE)</f>
        <v>سه شنبه</v>
      </c>
      <c r="H892" s="16">
        <f>IFERROR(IF(E891&lt;&gt;E892,1,INT(H891)+IF(TDays[[#This Row],[کد روز هفته]]=0,1,0)),1)</f>
        <v>2</v>
      </c>
      <c r="I892">
        <f>-SUMIF(TArticle[تاریخ],TDays[[#This Row],[تاریخ]],TArticle[هزینه])</f>
        <v>0</v>
      </c>
      <c r="J892">
        <f>SUMIF(TArticle[تاریخ],TDays[[#This Row],[تاریخ]],TArticle[درآمد تتا])</f>
        <v>0</v>
      </c>
      <c r="K892">
        <f>SUMIF(TArticle[تاریخ],TDays[[#This Row],[تاریخ]],TArticle[اسنپ])</f>
        <v>0</v>
      </c>
      <c r="L892">
        <f>-SUMIF(TArticle[تاریخ],TDays[[#This Row],[تاریخ]],TArticle[پرداخت بدهی])</f>
        <v>0</v>
      </c>
      <c r="M892">
        <f>SUMIF(TArticle[تاریخ],TDays[[#This Row],[تاریخ]],TArticle[افزایش بدهی])</f>
        <v>0</v>
      </c>
      <c r="N892">
        <f>-SUMIF(TArticle[تاریخ],TDays[[#This Row],[تاریخ]],TArticle[افزایش سرمایه])</f>
        <v>0</v>
      </c>
      <c r="O892">
        <f>SUMIF(TArticle[تاریخ],TDays[[#This Row],[تاریخ]],TArticle[تعداد تراکنش انجام شده])</f>
        <v>0</v>
      </c>
      <c r="P892">
        <f>INT(((TDays[[#This Row],[ماه]]-1)*31+TDays[[#This Row],[روز]]+1)/7)+1</f>
        <v>24</v>
      </c>
      <c r="Q892">
        <f>SUMIF(TArticle[تاریخ],TDays[[#This Row],[تاریخ]],TArticle[تراکنش برنامه ریزی شده])</f>
        <v>0</v>
      </c>
    </row>
    <row r="893" spans="1:17" x14ac:dyDescent="0.25">
      <c r="A893" s="3" t="s">
        <v>1387</v>
      </c>
      <c r="B893" t="str">
        <f>RIGHT(TDays[[#This Row],[تاریخ]],2)</f>
        <v>07</v>
      </c>
      <c r="C893" t="str">
        <f>RIGHT(LEFT(TDays[[#This Row],[تاریخ]],7),2)</f>
        <v>06</v>
      </c>
      <c r="D893" t="str">
        <f>LEFT(TDays[[#This Row],[تاریخ]],4)</f>
        <v>1403</v>
      </c>
      <c r="E893" t="str">
        <f>LEFT(TDays[[#This Row],[تاریخ]],7)</f>
        <v>1403-06</v>
      </c>
      <c r="F893">
        <v>4</v>
      </c>
      <c r="G893" s="16" t="str">
        <f>VLOOKUP(TDays[[#This Row],[کد روز هفته]],TDaysOfTheWeek[],2,FALSE)</f>
        <v>چهارشنبه</v>
      </c>
      <c r="H893" s="16">
        <f>IFERROR(IF(E892&lt;&gt;E893,1,INT(H892)+IF(TDays[[#This Row],[کد روز هفته]]=0,1,0)),1)</f>
        <v>2</v>
      </c>
      <c r="I893">
        <f>-SUMIF(TArticle[تاریخ],TDays[[#This Row],[تاریخ]],TArticle[هزینه])</f>
        <v>0</v>
      </c>
      <c r="J893">
        <f>SUMIF(TArticle[تاریخ],TDays[[#This Row],[تاریخ]],TArticle[درآمد تتا])</f>
        <v>0</v>
      </c>
      <c r="K893">
        <f>SUMIF(TArticle[تاریخ],TDays[[#This Row],[تاریخ]],TArticle[اسنپ])</f>
        <v>0</v>
      </c>
      <c r="L893">
        <f>-SUMIF(TArticle[تاریخ],TDays[[#This Row],[تاریخ]],TArticle[پرداخت بدهی])</f>
        <v>0</v>
      </c>
      <c r="M893">
        <f>SUMIF(TArticle[تاریخ],TDays[[#This Row],[تاریخ]],TArticle[افزایش بدهی])</f>
        <v>0</v>
      </c>
      <c r="N893">
        <f>-SUMIF(TArticle[تاریخ],TDays[[#This Row],[تاریخ]],TArticle[افزایش سرمایه])</f>
        <v>0</v>
      </c>
      <c r="O893">
        <f>SUMIF(TArticle[تاریخ],TDays[[#This Row],[تاریخ]],TArticle[تعداد تراکنش انجام شده])</f>
        <v>0</v>
      </c>
      <c r="P893">
        <f>INT(((TDays[[#This Row],[ماه]]-1)*31+TDays[[#This Row],[روز]]+1)/7)+1</f>
        <v>24</v>
      </c>
      <c r="Q893">
        <f>SUMIF(TArticle[تاریخ],TDays[[#This Row],[تاریخ]],TArticle[تراکنش برنامه ریزی شده])</f>
        <v>0</v>
      </c>
    </row>
    <row r="894" spans="1:17" x14ac:dyDescent="0.25">
      <c r="A894" s="3" t="s">
        <v>1388</v>
      </c>
      <c r="B894" t="str">
        <f>RIGHT(TDays[[#This Row],[تاریخ]],2)</f>
        <v>08</v>
      </c>
      <c r="C894" t="str">
        <f>RIGHT(LEFT(TDays[[#This Row],[تاریخ]],7),2)</f>
        <v>06</v>
      </c>
      <c r="D894" t="str">
        <f>LEFT(TDays[[#This Row],[تاریخ]],4)</f>
        <v>1403</v>
      </c>
      <c r="E894" t="str">
        <f>LEFT(TDays[[#This Row],[تاریخ]],7)</f>
        <v>1403-06</v>
      </c>
      <c r="F894">
        <v>5</v>
      </c>
      <c r="G894" s="16" t="str">
        <f>VLOOKUP(TDays[[#This Row],[کد روز هفته]],TDaysOfTheWeek[],2,FALSE)</f>
        <v>پنجشنبه</v>
      </c>
      <c r="H894" s="16">
        <f>IFERROR(IF(E893&lt;&gt;E894,1,INT(H893)+IF(TDays[[#This Row],[کد روز هفته]]=0,1,0)),1)</f>
        <v>2</v>
      </c>
      <c r="I894">
        <f>-SUMIF(TArticle[تاریخ],TDays[[#This Row],[تاریخ]],TArticle[هزینه])</f>
        <v>0</v>
      </c>
      <c r="J894">
        <f>SUMIF(TArticle[تاریخ],TDays[[#This Row],[تاریخ]],TArticle[درآمد تتا])</f>
        <v>0</v>
      </c>
      <c r="K894">
        <f>SUMIF(TArticle[تاریخ],TDays[[#This Row],[تاریخ]],TArticle[اسنپ])</f>
        <v>0</v>
      </c>
      <c r="L894">
        <f>-SUMIF(TArticle[تاریخ],TDays[[#This Row],[تاریخ]],TArticle[پرداخت بدهی])</f>
        <v>0</v>
      </c>
      <c r="M894">
        <f>SUMIF(TArticle[تاریخ],TDays[[#This Row],[تاریخ]],TArticle[افزایش بدهی])</f>
        <v>0</v>
      </c>
      <c r="N894">
        <f>-SUMIF(TArticle[تاریخ],TDays[[#This Row],[تاریخ]],TArticle[افزایش سرمایه])</f>
        <v>0</v>
      </c>
      <c r="O894">
        <f>SUMIF(TArticle[تاریخ],TDays[[#This Row],[تاریخ]],TArticle[تعداد تراکنش انجام شده])</f>
        <v>0</v>
      </c>
      <c r="P894">
        <f>INT(((TDays[[#This Row],[ماه]]-1)*31+TDays[[#This Row],[روز]]+1)/7)+1</f>
        <v>24</v>
      </c>
      <c r="Q894">
        <f>SUMIF(TArticle[تاریخ],TDays[[#This Row],[تاریخ]],TArticle[تراکنش برنامه ریزی شده])</f>
        <v>0</v>
      </c>
    </row>
    <row r="895" spans="1:17" x14ac:dyDescent="0.25">
      <c r="A895" s="3" t="s">
        <v>1389</v>
      </c>
      <c r="B895" t="str">
        <f>RIGHT(TDays[[#This Row],[تاریخ]],2)</f>
        <v>09</v>
      </c>
      <c r="C895" t="str">
        <f>RIGHT(LEFT(TDays[[#This Row],[تاریخ]],7),2)</f>
        <v>06</v>
      </c>
      <c r="D895" t="str">
        <f>LEFT(TDays[[#This Row],[تاریخ]],4)</f>
        <v>1403</v>
      </c>
      <c r="E895" t="str">
        <f>LEFT(TDays[[#This Row],[تاریخ]],7)</f>
        <v>1403-06</v>
      </c>
      <c r="F895">
        <v>6</v>
      </c>
      <c r="G895" s="16" t="str">
        <f>VLOOKUP(TDays[[#This Row],[کد روز هفته]],TDaysOfTheWeek[],2,FALSE)</f>
        <v>جمعه</v>
      </c>
      <c r="H895" s="16">
        <f>IFERROR(IF(E894&lt;&gt;E895,1,INT(H894)+IF(TDays[[#This Row],[کد روز هفته]]=0,1,0)),1)</f>
        <v>2</v>
      </c>
      <c r="I895">
        <f>-SUMIF(TArticle[تاریخ],TDays[[#This Row],[تاریخ]],TArticle[هزینه])</f>
        <v>0</v>
      </c>
      <c r="J895">
        <f>SUMIF(TArticle[تاریخ],TDays[[#This Row],[تاریخ]],TArticle[درآمد تتا])</f>
        <v>0</v>
      </c>
      <c r="K895">
        <f>SUMIF(TArticle[تاریخ],TDays[[#This Row],[تاریخ]],TArticle[اسنپ])</f>
        <v>0</v>
      </c>
      <c r="L895">
        <f>-SUMIF(TArticle[تاریخ],TDays[[#This Row],[تاریخ]],TArticle[پرداخت بدهی])</f>
        <v>0</v>
      </c>
      <c r="M895">
        <f>SUMIF(TArticle[تاریخ],TDays[[#This Row],[تاریخ]],TArticle[افزایش بدهی])</f>
        <v>0</v>
      </c>
      <c r="N895">
        <f>-SUMIF(TArticle[تاریخ],TDays[[#This Row],[تاریخ]],TArticle[افزایش سرمایه])</f>
        <v>0</v>
      </c>
      <c r="O895">
        <f>SUMIF(TArticle[تاریخ],TDays[[#This Row],[تاریخ]],TArticle[تعداد تراکنش انجام شده])</f>
        <v>0</v>
      </c>
      <c r="P895">
        <f>INT(((TDays[[#This Row],[ماه]]-1)*31+TDays[[#This Row],[روز]]+1)/7)+1</f>
        <v>24</v>
      </c>
      <c r="Q895">
        <f>SUMIF(TArticle[تاریخ],TDays[[#This Row],[تاریخ]],TArticle[تراکنش برنامه ریزی شده])</f>
        <v>1</v>
      </c>
    </row>
    <row r="896" spans="1:17" x14ac:dyDescent="0.25">
      <c r="A896" s="3" t="s">
        <v>1390</v>
      </c>
      <c r="B896" t="str">
        <f>RIGHT(TDays[[#This Row],[تاریخ]],2)</f>
        <v>10</v>
      </c>
      <c r="C896" t="str">
        <f>RIGHT(LEFT(TDays[[#This Row],[تاریخ]],7),2)</f>
        <v>06</v>
      </c>
      <c r="D896" t="str">
        <f>LEFT(TDays[[#This Row],[تاریخ]],4)</f>
        <v>1403</v>
      </c>
      <c r="E896" t="str">
        <f>LEFT(TDays[[#This Row],[تاریخ]],7)</f>
        <v>1403-06</v>
      </c>
      <c r="F896">
        <v>0</v>
      </c>
      <c r="G896" s="16" t="str">
        <f>VLOOKUP(TDays[[#This Row],[کد روز هفته]],TDaysOfTheWeek[],2,FALSE)</f>
        <v>شنبه</v>
      </c>
      <c r="H896" s="16">
        <f>IFERROR(IF(E895&lt;&gt;E896,1,INT(H895)+IF(TDays[[#This Row],[کد روز هفته]]=0,1,0)),1)</f>
        <v>3</v>
      </c>
      <c r="I896">
        <f>-SUMIF(TArticle[تاریخ],TDays[[#This Row],[تاریخ]],TArticle[هزینه])</f>
        <v>0</v>
      </c>
      <c r="J896">
        <f>SUMIF(TArticle[تاریخ],TDays[[#This Row],[تاریخ]],TArticle[درآمد تتا])</f>
        <v>0</v>
      </c>
      <c r="K896">
        <f>SUMIF(TArticle[تاریخ],TDays[[#This Row],[تاریخ]],TArticle[اسنپ])</f>
        <v>0</v>
      </c>
      <c r="L896">
        <f>-SUMIF(TArticle[تاریخ],TDays[[#This Row],[تاریخ]],TArticle[پرداخت بدهی])</f>
        <v>0</v>
      </c>
      <c r="M896">
        <f>SUMIF(TArticle[تاریخ],TDays[[#This Row],[تاریخ]],TArticle[افزایش بدهی])</f>
        <v>0</v>
      </c>
      <c r="N896">
        <f>-SUMIF(TArticle[تاریخ],TDays[[#This Row],[تاریخ]],TArticle[افزایش سرمایه])</f>
        <v>0</v>
      </c>
      <c r="O896">
        <f>SUMIF(TArticle[تاریخ],TDays[[#This Row],[تاریخ]],TArticle[تعداد تراکنش انجام شده])</f>
        <v>0</v>
      </c>
      <c r="P896">
        <f>INT(((TDays[[#This Row],[ماه]]-1)*31+TDays[[#This Row],[روز]]+1)/7)+1</f>
        <v>24</v>
      </c>
      <c r="Q896">
        <f>SUMIF(TArticle[تاریخ],TDays[[#This Row],[تاریخ]],TArticle[تراکنش برنامه ریزی شده])</f>
        <v>0</v>
      </c>
    </row>
    <row r="897" spans="1:17" x14ac:dyDescent="0.25">
      <c r="A897" s="3" t="s">
        <v>1391</v>
      </c>
      <c r="B897" t="str">
        <f>RIGHT(TDays[[#This Row],[تاریخ]],2)</f>
        <v>11</v>
      </c>
      <c r="C897" t="str">
        <f>RIGHT(LEFT(TDays[[#This Row],[تاریخ]],7),2)</f>
        <v>06</v>
      </c>
      <c r="D897" t="str">
        <f>LEFT(TDays[[#This Row],[تاریخ]],4)</f>
        <v>1403</v>
      </c>
      <c r="E897" t="str">
        <f>LEFT(TDays[[#This Row],[تاریخ]],7)</f>
        <v>1403-06</v>
      </c>
      <c r="F897">
        <v>1</v>
      </c>
      <c r="G897" s="16" t="str">
        <f>VLOOKUP(TDays[[#This Row],[کد روز هفته]],TDaysOfTheWeek[],2,FALSE)</f>
        <v>یکشنبه</v>
      </c>
      <c r="H897" s="16">
        <f>IFERROR(IF(E896&lt;&gt;E897,1,INT(H896)+IF(TDays[[#This Row],[کد روز هفته]]=0,1,0)),1)</f>
        <v>3</v>
      </c>
      <c r="I897">
        <f>-SUMIF(TArticle[تاریخ],TDays[[#This Row],[تاریخ]],TArticle[هزینه])</f>
        <v>0</v>
      </c>
      <c r="J897">
        <f>SUMIF(TArticle[تاریخ],TDays[[#This Row],[تاریخ]],TArticle[درآمد تتا])</f>
        <v>0</v>
      </c>
      <c r="K897">
        <f>SUMIF(TArticle[تاریخ],TDays[[#This Row],[تاریخ]],TArticle[اسنپ])</f>
        <v>0</v>
      </c>
      <c r="L897">
        <f>-SUMIF(TArticle[تاریخ],TDays[[#This Row],[تاریخ]],TArticle[پرداخت بدهی])</f>
        <v>0</v>
      </c>
      <c r="M897">
        <f>SUMIF(TArticle[تاریخ],TDays[[#This Row],[تاریخ]],TArticle[افزایش بدهی])</f>
        <v>0</v>
      </c>
      <c r="N897">
        <f>-SUMIF(TArticle[تاریخ],TDays[[#This Row],[تاریخ]],TArticle[افزایش سرمایه])</f>
        <v>0</v>
      </c>
      <c r="O897">
        <f>SUMIF(TArticle[تاریخ],TDays[[#This Row],[تاریخ]],TArticle[تعداد تراکنش انجام شده])</f>
        <v>0</v>
      </c>
      <c r="P897">
        <f>INT(((TDays[[#This Row],[ماه]]-1)*31+TDays[[#This Row],[روز]]+1)/7)+1</f>
        <v>24</v>
      </c>
      <c r="Q897">
        <f>SUMIF(TArticle[تاریخ],TDays[[#This Row],[تاریخ]],TArticle[تراکنش برنامه ریزی شده])</f>
        <v>0</v>
      </c>
    </row>
    <row r="898" spans="1:17" x14ac:dyDescent="0.25">
      <c r="A898" s="3" t="s">
        <v>1392</v>
      </c>
      <c r="B898" t="str">
        <f>RIGHT(TDays[[#This Row],[تاریخ]],2)</f>
        <v>12</v>
      </c>
      <c r="C898" t="str">
        <f>RIGHT(LEFT(TDays[[#This Row],[تاریخ]],7),2)</f>
        <v>06</v>
      </c>
      <c r="D898" t="str">
        <f>LEFT(TDays[[#This Row],[تاریخ]],4)</f>
        <v>1403</v>
      </c>
      <c r="E898" t="str">
        <f>LEFT(TDays[[#This Row],[تاریخ]],7)</f>
        <v>1403-06</v>
      </c>
      <c r="F898">
        <v>2</v>
      </c>
      <c r="G898" s="16" t="str">
        <f>VLOOKUP(TDays[[#This Row],[کد روز هفته]],TDaysOfTheWeek[],2,FALSE)</f>
        <v>دوشنبه</v>
      </c>
      <c r="H898" s="16">
        <f>IFERROR(IF(E897&lt;&gt;E898,1,INT(H897)+IF(TDays[[#This Row],[کد روز هفته]]=0,1,0)),1)</f>
        <v>3</v>
      </c>
      <c r="I898">
        <f>-SUMIF(TArticle[تاریخ],TDays[[#This Row],[تاریخ]],TArticle[هزینه])</f>
        <v>0</v>
      </c>
      <c r="J898">
        <f>SUMIF(TArticle[تاریخ],TDays[[#This Row],[تاریخ]],TArticle[درآمد تتا])</f>
        <v>0</v>
      </c>
      <c r="K898">
        <f>SUMIF(TArticle[تاریخ],TDays[[#This Row],[تاریخ]],TArticle[اسنپ])</f>
        <v>0</v>
      </c>
      <c r="L898">
        <f>-SUMIF(TArticle[تاریخ],TDays[[#This Row],[تاریخ]],TArticle[پرداخت بدهی])</f>
        <v>0</v>
      </c>
      <c r="M898">
        <f>SUMIF(TArticle[تاریخ],TDays[[#This Row],[تاریخ]],TArticle[افزایش بدهی])</f>
        <v>0</v>
      </c>
      <c r="N898">
        <f>-SUMIF(TArticle[تاریخ],TDays[[#This Row],[تاریخ]],TArticle[افزایش سرمایه])</f>
        <v>0</v>
      </c>
      <c r="O898">
        <f>SUMIF(TArticle[تاریخ],TDays[[#This Row],[تاریخ]],TArticle[تعداد تراکنش انجام شده])</f>
        <v>0</v>
      </c>
      <c r="P898">
        <f>INT(((TDays[[#This Row],[ماه]]-1)*31+TDays[[#This Row],[روز]]+1)/7)+1</f>
        <v>25</v>
      </c>
      <c r="Q898">
        <f>SUMIF(TArticle[تاریخ],TDays[[#This Row],[تاریخ]],TArticle[تراکنش برنامه ریزی شده])</f>
        <v>0</v>
      </c>
    </row>
    <row r="899" spans="1:17" x14ac:dyDescent="0.25">
      <c r="A899" s="3" t="s">
        <v>1393</v>
      </c>
      <c r="B899" t="str">
        <f>RIGHT(TDays[[#This Row],[تاریخ]],2)</f>
        <v>13</v>
      </c>
      <c r="C899" t="str">
        <f>RIGHT(LEFT(TDays[[#This Row],[تاریخ]],7),2)</f>
        <v>06</v>
      </c>
      <c r="D899" t="str">
        <f>LEFT(TDays[[#This Row],[تاریخ]],4)</f>
        <v>1403</v>
      </c>
      <c r="E899" t="str">
        <f>LEFT(TDays[[#This Row],[تاریخ]],7)</f>
        <v>1403-06</v>
      </c>
      <c r="F899">
        <v>3</v>
      </c>
      <c r="G899" s="16" t="str">
        <f>VLOOKUP(TDays[[#This Row],[کد روز هفته]],TDaysOfTheWeek[],2,FALSE)</f>
        <v>سه شنبه</v>
      </c>
      <c r="H899" s="16">
        <f>IFERROR(IF(E898&lt;&gt;E899,1,INT(H898)+IF(TDays[[#This Row],[کد روز هفته]]=0,1,0)),1)</f>
        <v>3</v>
      </c>
      <c r="I899">
        <f>-SUMIF(TArticle[تاریخ],TDays[[#This Row],[تاریخ]],TArticle[هزینه])</f>
        <v>0</v>
      </c>
      <c r="J899">
        <f>SUMIF(TArticle[تاریخ],TDays[[#This Row],[تاریخ]],TArticle[درآمد تتا])</f>
        <v>0</v>
      </c>
      <c r="K899">
        <f>SUMIF(TArticle[تاریخ],TDays[[#This Row],[تاریخ]],TArticle[اسنپ])</f>
        <v>0</v>
      </c>
      <c r="L899">
        <f>-SUMIF(TArticle[تاریخ],TDays[[#This Row],[تاریخ]],TArticle[پرداخت بدهی])</f>
        <v>0</v>
      </c>
      <c r="M899">
        <f>SUMIF(TArticle[تاریخ],TDays[[#This Row],[تاریخ]],TArticle[افزایش بدهی])</f>
        <v>0</v>
      </c>
      <c r="N899">
        <f>-SUMIF(TArticle[تاریخ],TDays[[#This Row],[تاریخ]],TArticle[افزایش سرمایه])</f>
        <v>0</v>
      </c>
      <c r="O899">
        <f>SUMIF(TArticle[تاریخ],TDays[[#This Row],[تاریخ]],TArticle[تعداد تراکنش انجام شده])</f>
        <v>0</v>
      </c>
      <c r="P899">
        <f>INT(((TDays[[#This Row],[ماه]]-1)*31+TDays[[#This Row],[روز]]+1)/7)+1</f>
        <v>25</v>
      </c>
      <c r="Q899">
        <f>SUMIF(TArticle[تاریخ],TDays[[#This Row],[تاریخ]],TArticle[تراکنش برنامه ریزی شده])</f>
        <v>0</v>
      </c>
    </row>
    <row r="900" spans="1:17" x14ac:dyDescent="0.25">
      <c r="A900" s="3" t="s">
        <v>1394</v>
      </c>
      <c r="B900" t="str">
        <f>RIGHT(TDays[[#This Row],[تاریخ]],2)</f>
        <v>14</v>
      </c>
      <c r="C900" t="str">
        <f>RIGHT(LEFT(TDays[[#This Row],[تاریخ]],7),2)</f>
        <v>06</v>
      </c>
      <c r="D900" t="str">
        <f>LEFT(TDays[[#This Row],[تاریخ]],4)</f>
        <v>1403</v>
      </c>
      <c r="E900" t="str">
        <f>LEFT(TDays[[#This Row],[تاریخ]],7)</f>
        <v>1403-06</v>
      </c>
      <c r="F900">
        <v>4</v>
      </c>
      <c r="G900" s="16" t="str">
        <f>VLOOKUP(TDays[[#This Row],[کد روز هفته]],TDaysOfTheWeek[],2,FALSE)</f>
        <v>چهارشنبه</v>
      </c>
      <c r="H900" s="16">
        <f>IFERROR(IF(E899&lt;&gt;E900,1,INT(H899)+IF(TDays[[#This Row],[کد روز هفته]]=0,1,0)),1)</f>
        <v>3</v>
      </c>
      <c r="I900">
        <f>-SUMIF(TArticle[تاریخ],TDays[[#This Row],[تاریخ]],TArticle[هزینه])</f>
        <v>0</v>
      </c>
      <c r="J900">
        <f>SUMIF(TArticle[تاریخ],TDays[[#This Row],[تاریخ]],TArticle[درآمد تتا])</f>
        <v>0</v>
      </c>
      <c r="K900">
        <f>SUMIF(TArticle[تاریخ],TDays[[#This Row],[تاریخ]],TArticle[اسنپ])</f>
        <v>0</v>
      </c>
      <c r="L900">
        <f>-SUMIF(TArticle[تاریخ],TDays[[#This Row],[تاریخ]],TArticle[پرداخت بدهی])</f>
        <v>0</v>
      </c>
      <c r="M900">
        <f>SUMIF(TArticle[تاریخ],TDays[[#This Row],[تاریخ]],TArticle[افزایش بدهی])</f>
        <v>0</v>
      </c>
      <c r="N900">
        <f>-SUMIF(TArticle[تاریخ],TDays[[#This Row],[تاریخ]],TArticle[افزایش سرمایه])</f>
        <v>0</v>
      </c>
      <c r="O900">
        <f>SUMIF(TArticle[تاریخ],TDays[[#This Row],[تاریخ]],TArticle[تعداد تراکنش انجام شده])</f>
        <v>0</v>
      </c>
      <c r="P900">
        <f>INT(((TDays[[#This Row],[ماه]]-1)*31+TDays[[#This Row],[روز]]+1)/7)+1</f>
        <v>25</v>
      </c>
      <c r="Q900">
        <f>SUMIF(TArticle[تاریخ],TDays[[#This Row],[تاریخ]],TArticle[تراکنش برنامه ریزی شده])</f>
        <v>0</v>
      </c>
    </row>
    <row r="901" spans="1:17" x14ac:dyDescent="0.25">
      <c r="A901" s="3" t="s">
        <v>1395</v>
      </c>
      <c r="B901" t="str">
        <f>RIGHT(TDays[[#This Row],[تاریخ]],2)</f>
        <v>15</v>
      </c>
      <c r="C901" t="str">
        <f>RIGHT(LEFT(TDays[[#This Row],[تاریخ]],7),2)</f>
        <v>06</v>
      </c>
      <c r="D901" t="str">
        <f>LEFT(TDays[[#This Row],[تاریخ]],4)</f>
        <v>1403</v>
      </c>
      <c r="E901" t="str">
        <f>LEFT(TDays[[#This Row],[تاریخ]],7)</f>
        <v>1403-06</v>
      </c>
      <c r="F901">
        <v>5</v>
      </c>
      <c r="G901" s="16" t="str">
        <f>VLOOKUP(TDays[[#This Row],[کد روز هفته]],TDaysOfTheWeek[],2,FALSE)</f>
        <v>پنجشنبه</v>
      </c>
      <c r="H901" s="16">
        <f>IFERROR(IF(E900&lt;&gt;E901,1,INT(H900)+IF(TDays[[#This Row],[کد روز هفته]]=0,1,0)),1)</f>
        <v>3</v>
      </c>
      <c r="I901">
        <f>-SUMIF(TArticle[تاریخ],TDays[[#This Row],[تاریخ]],TArticle[هزینه])</f>
        <v>0</v>
      </c>
      <c r="J901">
        <f>SUMIF(TArticle[تاریخ],TDays[[#This Row],[تاریخ]],TArticle[درآمد تتا])</f>
        <v>0</v>
      </c>
      <c r="K901">
        <f>SUMIF(TArticle[تاریخ],TDays[[#This Row],[تاریخ]],TArticle[اسنپ])</f>
        <v>0</v>
      </c>
      <c r="L901">
        <f>-SUMIF(TArticle[تاریخ],TDays[[#This Row],[تاریخ]],TArticle[پرداخت بدهی])</f>
        <v>0</v>
      </c>
      <c r="M901">
        <f>SUMIF(TArticle[تاریخ],TDays[[#This Row],[تاریخ]],TArticle[افزایش بدهی])</f>
        <v>0</v>
      </c>
      <c r="N901">
        <f>-SUMIF(TArticle[تاریخ],TDays[[#This Row],[تاریخ]],TArticle[افزایش سرمایه])</f>
        <v>0</v>
      </c>
      <c r="O901">
        <f>SUMIF(TArticle[تاریخ],TDays[[#This Row],[تاریخ]],TArticle[تعداد تراکنش انجام شده])</f>
        <v>0</v>
      </c>
      <c r="P901">
        <f>INT(((TDays[[#This Row],[ماه]]-1)*31+TDays[[#This Row],[روز]]+1)/7)+1</f>
        <v>25</v>
      </c>
      <c r="Q901">
        <f>SUMIF(TArticle[تاریخ],TDays[[#This Row],[تاریخ]],TArticle[تراکنش برنامه ریزی شده])</f>
        <v>0</v>
      </c>
    </row>
    <row r="902" spans="1:17" x14ac:dyDescent="0.25">
      <c r="A902" s="3" t="s">
        <v>1396</v>
      </c>
      <c r="B902" t="str">
        <f>RIGHT(TDays[[#This Row],[تاریخ]],2)</f>
        <v>16</v>
      </c>
      <c r="C902" t="str">
        <f>RIGHT(LEFT(TDays[[#This Row],[تاریخ]],7),2)</f>
        <v>06</v>
      </c>
      <c r="D902" t="str">
        <f>LEFT(TDays[[#This Row],[تاریخ]],4)</f>
        <v>1403</v>
      </c>
      <c r="E902" t="str">
        <f>LEFT(TDays[[#This Row],[تاریخ]],7)</f>
        <v>1403-06</v>
      </c>
      <c r="F902">
        <v>6</v>
      </c>
      <c r="G902" s="16" t="str">
        <f>VLOOKUP(TDays[[#This Row],[کد روز هفته]],TDaysOfTheWeek[],2,FALSE)</f>
        <v>جمعه</v>
      </c>
      <c r="H902" s="16">
        <f>IFERROR(IF(E901&lt;&gt;E902,1,INT(H901)+IF(TDays[[#This Row],[کد روز هفته]]=0,1,0)),1)</f>
        <v>3</v>
      </c>
      <c r="I902">
        <f>-SUMIF(TArticle[تاریخ],TDays[[#This Row],[تاریخ]],TArticle[هزینه])</f>
        <v>0</v>
      </c>
      <c r="J902">
        <f>SUMIF(TArticle[تاریخ],TDays[[#This Row],[تاریخ]],TArticle[درآمد تتا])</f>
        <v>0</v>
      </c>
      <c r="K902">
        <f>SUMIF(TArticle[تاریخ],TDays[[#This Row],[تاریخ]],TArticle[اسنپ])</f>
        <v>0</v>
      </c>
      <c r="L902">
        <f>-SUMIF(TArticle[تاریخ],TDays[[#This Row],[تاریخ]],TArticle[پرداخت بدهی])</f>
        <v>0</v>
      </c>
      <c r="M902">
        <f>SUMIF(TArticle[تاریخ],TDays[[#This Row],[تاریخ]],TArticle[افزایش بدهی])</f>
        <v>0</v>
      </c>
      <c r="N902">
        <f>-SUMIF(TArticle[تاریخ],TDays[[#This Row],[تاریخ]],TArticle[افزایش سرمایه])</f>
        <v>0</v>
      </c>
      <c r="O902">
        <f>SUMIF(TArticle[تاریخ],TDays[[#This Row],[تاریخ]],TArticle[تعداد تراکنش انجام شده])</f>
        <v>0</v>
      </c>
      <c r="P902">
        <f>INT(((TDays[[#This Row],[ماه]]-1)*31+TDays[[#This Row],[روز]]+1)/7)+1</f>
        <v>25</v>
      </c>
      <c r="Q902">
        <f>SUMIF(TArticle[تاریخ],TDays[[#This Row],[تاریخ]],TArticle[تراکنش برنامه ریزی شده])</f>
        <v>0</v>
      </c>
    </row>
    <row r="903" spans="1:17" x14ac:dyDescent="0.25">
      <c r="A903" s="3" t="s">
        <v>1397</v>
      </c>
      <c r="B903" t="str">
        <f>RIGHT(TDays[[#This Row],[تاریخ]],2)</f>
        <v>17</v>
      </c>
      <c r="C903" t="str">
        <f>RIGHT(LEFT(TDays[[#This Row],[تاریخ]],7),2)</f>
        <v>06</v>
      </c>
      <c r="D903" t="str">
        <f>LEFT(TDays[[#This Row],[تاریخ]],4)</f>
        <v>1403</v>
      </c>
      <c r="E903" t="str">
        <f>LEFT(TDays[[#This Row],[تاریخ]],7)</f>
        <v>1403-06</v>
      </c>
      <c r="F903">
        <v>0</v>
      </c>
      <c r="G903" s="16" t="str">
        <f>VLOOKUP(TDays[[#This Row],[کد روز هفته]],TDaysOfTheWeek[],2,FALSE)</f>
        <v>شنبه</v>
      </c>
      <c r="H903" s="16">
        <f>IFERROR(IF(E902&lt;&gt;E903,1,INT(H902)+IF(TDays[[#This Row],[کد روز هفته]]=0,1,0)),1)</f>
        <v>4</v>
      </c>
      <c r="I903">
        <f>-SUMIF(TArticle[تاریخ],TDays[[#This Row],[تاریخ]],TArticle[هزینه])</f>
        <v>0</v>
      </c>
      <c r="J903">
        <f>SUMIF(TArticle[تاریخ],TDays[[#This Row],[تاریخ]],TArticle[درآمد تتا])</f>
        <v>0</v>
      </c>
      <c r="K903">
        <f>SUMIF(TArticle[تاریخ],TDays[[#This Row],[تاریخ]],TArticle[اسنپ])</f>
        <v>0</v>
      </c>
      <c r="L903">
        <f>-SUMIF(TArticle[تاریخ],TDays[[#This Row],[تاریخ]],TArticle[پرداخت بدهی])</f>
        <v>0</v>
      </c>
      <c r="M903">
        <f>SUMIF(TArticle[تاریخ],TDays[[#This Row],[تاریخ]],TArticle[افزایش بدهی])</f>
        <v>0</v>
      </c>
      <c r="N903">
        <f>-SUMIF(TArticle[تاریخ],TDays[[#This Row],[تاریخ]],TArticle[افزایش سرمایه])</f>
        <v>0</v>
      </c>
      <c r="O903">
        <f>SUMIF(TArticle[تاریخ],TDays[[#This Row],[تاریخ]],TArticle[تعداد تراکنش انجام شده])</f>
        <v>0</v>
      </c>
      <c r="P903">
        <f>INT(((TDays[[#This Row],[ماه]]-1)*31+TDays[[#This Row],[روز]]+1)/7)+1</f>
        <v>25</v>
      </c>
      <c r="Q903">
        <f>SUMIF(TArticle[تاریخ],TDays[[#This Row],[تاریخ]],TArticle[تراکنش برنامه ریزی شده])</f>
        <v>0</v>
      </c>
    </row>
    <row r="904" spans="1:17" x14ac:dyDescent="0.25">
      <c r="A904" s="3" t="s">
        <v>1398</v>
      </c>
      <c r="B904" t="str">
        <f>RIGHT(TDays[[#This Row],[تاریخ]],2)</f>
        <v>18</v>
      </c>
      <c r="C904" t="str">
        <f>RIGHT(LEFT(TDays[[#This Row],[تاریخ]],7),2)</f>
        <v>06</v>
      </c>
      <c r="D904" t="str">
        <f>LEFT(TDays[[#This Row],[تاریخ]],4)</f>
        <v>1403</v>
      </c>
      <c r="E904" t="str">
        <f>LEFT(TDays[[#This Row],[تاریخ]],7)</f>
        <v>1403-06</v>
      </c>
      <c r="F904">
        <v>1</v>
      </c>
      <c r="G904" s="16" t="str">
        <f>VLOOKUP(TDays[[#This Row],[کد روز هفته]],TDaysOfTheWeek[],2,FALSE)</f>
        <v>یکشنبه</v>
      </c>
      <c r="H904" s="16">
        <f>IFERROR(IF(E903&lt;&gt;E904,1,INT(H903)+IF(TDays[[#This Row],[کد روز هفته]]=0,1,0)),1)</f>
        <v>4</v>
      </c>
      <c r="I904">
        <f>-SUMIF(TArticle[تاریخ],TDays[[#This Row],[تاریخ]],TArticle[هزینه])</f>
        <v>0</v>
      </c>
      <c r="J904">
        <f>SUMIF(TArticle[تاریخ],TDays[[#This Row],[تاریخ]],TArticle[درآمد تتا])</f>
        <v>0</v>
      </c>
      <c r="K904">
        <f>SUMIF(TArticle[تاریخ],TDays[[#This Row],[تاریخ]],TArticle[اسنپ])</f>
        <v>0</v>
      </c>
      <c r="L904">
        <f>-SUMIF(TArticle[تاریخ],TDays[[#This Row],[تاریخ]],TArticle[پرداخت بدهی])</f>
        <v>0</v>
      </c>
      <c r="M904">
        <f>SUMIF(TArticle[تاریخ],TDays[[#This Row],[تاریخ]],TArticle[افزایش بدهی])</f>
        <v>0</v>
      </c>
      <c r="N904">
        <f>-SUMIF(TArticle[تاریخ],TDays[[#This Row],[تاریخ]],TArticle[افزایش سرمایه])</f>
        <v>0</v>
      </c>
      <c r="O904">
        <f>SUMIF(TArticle[تاریخ],TDays[[#This Row],[تاریخ]],TArticle[تعداد تراکنش انجام شده])</f>
        <v>0</v>
      </c>
      <c r="P904">
        <f>INT(((TDays[[#This Row],[ماه]]-1)*31+TDays[[#This Row],[روز]]+1)/7)+1</f>
        <v>25</v>
      </c>
      <c r="Q904">
        <f>SUMIF(TArticle[تاریخ],TDays[[#This Row],[تاریخ]],TArticle[تراکنش برنامه ریزی شده])</f>
        <v>0</v>
      </c>
    </row>
    <row r="905" spans="1:17" x14ac:dyDescent="0.25">
      <c r="A905" s="3" t="s">
        <v>1399</v>
      </c>
      <c r="B905" t="str">
        <f>RIGHT(TDays[[#This Row],[تاریخ]],2)</f>
        <v>19</v>
      </c>
      <c r="C905" t="str">
        <f>RIGHT(LEFT(TDays[[#This Row],[تاریخ]],7),2)</f>
        <v>06</v>
      </c>
      <c r="D905" t="str">
        <f>LEFT(TDays[[#This Row],[تاریخ]],4)</f>
        <v>1403</v>
      </c>
      <c r="E905" t="str">
        <f>LEFT(TDays[[#This Row],[تاریخ]],7)</f>
        <v>1403-06</v>
      </c>
      <c r="F905">
        <v>2</v>
      </c>
      <c r="G905" s="16" t="str">
        <f>VLOOKUP(TDays[[#This Row],[کد روز هفته]],TDaysOfTheWeek[],2,FALSE)</f>
        <v>دوشنبه</v>
      </c>
      <c r="H905" s="16">
        <f>IFERROR(IF(E904&lt;&gt;E905,1,INT(H904)+IF(TDays[[#This Row],[کد روز هفته]]=0,1,0)),1)</f>
        <v>4</v>
      </c>
      <c r="I905">
        <f>-SUMIF(TArticle[تاریخ],TDays[[#This Row],[تاریخ]],TArticle[هزینه])</f>
        <v>0</v>
      </c>
      <c r="J905">
        <f>SUMIF(TArticle[تاریخ],TDays[[#This Row],[تاریخ]],TArticle[درآمد تتا])</f>
        <v>0</v>
      </c>
      <c r="K905">
        <f>SUMIF(TArticle[تاریخ],TDays[[#This Row],[تاریخ]],TArticle[اسنپ])</f>
        <v>0</v>
      </c>
      <c r="L905">
        <f>-SUMIF(TArticle[تاریخ],TDays[[#This Row],[تاریخ]],TArticle[پرداخت بدهی])</f>
        <v>0</v>
      </c>
      <c r="M905">
        <f>SUMIF(TArticle[تاریخ],TDays[[#This Row],[تاریخ]],TArticle[افزایش بدهی])</f>
        <v>0</v>
      </c>
      <c r="N905">
        <f>-SUMIF(TArticle[تاریخ],TDays[[#This Row],[تاریخ]],TArticle[افزایش سرمایه])</f>
        <v>0</v>
      </c>
      <c r="O905">
        <f>SUMIF(TArticle[تاریخ],TDays[[#This Row],[تاریخ]],TArticle[تعداد تراکنش انجام شده])</f>
        <v>0</v>
      </c>
      <c r="P905">
        <f>INT(((TDays[[#This Row],[ماه]]-1)*31+TDays[[#This Row],[روز]]+1)/7)+1</f>
        <v>26</v>
      </c>
      <c r="Q905">
        <f>SUMIF(TArticle[تاریخ],TDays[[#This Row],[تاریخ]],TArticle[تراکنش برنامه ریزی شده])</f>
        <v>0</v>
      </c>
    </row>
    <row r="906" spans="1:17" x14ac:dyDescent="0.25">
      <c r="A906" s="3" t="s">
        <v>1400</v>
      </c>
      <c r="B906" t="str">
        <f>RIGHT(TDays[[#This Row],[تاریخ]],2)</f>
        <v>20</v>
      </c>
      <c r="C906" t="str">
        <f>RIGHT(LEFT(TDays[[#This Row],[تاریخ]],7),2)</f>
        <v>06</v>
      </c>
      <c r="D906" t="str">
        <f>LEFT(TDays[[#This Row],[تاریخ]],4)</f>
        <v>1403</v>
      </c>
      <c r="E906" t="str">
        <f>LEFT(TDays[[#This Row],[تاریخ]],7)</f>
        <v>1403-06</v>
      </c>
      <c r="F906">
        <v>3</v>
      </c>
      <c r="G906" s="16" t="str">
        <f>VLOOKUP(TDays[[#This Row],[کد روز هفته]],TDaysOfTheWeek[],2,FALSE)</f>
        <v>سه شنبه</v>
      </c>
      <c r="H906" s="16">
        <f>IFERROR(IF(E905&lt;&gt;E906,1,INT(H905)+IF(TDays[[#This Row],[کد روز هفته]]=0,1,0)),1)</f>
        <v>4</v>
      </c>
      <c r="I906">
        <f>-SUMIF(TArticle[تاریخ],TDays[[#This Row],[تاریخ]],TArticle[هزینه])</f>
        <v>0</v>
      </c>
      <c r="J906">
        <f>SUMIF(TArticle[تاریخ],TDays[[#This Row],[تاریخ]],TArticle[درآمد تتا])</f>
        <v>0</v>
      </c>
      <c r="K906">
        <f>SUMIF(TArticle[تاریخ],TDays[[#This Row],[تاریخ]],TArticle[اسنپ])</f>
        <v>0</v>
      </c>
      <c r="L906">
        <f>-SUMIF(TArticle[تاریخ],TDays[[#This Row],[تاریخ]],TArticle[پرداخت بدهی])</f>
        <v>0</v>
      </c>
      <c r="M906">
        <f>SUMIF(TArticle[تاریخ],TDays[[#This Row],[تاریخ]],TArticle[افزایش بدهی])</f>
        <v>0</v>
      </c>
      <c r="N906">
        <f>-SUMIF(TArticle[تاریخ],TDays[[#This Row],[تاریخ]],TArticle[افزایش سرمایه])</f>
        <v>0</v>
      </c>
      <c r="O906">
        <f>SUMIF(TArticle[تاریخ],TDays[[#This Row],[تاریخ]],TArticle[تعداد تراکنش انجام شده])</f>
        <v>0</v>
      </c>
      <c r="P906">
        <f>INT(((TDays[[#This Row],[ماه]]-1)*31+TDays[[#This Row],[روز]]+1)/7)+1</f>
        <v>26</v>
      </c>
      <c r="Q906">
        <f>SUMIF(TArticle[تاریخ],TDays[[#This Row],[تاریخ]],TArticle[تراکنش برنامه ریزی شده])</f>
        <v>1</v>
      </c>
    </row>
    <row r="907" spans="1:17" x14ac:dyDescent="0.25">
      <c r="A907" s="3" t="s">
        <v>1401</v>
      </c>
      <c r="B907" t="str">
        <f>RIGHT(TDays[[#This Row],[تاریخ]],2)</f>
        <v>21</v>
      </c>
      <c r="C907" t="str">
        <f>RIGHT(LEFT(TDays[[#This Row],[تاریخ]],7),2)</f>
        <v>06</v>
      </c>
      <c r="D907" t="str">
        <f>LEFT(TDays[[#This Row],[تاریخ]],4)</f>
        <v>1403</v>
      </c>
      <c r="E907" t="str">
        <f>LEFT(TDays[[#This Row],[تاریخ]],7)</f>
        <v>1403-06</v>
      </c>
      <c r="F907">
        <v>4</v>
      </c>
      <c r="G907" s="16" t="str">
        <f>VLOOKUP(TDays[[#This Row],[کد روز هفته]],TDaysOfTheWeek[],2,FALSE)</f>
        <v>چهارشنبه</v>
      </c>
      <c r="H907" s="16">
        <f>IFERROR(IF(E906&lt;&gt;E907,1,INT(H906)+IF(TDays[[#This Row],[کد روز هفته]]=0,1,0)),1)</f>
        <v>4</v>
      </c>
      <c r="I907">
        <f>-SUMIF(TArticle[تاریخ],TDays[[#This Row],[تاریخ]],TArticle[هزینه])</f>
        <v>0</v>
      </c>
      <c r="J907">
        <f>SUMIF(TArticle[تاریخ],TDays[[#This Row],[تاریخ]],TArticle[درآمد تتا])</f>
        <v>0</v>
      </c>
      <c r="K907">
        <f>SUMIF(TArticle[تاریخ],TDays[[#This Row],[تاریخ]],TArticle[اسنپ])</f>
        <v>0</v>
      </c>
      <c r="L907">
        <f>-SUMIF(TArticle[تاریخ],TDays[[#This Row],[تاریخ]],TArticle[پرداخت بدهی])</f>
        <v>0</v>
      </c>
      <c r="M907">
        <f>SUMIF(TArticle[تاریخ],TDays[[#This Row],[تاریخ]],TArticle[افزایش بدهی])</f>
        <v>0</v>
      </c>
      <c r="N907">
        <f>-SUMIF(TArticle[تاریخ],TDays[[#This Row],[تاریخ]],TArticle[افزایش سرمایه])</f>
        <v>0</v>
      </c>
      <c r="O907">
        <f>SUMIF(TArticle[تاریخ],TDays[[#This Row],[تاریخ]],TArticle[تعداد تراکنش انجام شده])</f>
        <v>0</v>
      </c>
      <c r="P907">
        <f>INT(((TDays[[#This Row],[ماه]]-1)*31+TDays[[#This Row],[روز]]+1)/7)+1</f>
        <v>26</v>
      </c>
      <c r="Q907">
        <f>SUMIF(TArticle[تاریخ],TDays[[#This Row],[تاریخ]],TArticle[تراکنش برنامه ریزی شده])</f>
        <v>0</v>
      </c>
    </row>
    <row r="908" spans="1:17" x14ac:dyDescent="0.25">
      <c r="A908" s="3" t="s">
        <v>1402</v>
      </c>
      <c r="B908" t="str">
        <f>RIGHT(TDays[[#This Row],[تاریخ]],2)</f>
        <v>22</v>
      </c>
      <c r="C908" t="str">
        <f>RIGHT(LEFT(TDays[[#This Row],[تاریخ]],7),2)</f>
        <v>06</v>
      </c>
      <c r="D908" t="str">
        <f>LEFT(TDays[[#This Row],[تاریخ]],4)</f>
        <v>1403</v>
      </c>
      <c r="E908" t="str">
        <f>LEFT(TDays[[#This Row],[تاریخ]],7)</f>
        <v>1403-06</v>
      </c>
      <c r="F908">
        <v>5</v>
      </c>
      <c r="G908" s="16" t="str">
        <f>VLOOKUP(TDays[[#This Row],[کد روز هفته]],TDaysOfTheWeek[],2,FALSE)</f>
        <v>پنجشنبه</v>
      </c>
      <c r="H908" s="16">
        <f>IFERROR(IF(E907&lt;&gt;E908,1,INT(H907)+IF(TDays[[#This Row],[کد روز هفته]]=0,1,0)),1)</f>
        <v>4</v>
      </c>
      <c r="I908">
        <f>-SUMIF(TArticle[تاریخ],TDays[[#This Row],[تاریخ]],TArticle[هزینه])</f>
        <v>0</v>
      </c>
      <c r="J908">
        <f>SUMIF(TArticle[تاریخ],TDays[[#This Row],[تاریخ]],TArticle[درآمد تتا])</f>
        <v>0</v>
      </c>
      <c r="K908">
        <f>SUMIF(TArticle[تاریخ],TDays[[#This Row],[تاریخ]],TArticle[اسنپ])</f>
        <v>0</v>
      </c>
      <c r="L908">
        <f>-SUMIF(TArticle[تاریخ],TDays[[#This Row],[تاریخ]],TArticle[پرداخت بدهی])</f>
        <v>0</v>
      </c>
      <c r="M908">
        <f>SUMIF(TArticle[تاریخ],TDays[[#This Row],[تاریخ]],TArticle[افزایش بدهی])</f>
        <v>0</v>
      </c>
      <c r="N908">
        <f>-SUMIF(TArticle[تاریخ],TDays[[#This Row],[تاریخ]],TArticle[افزایش سرمایه])</f>
        <v>0</v>
      </c>
      <c r="O908">
        <f>SUMIF(TArticle[تاریخ],TDays[[#This Row],[تاریخ]],TArticle[تعداد تراکنش انجام شده])</f>
        <v>0</v>
      </c>
      <c r="P908">
        <f>INT(((TDays[[#This Row],[ماه]]-1)*31+TDays[[#This Row],[روز]]+1)/7)+1</f>
        <v>26</v>
      </c>
      <c r="Q908">
        <f>SUMIF(TArticle[تاریخ],TDays[[#This Row],[تاریخ]],TArticle[تراکنش برنامه ریزی شده])</f>
        <v>0</v>
      </c>
    </row>
    <row r="909" spans="1:17" x14ac:dyDescent="0.25">
      <c r="A909" s="3" t="s">
        <v>1403</v>
      </c>
      <c r="B909" t="str">
        <f>RIGHT(TDays[[#This Row],[تاریخ]],2)</f>
        <v>23</v>
      </c>
      <c r="C909" t="str">
        <f>RIGHT(LEFT(TDays[[#This Row],[تاریخ]],7),2)</f>
        <v>06</v>
      </c>
      <c r="D909" t="str">
        <f>LEFT(TDays[[#This Row],[تاریخ]],4)</f>
        <v>1403</v>
      </c>
      <c r="E909" t="str">
        <f>LEFT(TDays[[#This Row],[تاریخ]],7)</f>
        <v>1403-06</v>
      </c>
      <c r="F909">
        <v>6</v>
      </c>
      <c r="G909" s="16" t="str">
        <f>VLOOKUP(TDays[[#This Row],[کد روز هفته]],TDaysOfTheWeek[],2,FALSE)</f>
        <v>جمعه</v>
      </c>
      <c r="H909" s="16">
        <f>IFERROR(IF(E908&lt;&gt;E909,1,INT(H908)+IF(TDays[[#This Row],[کد روز هفته]]=0,1,0)),1)</f>
        <v>4</v>
      </c>
      <c r="I909">
        <f>-SUMIF(TArticle[تاریخ],TDays[[#This Row],[تاریخ]],TArticle[هزینه])</f>
        <v>0</v>
      </c>
      <c r="J909">
        <f>SUMIF(TArticle[تاریخ],TDays[[#This Row],[تاریخ]],TArticle[درآمد تتا])</f>
        <v>0</v>
      </c>
      <c r="K909">
        <f>SUMIF(TArticle[تاریخ],TDays[[#This Row],[تاریخ]],TArticle[اسنپ])</f>
        <v>0</v>
      </c>
      <c r="L909">
        <f>-SUMIF(TArticle[تاریخ],TDays[[#This Row],[تاریخ]],TArticle[پرداخت بدهی])</f>
        <v>0</v>
      </c>
      <c r="M909">
        <f>SUMIF(TArticle[تاریخ],TDays[[#This Row],[تاریخ]],TArticle[افزایش بدهی])</f>
        <v>0</v>
      </c>
      <c r="N909">
        <f>-SUMIF(TArticle[تاریخ],TDays[[#This Row],[تاریخ]],TArticle[افزایش سرمایه])</f>
        <v>0</v>
      </c>
      <c r="O909">
        <f>SUMIF(TArticle[تاریخ],TDays[[#This Row],[تاریخ]],TArticle[تعداد تراکنش انجام شده])</f>
        <v>0</v>
      </c>
      <c r="P909">
        <f>INT(((TDays[[#This Row],[ماه]]-1)*31+TDays[[#This Row],[روز]]+1)/7)+1</f>
        <v>26</v>
      </c>
      <c r="Q909">
        <f>SUMIF(TArticle[تاریخ],TDays[[#This Row],[تاریخ]],TArticle[تراکنش برنامه ریزی شده])</f>
        <v>0</v>
      </c>
    </row>
    <row r="910" spans="1:17" x14ac:dyDescent="0.25">
      <c r="A910" s="3" t="s">
        <v>1404</v>
      </c>
      <c r="B910" t="str">
        <f>RIGHT(TDays[[#This Row],[تاریخ]],2)</f>
        <v>24</v>
      </c>
      <c r="C910" t="str">
        <f>RIGHT(LEFT(TDays[[#This Row],[تاریخ]],7),2)</f>
        <v>06</v>
      </c>
      <c r="D910" t="str">
        <f>LEFT(TDays[[#This Row],[تاریخ]],4)</f>
        <v>1403</v>
      </c>
      <c r="E910" t="str">
        <f>LEFT(TDays[[#This Row],[تاریخ]],7)</f>
        <v>1403-06</v>
      </c>
      <c r="F910">
        <v>0</v>
      </c>
      <c r="G910" s="16" t="str">
        <f>VLOOKUP(TDays[[#This Row],[کد روز هفته]],TDaysOfTheWeek[],2,FALSE)</f>
        <v>شنبه</v>
      </c>
      <c r="H910" s="16">
        <f>IFERROR(IF(E909&lt;&gt;E910,1,INT(H909)+IF(TDays[[#This Row],[کد روز هفته]]=0,1,0)),1)</f>
        <v>5</v>
      </c>
      <c r="I910">
        <f>-SUMIF(TArticle[تاریخ],TDays[[#This Row],[تاریخ]],TArticle[هزینه])</f>
        <v>0</v>
      </c>
      <c r="J910">
        <f>SUMIF(TArticle[تاریخ],TDays[[#This Row],[تاریخ]],TArticle[درآمد تتا])</f>
        <v>0</v>
      </c>
      <c r="K910">
        <f>SUMIF(TArticle[تاریخ],TDays[[#This Row],[تاریخ]],TArticle[اسنپ])</f>
        <v>0</v>
      </c>
      <c r="L910">
        <f>-SUMIF(TArticle[تاریخ],TDays[[#This Row],[تاریخ]],TArticle[پرداخت بدهی])</f>
        <v>0</v>
      </c>
      <c r="M910">
        <f>SUMIF(TArticle[تاریخ],TDays[[#This Row],[تاریخ]],TArticle[افزایش بدهی])</f>
        <v>0</v>
      </c>
      <c r="N910">
        <f>-SUMIF(TArticle[تاریخ],TDays[[#This Row],[تاریخ]],TArticle[افزایش سرمایه])</f>
        <v>0</v>
      </c>
      <c r="O910">
        <f>SUMIF(TArticle[تاریخ],TDays[[#This Row],[تاریخ]],TArticle[تعداد تراکنش انجام شده])</f>
        <v>0</v>
      </c>
      <c r="P910">
        <f>INT(((TDays[[#This Row],[ماه]]-1)*31+TDays[[#This Row],[روز]]+1)/7)+1</f>
        <v>26</v>
      </c>
      <c r="Q910">
        <f>SUMIF(TArticle[تاریخ],TDays[[#This Row],[تاریخ]],TArticle[تراکنش برنامه ریزی شده])</f>
        <v>0</v>
      </c>
    </row>
    <row r="911" spans="1:17" x14ac:dyDescent="0.25">
      <c r="A911" s="3" t="s">
        <v>1405</v>
      </c>
      <c r="B911" t="str">
        <f>RIGHT(TDays[[#This Row],[تاریخ]],2)</f>
        <v>25</v>
      </c>
      <c r="C911" t="str">
        <f>RIGHT(LEFT(TDays[[#This Row],[تاریخ]],7),2)</f>
        <v>06</v>
      </c>
      <c r="D911" t="str">
        <f>LEFT(TDays[[#This Row],[تاریخ]],4)</f>
        <v>1403</v>
      </c>
      <c r="E911" t="str">
        <f>LEFT(TDays[[#This Row],[تاریخ]],7)</f>
        <v>1403-06</v>
      </c>
      <c r="F911">
        <v>1</v>
      </c>
      <c r="G911" s="16" t="str">
        <f>VLOOKUP(TDays[[#This Row],[کد روز هفته]],TDaysOfTheWeek[],2,FALSE)</f>
        <v>یکشنبه</v>
      </c>
      <c r="H911" s="16">
        <f>IFERROR(IF(E910&lt;&gt;E911,1,INT(H910)+IF(TDays[[#This Row],[کد روز هفته]]=0,1,0)),1)</f>
        <v>5</v>
      </c>
      <c r="I911">
        <f>-SUMIF(TArticle[تاریخ],TDays[[#This Row],[تاریخ]],TArticle[هزینه])</f>
        <v>0</v>
      </c>
      <c r="J911">
        <f>SUMIF(TArticle[تاریخ],TDays[[#This Row],[تاریخ]],TArticle[درآمد تتا])</f>
        <v>0</v>
      </c>
      <c r="K911">
        <f>SUMIF(TArticle[تاریخ],TDays[[#This Row],[تاریخ]],TArticle[اسنپ])</f>
        <v>0</v>
      </c>
      <c r="L911">
        <f>-SUMIF(TArticle[تاریخ],TDays[[#This Row],[تاریخ]],TArticle[پرداخت بدهی])</f>
        <v>0</v>
      </c>
      <c r="M911">
        <f>SUMIF(TArticle[تاریخ],TDays[[#This Row],[تاریخ]],TArticle[افزایش بدهی])</f>
        <v>0</v>
      </c>
      <c r="N911">
        <f>-SUMIF(TArticle[تاریخ],TDays[[#This Row],[تاریخ]],TArticle[افزایش سرمایه])</f>
        <v>0</v>
      </c>
      <c r="O911">
        <f>SUMIF(TArticle[تاریخ],TDays[[#This Row],[تاریخ]],TArticle[تعداد تراکنش انجام شده])</f>
        <v>0</v>
      </c>
      <c r="P911">
        <f>INT(((TDays[[#This Row],[ماه]]-1)*31+TDays[[#This Row],[روز]]+1)/7)+1</f>
        <v>26</v>
      </c>
      <c r="Q911">
        <f>SUMIF(TArticle[تاریخ],TDays[[#This Row],[تاریخ]],TArticle[تراکنش برنامه ریزی شده])</f>
        <v>0</v>
      </c>
    </row>
    <row r="912" spans="1:17" x14ac:dyDescent="0.25">
      <c r="A912" s="3" t="s">
        <v>1406</v>
      </c>
      <c r="B912" t="str">
        <f>RIGHT(TDays[[#This Row],[تاریخ]],2)</f>
        <v>26</v>
      </c>
      <c r="C912" t="str">
        <f>RIGHT(LEFT(TDays[[#This Row],[تاریخ]],7),2)</f>
        <v>06</v>
      </c>
      <c r="D912" t="str">
        <f>LEFT(TDays[[#This Row],[تاریخ]],4)</f>
        <v>1403</v>
      </c>
      <c r="E912" t="str">
        <f>LEFT(TDays[[#This Row],[تاریخ]],7)</f>
        <v>1403-06</v>
      </c>
      <c r="F912">
        <v>2</v>
      </c>
      <c r="G912" s="16" t="str">
        <f>VLOOKUP(TDays[[#This Row],[کد روز هفته]],TDaysOfTheWeek[],2,FALSE)</f>
        <v>دوشنبه</v>
      </c>
      <c r="H912" s="16">
        <f>IFERROR(IF(E911&lt;&gt;E912,1,INT(H911)+IF(TDays[[#This Row],[کد روز هفته]]=0,1,0)),1)</f>
        <v>5</v>
      </c>
      <c r="I912">
        <f>-SUMIF(TArticle[تاریخ],TDays[[#This Row],[تاریخ]],TArticle[هزینه])</f>
        <v>0</v>
      </c>
      <c r="J912">
        <f>SUMIF(TArticle[تاریخ],TDays[[#This Row],[تاریخ]],TArticle[درآمد تتا])</f>
        <v>0</v>
      </c>
      <c r="K912">
        <f>SUMIF(TArticle[تاریخ],TDays[[#This Row],[تاریخ]],TArticle[اسنپ])</f>
        <v>0</v>
      </c>
      <c r="L912">
        <f>-SUMIF(TArticle[تاریخ],TDays[[#This Row],[تاریخ]],TArticle[پرداخت بدهی])</f>
        <v>0</v>
      </c>
      <c r="M912">
        <f>SUMIF(TArticle[تاریخ],TDays[[#This Row],[تاریخ]],TArticle[افزایش بدهی])</f>
        <v>0</v>
      </c>
      <c r="N912">
        <f>-SUMIF(TArticle[تاریخ],TDays[[#This Row],[تاریخ]],TArticle[افزایش سرمایه])</f>
        <v>0</v>
      </c>
      <c r="O912">
        <f>SUMIF(TArticle[تاریخ],TDays[[#This Row],[تاریخ]],TArticle[تعداد تراکنش انجام شده])</f>
        <v>0</v>
      </c>
      <c r="P912">
        <f>INT(((TDays[[#This Row],[ماه]]-1)*31+TDays[[#This Row],[روز]]+1)/7)+1</f>
        <v>27</v>
      </c>
      <c r="Q912">
        <f>SUMIF(TArticle[تاریخ],TDays[[#This Row],[تاریخ]],TArticle[تراکنش برنامه ریزی شده])</f>
        <v>0</v>
      </c>
    </row>
    <row r="913" spans="1:17" x14ac:dyDescent="0.25">
      <c r="A913" s="3" t="s">
        <v>1407</v>
      </c>
      <c r="B913" t="str">
        <f>RIGHT(TDays[[#This Row],[تاریخ]],2)</f>
        <v>27</v>
      </c>
      <c r="C913" t="str">
        <f>RIGHT(LEFT(TDays[[#This Row],[تاریخ]],7),2)</f>
        <v>06</v>
      </c>
      <c r="D913" t="str">
        <f>LEFT(TDays[[#This Row],[تاریخ]],4)</f>
        <v>1403</v>
      </c>
      <c r="E913" t="str">
        <f>LEFT(TDays[[#This Row],[تاریخ]],7)</f>
        <v>1403-06</v>
      </c>
      <c r="F913">
        <v>3</v>
      </c>
      <c r="G913" s="16" t="str">
        <f>VLOOKUP(TDays[[#This Row],[کد روز هفته]],TDaysOfTheWeek[],2,FALSE)</f>
        <v>سه شنبه</v>
      </c>
      <c r="H913" s="16">
        <f>IFERROR(IF(E912&lt;&gt;E913,1,INT(H912)+IF(TDays[[#This Row],[کد روز هفته]]=0,1,0)),1)</f>
        <v>5</v>
      </c>
      <c r="I913">
        <f>-SUMIF(TArticle[تاریخ],TDays[[#This Row],[تاریخ]],TArticle[هزینه])</f>
        <v>0</v>
      </c>
      <c r="J913">
        <f>SUMIF(TArticle[تاریخ],TDays[[#This Row],[تاریخ]],TArticle[درآمد تتا])</f>
        <v>0</v>
      </c>
      <c r="K913">
        <f>SUMIF(TArticle[تاریخ],TDays[[#This Row],[تاریخ]],TArticle[اسنپ])</f>
        <v>0</v>
      </c>
      <c r="L913">
        <f>-SUMIF(TArticle[تاریخ],TDays[[#This Row],[تاریخ]],TArticle[پرداخت بدهی])</f>
        <v>0</v>
      </c>
      <c r="M913">
        <f>SUMIF(TArticle[تاریخ],TDays[[#This Row],[تاریخ]],TArticle[افزایش بدهی])</f>
        <v>0</v>
      </c>
      <c r="N913">
        <f>-SUMIF(TArticle[تاریخ],TDays[[#This Row],[تاریخ]],TArticle[افزایش سرمایه])</f>
        <v>0</v>
      </c>
      <c r="O913">
        <f>SUMIF(TArticle[تاریخ],TDays[[#This Row],[تاریخ]],TArticle[تعداد تراکنش انجام شده])</f>
        <v>0</v>
      </c>
      <c r="P913">
        <f>INT(((TDays[[#This Row],[ماه]]-1)*31+TDays[[#This Row],[روز]]+1)/7)+1</f>
        <v>27</v>
      </c>
      <c r="Q913">
        <f>SUMIF(TArticle[تاریخ],TDays[[#This Row],[تاریخ]],TArticle[تراکنش برنامه ریزی شده])</f>
        <v>0</v>
      </c>
    </row>
    <row r="914" spans="1:17" x14ac:dyDescent="0.25">
      <c r="A914" s="3" t="s">
        <v>1408</v>
      </c>
      <c r="B914" t="str">
        <f>RIGHT(TDays[[#This Row],[تاریخ]],2)</f>
        <v>28</v>
      </c>
      <c r="C914" t="str">
        <f>RIGHT(LEFT(TDays[[#This Row],[تاریخ]],7),2)</f>
        <v>06</v>
      </c>
      <c r="D914" t="str">
        <f>LEFT(TDays[[#This Row],[تاریخ]],4)</f>
        <v>1403</v>
      </c>
      <c r="E914" t="str">
        <f>LEFT(TDays[[#This Row],[تاریخ]],7)</f>
        <v>1403-06</v>
      </c>
      <c r="F914">
        <v>4</v>
      </c>
      <c r="G914" s="16" t="str">
        <f>VLOOKUP(TDays[[#This Row],[کد روز هفته]],TDaysOfTheWeek[],2,FALSE)</f>
        <v>چهارشنبه</v>
      </c>
      <c r="H914" s="16">
        <f>IFERROR(IF(E913&lt;&gt;E914,1,INT(H913)+IF(TDays[[#This Row],[کد روز هفته]]=0,1,0)),1)</f>
        <v>5</v>
      </c>
      <c r="I914">
        <f>-SUMIF(TArticle[تاریخ],TDays[[#This Row],[تاریخ]],TArticle[هزینه])</f>
        <v>0</v>
      </c>
      <c r="J914">
        <f>SUMIF(TArticle[تاریخ],TDays[[#This Row],[تاریخ]],TArticle[درآمد تتا])</f>
        <v>0</v>
      </c>
      <c r="K914">
        <f>SUMIF(TArticle[تاریخ],TDays[[#This Row],[تاریخ]],TArticle[اسنپ])</f>
        <v>0</v>
      </c>
      <c r="L914">
        <f>-SUMIF(TArticle[تاریخ],TDays[[#This Row],[تاریخ]],TArticle[پرداخت بدهی])</f>
        <v>0</v>
      </c>
      <c r="M914">
        <f>SUMIF(TArticle[تاریخ],TDays[[#This Row],[تاریخ]],TArticle[افزایش بدهی])</f>
        <v>0</v>
      </c>
      <c r="N914">
        <f>-SUMIF(TArticle[تاریخ],TDays[[#This Row],[تاریخ]],TArticle[افزایش سرمایه])</f>
        <v>0</v>
      </c>
      <c r="O914">
        <f>SUMIF(TArticle[تاریخ],TDays[[#This Row],[تاریخ]],TArticle[تعداد تراکنش انجام شده])</f>
        <v>0</v>
      </c>
      <c r="P914">
        <f>INT(((TDays[[#This Row],[ماه]]-1)*31+TDays[[#This Row],[روز]]+1)/7)+1</f>
        <v>27</v>
      </c>
      <c r="Q914">
        <f>SUMIF(TArticle[تاریخ],TDays[[#This Row],[تاریخ]],TArticle[تراکنش برنامه ریزی شده])</f>
        <v>0</v>
      </c>
    </row>
    <row r="915" spans="1:17" x14ac:dyDescent="0.25">
      <c r="A915" s="3" t="s">
        <v>1409</v>
      </c>
      <c r="B915" t="str">
        <f>RIGHT(TDays[[#This Row],[تاریخ]],2)</f>
        <v>29</v>
      </c>
      <c r="C915" t="str">
        <f>RIGHT(LEFT(TDays[[#This Row],[تاریخ]],7),2)</f>
        <v>06</v>
      </c>
      <c r="D915" t="str">
        <f>LEFT(TDays[[#This Row],[تاریخ]],4)</f>
        <v>1403</v>
      </c>
      <c r="E915" t="str">
        <f>LEFT(TDays[[#This Row],[تاریخ]],7)</f>
        <v>1403-06</v>
      </c>
      <c r="F915">
        <v>5</v>
      </c>
      <c r="G915" s="16" t="str">
        <f>VLOOKUP(TDays[[#This Row],[کد روز هفته]],TDaysOfTheWeek[],2,FALSE)</f>
        <v>پنجشنبه</v>
      </c>
      <c r="H915" s="16">
        <f>IFERROR(IF(E914&lt;&gt;E915,1,INT(H914)+IF(TDays[[#This Row],[کد روز هفته]]=0,1,0)),1)</f>
        <v>5</v>
      </c>
      <c r="I915">
        <f>-SUMIF(TArticle[تاریخ],TDays[[#This Row],[تاریخ]],TArticle[هزینه])</f>
        <v>0</v>
      </c>
      <c r="J915">
        <f>SUMIF(TArticle[تاریخ],TDays[[#This Row],[تاریخ]],TArticle[درآمد تتا])</f>
        <v>0</v>
      </c>
      <c r="K915">
        <f>SUMIF(TArticle[تاریخ],TDays[[#This Row],[تاریخ]],TArticle[اسنپ])</f>
        <v>0</v>
      </c>
      <c r="L915">
        <f>-SUMIF(TArticle[تاریخ],TDays[[#This Row],[تاریخ]],TArticle[پرداخت بدهی])</f>
        <v>0</v>
      </c>
      <c r="M915">
        <f>SUMIF(TArticle[تاریخ],TDays[[#This Row],[تاریخ]],TArticle[افزایش بدهی])</f>
        <v>0</v>
      </c>
      <c r="N915">
        <f>-SUMIF(TArticle[تاریخ],TDays[[#This Row],[تاریخ]],TArticle[افزایش سرمایه])</f>
        <v>0</v>
      </c>
      <c r="O915">
        <f>SUMIF(TArticle[تاریخ],TDays[[#This Row],[تاریخ]],TArticle[تعداد تراکنش انجام شده])</f>
        <v>0</v>
      </c>
      <c r="P915">
        <f>INT(((TDays[[#This Row],[ماه]]-1)*31+TDays[[#This Row],[روز]]+1)/7)+1</f>
        <v>27</v>
      </c>
      <c r="Q915">
        <f>SUMIF(TArticle[تاریخ],TDays[[#This Row],[تاریخ]],TArticle[تراکنش برنامه ریزی شده])</f>
        <v>0</v>
      </c>
    </row>
    <row r="916" spans="1:17" x14ac:dyDescent="0.25">
      <c r="A916" s="3" t="s">
        <v>1410</v>
      </c>
      <c r="B916" t="str">
        <f>RIGHT(TDays[[#This Row],[تاریخ]],2)</f>
        <v>30</v>
      </c>
      <c r="C916" t="str">
        <f>RIGHT(LEFT(TDays[[#This Row],[تاریخ]],7),2)</f>
        <v>06</v>
      </c>
      <c r="D916" t="str">
        <f>LEFT(TDays[[#This Row],[تاریخ]],4)</f>
        <v>1403</v>
      </c>
      <c r="E916" t="str">
        <f>LEFT(TDays[[#This Row],[تاریخ]],7)</f>
        <v>1403-06</v>
      </c>
      <c r="F916">
        <v>6</v>
      </c>
      <c r="G916" s="16" t="str">
        <f>VLOOKUP(TDays[[#This Row],[کد روز هفته]],TDaysOfTheWeek[],2,FALSE)</f>
        <v>جمعه</v>
      </c>
      <c r="H916" s="16">
        <f>IFERROR(IF(E915&lt;&gt;E916,1,INT(H915)+IF(TDays[[#This Row],[کد روز هفته]]=0,1,0)),1)</f>
        <v>5</v>
      </c>
      <c r="I916">
        <f>-SUMIF(TArticle[تاریخ],TDays[[#This Row],[تاریخ]],TArticle[هزینه])</f>
        <v>0</v>
      </c>
      <c r="J916">
        <f>SUMIF(TArticle[تاریخ],TDays[[#This Row],[تاریخ]],TArticle[درآمد تتا])</f>
        <v>0</v>
      </c>
      <c r="K916">
        <f>SUMIF(TArticle[تاریخ],TDays[[#This Row],[تاریخ]],TArticle[اسنپ])</f>
        <v>0</v>
      </c>
      <c r="L916">
        <f>-SUMIF(TArticle[تاریخ],TDays[[#This Row],[تاریخ]],TArticle[پرداخت بدهی])</f>
        <v>0</v>
      </c>
      <c r="M916">
        <f>SUMIF(TArticle[تاریخ],TDays[[#This Row],[تاریخ]],TArticle[افزایش بدهی])</f>
        <v>0</v>
      </c>
      <c r="N916">
        <f>-SUMIF(TArticle[تاریخ],TDays[[#This Row],[تاریخ]],TArticle[افزایش سرمایه])</f>
        <v>0</v>
      </c>
      <c r="O916">
        <f>SUMIF(TArticle[تاریخ],TDays[[#This Row],[تاریخ]],TArticle[تعداد تراکنش انجام شده])</f>
        <v>0</v>
      </c>
      <c r="P916">
        <f>INT(((TDays[[#This Row],[ماه]]-1)*31+TDays[[#This Row],[روز]]+1)/7)+1</f>
        <v>27</v>
      </c>
      <c r="Q916">
        <f>SUMIF(TArticle[تاریخ],TDays[[#This Row],[تاریخ]],TArticle[تراکنش برنامه ریزی شده])</f>
        <v>0</v>
      </c>
    </row>
    <row r="917" spans="1:17" x14ac:dyDescent="0.25">
      <c r="A917" s="3" t="s">
        <v>1411</v>
      </c>
      <c r="B917" t="str">
        <f>RIGHT(TDays[[#This Row],[تاریخ]],2)</f>
        <v>31</v>
      </c>
      <c r="C917" t="str">
        <f>RIGHT(LEFT(TDays[[#This Row],[تاریخ]],7),2)</f>
        <v>06</v>
      </c>
      <c r="D917" t="str">
        <f>LEFT(TDays[[#This Row],[تاریخ]],4)</f>
        <v>1403</v>
      </c>
      <c r="E917" t="str">
        <f>LEFT(TDays[[#This Row],[تاریخ]],7)</f>
        <v>1403-06</v>
      </c>
      <c r="F917">
        <v>0</v>
      </c>
      <c r="G917" s="16" t="str">
        <f>VLOOKUP(TDays[[#This Row],[کد روز هفته]],TDaysOfTheWeek[],2,FALSE)</f>
        <v>شنبه</v>
      </c>
      <c r="H917" s="16">
        <f>IFERROR(IF(E916&lt;&gt;E917,1,INT(H916)+IF(TDays[[#This Row],[کد روز هفته]]=0,1,0)),1)</f>
        <v>6</v>
      </c>
      <c r="I917">
        <f>-SUMIF(TArticle[تاریخ],TDays[[#This Row],[تاریخ]],TArticle[هزینه])</f>
        <v>0</v>
      </c>
      <c r="J917">
        <f>SUMIF(TArticle[تاریخ],TDays[[#This Row],[تاریخ]],TArticle[درآمد تتا])</f>
        <v>0</v>
      </c>
      <c r="K917">
        <f>SUMIF(TArticle[تاریخ],TDays[[#This Row],[تاریخ]],TArticle[اسنپ])</f>
        <v>0</v>
      </c>
      <c r="L917">
        <f>-SUMIF(TArticle[تاریخ],TDays[[#This Row],[تاریخ]],TArticle[پرداخت بدهی])</f>
        <v>0</v>
      </c>
      <c r="M917">
        <f>SUMIF(TArticle[تاریخ],TDays[[#This Row],[تاریخ]],TArticle[افزایش بدهی])</f>
        <v>0</v>
      </c>
      <c r="N917">
        <f>-SUMIF(TArticle[تاریخ],TDays[[#This Row],[تاریخ]],TArticle[افزایش سرمایه])</f>
        <v>0</v>
      </c>
      <c r="O917">
        <f>SUMIF(TArticle[تاریخ],TDays[[#This Row],[تاریخ]],TArticle[تعداد تراکنش انجام شده])</f>
        <v>0</v>
      </c>
      <c r="P917">
        <f>INT(((TDays[[#This Row],[ماه]]-1)*31+TDays[[#This Row],[روز]]+1)/7)+1</f>
        <v>27</v>
      </c>
      <c r="Q917">
        <f>SUMIF(TArticle[تاریخ],TDays[[#This Row],[تاریخ]],TArticle[تراکنش برنامه ریزی شده])</f>
        <v>0</v>
      </c>
    </row>
    <row r="918" spans="1:17" x14ac:dyDescent="0.25">
      <c r="A918" s="3" t="s">
        <v>1412</v>
      </c>
      <c r="B918" t="str">
        <f>RIGHT(TDays[[#This Row],[تاریخ]],2)</f>
        <v>01</v>
      </c>
      <c r="C918" t="str">
        <f>RIGHT(LEFT(TDays[[#This Row],[تاریخ]],7),2)</f>
        <v>07</v>
      </c>
      <c r="D918" t="str">
        <f>LEFT(TDays[[#This Row],[تاریخ]],4)</f>
        <v>1403</v>
      </c>
      <c r="E918" t="str">
        <f>LEFT(TDays[[#This Row],[تاریخ]],7)</f>
        <v>1403-07</v>
      </c>
      <c r="F918">
        <v>1</v>
      </c>
      <c r="G918" s="16" t="str">
        <f>VLOOKUP(TDays[[#This Row],[کد روز هفته]],TDaysOfTheWeek[],2,FALSE)</f>
        <v>یکشنبه</v>
      </c>
      <c r="H918" s="16">
        <f>IFERROR(IF(E917&lt;&gt;E918,1,INT(H917)+IF(TDays[[#This Row],[کد روز هفته]]=0,1,0)),1)</f>
        <v>1</v>
      </c>
      <c r="I918">
        <f>-SUMIF(TArticle[تاریخ],TDays[[#This Row],[تاریخ]],TArticle[هزینه])</f>
        <v>0</v>
      </c>
      <c r="J918">
        <f>SUMIF(TArticle[تاریخ],TDays[[#This Row],[تاریخ]],TArticle[درآمد تتا])</f>
        <v>0</v>
      </c>
      <c r="K918">
        <f>SUMIF(TArticle[تاریخ],TDays[[#This Row],[تاریخ]],TArticle[اسنپ])</f>
        <v>0</v>
      </c>
      <c r="L918">
        <f>-SUMIF(TArticle[تاریخ],TDays[[#This Row],[تاریخ]],TArticle[پرداخت بدهی])</f>
        <v>0</v>
      </c>
      <c r="M918">
        <f>SUMIF(TArticle[تاریخ],TDays[[#This Row],[تاریخ]],TArticle[افزایش بدهی])</f>
        <v>0</v>
      </c>
      <c r="N918">
        <f>-SUMIF(TArticle[تاریخ],TDays[[#This Row],[تاریخ]],TArticle[افزایش سرمایه])</f>
        <v>0</v>
      </c>
      <c r="O918">
        <f>SUMIF(TArticle[تاریخ],TDays[[#This Row],[تاریخ]],TArticle[تعداد تراکنش انجام شده])</f>
        <v>0</v>
      </c>
      <c r="P918">
        <f>INT(((TDays[[#This Row],[ماه]]-1)*31+TDays[[#This Row],[روز]]+1)/7)+1</f>
        <v>27</v>
      </c>
      <c r="Q918">
        <f>SUMIF(TArticle[تاریخ],TDays[[#This Row],[تاریخ]],TArticle[تراکنش برنامه ریزی شده])</f>
        <v>2</v>
      </c>
    </row>
    <row r="919" spans="1:17" x14ac:dyDescent="0.25">
      <c r="A919" s="3" t="s">
        <v>1413</v>
      </c>
      <c r="B919" t="str">
        <f>RIGHT(TDays[[#This Row],[تاریخ]],2)</f>
        <v>02</v>
      </c>
      <c r="C919" t="str">
        <f>RIGHT(LEFT(TDays[[#This Row],[تاریخ]],7),2)</f>
        <v>07</v>
      </c>
      <c r="D919" t="str">
        <f>LEFT(TDays[[#This Row],[تاریخ]],4)</f>
        <v>1403</v>
      </c>
      <c r="E919" t="str">
        <f>LEFT(TDays[[#This Row],[تاریخ]],7)</f>
        <v>1403-07</v>
      </c>
      <c r="F919">
        <v>2</v>
      </c>
      <c r="G919" s="16" t="str">
        <f>VLOOKUP(TDays[[#This Row],[کد روز هفته]],TDaysOfTheWeek[],2,FALSE)</f>
        <v>دوشنبه</v>
      </c>
      <c r="H919" s="16">
        <f>IFERROR(IF(E918&lt;&gt;E919,1,INT(H918)+IF(TDays[[#This Row],[کد روز هفته]]=0,1,0)),1)</f>
        <v>1</v>
      </c>
      <c r="I919">
        <f>-SUMIF(TArticle[تاریخ],TDays[[#This Row],[تاریخ]],TArticle[هزینه])</f>
        <v>0</v>
      </c>
      <c r="J919">
        <f>SUMIF(TArticle[تاریخ],TDays[[#This Row],[تاریخ]],TArticle[درآمد تتا])</f>
        <v>0</v>
      </c>
      <c r="K919">
        <f>SUMIF(TArticle[تاریخ],TDays[[#This Row],[تاریخ]],TArticle[اسنپ])</f>
        <v>0</v>
      </c>
      <c r="L919">
        <f>-SUMIF(TArticle[تاریخ],TDays[[#This Row],[تاریخ]],TArticle[پرداخت بدهی])</f>
        <v>0</v>
      </c>
      <c r="M919">
        <f>SUMIF(TArticle[تاریخ],TDays[[#This Row],[تاریخ]],TArticle[افزایش بدهی])</f>
        <v>0</v>
      </c>
      <c r="N919">
        <f>-SUMIF(TArticle[تاریخ],TDays[[#This Row],[تاریخ]],TArticle[افزایش سرمایه])</f>
        <v>0</v>
      </c>
      <c r="O919">
        <f>SUMIF(TArticle[تاریخ],TDays[[#This Row],[تاریخ]],TArticle[تعداد تراکنش انجام شده])</f>
        <v>0</v>
      </c>
      <c r="P919">
        <f>INT(((TDays[[#This Row],[ماه]]-1)*31+TDays[[#This Row],[روز]]+1)/7)+1</f>
        <v>28</v>
      </c>
      <c r="Q919">
        <f>SUMIF(TArticle[تاریخ],TDays[[#This Row],[تاریخ]],TArticle[تراکنش برنامه ریزی شده])</f>
        <v>0</v>
      </c>
    </row>
    <row r="920" spans="1:17" x14ac:dyDescent="0.25">
      <c r="A920" s="3" t="s">
        <v>1414</v>
      </c>
      <c r="B920" t="str">
        <f>RIGHT(TDays[[#This Row],[تاریخ]],2)</f>
        <v>03</v>
      </c>
      <c r="C920" t="str">
        <f>RIGHT(LEFT(TDays[[#This Row],[تاریخ]],7),2)</f>
        <v>07</v>
      </c>
      <c r="D920" t="str">
        <f>LEFT(TDays[[#This Row],[تاریخ]],4)</f>
        <v>1403</v>
      </c>
      <c r="E920" t="str">
        <f>LEFT(TDays[[#This Row],[تاریخ]],7)</f>
        <v>1403-07</v>
      </c>
      <c r="F920">
        <v>3</v>
      </c>
      <c r="G920" s="16" t="str">
        <f>VLOOKUP(TDays[[#This Row],[کد روز هفته]],TDaysOfTheWeek[],2,FALSE)</f>
        <v>سه شنبه</v>
      </c>
      <c r="H920" s="16">
        <f>IFERROR(IF(E919&lt;&gt;E920,1,INT(H919)+IF(TDays[[#This Row],[کد روز هفته]]=0,1,0)),1)</f>
        <v>1</v>
      </c>
      <c r="I920">
        <f>-SUMIF(TArticle[تاریخ],TDays[[#This Row],[تاریخ]],TArticle[هزینه])</f>
        <v>0</v>
      </c>
      <c r="J920">
        <f>SUMIF(TArticle[تاریخ],TDays[[#This Row],[تاریخ]],TArticle[درآمد تتا])</f>
        <v>0</v>
      </c>
      <c r="K920">
        <f>SUMIF(TArticle[تاریخ],TDays[[#This Row],[تاریخ]],TArticle[اسنپ])</f>
        <v>0</v>
      </c>
      <c r="L920">
        <f>-SUMIF(TArticle[تاریخ],TDays[[#This Row],[تاریخ]],TArticle[پرداخت بدهی])</f>
        <v>0</v>
      </c>
      <c r="M920">
        <f>SUMIF(TArticle[تاریخ],TDays[[#This Row],[تاریخ]],TArticle[افزایش بدهی])</f>
        <v>0</v>
      </c>
      <c r="N920">
        <f>-SUMIF(TArticle[تاریخ],TDays[[#This Row],[تاریخ]],TArticle[افزایش سرمایه])</f>
        <v>0</v>
      </c>
      <c r="O920">
        <f>SUMIF(TArticle[تاریخ],TDays[[#This Row],[تاریخ]],TArticle[تعداد تراکنش انجام شده])</f>
        <v>0</v>
      </c>
      <c r="P920">
        <f>INT(((TDays[[#This Row],[ماه]]-1)*31+TDays[[#This Row],[روز]]+1)/7)+1</f>
        <v>28</v>
      </c>
      <c r="Q920">
        <f>SUMIF(TArticle[تاریخ],TDays[[#This Row],[تاریخ]],TArticle[تراکنش برنامه ریزی شده])</f>
        <v>1</v>
      </c>
    </row>
    <row r="921" spans="1:17" x14ac:dyDescent="0.25">
      <c r="A921" s="3" t="s">
        <v>1415</v>
      </c>
      <c r="B921" t="str">
        <f>RIGHT(TDays[[#This Row],[تاریخ]],2)</f>
        <v>04</v>
      </c>
      <c r="C921" t="str">
        <f>RIGHT(LEFT(TDays[[#This Row],[تاریخ]],7),2)</f>
        <v>07</v>
      </c>
      <c r="D921" t="str">
        <f>LEFT(TDays[[#This Row],[تاریخ]],4)</f>
        <v>1403</v>
      </c>
      <c r="E921" t="str">
        <f>LEFT(TDays[[#This Row],[تاریخ]],7)</f>
        <v>1403-07</v>
      </c>
      <c r="F921">
        <v>4</v>
      </c>
      <c r="G921" s="16" t="str">
        <f>VLOOKUP(TDays[[#This Row],[کد روز هفته]],TDaysOfTheWeek[],2,FALSE)</f>
        <v>چهارشنبه</v>
      </c>
      <c r="H921" s="16">
        <f>IFERROR(IF(E920&lt;&gt;E921,1,INT(H920)+IF(TDays[[#This Row],[کد روز هفته]]=0,1,0)),1)</f>
        <v>1</v>
      </c>
      <c r="I921">
        <f>-SUMIF(TArticle[تاریخ],TDays[[#This Row],[تاریخ]],TArticle[هزینه])</f>
        <v>0</v>
      </c>
      <c r="J921">
        <f>SUMIF(TArticle[تاریخ],TDays[[#This Row],[تاریخ]],TArticle[درآمد تتا])</f>
        <v>0</v>
      </c>
      <c r="K921">
        <f>SUMIF(TArticle[تاریخ],TDays[[#This Row],[تاریخ]],TArticle[اسنپ])</f>
        <v>0</v>
      </c>
      <c r="L921">
        <f>-SUMIF(TArticle[تاریخ],TDays[[#This Row],[تاریخ]],TArticle[پرداخت بدهی])</f>
        <v>0</v>
      </c>
      <c r="M921">
        <f>SUMIF(TArticle[تاریخ],TDays[[#This Row],[تاریخ]],TArticle[افزایش بدهی])</f>
        <v>0</v>
      </c>
      <c r="N921">
        <f>-SUMIF(TArticle[تاریخ],TDays[[#This Row],[تاریخ]],TArticle[افزایش سرمایه])</f>
        <v>0</v>
      </c>
      <c r="O921">
        <f>SUMIF(TArticle[تاریخ],TDays[[#This Row],[تاریخ]],TArticle[تعداد تراکنش انجام شده])</f>
        <v>0</v>
      </c>
      <c r="P921">
        <f>INT(((TDays[[#This Row],[ماه]]-1)*31+TDays[[#This Row],[روز]]+1)/7)+1</f>
        <v>28</v>
      </c>
      <c r="Q921">
        <f>SUMIF(TArticle[تاریخ],TDays[[#This Row],[تاریخ]],TArticle[تراکنش برنامه ریزی شده])</f>
        <v>1</v>
      </c>
    </row>
    <row r="922" spans="1:17" x14ac:dyDescent="0.25">
      <c r="A922" s="3" t="s">
        <v>1416</v>
      </c>
      <c r="B922" t="str">
        <f>RIGHT(TDays[[#This Row],[تاریخ]],2)</f>
        <v>05</v>
      </c>
      <c r="C922" t="str">
        <f>RIGHT(LEFT(TDays[[#This Row],[تاریخ]],7),2)</f>
        <v>07</v>
      </c>
      <c r="D922" t="str">
        <f>LEFT(TDays[[#This Row],[تاریخ]],4)</f>
        <v>1403</v>
      </c>
      <c r="E922" t="str">
        <f>LEFT(TDays[[#This Row],[تاریخ]],7)</f>
        <v>1403-07</v>
      </c>
      <c r="F922">
        <v>5</v>
      </c>
      <c r="G922" s="16" t="str">
        <f>VLOOKUP(TDays[[#This Row],[کد روز هفته]],TDaysOfTheWeek[],2,FALSE)</f>
        <v>پنجشنبه</v>
      </c>
      <c r="H922" s="16">
        <f>IFERROR(IF(E921&lt;&gt;E922,1,INT(H921)+IF(TDays[[#This Row],[کد روز هفته]]=0,1,0)),1)</f>
        <v>1</v>
      </c>
      <c r="I922">
        <f>-SUMIF(TArticle[تاریخ],TDays[[#This Row],[تاریخ]],TArticle[هزینه])</f>
        <v>0</v>
      </c>
      <c r="J922">
        <f>SUMIF(TArticle[تاریخ],TDays[[#This Row],[تاریخ]],TArticle[درآمد تتا])</f>
        <v>0</v>
      </c>
      <c r="K922">
        <f>SUMIF(TArticle[تاریخ],TDays[[#This Row],[تاریخ]],TArticle[اسنپ])</f>
        <v>0</v>
      </c>
      <c r="L922">
        <f>-SUMIF(TArticle[تاریخ],TDays[[#This Row],[تاریخ]],TArticle[پرداخت بدهی])</f>
        <v>0</v>
      </c>
      <c r="M922">
        <f>SUMIF(TArticle[تاریخ],TDays[[#This Row],[تاریخ]],TArticle[افزایش بدهی])</f>
        <v>0</v>
      </c>
      <c r="N922">
        <f>-SUMIF(TArticle[تاریخ],TDays[[#This Row],[تاریخ]],TArticle[افزایش سرمایه])</f>
        <v>0</v>
      </c>
      <c r="O922">
        <f>SUMIF(TArticle[تاریخ],TDays[[#This Row],[تاریخ]],TArticle[تعداد تراکنش انجام شده])</f>
        <v>0</v>
      </c>
      <c r="P922">
        <f>INT(((TDays[[#This Row],[ماه]]-1)*31+TDays[[#This Row],[روز]]+1)/7)+1</f>
        <v>28</v>
      </c>
      <c r="Q922">
        <f>SUMIF(TArticle[تاریخ],TDays[[#This Row],[تاریخ]],TArticle[تراکنش برنامه ریزی شده])</f>
        <v>0</v>
      </c>
    </row>
    <row r="923" spans="1:17" x14ac:dyDescent="0.25">
      <c r="A923" s="3" t="s">
        <v>1417</v>
      </c>
      <c r="B923" t="str">
        <f>RIGHT(TDays[[#This Row],[تاریخ]],2)</f>
        <v>06</v>
      </c>
      <c r="C923" t="str">
        <f>RIGHT(LEFT(TDays[[#This Row],[تاریخ]],7),2)</f>
        <v>07</v>
      </c>
      <c r="D923" t="str">
        <f>LEFT(TDays[[#This Row],[تاریخ]],4)</f>
        <v>1403</v>
      </c>
      <c r="E923" t="str">
        <f>LEFT(TDays[[#This Row],[تاریخ]],7)</f>
        <v>1403-07</v>
      </c>
      <c r="F923">
        <v>6</v>
      </c>
      <c r="G923" s="16" t="str">
        <f>VLOOKUP(TDays[[#This Row],[کد روز هفته]],TDaysOfTheWeek[],2,FALSE)</f>
        <v>جمعه</v>
      </c>
      <c r="H923" s="16">
        <f>IFERROR(IF(E922&lt;&gt;E923,1,INT(H922)+IF(TDays[[#This Row],[کد روز هفته]]=0,1,0)),1)</f>
        <v>1</v>
      </c>
      <c r="I923">
        <f>-SUMIF(TArticle[تاریخ],TDays[[#This Row],[تاریخ]],TArticle[هزینه])</f>
        <v>0</v>
      </c>
      <c r="J923">
        <f>SUMIF(TArticle[تاریخ],TDays[[#This Row],[تاریخ]],TArticle[درآمد تتا])</f>
        <v>0</v>
      </c>
      <c r="K923">
        <f>SUMIF(TArticle[تاریخ],TDays[[#This Row],[تاریخ]],TArticle[اسنپ])</f>
        <v>0</v>
      </c>
      <c r="L923">
        <f>-SUMIF(TArticle[تاریخ],TDays[[#This Row],[تاریخ]],TArticle[پرداخت بدهی])</f>
        <v>0</v>
      </c>
      <c r="M923">
        <f>SUMIF(TArticle[تاریخ],TDays[[#This Row],[تاریخ]],TArticle[افزایش بدهی])</f>
        <v>0</v>
      </c>
      <c r="N923">
        <f>-SUMIF(TArticle[تاریخ],TDays[[#This Row],[تاریخ]],TArticle[افزایش سرمایه])</f>
        <v>0</v>
      </c>
      <c r="O923">
        <f>SUMIF(TArticle[تاریخ],TDays[[#This Row],[تاریخ]],TArticle[تعداد تراکنش انجام شده])</f>
        <v>0</v>
      </c>
      <c r="P923">
        <f>INT(((TDays[[#This Row],[ماه]]-1)*31+TDays[[#This Row],[روز]]+1)/7)+1</f>
        <v>28</v>
      </c>
      <c r="Q923">
        <f>SUMIF(TArticle[تاریخ],TDays[[#This Row],[تاریخ]],TArticle[تراکنش برنامه ریزی شده])</f>
        <v>0</v>
      </c>
    </row>
    <row r="924" spans="1:17" x14ac:dyDescent="0.25">
      <c r="A924" s="3" t="s">
        <v>1418</v>
      </c>
      <c r="B924" t="str">
        <f>RIGHT(TDays[[#This Row],[تاریخ]],2)</f>
        <v>07</v>
      </c>
      <c r="C924" t="str">
        <f>RIGHT(LEFT(TDays[[#This Row],[تاریخ]],7),2)</f>
        <v>07</v>
      </c>
      <c r="D924" t="str">
        <f>LEFT(TDays[[#This Row],[تاریخ]],4)</f>
        <v>1403</v>
      </c>
      <c r="E924" t="str">
        <f>LEFT(TDays[[#This Row],[تاریخ]],7)</f>
        <v>1403-07</v>
      </c>
      <c r="F924">
        <v>0</v>
      </c>
      <c r="G924" s="16" t="str">
        <f>VLOOKUP(TDays[[#This Row],[کد روز هفته]],TDaysOfTheWeek[],2,FALSE)</f>
        <v>شنبه</v>
      </c>
      <c r="H924" s="16">
        <f>IFERROR(IF(E923&lt;&gt;E924,1,INT(H923)+IF(TDays[[#This Row],[کد روز هفته]]=0,1,0)),1)</f>
        <v>2</v>
      </c>
      <c r="I924">
        <f>-SUMIF(TArticle[تاریخ],TDays[[#This Row],[تاریخ]],TArticle[هزینه])</f>
        <v>0</v>
      </c>
      <c r="J924">
        <f>SUMIF(TArticle[تاریخ],TDays[[#This Row],[تاریخ]],TArticle[درآمد تتا])</f>
        <v>0</v>
      </c>
      <c r="K924">
        <f>SUMIF(TArticle[تاریخ],TDays[[#This Row],[تاریخ]],TArticle[اسنپ])</f>
        <v>0</v>
      </c>
      <c r="L924">
        <f>-SUMIF(TArticle[تاریخ],TDays[[#This Row],[تاریخ]],TArticle[پرداخت بدهی])</f>
        <v>0</v>
      </c>
      <c r="M924">
        <f>SUMIF(TArticle[تاریخ],TDays[[#This Row],[تاریخ]],TArticle[افزایش بدهی])</f>
        <v>0</v>
      </c>
      <c r="N924">
        <f>-SUMIF(TArticle[تاریخ],TDays[[#This Row],[تاریخ]],TArticle[افزایش سرمایه])</f>
        <v>0</v>
      </c>
      <c r="O924">
        <f>SUMIF(TArticle[تاریخ],TDays[[#This Row],[تاریخ]],TArticle[تعداد تراکنش انجام شده])</f>
        <v>0</v>
      </c>
      <c r="P924">
        <f>INT(((TDays[[#This Row],[ماه]]-1)*31+TDays[[#This Row],[روز]]+1)/7)+1</f>
        <v>28</v>
      </c>
      <c r="Q924">
        <f>SUMIF(TArticle[تاریخ],TDays[[#This Row],[تاریخ]],TArticle[تراکنش برنامه ریزی شده])</f>
        <v>0</v>
      </c>
    </row>
    <row r="925" spans="1:17" x14ac:dyDescent="0.25">
      <c r="A925" s="3" t="s">
        <v>1419</v>
      </c>
      <c r="B925" t="str">
        <f>RIGHT(TDays[[#This Row],[تاریخ]],2)</f>
        <v>08</v>
      </c>
      <c r="C925" t="str">
        <f>RIGHT(LEFT(TDays[[#This Row],[تاریخ]],7),2)</f>
        <v>07</v>
      </c>
      <c r="D925" t="str">
        <f>LEFT(TDays[[#This Row],[تاریخ]],4)</f>
        <v>1403</v>
      </c>
      <c r="E925" t="str">
        <f>LEFT(TDays[[#This Row],[تاریخ]],7)</f>
        <v>1403-07</v>
      </c>
      <c r="F925">
        <v>1</v>
      </c>
      <c r="G925" s="16" t="str">
        <f>VLOOKUP(TDays[[#This Row],[کد روز هفته]],TDaysOfTheWeek[],2,FALSE)</f>
        <v>یکشنبه</v>
      </c>
      <c r="H925" s="16">
        <f>IFERROR(IF(E924&lt;&gt;E925,1,INT(H924)+IF(TDays[[#This Row],[کد روز هفته]]=0,1,0)),1)</f>
        <v>2</v>
      </c>
      <c r="I925">
        <f>-SUMIF(TArticle[تاریخ],TDays[[#This Row],[تاریخ]],TArticle[هزینه])</f>
        <v>0</v>
      </c>
      <c r="J925">
        <f>SUMIF(TArticle[تاریخ],TDays[[#This Row],[تاریخ]],TArticle[درآمد تتا])</f>
        <v>0</v>
      </c>
      <c r="K925">
        <f>SUMIF(TArticle[تاریخ],TDays[[#This Row],[تاریخ]],TArticle[اسنپ])</f>
        <v>0</v>
      </c>
      <c r="L925">
        <f>-SUMIF(TArticle[تاریخ],TDays[[#This Row],[تاریخ]],TArticle[پرداخت بدهی])</f>
        <v>0</v>
      </c>
      <c r="M925">
        <f>SUMIF(TArticle[تاریخ],TDays[[#This Row],[تاریخ]],TArticle[افزایش بدهی])</f>
        <v>0</v>
      </c>
      <c r="N925">
        <f>-SUMIF(TArticle[تاریخ],TDays[[#This Row],[تاریخ]],TArticle[افزایش سرمایه])</f>
        <v>0</v>
      </c>
      <c r="O925">
        <f>SUMIF(TArticle[تاریخ],TDays[[#This Row],[تاریخ]],TArticle[تعداد تراکنش انجام شده])</f>
        <v>0</v>
      </c>
      <c r="P925">
        <f>INT(((TDays[[#This Row],[ماه]]-1)*31+TDays[[#This Row],[روز]]+1)/7)+1</f>
        <v>28</v>
      </c>
      <c r="Q925">
        <f>SUMIF(TArticle[تاریخ],TDays[[#This Row],[تاریخ]],TArticle[تراکنش برنامه ریزی شده])</f>
        <v>0</v>
      </c>
    </row>
    <row r="926" spans="1:17" x14ac:dyDescent="0.25">
      <c r="A926" s="3" t="s">
        <v>1420</v>
      </c>
      <c r="B926" t="str">
        <f>RIGHT(TDays[[#This Row],[تاریخ]],2)</f>
        <v>09</v>
      </c>
      <c r="C926" t="str">
        <f>RIGHT(LEFT(TDays[[#This Row],[تاریخ]],7),2)</f>
        <v>07</v>
      </c>
      <c r="D926" t="str">
        <f>LEFT(TDays[[#This Row],[تاریخ]],4)</f>
        <v>1403</v>
      </c>
      <c r="E926" t="str">
        <f>LEFT(TDays[[#This Row],[تاریخ]],7)</f>
        <v>1403-07</v>
      </c>
      <c r="F926">
        <v>2</v>
      </c>
      <c r="G926" s="16" t="str">
        <f>VLOOKUP(TDays[[#This Row],[کد روز هفته]],TDaysOfTheWeek[],2,FALSE)</f>
        <v>دوشنبه</v>
      </c>
      <c r="H926" s="16">
        <f>IFERROR(IF(E925&lt;&gt;E926,1,INT(H925)+IF(TDays[[#This Row],[کد روز هفته]]=0,1,0)),1)</f>
        <v>2</v>
      </c>
      <c r="I926">
        <f>-SUMIF(TArticle[تاریخ],TDays[[#This Row],[تاریخ]],TArticle[هزینه])</f>
        <v>0</v>
      </c>
      <c r="J926">
        <f>SUMIF(TArticle[تاریخ],TDays[[#This Row],[تاریخ]],TArticle[درآمد تتا])</f>
        <v>0</v>
      </c>
      <c r="K926">
        <f>SUMIF(TArticle[تاریخ],TDays[[#This Row],[تاریخ]],TArticle[اسنپ])</f>
        <v>0</v>
      </c>
      <c r="L926">
        <f>-SUMIF(TArticle[تاریخ],TDays[[#This Row],[تاریخ]],TArticle[پرداخت بدهی])</f>
        <v>0</v>
      </c>
      <c r="M926">
        <f>SUMIF(TArticle[تاریخ],TDays[[#This Row],[تاریخ]],TArticle[افزایش بدهی])</f>
        <v>0</v>
      </c>
      <c r="N926">
        <f>-SUMIF(TArticle[تاریخ],TDays[[#This Row],[تاریخ]],TArticle[افزایش سرمایه])</f>
        <v>0</v>
      </c>
      <c r="O926">
        <f>SUMIF(TArticle[تاریخ],TDays[[#This Row],[تاریخ]],TArticle[تعداد تراکنش انجام شده])</f>
        <v>0</v>
      </c>
      <c r="P926">
        <f>INT(((TDays[[#This Row],[ماه]]-1)*31+TDays[[#This Row],[روز]]+1)/7)+1</f>
        <v>29</v>
      </c>
      <c r="Q926">
        <f>SUMIF(TArticle[تاریخ],TDays[[#This Row],[تاریخ]],TArticle[تراکنش برنامه ریزی شده])</f>
        <v>1</v>
      </c>
    </row>
    <row r="927" spans="1:17" x14ac:dyDescent="0.25">
      <c r="A927" s="3" t="s">
        <v>1421</v>
      </c>
      <c r="B927" t="str">
        <f>RIGHT(TDays[[#This Row],[تاریخ]],2)</f>
        <v>10</v>
      </c>
      <c r="C927" t="str">
        <f>RIGHT(LEFT(TDays[[#This Row],[تاریخ]],7),2)</f>
        <v>07</v>
      </c>
      <c r="D927" t="str">
        <f>LEFT(TDays[[#This Row],[تاریخ]],4)</f>
        <v>1403</v>
      </c>
      <c r="E927" t="str">
        <f>LEFT(TDays[[#This Row],[تاریخ]],7)</f>
        <v>1403-07</v>
      </c>
      <c r="F927">
        <v>3</v>
      </c>
      <c r="G927" s="16" t="str">
        <f>VLOOKUP(TDays[[#This Row],[کد روز هفته]],TDaysOfTheWeek[],2,FALSE)</f>
        <v>سه شنبه</v>
      </c>
      <c r="H927" s="16">
        <f>IFERROR(IF(E926&lt;&gt;E927,1,INT(H926)+IF(TDays[[#This Row],[کد روز هفته]]=0,1,0)),1)</f>
        <v>2</v>
      </c>
      <c r="I927">
        <f>-SUMIF(TArticle[تاریخ],TDays[[#This Row],[تاریخ]],TArticle[هزینه])</f>
        <v>0</v>
      </c>
      <c r="J927">
        <f>SUMIF(TArticle[تاریخ],TDays[[#This Row],[تاریخ]],TArticle[درآمد تتا])</f>
        <v>0</v>
      </c>
      <c r="K927">
        <f>SUMIF(TArticle[تاریخ],TDays[[#This Row],[تاریخ]],TArticle[اسنپ])</f>
        <v>0</v>
      </c>
      <c r="L927">
        <f>-SUMIF(TArticle[تاریخ],TDays[[#This Row],[تاریخ]],TArticle[پرداخت بدهی])</f>
        <v>0</v>
      </c>
      <c r="M927">
        <f>SUMIF(TArticle[تاریخ],TDays[[#This Row],[تاریخ]],TArticle[افزایش بدهی])</f>
        <v>0</v>
      </c>
      <c r="N927">
        <f>-SUMIF(TArticle[تاریخ],TDays[[#This Row],[تاریخ]],TArticle[افزایش سرمایه])</f>
        <v>0</v>
      </c>
      <c r="O927">
        <f>SUMIF(TArticle[تاریخ],TDays[[#This Row],[تاریخ]],TArticle[تعداد تراکنش انجام شده])</f>
        <v>0</v>
      </c>
      <c r="P927">
        <f>INT(((TDays[[#This Row],[ماه]]-1)*31+TDays[[#This Row],[روز]]+1)/7)+1</f>
        <v>29</v>
      </c>
      <c r="Q927">
        <f>SUMIF(TArticle[تاریخ],TDays[[#This Row],[تاریخ]],TArticle[تراکنش برنامه ریزی شده])</f>
        <v>0</v>
      </c>
    </row>
    <row r="928" spans="1:17" x14ac:dyDescent="0.25">
      <c r="A928" s="3" t="s">
        <v>1422</v>
      </c>
      <c r="B928" t="str">
        <f>RIGHT(TDays[[#This Row],[تاریخ]],2)</f>
        <v>11</v>
      </c>
      <c r="C928" t="str">
        <f>RIGHT(LEFT(TDays[[#This Row],[تاریخ]],7),2)</f>
        <v>07</v>
      </c>
      <c r="D928" t="str">
        <f>LEFT(TDays[[#This Row],[تاریخ]],4)</f>
        <v>1403</v>
      </c>
      <c r="E928" t="str">
        <f>LEFT(TDays[[#This Row],[تاریخ]],7)</f>
        <v>1403-07</v>
      </c>
      <c r="F928">
        <v>4</v>
      </c>
      <c r="G928" s="16" t="str">
        <f>VLOOKUP(TDays[[#This Row],[کد روز هفته]],TDaysOfTheWeek[],2,FALSE)</f>
        <v>چهارشنبه</v>
      </c>
      <c r="H928" s="16">
        <f>IFERROR(IF(E927&lt;&gt;E928,1,INT(H927)+IF(TDays[[#This Row],[کد روز هفته]]=0,1,0)),1)</f>
        <v>2</v>
      </c>
      <c r="I928">
        <f>-SUMIF(TArticle[تاریخ],TDays[[#This Row],[تاریخ]],TArticle[هزینه])</f>
        <v>0</v>
      </c>
      <c r="J928">
        <f>SUMIF(TArticle[تاریخ],TDays[[#This Row],[تاریخ]],TArticle[درآمد تتا])</f>
        <v>0</v>
      </c>
      <c r="K928">
        <f>SUMIF(TArticle[تاریخ],TDays[[#This Row],[تاریخ]],TArticle[اسنپ])</f>
        <v>0</v>
      </c>
      <c r="L928">
        <f>-SUMIF(TArticle[تاریخ],TDays[[#This Row],[تاریخ]],TArticle[پرداخت بدهی])</f>
        <v>0</v>
      </c>
      <c r="M928">
        <f>SUMIF(TArticle[تاریخ],TDays[[#This Row],[تاریخ]],TArticle[افزایش بدهی])</f>
        <v>0</v>
      </c>
      <c r="N928">
        <f>-SUMIF(TArticle[تاریخ],TDays[[#This Row],[تاریخ]],TArticle[افزایش سرمایه])</f>
        <v>0</v>
      </c>
      <c r="O928">
        <f>SUMIF(TArticle[تاریخ],TDays[[#This Row],[تاریخ]],TArticle[تعداد تراکنش انجام شده])</f>
        <v>0</v>
      </c>
      <c r="P928">
        <f>INT(((TDays[[#This Row],[ماه]]-1)*31+TDays[[#This Row],[روز]]+1)/7)+1</f>
        <v>29</v>
      </c>
      <c r="Q928">
        <f>SUMIF(TArticle[تاریخ],TDays[[#This Row],[تاریخ]],TArticle[تراکنش برنامه ریزی شده])</f>
        <v>0</v>
      </c>
    </row>
    <row r="929" spans="1:17" x14ac:dyDescent="0.25">
      <c r="A929" s="3" t="s">
        <v>1423</v>
      </c>
      <c r="B929" t="str">
        <f>RIGHT(TDays[[#This Row],[تاریخ]],2)</f>
        <v>12</v>
      </c>
      <c r="C929" t="str">
        <f>RIGHT(LEFT(TDays[[#This Row],[تاریخ]],7),2)</f>
        <v>07</v>
      </c>
      <c r="D929" t="str">
        <f>LEFT(TDays[[#This Row],[تاریخ]],4)</f>
        <v>1403</v>
      </c>
      <c r="E929" t="str">
        <f>LEFT(TDays[[#This Row],[تاریخ]],7)</f>
        <v>1403-07</v>
      </c>
      <c r="F929">
        <v>5</v>
      </c>
      <c r="G929" s="16" t="str">
        <f>VLOOKUP(TDays[[#This Row],[کد روز هفته]],TDaysOfTheWeek[],2,FALSE)</f>
        <v>پنجشنبه</v>
      </c>
      <c r="H929" s="16">
        <f>IFERROR(IF(E928&lt;&gt;E929,1,INT(H928)+IF(TDays[[#This Row],[کد روز هفته]]=0,1,0)),1)</f>
        <v>2</v>
      </c>
      <c r="I929">
        <f>-SUMIF(TArticle[تاریخ],TDays[[#This Row],[تاریخ]],TArticle[هزینه])</f>
        <v>0</v>
      </c>
      <c r="J929">
        <f>SUMIF(TArticle[تاریخ],TDays[[#This Row],[تاریخ]],TArticle[درآمد تتا])</f>
        <v>0</v>
      </c>
      <c r="K929">
        <f>SUMIF(TArticle[تاریخ],TDays[[#This Row],[تاریخ]],TArticle[اسنپ])</f>
        <v>0</v>
      </c>
      <c r="L929">
        <f>-SUMIF(TArticle[تاریخ],TDays[[#This Row],[تاریخ]],TArticle[پرداخت بدهی])</f>
        <v>0</v>
      </c>
      <c r="M929">
        <f>SUMIF(TArticle[تاریخ],TDays[[#This Row],[تاریخ]],TArticle[افزایش بدهی])</f>
        <v>0</v>
      </c>
      <c r="N929">
        <f>-SUMIF(TArticle[تاریخ],TDays[[#This Row],[تاریخ]],TArticle[افزایش سرمایه])</f>
        <v>0</v>
      </c>
      <c r="O929">
        <f>SUMIF(TArticle[تاریخ],TDays[[#This Row],[تاریخ]],TArticle[تعداد تراکنش انجام شده])</f>
        <v>0</v>
      </c>
      <c r="P929">
        <f>INT(((TDays[[#This Row],[ماه]]-1)*31+TDays[[#This Row],[روز]]+1)/7)+1</f>
        <v>29</v>
      </c>
      <c r="Q929">
        <f>SUMIF(TArticle[تاریخ],TDays[[#This Row],[تاریخ]],TArticle[تراکنش برنامه ریزی شده])</f>
        <v>0</v>
      </c>
    </row>
    <row r="930" spans="1:17" x14ac:dyDescent="0.25">
      <c r="A930" s="3" t="s">
        <v>1424</v>
      </c>
      <c r="B930" t="str">
        <f>RIGHT(TDays[[#This Row],[تاریخ]],2)</f>
        <v>13</v>
      </c>
      <c r="C930" t="str">
        <f>RIGHT(LEFT(TDays[[#This Row],[تاریخ]],7),2)</f>
        <v>07</v>
      </c>
      <c r="D930" t="str">
        <f>LEFT(TDays[[#This Row],[تاریخ]],4)</f>
        <v>1403</v>
      </c>
      <c r="E930" t="str">
        <f>LEFT(TDays[[#This Row],[تاریخ]],7)</f>
        <v>1403-07</v>
      </c>
      <c r="F930">
        <v>6</v>
      </c>
      <c r="G930" s="16" t="str">
        <f>VLOOKUP(TDays[[#This Row],[کد روز هفته]],TDaysOfTheWeek[],2,FALSE)</f>
        <v>جمعه</v>
      </c>
      <c r="H930" s="16">
        <f>IFERROR(IF(E929&lt;&gt;E930,1,INT(H929)+IF(TDays[[#This Row],[کد روز هفته]]=0,1,0)),1)</f>
        <v>2</v>
      </c>
      <c r="I930">
        <f>-SUMIF(TArticle[تاریخ],TDays[[#This Row],[تاریخ]],TArticle[هزینه])</f>
        <v>0</v>
      </c>
      <c r="J930">
        <f>SUMIF(TArticle[تاریخ],TDays[[#This Row],[تاریخ]],TArticle[درآمد تتا])</f>
        <v>0</v>
      </c>
      <c r="K930">
        <f>SUMIF(TArticle[تاریخ],TDays[[#This Row],[تاریخ]],TArticle[اسنپ])</f>
        <v>0</v>
      </c>
      <c r="L930">
        <f>-SUMIF(TArticle[تاریخ],TDays[[#This Row],[تاریخ]],TArticle[پرداخت بدهی])</f>
        <v>0</v>
      </c>
      <c r="M930">
        <f>SUMIF(TArticle[تاریخ],TDays[[#This Row],[تاریخ]],TArticle[افزایش بدهی])</f>
        <v>0</v>
      </c>
      <c r="N930">
        <f>-SUMIF(TArticle[تاریخ],TDays[[#This Row],[تاریخ]],TArticle[افزایش سرمایه])</f>
        <v>0</v>
      </c>
      <c r="O930">
        <f>SUMIF(TArticle[تاریخ],TDays[[#This Row],[تاریخ]],TArticle[تعداد تراکنش انجام شده])</f>
        <v>0</v>
      </c>
      <c r="P930">
        <f>INT(((TDays[[#This Row],[ماه]]-1)*31+TDays[[#This Row],[روز]]+1)/7)+1</f>
        <v>29</v>
      </c>
      <c r="Q930">
        <f>SUMIF(TArticle[تاریخ],TDays[[#This Row],[تاریخ]],TArticle[تراکنش برنامه ریزی شده])</f>
        <v>0</v>
      </c>
    </row>
    <row r="931" spans="1:17" x14ac:dyDescent="0.25">
      <c r="A931" s="3" t="s">
        <v>1425</v>
      </c>
      <c r="B931" t="str">
        <f>RIGHT(TDays[[#This Row],[تاریخ]],2)</f>
        <v>14</v>
      </c>
      <c r="C931" t="str">
        <f>RIGHT(LEFT(TDays[[#This Row],[تاریخ]],7),2)</f>
        <v>07</v>
      </c>
      <c r="D931" t="str">
        <f>LEFT(TDays[[#This Row],[تاریخ]],4)</f>
        <v>1403</v>
      </c>
      <c r="E931" t="str">
        <f>LEFT(TDays[[#This Row],[تاریخ]],7)</f>
        <v>1403-07</v>
      </c>
      <c r="F931">
        <v>0</v>
      </c>
      <c r="G931" s="16" t="str">
        <f>VLOOKUP(TDays[[#This Row],[کد روز هفته]],TDaysOfTheWeek[],2,FALSE)</f>
        <v>شنبه</v>
      </c>
      <c r="H931" s="16">
        <f>IFERROR(IF(E930&lt;&gt;E931,1,INT(H930)+IF(TDays[[#This Row],[کد روز هفته]]=0,1,0)),1)</f>
        <v>3</v>
      </c>
      <c r="I931">
        <f>-SUMIF(TArticle[تاریخ],TDays[[#This Row],[تاریخ]],TArticle[هزینه])</f>
        <v>0</v>
      </c>
      <c r="J931">
        <f>SUMIF(TArticle[تاریخ],TDays[[#This Row],[تاریخ]],TArticle[درآمد تتا])</f>
        <v>0</v>
      </c>
      <c r="K931">
        <f>SUMIF(TArticle[تاریخ],TDays[[#This Row],[تاریخ]],TArticle[اسنپ])</f>
        <v>0</v>
      </c>
      <c r="L931">
        <f>-SUMIF(TArticle[تاریخ],TDays[[#This Row],[تاریخ]],TArticle[پرداخت بدهی])</f>
        <v>0</v>
      </c>
      <c r="M931">
        <f>SUMIF(TArticle[تاریخ],TDays[[#This Row],[تاریخ]],TArticle[افزایش بدهی])</f>
        <v>0</v>
      </c>
      <c r="N931">
        <f>-SUMIF(TArticle[تاریخ],TDays[[#This Row],[تاریخ]],TArticle[افزایش سرمایه])</f>
        <v>0</v>
      </c>
      <c r="O931">
        <f>SUMIF(TArticle[تاریخ],TDays[[#This Row],[تاریخ]],TArticle[تعداد تراکنش انجام شده])</f>
        <v>0</v>
      </c>
      <c r="P931">
        <f>INT(((TDays[[#This Row],[ماه]]-1)*31+TDays[[#This Row],[روز]]+1)/7)+1</f>
        <v>29</v>
      </c>
      <c r="Q931">
        <f>SUMIF(TArticle[تاریخ],TDays[[#This Row],[تاریخ]],TArticle[تراکنش برنامه ریزی شده])</f>
        <v>0</v>
      </c>
    </row>
    <row r="932" spans="1:17" x14ac:dyDescent="0.25">
      <c r="A932" s="3" t="s">
        <v>1426</v>
      </c>
      <c r="B932" t="str">
        <f>RIGHT(TDays[[#This Row],[تاریخ]],2)</f>
        <v>15</v>
      </c>
      <c r="C932" t="str">
        <f>RIGHT(LEFT(TDays[[#This Row],[تاریخ]],7),2)</f>
        <v>07</v>
      </c>
      <c r="D932" t="str">
        <f>LEFT(TDays[[#This Row],[تاریخ]],4)</f>
        <v>1403</v>
      </c>
      <c r="E932" t="str">
        <f>LEFT(TDays[[#This Row],[تاریخ]],7)</f>
        <v>1403-07</v>
      </c>
      <c r="F932">
        <v>1</v>
      </c>
      <c r="G932" s="16" t="str">
        <f>VLOOKUP(TDays[[#This Row],[کد روز هفته]],TDaysOfTheWeek[],2,FALSE)</f>
        <v>یکشنبه</v>
      </c>
      <c r="H932" s="16">
        <f>IFERROR(IF(E931&lt;&gt;E932,1,INT(H931)+IF(TDays[[#This Row],[کد روز هفته]]=0,1,0)),1)</f>
        <v>3</v>
      </c>
      <c r="I932">
        <f>-SUMIF(TArticle[تاریخ],TDays[[#This Row],[تاریخ]],TArticle[هزینه])</f>
        <v>0</v>
      </c>
      <c r="J932">
        <f>SUMIF(TArticle[تاریخ],TDays[[#This Row],[تاریخ]],TArticle[درآمد تتا])</f>
        <v>0</v>
      </c>
      <c r="K932">
        <f>SUMIF(TArticle[تاریخ],TDays[[#This Row],[تاریخ]],TArticle[اسنپ])</f>
        <v>0</v>
      </c>
      <c r="L932">
        <f>-SUMIF(TArticle[تاریخ],TDays[[#This Row],[تاریخ]],TArticle[پرداخت بدهی])</f>
        <v>0</v>
      </c>
      <c r="M932">
        <f>SUMIF(TArticle[تاریخ],TDays[[#This Row],[تاریخ]],TArticle[افزایش بدهی])</f>
        <v>0</v>
      </c>
      <c r="N932">
        <f>-SUMIF(TArticle[تاریخ],TDays[[#This Row],[تاریخ]],TArticle[افزایش سرمایه])</f>
        <v>0</v>
      </c>
      <c r="O932">
        <f>SUMIF(TArticle[تاریخ],TDays[[#This Row],[تاریخ]],TArticle[تعداد تراکنش انجام شده])</f>
        <v>0</v>
      </c>
      <c r="P932">
        <f>INT(((TDays[[#This Row],[ماه]]-1)*31+TDays[[#This Row],[روز]]+1)/7)+1</f>
        <v>29</v>
      </c>
      <c r="Q932">
        <f>SUMIF(TArticle[تاریخ],TDays[[#This Row],[تاریخ]],TArticle[تراکنش برنامه ریزی شده])</f>
        <v>0</v>
      </c>
    </row>
    <row r="933" spans="1:17" x14ac:dyDescent="0.25">
      <c r="A933" s="3" t="s">
        <v>1427</v>
      </c>
      <c r="B933" t="str">
        <f>RIGHT(TDays[[#This Row],[تاریخ]],2)</f>
        <v>16</v>
      </c>
      <c r="C933" t="str">
        <f>RIGHT(LEFT(TDays[[#This Row],[تاریخ]],7),2)</f>
        <v>07</v>
      </c>
      <c r="D933" t="str">
        <f>LEFT(TDays[[#This Row],[تاریخ]],4)</f>
        <v>1403</v>
      </c>
      <c r="E933" t="str">
        <f>LEFT(TDays[[#This Row],[تاریخ]],7)</f>
        <v>1403-07</v>
      </c>
      <c r="F933">
        <v>2</v>
      </c>
      <c r="G933" s="16" t="str">
        <f>VLOOKUP(TDays[[#This Row],[کد روز هفته]],TDaysOfTheWeek[],2,FALSE)</f>
        <v>دوشنبه</v>
      </c>
      <c r="H933" s="16">
        <f>IFERROR(IF(E932&lt;&gt;E933,1,INT(H932)+IF(TDays[[#This Row],[کد روز هفته]]=0,1,0)),1)</f>
        <v>3</v>
      </c>
      <c r="I933">
        <f>-SUMIF(TArticle[تاریخ],TDays[[#This Row],[تاریخ]],TArticle[هزینه])</f>
        <v>0</v>
      </c>
      <c r="J933">
        <f>SUMIF(TArticle[تاریخ],TDays[[#This Row],[تاریخ]],TArticle[درآمد تتا])</f>
        <v>0</v>
      </c>
      <c r="K933">
        <f>SUMIF(TArticle[تاریخ],TDays[[#This Row],[تاریخ]],TArticle[اسنپ])</f>
        <v>0</v>
      </c>
      <c r="L933">
        <f>-SUMIF(TArticle[تاریخ],TDays[[#This Row],[تاریخ]],TArticle[پرداخت بدهی])</f>
        <v>0</v>
      </c>
      <c r="M933">
        <f>SUMIF(TArticle[تاریخ],TDays[[#This Row],[تاریخ]],TArticle[افزایش بدهی])</f>
        <v>0</v>
      </c>
      <c r="N933">
        <f>-SUMIF(TArticle[تاریخ],TDays[[#This Row],[تاریخ]],TArticle[افزایش سرمایه])</f>
        <v>0</v>
      </c>
      <c r="O933">
        <f>SUMIF(TArticle[تاریخ],TDays[[#This Row],[تاریخ]],TArticle[تعداد تراکنش انجام شده])</f>
        <v>0</v>
      </c>
      <c r="P933">
        <f>INT(((TDays[[#This Row],[ماه]]-1)*31+TDays[[#This Row],[روز]]+1)/7)+1</f>
        <v>30</v>
      </c>
      <c r="Q933">
        <f>SUMIF(TArticle[تاریخ],TDays[[#This Row],[تاریخ]],TArticle[تراکنش برنامه ریزی شده])</f>
        <v>0</v>
      </c>
    </row>
    <row r="934" spans="1:17" x14ac:dyDescent="0.25">
      <c r="A934" s="3" t="s">
        <v>1428</v>
      </c>
      <c r="B934" t="str">
        <f>RIGHT(TDays[[#This Row],[تاریخ]],2)</f>
        <v>17</v>
      </c>
      <c r="C934" t="str">
        <f>RIGHT(LEFT(TDays[[#This Row],[تاریخ]],7),2)</f>
        <v>07</v>
      </c>
      <c r="D934" t="str">
        <f>LEFT(TDays[[#This Row],[تاریخ]],4)</f>
        <v>1403</v>
      </c>
      <c r="E934" t="str">
        <f>LEFT(TDays[[#This Row],[تاریخ]],7)</f>
        <v>1403-07</v>
      </c>
      <c r="F934">
        <v>3</v>
      </c>
      <c r="G934" s="16" t="str">
        <f>VLOOKUP(TDays[[#This Row],[کد روز هفته]],TDaysOfTheWeek[],2,FALSE)</f>
        <v>سه شنبه</v>
      </c>
      <c r="H934" s="16">
        <f>IFERROR(IF(E933&lt;&gt;E934,1,INT(H933)+IF(TDays[[#This Row],[کد روز هفته]]=0,1,0)),1)</f>
        <v>3</v>
      </c>
      <c r="I934">
        <f>-SUMIF(TArticle[تاریخ],TDays[[#This Row],[تاریخ]],TArticle[هزینه])</f>
        <v>0</v>
      </c>
      <c r="J934">
        <f>SUMIF(TArticle[تاریخ],TDays[[#This Row],[تاریخ]],TArticle[درآمد تتا])</f>
        <v>0</v>
      </c>
      <c r="K934">
        <f>SUMIF(TArticle[تاریخ],TDays[[#This Row],[تاریخ]],TArticle[اسنپ])</f>
        <v>0</v>
      </c>
      <c r="L934">
        <f>-SUMIF(TArticle[تاریخ],TDays[[#This Row],[تاریخ]],TArticle[پرداخت بدهی])</f>
        <v>0</v>
      </c>
      <c r="M934">
        <f>SUMIF(TArticle[تاریخ],TDays[[#This Row],[تاریخ]],TArticle[افزایش بدهی])</f>
        <v>0</v>
      </c>
      <c r="N934">
        <f>-SUMIF(TArticle[تاریخ],TDays[[#This Row],[تاریخ]],TArticle[افزایش سرمایه])</f>
        <v>0</v>
      </c>
      <c r="O934">
        <f>SUMIF(TArticle[تاریخ],TDays[[#This Row],[تاریخ]],TArticle[تعداد تراکنش انجام شده])</f>
        <v>0</v>
      </c>
      <c r="P934">
        <f>INT(((TDays[[#This Row],[ماه]]-1)*31+TDays[[#This Row],[روز]]+1)/7)+1</f>
        <v>30</v>
      </c>
      <c r="Q934">
        <f>SUMIF(TArticle[تاریخ],TDays[[#This Row],[تاریخ]],TArticle[تراکنش برنامه ریزی شده])</f>
        <v>0</v>
      </c>
    </row>
    <row r="935" spans="1:17" x14ac:dyDescent="0.25">
      <c r="A935" s="3" t="s">
        <v>1429</v>
      </c>
      <c r="B935" t="str">
        <f>RIGHT(TDays[[#This Row],[تاریخ]],2)</f>
        <v>18</v>
      </c>
      <c r="C935" t="str">
        <f>RIGHT(LEFT(TDays[[#This Row],[تاریخ]],7),2)</f>
        <v>07</v>
      </c>
      <c r="D935" t="str">
        <f>LEFT(TDays[[#This Row],[تاریخ]],4)</f>
        <v>1403</v>
      </c>
      <c r="E935" t="str">
        <f>LEFT(TDays[[#This Row],[تاریخ]],7)</f>
        <v>1403-07</v>
      </c>
      <c r="F935">
        <v>4</v>
      </c>
      <c r="G935" s="16" t="str">
        <f>VLOOKUP(TDays[[#This Row],[کد روز هفته]],TDaysOfTheWeek[],2,FALSE)</f>
        <v>چهارشنبه</v>
      </c>
      <c r="H935" s="16">
        <f>IFERROR(IF(E934&lt;&gt;E935,1,INT(H934)+IF(TDays[[#This Row],[کد روز هفته]]=0,1,0)),1)</f>
        <v>3</v>
      </c>
      <c r="I935">
        <f>-SUMIF(TArticle[تاریخ],TDays[[#This Row],[تاریخ]],TArticle[هزینه])</f>
        <v>0</v>
      </c>
      <c r="J935">
        <f>SUMIF(TArticle[تاریخ],TDays[[#This Row],[تاریخ]],TArticle[درآمد تتا])</f>
        <v>0</v>
      </c>
      <c r="K935">
        <f>SUMIF(TArticle[تاریخ],TDays[[#This Row],[تاریخ]],TArticle[اسنپ])</f>
        <v>0</v>
      </c>
      <c r="L935">
        <f>-SUMIF(TArticle[تاریخ],TDays[[#This Row],[تاریخ]],TArticle[پرداخت بدهی])</f>
        <v>0</v>
      </c>
      <c r="M935">
        <f>SUMIF(TArticle[تاریخ],TDays[[#This Row],[تاریخ]],TArticle[افزایش بدهی])</f>
        <v>0</v>
      </c>
      <c r="N935">
        <f>-SUMIF(TArticle[تاریخ],TDays[[#This Row],[تاریخ]],TArticle[افزایش سرمایه])</f>
        <v>0</v>
      </c>
      <c r="O935">
        <f>SUMIF(TArticle[تاریخ],TDays[[#This Row],[تاریخ]],TArticle[تعداد تراکنش انجام شده])</f>
        <v>0</v>
      </c>
      <c r="P935">
        <f>INT(((TDays[[#This Row],[ماه]]-1)*31+TDays[[#This Row],[روز]]+1)/7)+1</f>
        <v>30</v>
      </c>
      <c r="Q935">
        <f>SUMIF(TArticle[تاریخ],TDays[[#This Row],[تاریخ]],TArticle[تراکنش برنامه ریزی شده])</f>
        <v>0</v>
      </c>
    </row>
    <row r="936" spans="1:17" x14ac:dyDescent="0.25">
      <c r="A936" s="3" t="s">
        <v>1430</v>
      </c>
      <c r="B936" t="str">
        <f>RIGHT(TDays[[#This Row],[تاریخ]],2)</f>
        <v>19</v>
      </c>
      <c r="C936" t="str">
        <f>RIGHT(LEFT(TDays[[#This Row],[تاریخ]],7),2)</f>
        <v>07</v>
      </c>
      <c r="D936" t="str">
        <f>LEFT(TDays[[#This Row],[تاریخ]],4)</f>
        <v>1403</v>
      </c>
      <c r="E936" t="str">
        <f>LEFT(TDays[[#This Row],[تاریخ]],7)</f>
        <v>1403-07</v>
      </c>
      <c r="F936">
        <v>5</v>
      </c>
      <c r="G936" s="16" t="str">
        <f>VLOOKUP(TDays[[#This Row],[کد روز هفته]],TDaysOfTheWeek[],2,FALSE)</f>
        <v>پنجشنبه</v>
      </c>
      <c r="H936" s="16">
        <f>IFERROR(IF(E935&lt;&gt;E936,1,INT(H935)+IF(TDays[[#This Row],[کد روز هفته]]=0,1,0)),1)</f>
        <v>3</v>
      </c>
      <c r="I936">
        <f>-SUMIF(TArticle[تاریخ],TDays[[#This Row],[تاریخ]],TArticle[هزینه])</f>
        <v>0</v>
      </c>
      <c r="J936">
        <f>SUMIF(TArticle[تاریخ],TDays[[#This Row],[تاریخ]],TArticle[درآمد تتا])</f>
        <v>0</v>
      </c>
      <c r="K936">
        <f>SUMIF(TArticle[تاریخ],TDays[[#This Row],[تاریخ]],TArticle[اسنپ])</f>
        <v>0</v>
      </c>
      <c r="L936">
        <f>-SUMIF(TArticle[تاریخ],TDays[[#This Row],[تاریخ]],TArticle[پرداخت بدهی])</f>
        <v>0</v>
      </c>
      <c r="M936">
        <f>SUMIF(TArticle[تاریخ],TDays[[#This Row],[تاریخ]],TArticle[افزایش بدهی])</f>
        <v>0</v>
      </c>
      <c r="N936">
        <f>-SUMIF(TArticle[تاریخ],TDays[[#This Row],[تاریخ]],TArticle[افزایش سرمایه])</f>
        <v>0</v>
      </c>
      <c r="O936">
        <f>SUMIF(TArticle[تاریخ],TDays[[#This Row],[تاریخ]],TArticle[تعداد تراکنش انجام شده])</f>
        <v>0</v>
      </c>
      <c r="P936">
        <f>INT(((TDays[[#This Row],[ماه]]-1)*31+TDays[[#This Row],[روز]]+1)/7)+1</f>
        <v>30</v>
      </c>
      <c r="Q936">
        <f>SUMIF(TArticle[تاریخ],TDays[[#This Row],[تاریخ]],TArticle[تراکنش برنامه ریزی شده])</f>
        <v>0</v>
      </c>
    </row>
    <row r="937" spans="1:17" x14ac:dyDescent="0.25">
      <c r="A937" s="3" t="s">
        <v>1431</v>
      </c>
      <c r="B937" t="str">
        <f>RIGHT(TDays[[#This Row],[تاریخ]],2)</f>
        <v>20</v>
      </c>
      <c r="C937" t="str">
        <f>RIGHT(LEFT(TDays[[#This Row],[تاریخ]],7),2)</f>
        <v>07</v>
      </c>
      <c r="D937" t="str">
        <f>LEFT(TDays[[#This Row],[تاریخ]],4)</f>
        <v>1403</v>
      </c>
      <c r="E937" t="str">
        <f>LEFT(TDays[[#This Row],[تاریخ]],7)</f>
        <v>1403-07</v>
      </c>
      <c r="F937">
        <v>6</v>
      </c>
      <c r="G937" s="16" t="str">
        <f>VLOOKUP(TDays[[#This Row],[کد روز هفته]],TDaysOfTheWeek[],2,FALSE)</f>
        <v>جمعه</v>
      </c>
      <c r="H937" s="16">
        <f>IFERROR(IF(E936&lt;&gt;E937,1,INT(H936)+IF(TDays[[#This Row],[کد روز هفته]]=0,1,0)),1)</f>
        <v>3</v>
      </c>
      <c r="I937">
        <f>-SUMIF(TArticle[تاریخ],TDays[[#This Row],[تاریخ]],TArticle[هزینه])</f>
        <v>0</v>
      </c>
      <c r="J937">
        <f>SUMIF(TArticle[تاریخ],TDays[[#This Row],[تاریخ]],TArticle[درآمد تتا])</f>
        <v>0</v>
      </c>
      <c r="K937">
        <f>SUMIF(TArticle[تاریخ],TDays[[#This Row],[تاریخ]],TArticle[اسنپ])</f>
        <v>0</v>
      </c>
      <c r="L937">
        <f>-SUMIF(TArticle[تاریخ],TDays[[#This Row],[تاریخ]],TArticle[پرداخت بدهی])</f>
        <v>0</v>
      </c>
      <c r="M937">
        <f>SUMIF(TArticle[تاریخ],TDays[[#This Row],[تاریخ]],TArticle[افزایش بدهی])</f>
        <v>0</v>
      </c>
      <c r="N937">
        <f>-SUMIF(TArticle[تاریخ],TDays[[#This Row],[تاریخ]],TArticle[افزایش سرمایه])</f>
        <v>0</v>
      </c>
      <c r="O937">
        <f>SUMIF(TArticle[تاریخ],TDays[[#This Row],[تاریخ]],TArticle[تعداد تراکنش انجام شده])</f>
        <v>0</v>
      </c>
      <c r="P937">
        <f>INT(((TDays[[#This Row],[ماه]]-1)*31+TDays[[#This Row],[روز]]+1)/7)+1</f>
        <v>30</v>
      </c>
      <c r="Q937">
        <f>SUMIF(TArticle[تاریخ],TDays[[#This Row],[تاریخ]],TArticle[تراکنش برنامه ریزی شده])</f>
        <v>1</v>
      </c>
    </row>
    <row r="938" spans="1:17" x14ac:dyDescent="0.25">
      <c r="A938" s="3" t="s">
        <v>1432</v>
      </c>
      <c r="B938" t="str">
        <f>RIGHT(TDays[[#This Row],[تاریخ]],2)</f>
        <v>21</v>
      </c>
      <c r="C938" t="str">
        <f>RIGHT(LEFT(TDays[[#This Row],[تاریخ]],7),2)</f>
        <v>07</v>
      </c>
      <c r="D938" t="str">
        <f>LEFT(TDays[[#This Row],[تاریخ]],4)</f>
        <v>1403</v>
      </c>
      <c r="E938" t="str">
        <f>LEFT(TDays[[#This Row],[تاریخ]],7)</f>
        <v>1403-07</v>
      </c>
      <c r="F938">
        <v>0</v>
      </c>
      <c r="G938" s="16" t="str">
        <f>VLOOKUP(TDays[[#This Row],[کد روز هفته]],TDaysOfTheWeek[],2,FALSE)</f>
        <v>شنبه</v>
      </c>
      <c r="H938" s="16">
        <f>IFERROR(IF(E937&lt;&gt;E938,1,INT(H937)+IF(TDays[[#This Row],[کد روز هفته]]=0,1,0)),1)</f>
        <v>4</v>
      </c>
      <c r="I938">
        <f>-SUMIF(TArticle[تاریخ],TDays[[#This Row],[تاریخ]],TArticle[هزینه])</f>
        <v>0</v>
      </c>
      <c r="J938">
        <f>SUMIF(TArticle[تاریخ],TDays[[#This Row],[تاریخ]],TArticle[درآمد تتا])</f>
        <v>0</v>
      </c>
      <c r="K938">
        <f>SUMIF(TArticle[تاریخ],TDays[[#This Row],[تاریخ]],TArticle[اسنپ])</f>
        <v>0</v>
      </c>
      <c r="L938">
        <f>-SUMIF(TArticle[تاریخ],TDays[[#This Row],[تاریخ]],TArticle[پرداخت بدهی])</f>
        <v>0</v>
      </c>
      <c r="M938">
        <f>SUMIF(TArticle[تاریخ],TDays[[#This Row],[تاریخ]],TArticle[افزایش بدهی])</f>
        <v>0</v>
      </c>
      <c r="N938">
        <f>-SUMIF(TArticle[تاریخ],TDays[[#This Row],[تاریخ]],TArticle[افزایش سرمایه])</f>
        <v>0</v>
      </c>
      <c r="O938">
        <f>SUMIF(TArticle[تاریخ],TDays[[#This Row],[تاریخ]],TArticle[تعداد تراکنش انجام شده])</f>
        <v>0</v>
      </c>
      <c r="P938">
        <f>INT(((TDays[[#This Row],[ماه]]-1)*31+TDays[[#This Row],[روز]]+1)/7)+1</f>
        <v>30</v>
      </c>
      <c r="Q938">
        <f>SUMIF(TArticle[تاریخ],TDays[[#This Row],[تاریخ]],TArticle[تراکنش برنامه ریزی شده])</f>
        <v>0</v>
      </c>
    </row>
    <row r="939" spans="1:17" x14ac:dyDescent="0.25">
      <c r="A939" s="3" t="s">
        <v>1433</v>
      </c>
      <c r="B939" t="str">
        <f>RIGHT(TDays[[#This Row],[تاریخ]],2)</f>
        <v>22</v>
      </c>
      <c r="C939" t="str">
        <f>RIGHT(LEFT(TDays[[#This Row],[تاریخ]],7),2)</f>
        <v>07</v>
      </c>
      <c r="D939" t="str">
        <f>LEFT(TDays[[#This Row],[تاریخ]],4)</f>
        <v>1403</v>
      </c>
      <c r="E939" t="str">
        <f>LEFT(TDays[[#This Row],[تاریخ]],7)</f>
        <v>1403-07</v>
      </c>
      <c r="F939">
        <v>1</v>
      </c>
      <c r="G939" s="16" t="str">
        <f>VLOOKUP(TDays[[#This Row],[کد روز هفته]],TDaysOfTheWeek[],2,FALSE)</f>
        <v>یکشنبه</v>
      </c>
      <c r="H939" s="16">
        <f>IFERROR(IF(E938&lt;&gt;E939,1,INT(H938)+IF(TDays[[#This Row],[کد روز هفته]]=0,1,0)),1)</f>
        <v>4</v>
      </c>
      <c r="I939">
        <f>-SUMIF(TArticle[تاریخ],TDays[[#This Row],[تاریخ]],TArticle[هزینه])</f>
        <v>0</v>
      </c>
      <c r="J939">
        <f>SUMIF(TArticle[تاریخ],TDays[[#This Row],[تاریخ]],TArticle[درآمد تتا])</f>
        <v>0</v>
      </c>
      <c r="K939">
        <f>SUMIF(TArticle[تاریخ],TDays[[#This Row],[تاریخ]],TArticle[اسنپ])</f>
        <v>0</v>
      </c>
      <c r="L939">
        <f>-SUMIF(TArticle[تاریخ],TDays[[#This Row],[تاریخ]],TArticle[پرداخت بدهی])</f>
        <v>0</v>
      </c>
      <c r="M939">
        <f>SUMIF(TArticle[تاریخ],TDays[[#This Row],[تاریخ]],TArticle[افزایش بدهی])</f>
        <v>0</v>
      </c>
      <c r="N939">
        <f>-SUMIF(TArticle[تاریخ],TDays[[#This Row],[تاریخ]],TArticle[افزایش سرمایه])</f>
        <v>0</v>
      </c>
      <c r="O939">
        <f>SUMIF(TArticle[تاریخ],TDays[[#This Row],[تاریخ]],TArticle[تعداد تراکنش انجام شده])</f>
        <v>0</v>
      </c>
      <c r="P939">
        <f>INT(((TDays[[#This Row],[ماه]]-1)*31+TDays[[#This Row],[روز]]+1)/7)+1</f>
        <v>30</v>
      </c>
      <c r="Q939">
        <f>SUMIF(TArticle[تاریخ],TDays[[#This Row],[تاریخ]],TArticle[تراکنش برنامه ریزی شده])</f>
        <v>0</v>
      </c>
    </row>
    <row r="940" spans="1:17" x14ac:dyDescent="0.25">
      <c r="A940" s="3" t="s">
        <v>1434</v>
      </c>
      <c r="B940" t="str">
        <f>RIGHT(TDays[[#This Row],[تاریخ]],2)</f>
        <v>23</v>
      </c>
      <c r="C940" t="str">
        <f>RIGHT(LEFT(TDays[[#This Row],[تاریخ]],7),2)</f>
        <v>07</v>
      </c>
      <c r="D940" t="str">
        <f>LEFT(TDays[[#This Row],[تاریخ]],4)</f>
        <v>1403</v>
      </c>
      <c r="E940" t="str">
        <f>LEFT(TDays[[#This Row],[تاریخ]],7)</f>
        <v>1403-07</v>
      </c>
      <c r="F940">
        <v>2</v>
      </c>
      <c r="G940" s="16" t="str">
        <f>VLOOKUP(TDays[[#This Row],[کد روز هفته]],TDaysOfTheWeek[],2,FALSE)</f>
        <v>دوشنبه</v>
      </c>
      <c r="H940" s="16">
        <f>IFERROR(IF(E939&lt;&gt;E940,1,INT(H939)+IF(TDays[[#This Row],[کد روز هفته]]=0,1,0)),1)</f>
        <v>4</v>
      </c>
      <c r="I940">
        <f>-SUMIF(TArticle[تاریخ],TDays[[#This Row],[تاریخ]],TArticle[هزینه])</f>
        <v>0</v>
      </c>
      <c r="J940">
        <f>SUMIF(TArticle[تاریخ],TDays[[#This Row],[تاریخ]],TArticle[درآمد تتا])</f>
        <v>0</v>
      </c>
      <c r="K940">
        <f>SUMIF(TArticle[تاریخ],TDays[[#This Row],[تاریخ]],TArticle[اسنپ])</f>
        <v>0</v>
      </c>
      <c r="L940">
        <f>-SUMIF(TArticle[تاریخ],TDays[[#This Row],[تاریخ]],TArticle[پرداخت بدهی])</f>
        <v>0</v>
      </c>
      <c r="M940">
        <f>SUMIF(TArticle[تاریخ],TDays[[#This Row],[تاریخ]],TArticle[افزایش بدهی])</f>
        <v>0</v>
      </c>
      <c r="N940">
        <f>-SUMIF(TArticle[تاریخ],TDays[[#This Row],[تاریخ]],TArticle[افزایش سرمایه])</f>
        <v>0</v>
      </c>
      <c r="O940">
        <f>SUMIF(TArticle[تاریخ],TDays[[#This Row],[تاریخ]],TArticle[تعداد تراکنش انجام شده])</f>
        <v>0</v>
      </c>
      <c r="P940">
        <f>INT(((TDays[[#This Row],[ماه]]-1)*31+TDays[[#This Row],[روز]]+1)/7)+1</f>
        <v>31</v>
      </c>
      <c r="Q940">
        <f>SUMIF(TArticle[تاریخ],TDays[[#This Row],[تاریخ]],TArticle[تراکنش برنامه ریزی شده])</f>
        <v>0</v>
      </c>
    </row>
    <row r="941" spans="1:17" x14ac:dyDescent="0.25">
      <c r="A941" s="3" t="s">
        <v>1435</v>
      </c>
      <c r="B941" t="str">
        <f>RIGHT(TDays[[#This Row],[تاریخ]],2)</f>
        <v>24</v>
      </c>
      <c r="C941" t="str">
        <f>RIGHT(LEFT(TDays[[#This Row],[تاریخ]],7),2)</f>
        <v>07</v>
      </c>
      <c r="D941" t="str">
        <f>LEFT(TDays[[#This Row],[تاریخ]],4)</f>
        <v>1403</v>
      </c>
      <c r="E941" t="str">
        <f>LEFT(TDays[[#This Row],[تاریخ]],7)</f>
        <v>1403-07</v>
      </c>
      <c r="F941">
        <v>3</v>
      </c>
      <c r="G941" s="16" t="str">
        <f>VLOOKUP(TDays[[#This Row],[کد روز هفته]],TDaysOfTheWeek[],2,FALSE)</f>
        <v>سه شنبه</v>
      </c>
      <c r="H941" s="16">
        <f>IFERROR(IF(E940&lt;&gt;E941,1,INT(H940)+IF(TDays[[#This Row],[کد روز هفته]]=0,1,0)),1)</f>
        <v>4</v>
      </c>
      <c r="I941">
        <f>-SUMIF(TArticle[تاریخ],TDays[[#This Row],[تاریخ]],TArticle[هزینه])</f>
        <v>0</v>
      </c>
      <c r="J941">
        <f>SUMIF(TArticle[تاریخ],TDays[[#This Row],[تاریخ]],TArticle[درآمد تتا])</f>
        <v>0</v>
      </c>
      <c r="K941">
        <f>SUMIF(TArticle[تاریخ],TDays[[#This Row],[تاریخ]],TArticle[اسنپ])</f>
        <v>0</v>
      </c>
      <c r="L941">
        <f>-SUMIF(TArticle[تاریخ],TDays[[#This Row],[تاریخ]],TArticle[پرداخت بدهی])</f>
        <v>0</v>
      </c>
      <c r="M941">
        <f>SUMIF(TArticle[تاریخ],TDays[[#This Row],[تاریخ]],TArticle[افزایش بدهی])</f>
        <v>0</v>
      </c>
      <c r="N941">
        <f>-SUMIF(TArticle[تاریخ],TDays[[#This Row],[تاریخ]],TArticle[افزایش سرمایه])</f>
        <v>0</v>
      </c>
      <c r="O941">
        <f>SUMIF(TArticle[تاریخ],TDays[[#This Row],[تاریخ]],TArticle[تعداد تراکنش انجام شده])</f>
        <v>0</v>
      </c>
      <c r="P941">
        <f>INT(((TDays[[#This Row],[ماه]]-1)*31+TDays[[#This Row],[روز]]+1)/7)+1</f>
        <v>31</v>
      </c>
      <c r="Q941">
        <f>SUMIF(TArticle[تاریخ],TDays[[#This Row],[تاریخ]],TArticle[تراکنش برنامه ریزی شده])</f>
        <v>0</v>
      </c>
    </row>
    <row r="942" spans="1:17" x14ac:dyDescent="0.25">
      <c r="A942" s="3" t="s">
        <v>1436</v>
      </c>
      <c r="B942" t="str">
        <f>RIGHT(TDays[[#This Row],[تاریخ]],2)</f>
        <v>25</v>
      </c>
      <c r="C942" t="str">
        <f>RIGHT(LEFT(TDays[[#This Row],[تاریخ]],7),2)</f>
        <v>07</v>
      </c>
      <c r="D942" t="str">
        <f>LEFT(TDays[[#This Row],[تاریخ]],4)</f>
        <v>1403</v>
      </c>
      <c r="E942" t="str">
        <f>LEFT(TDays[[#This Row],[تاریخ]],7)</f>
        <v>1403-07</v>
      </c>
      <c r="F942">
        <v>4</v>
      </c>
      <c r="G942" s="16" t="str">
        <f>VLOOKUP(TDays[[#This Row],[کد روز هفته]],TDaysOfTheWeek[],2,FALSE)</f>
        <v>چهارشنبه</v>
      </c>
      <c r="H942" s="16">
        <f>IFERROR(IF(E941&lt;&gt;E942,1,INT(H941)+IF(TDays[[#This Row],[کد روز هفته]]=0,1,0)),1)</f>
        <v>4</v>
      </c>
      <c r="I942">
        <f>-SUMIF(TArticle[تاریخ],TDays[[#This Row],[تاریخ]],TArticle[هزینه])</f>
        <v>0</v>
      </c>
      <c r="J942">
        <f>SUMIF(TArticle[تاریخ],TDays[[#This Row],[تاریخ]],TArticle[درآمد تتا])</f>
        <v>0</v>
      </c>
      <c r="K942">
        <f>SUMIF(TArticle[تاریخ],TDays[[#This Row],[تاریخ]],TArticle[اسنپ])</f>
        <v>0</v>
      </c>
      <c r="L942">
        <f>-SUMIF(TArticle[تاریخ],TDays[[#This Row],[تاریخ]],TArticle[پرداخت بدهی])</f>
        <v>0</v>
      </c>
      <c r="M942">
        <f>SUMIF(TArticle[تاریخ],TDays[[#This Row],[تاریخ]],TArticle[افزایش بدهی])</f>
        <v>0</v>
      </c>
      <c r="N942">
        <f>-SUMIF(TArticle[تاریخ],TDays[[#This Row],[تاریخ]],TArticle[افزایش سرمایه])</f>
        <v>0</v>
      </c>
      <c r="O942">
        <f>SUMIF(TArticle[تاریخ],TDays[[#This Row],[تاریخ]],TArticle[تعداد تراکنش انجام شده])</f>
        <v>0</v>
      </c>
      <c r="P942">
        <f>INT(((TDays[[#This Row],[ماه]]-1)*31+TDays[[#This Row],[روز]]+1)/7)+1</f>
        <v>31</v>
      </c>
      <c r="Q942">
        <f>SUMIF(TArticle[تاریخ],TDays[[#This Row],[تاریخ]],TArticle[تراکنش برنامه ریزی شده])</f>
        <v>0</v>
      </c>
    </row>
    <row r="943" spans="1:17" x14ac:dyDescent="0.25">
      <c r="A943" s="3" t="s">
        <v>1437</v>
      </c>
      <c r="B943" t="str">
        <f>RIGHT(TDays[[#This Row],[تاریخ]],2)</f>
        <v>26</v>
      </c>
      <c r="C943" t="str">
        <f>RIGHT(LEFT(TDays[[#This Row],[تاریخ]],7),2)</f>
        <v>07</v>
      </c>
      <c r="D943" t="str">
        <f>LEFT(TDays[[#This Row],[تاریخ]],4)</f>
        <v>1403</v>
      </c>
      <c r="E943" t="str">
        <f>LEFT(TDays[[#This Row],[تاریخ]],7)</f>
        <v>1403-07</v>
      </c>
      <c r="F943">
        <v>5</v>
      </c>
      <c r="G943" s="16" t="str">
        <f>VLOOKUP(TDays[[#This Row],[کد روز هفته]],TDaysOfTheWeek[],2,FALSE)</f>
        <v>پنجشنبه</v>
      </c>
      <c r="H943" s="16">
        <f>IFERROR(IF(E942&lt;&gt;E943,1,INT(H942)+IF(TDays[[#This Row],[کد روز هفته]]=0,1,0)),1)</f>
        <v>4</v>
      </c>
      <c r="I943">
        <f>-SUMIF(TArticle[تاریخ],TDays[[#This Row],[تاریخ]],TArticle[هزینه])</f>
        <v>0</v>
      </c>
      <c r="J943">
        <f>SUMIF(TArticle[تاریخ],TDays[[#This Row],[تاریخ]],TArticle[درآمد تتا])</f>
        <v>0</v>
      </c>
      <c r="K943">
        <f>SUMIF(TArticle[تاریخ],TDays[[#This Row],[تاریخ]],TArticle[اسنپ])</f>
        <v>0</v>
      </c>
      <c r="L943">
        <f>-SUMIF(TArticle[تاریخ],TDays[[#This Row],[تاریخ]],TArticle[پرداخت بدهی])</f>
        <v>0</v>
      </c>
      <c r="M943">
        <f>SUMIF(TArticle[تاریخ],TDays[[#This Row],[تاریخ]],TArticle[افزایش بدهی])</f>
        <v>0</v>
      </c>
      <c r="N943">
        <f>-SUMIF(TArticle[تاریخ],TDays[[#This Row],[تاریخ]],TArticle[افزایش سرمایه])</f>
        <v>0</v>
      </c>
      <c r="O943">
        <f>SUMIF(TArticle[تاریخ],TDays[[#This Row],[تاریخ]],TArticle[تعداد تراکنش انجام شده])</f>
        <v>0</v>
      </c>
      <c r="P943">
        <f>INT(((TDays[[#This Row],[ماه]]-1)*31+TDays[[#This Row],[روز]]+1)/7)+1</f>
        <v>31</v>
      </c>
      <c r="Q943">
        <f>SUMIF(TArticle[تاریخ],TDays[[#This Row],[تاریخ]],TArticle[تراکنش برنامه ریزی شده])</f>
        <v>0</v>
      </c>
    </row>
    <row r="944" spans="1:17" x14ac:dyDescent="0.25">
      <c r="A944" s="3" t="s">
        <v>1438</v>
      </c>
      <c r="B944" t="str">
        <f>RIGHT(TDays[[#This Row],[تاریخ]],2)</f>
        <v>27</v>
      </c>
      <c r="C944" t="str">
        <f>RIGHT(LEFT(TDays[[#This Row],[تاریخ]],7),2)</f>
        <v>07</v>
      </c>
      <c r="D944" t="str">
        <f>LEFT(TDays[[#This Row],[تاریخ]],4)</f>
        <v>1403</v>
      </c>
      <c r="E944" t="str">
        <f>LEFT(TDays[[#This Row],[تاریخ]],7)</f>
        <v>1403-07</v>
      </c>
      <c r="F944">
        <v>6</v>
      </c>
      <c r="G944" s="16" t="str">
        <f>VLOOKUP(TDays[[#This Row],[کد روز هفته]],TDaysOfTheWeek[],2,FALSE)</f>
        <v>جمعه</v>
      </c>
      <c r="H944" s="16">
        <f>IFERROR(IF(E943&lt;&gt;E944,1,INT(H943)+IF(TDays[[#This Row],[کد روز هفته]]=0,1,0)),1)</f>
        <v>4</v>
      </c>
      <c r="I944">
        <f>-SUMIF(TArticle[تاریخ],TDays[[#This Row],[تاریخ]],TArticle[هزینه])</f>
        <v>0</v>
      </c>
      <c r="J944">
        <f>SUMIF(TArticle[تاریخ],TDays[[#This Row],[تاریخ]],TArticle[درآمد تتا])</f>
        <v>0</v>
      </c>
      <c r="K944">
        <f>SUMIF(TArticle[تاریخ],TDays[[#This Row],[تاریخ]],TArticle[اسنپ])</f>
        <v>0</v>
      </c>
      <c r="L944">
        <f>-SUMIF(TArticle[تاریخ],TDays[[#This Row],[تاریخ]],TArticle[پرداخت بدهی])</f>
        <v>0</v>
      </c>
      <c r="M944">
        <f>SUMIF(TArticle[تاریخ],TDays[[#This Row],[تاریخ]],TArticle[افزایش بدهی])</f>
        <v>0</v>
      </c>
      <c r="N944">
        <f>-SUMIF(TArticle[تاریخ],TDays[[#This Row],[تاریخ]],TArticle[افزایش سرمایه])</f>
        <v>0</v>
      </c>
      <c r="O944">
        <f>SUMIF(TArticle[تاریخ],TDays[[#This Row],[تاریخ]],TArticle[تعداد تراکنش انجام شده])</f>
        <v>0</v>
      </c>
      <c r="P944">
        <f>INT(((TDays[[#This Row],[ماه]]-1)*31+TDays[[#This Row],[روز]]+1)/7)+1</f>
        <v>31</v>
      </c>
      <c r="Q944">
        <f>SUMIF(TArticle[تاریخ],TDays[[#This Row],[تاریخ]],TArticle[تراکنش برنامه ریزی شده])</f>
        <v>0</v>
      </c>
    </row>
    <row r="945" spans="1:17" x14ac:dyDescent="0.25">
      <c r="A945" s="3" t="s">
        <v>1439</v>
      </c>
      <c r="B945" t="str">
        <f>RIGHT(TDays[[#This Row],[تاریخ]],2)</f>
        <v>28</v>
      </c>
      <c r="C945" t="str">
        <f>RIGHT(LEFT(TDays[[#This Row],[تاریخ]],7),2)</f>
        <v>07</v>
      </c>
      <c r="D945" t="str">
        <f>LEFT(TDays[[#This Row],[تاریخ]],4)</f>
        <v>1403</v>
      </c>
      <c r="E945" t="str">
        <f>LEFT(TDays[[#This Row],[تاریخ]],7)</f>
        <v>1403-07</v>
      </c>
      <c r="F945">
        <v>0</v>
      </c>
      <c r="G945" s="16" t="str">
        <f>VLOOKUP(TDays[[#This Row],[کد روز هفته]],TDaysOfTheWeek[],2,FALSE)</f>
        <v>شنبه</v>
      </c>
      <c r="H945" s="16">
        <f>IFERROR(IF(E944&lt;&gt;E945,1,INT(H944)+IF(TDays[[#This Row],[کد روز هفته]]=0,1,0)),1)</f>
        <v>5</v>
      </c>
      <c r="I945">
        <f>-SUMIF(TArticle[تاریخ],TDays[[#This Row],[تاریخ]],TArticle[هزینه])</f>
        <v>0</v>
      </c>
      <c r="J945">
        <f>SUMIF(TArticle[تاریخ],TDays[[#This Row],[تاریخ]],TArticle[درآمد تتا])</f>
        <v>0</v>
      </c>
      <c r="K945">
        <f>SUMIF(TArticle[تاریخ],TDays[[#This Row],[تاریخ]],TArticle[اسنپ])</f>
        <v>0</v>
      </c>
      <c r="L945">
        <f>-SUMIF(TArticle[تاریخ],TDays[[#This Row],[تاریخ]],TArticle[پرداخت بدهی])</f>
        <v>0</v>
      </c>
      <c r="M945">
        <f>SUMIF(TArticle[تاریخ],TDays[[#This Row],[تاریخ]],TArticle[افزایش بدهی])</f>
        <v>0</v>
      </c>
      <c r="N945">
        <f>-SUMIF(TArticle[تاریخ],TDays[[#This Row],[تاریخ]],TArticle[افزایش سرمایه])</f>
        <v>0</v>
      </c>
      <c r="O945">
        <f>SUMIF(TArticle[تاریخ],TDays[[#This Row],[تاریخ]],TArticle[تعداد تراکنش انجام شده])</f>
        <v>0</v>
      </c>
      <c r="P945">
        <f>INT(((TDays[[#This Row],[ماه]]-1)*31+TDays[[#This Row],[روز]]+1)/7)+1</f>
        <v>31</v>
      </c>
      <c r="Q945">
        <f>SUMIF(TArticle[تاریخ],TDays[[#This Row],[تاریخ]],TArticle[تراکنش برنامه ریزی شده])</f>
        <v>0</v>
      </c>
    </row>
    <row r="946" spans="1:17" x14ac:dyDescent="0.25">
      <c r="A946" s="3" t="s">
        <v>1440</v>
      </c>
      <c r="B946" t="str">
        <f>RIGHT(TDays[[#This Row],[تاریخ]],2)</f>
        <v>29</v>
      </c>
      <c r="C946" t="str">
        <f>RIGHT(LEFT(TDays[[#This Row],[تاریخ]],7),2)</f>
        <v>07</v>
      </c>
      <c r="D946" t="str">
        <f>LEFT(TDays[[#This Row],[تاریخ]],4)</f>
        <v>1403</v>
      </c>
      <c r="E946" t="str">
        <f>LEFT(TDays[[#This Row],[تاریخ]],7)</f>
        <v>1403-07</v>
      </c>
      <c r="F946">
        <v>1</v>
      </c>
      <c r="G946" s="16" t="str">
        <f>VLOOKUP(TDays[[#This Row],[کد روز هفته]],TDaysOfTheWeek[],2,FALSE)</f>
        <v>یکشنبه</v>
      </c>
      <c r="H946" s="16">
        <f>IFERROR(IF(E945&lt;&gt;E946,1,INT(H945)+IF(TDays[[#This Row],[کد روز هفته]]=0,1,0)),1)</f>
        <v>5</v>
      </c>
      <c r="I946">
        <f>-SUMIF(TArticle[تاریخ],TDays[[#This Row],[تاریخ]],TArticle[هزینه])</f>
        <v>0</v>
      </c>
      <c r="J946">
        <f>SUMIF(TArticle[تاریخ],TDays[[#This Row],[تاریخ]],TArticle[درآمد تتا])</f>
        <v>0</v>
      </c>
      <c r="K946">
        <f>SUMIF(TArticle[تاریخ],TDays[[#This Row],[تاریخ]],TArticle[اسنپ])</f>
        <v>0</v>
      </c>
      <c r="L946">
        <f>-SUMIF(TArticle[تاریخ],TDays[[#This Row],[تاریخ]],TArticle[پرداخت بدهی])</f>
        <v>0</v>
      </c>
      <c r="M946">
        <f>SUMIF(TArticle[تاریخ],TDays[[#This Row],[تاریخ]],TArticle[افزایش بدهی])</f>
        <v>0</v>
      </c>
      <c r="N946">
        <f>-SUMIF(TArticle[تاریخ],TDays[[#This Row],[تاریخ]],TArticle[افزایش سرمایه])</f>
        <v>0</v>
      </c>
      <c r="O946">
        <f>SUMIF(TArticle[تاریخ],TDays[[#This Row],[تاریخ]],TArticle[تعداد تراکنش انجام شده])</f>
        <v>0</v>
      </c>
      <c r="P946">
        <f>INT(((TDays[[#This Row],[ماه]]-1)*31+TDays[[#This Row],[روز]]+1)/7)+1</f>
        <v>31</v>
      </c>
      <c r="Q946">
        <f>SUMIF(TArticle[تاریخ],TDays[[#This Row],[تاریخ]],TArticle[تراکنش برنامه ریزی شده])</f>
        <v>0</v>
      </c>
    </row>
    <row r="947" spans="1:17" x14ac:dyDescent="0.25">
      <c r="A947" s="3" t="s">
        <v>1441</v>
      </c>
      <c r="B947" t="str">
        <f>RIGHT(TDays[[#This Row],[تاریخ]],2)</f>
        <v>30</v>
      </c>
      <c r="C947" t="str">
        <f>RIGHT(LEFT(TDays[[#This Row],[تاریخ]],7),2)</f>
        <v>07</v>
      </c>
      <c r="D947" t="str">
        <f>LEFT(TDays[[#This Row],[تاریخ]],4)</f>
        <v>1403</v>
      </c>
      <c r="E947" t="str">
        <f>LEFT(TDays[[#This Row],[تاریخ]],7)</f>
        <v>1403-07</v>
      </c>
      <c r="F947">
        <v>2</v>
      </c>
      <c r="G947" s="16" t="str">
        <f>VLOOKUP(TDays[[#This Row],[کد روز هفته]],TDaysOfTheWeek[],2,FALSE)</f>
        <v>دوشنبه</v>
      </c>
      <c r="H947" s="16">
        <f>IFERROR(IF(E946&lt;&gt;E947,1,INT(H946)+IF(TDays[[#This Row],[کد روز هفته]]=0,1,0)),1)</f>
        <v>5</v>
      </c>
      <c r="I947">
        <f>-SUMIF(TArticle[تاریخ],TDays[[#This Row],[تاریخ]],TArticle[هزینه])</f>
        <v>0</v>
      </c>
      <c r="J947">
        <f>SUMIF(TArticle[تاریخ],TDays[[#This Row],[تاریخ]],TArticle[درآمد تتا])</f>
        <v>0</v>
      </c>
      <c r="K947">
        <f>SUMIF(TArticle[تاریخ],TDays[[#This Row],[تاریخ]],TArticle[اسنپ])</f>
        <v>0</v>
      </c>
      <c r="L947">
        <f>-SUMIF(TArticle[تاریخ],TDays[[#This Row],[تاریخ]],TArticle[پرداخت بدهی])</f>
        <v>0</v>
      </c>
      <c r="M947">
        <f>SUMIF(TArticle[تاریخ],TDays[[#This Row],[تاریخ]],TArticle[افزایش بدهی])</f>
        <v>0</v>
      </c>
      <c r="N947">
        <f>-SUMIF(TArticle[تاریخ],TDays[[#This Row],[تاریخ]],TArticle[افزایش سرمایه])</f>
        <v>0</v>
      </c>
      <c r="O947">
        <f>SUMIF(TArticle[تاریخ],TDays[[#This Row],[تاریخ]],TArticle[تعداد تراکنش انجام شده])</f>
        <v>0</v>
      </c>
      <c r="P947">
        <f>INT(((TDays[[#This Row],[ماه]]-1)*31+TDays[[#This Row],[روز]]+1)/7)+1</f>
        <v>32</v>
      </c>
      <c r="Q947">
        <f>SUMIF(TArticle[تاریخ],TDays[[#This Row],[تاریخ]],TArticle[تراکنش برنامه ریزی شده])</f>
        <v>0</v>
      </c>
    </row>
    <row r="948" spans="1:17" x14ac:dyDescent="0.25">
      <c r="A948" s="3" t="s">
        <v>1442</v>
      </c>
      <c r="B948" t="str">
        <f>RIGHT(TDays[[#This Row],[تاریخ]],2)</f>
        <v>01</v>
      </c>
      <c r="C948" t="str">
        <f>RIGHT(LEFT(TDays[[#This Row],[تاریخ]],7),2)</f>
        <v>08</v>
      </c>
      <c r="D948" t="str">
        <f>LEFT(TDays[[#This Row],[تاریخ]],4)</f>
        <v>1403</v>
      </c>
      <c r="E948" t="str">
        <f>LEFT(TDays[[#This Row],[تاریخ]],7)</f>
        <v>1403-08</v>
      </c>
      <c r="F948">
        <v>3</v>
      </c>
      <c r="G948" s="16" t="str">
        <f>VLOOKUP(TDays[[#This Row],[کد روز هفته]],TDaysOfTheWeek[],2,FALSE)</f>
        <v>سه شنبه</v>
      </c>
      <c r="H948" s="16">
        <f>IFERROR(IF(E947&lt;&gt;E948,1,INT(H947)+IF(TDays[[#This Row],[کد روز هفته]]=0,1,0)),1)</f>
        <v>1</v>
      </c>
      <c r="I948">
        <f>-SUMIF(TArticle[تاریخ],TDays[[#This Row],[تاریخ]],TArticle[هزینه])</f>
        <v>0</v>
      </c>
      <c r="J948">
        <f>SUMIF(TArticle[تاریخ],TDays[[#This Row],[تاریخ]],TArticle[درآمد تتا])</f>
        <v>0</v>
      </c>
      <c r="K948">
        <f>SUMIF(TArticle[تاریخ],TDays[[#This Row],[تاریخ]],TArticle[اسنپ])</f>
        <v>0</v>
      </c>
      <c r="L948">
        <f>-SUMIF(TArticle[تاریخ],TDays[[#This Row],[تاریخ]],TArticle[پرداخت بدهی])</f>
        <v>0</v>
      </c>
      <c r="M948">
        <f>SUMIF(TArticle[تاریخ],TDays[[#This Row],[تاریخ]],TArticle[افزایش بدهی])</f>
        <v>0</v>
      </c>
      <c r="N948">
        <f>-SUMIF(TArticle[تاریخ],TDays[[#This Row],[تاریخ]],TArticle[افزایش سرمایه])</f>
        <v>0</v>
      </c>
      <c r="O948">
        <f>SUMIF(TArticle[تاریخ],TDays[[#This Row],[تاریخ]],TArticle[تعداد تراکنش انجام شده])</f>
        <v>0</v>
      </c>
      <c r="P948">
        <f>INT(((TDays[[#This Row],[ماه]]-1)*31+TDays[[#This Row],[روز]]+1)/7)+1</f>
        <v>32</v>
      </c>
      <c r="Q948">
        <f>SUMIF(TArticle[تاریخ],TDays[[#This Row],[تاریخ]],TArticle[تراکنش برنامه ریزی شده])</f>
        <v>2</v>
      </c>
    </row>
    <row r="949" spans="1:17" x14ac:dyDescent="0.25">
      <c r="A949" s="3" t="s">
        <v>1443</v>
      </c>
      <c r="B949" t="str">
        <f>RIGHT(TDays[[#This Row],[تاریخ]],2)</f>
        <v>02</v>
      </c>
      <c r="C949" t="str">
        <f>RIGHT(LEFT(TDays[[#This Row],[تاریخ]],7),2)</f>
        <v>08</v>
      </c>
      <c r="D949" t="str">
        <f>LEFT(TDays[[#This Row],[تاریخ]],4)</f>
        <v>1403</v>
      </c>
      <c r="E949" t="str">
        <f>LEFT(TDays[[#This Row],[تاریخ]],7)</f>
        <v>1403-08</v>
      </c>
      <c r="F949">
        <v>4</v>
      </c>
      <c r="G949" s="16" t="str">
        <f>VLOOKUP(TDays[[#This Row],[کد روز هفته]],TDaysOfTheWeek[],2,FALSE)</f>
        <v>چهارشنبه</v>
      </c>
      <c r="H949" s="16">
        <f>IFERROR(IF(E948&lt;&gt;E949,1,INT(H948)+IF(TDays[[#This Row],[کد روز هفته]]=0,1,0)),1)</f>
        <v>1</v>
      </c>
      <c r="I949">
        <f>-SUMIF(TArticle[تاریخ],TDays[[#This Row],[تاریخ]],TArticle[هزینه])</f>
        <v>0</v>
      </c>
      <c r="J949">
        <f>SUMIF(TArticle[تاریخ],TDays[[#This Row],[تاریخ]],TArticle[درآمد تتا])</f>
        <v>0</v>
      </c>
      <c r="K949">
        <f>SUMIF(TArticle[تاریخ],TDays[[#This Row],[تاریخ]],TArticle[اسنپ])</f>
        <v>0</v>
      </c>
      <c r="L949">
        <f>-SUMIF(TArticle[تاریخ],TDays[[#This Row],[تاریخ]],TArticle[پرداخت بدهی])</f>
        <v>0</v>
      </c>
      <c r="M949">
        <f>SUMIF(TArticle[تاریخ],TDays[[#This Row],[تاریخ]],TArticle[افزایش بدهی])</f>
        <v>0</v>
      </c>
      <c r="N949">
        <f>-SUMIF(TArticle[تاریخ],TDays[[#This Row],[تاریخ]],TArticle[افزایش سرمایه])</f>
        <v>0</v>
      </c>
      <c r="O949">
        <f>SUMIF(TArticle[تاریخ],TDays[[#This Row],[تاریخ]],TArticle[تعداد تراکنش انجام شده])</f>
        <v>0</v>
      </c>
      <c r="P949">
        <f>INT(((TDays[[#This Row],[ماه]]-1)*31+TDays[[#This Row],[روز]]+1)/7)+1</f>
        <v>32</v>
      </c>
      <c r="Q949">
        <f>SUMIF(TArticle[تاریخ],TDays[[#This Row],[تاریخ]],TArticle[تراکنش برنامه ریزی شده])</f>
        <v>0</v>
      </c>
    </row>
    <row r="950" spans="1:17" x14ac:dyDescent="0.25">
      <c r="A950" s="3" t="s">
        <v>1444</v>
      </c>
      <c r="B950" t="str">
        <f>RIGHT(TDays[[#This Row],[تاریخ]],2)</f>
        <v>03</v>
      </c>
      <c r="C950" t="str">
        <f>RIGHT(LEFT(TDays[[#This Row],[تاریخ]],7),2)</f>
        <v>08</v>
      </c>
      <c r="D950" t="str">
        <f>LEFT(TDays[[#This Row],[تاریخ]],4)</f>
        <v>1403</v>
      </c>
      <c r="E950" t="str">
        <f>LEFT(TDays[[#This Row],[تاریخ]],7)</f>
        <v>1403-08</v>
      </c>
      <c r="F950">
        <v>5</v>
      </c>
      <c r="G950" s="16" t="str">
        <f>VLOOKUP(TDays[[#This Row],[کد روز هفته]],TDaysOfTheWeek[],2,FALSE)</f>
        <v>پنجشنبه</v>
      </c>
      <c r="H950" s="16">
        <f>IFERROR(IF(E949&lt;&gt;E950,1,INT(H949)+IF(TDays[[#This Row],[کد روز هفته]]=0,1,0)),1)</f>
        <v>1</v>
      </c>
      <c r="I950">
        <f>-SUMIF(TArticle[تاریخ],TDays[[#This Row],[تاریخ]],TArticle[هزینه])</f>
        <v>0</v>
      </c>
      <c r="J950">
        <f>SUMIF(TArticle[تاریخ],TDays[[#This Row],[تاریخ]],TArticle[درآمد تتا])</f>
        <v>0</v>
      </c>
      <c r="K950">
        <f>SUMIF(TArticle[تاریخ],TDays[[#This Row],[تاریخ]],TArticle[اسنپ])</f>
        <v>0</v>
      </c>
      <c r="L950">
        <f>-SUMIF(TArticle[تاریخ],TDays[[#This Row],[تاریخ]],TArticle[پرداخت بدهی])</f>
        <v>0</v>
      </c>
      <c r="M950">
        <f>SUMIF(TArticle[تاریخ],TDays[[#This Row],[تاریخ]],TArticle[افزایش بدهی])</f>
        <v>0</v>
      </c>
      <c r="N950">
        <f>-SUMIF(TArticle[تاریخ],TDays[[#This Row],[تاریخ]],TArticle[افزایش سرمایه])</f>
        <v>0</v>
      </c>
      <c r="O950">
        <f>SUMIF(TArticle[تاریخ],TDays[[#This Row],[تاریخ]],TArticle[تعداد تراکنش انجام شده])</f>
        <v>0</v>
      </c>
      <c r="P950">
        <f>INT(((TDays[[#This Row],[ماه]]-1)*31+TDays[[#This Row],[روز]]+1)/7)+1</f>
        <v>32</v>
      </c>
      <c r="Q950">
        <f>SUMIF(TArticle[تاریخ],TDays[[#This Row],[تاریخ]],TArticle[تراکنش برنامه ریزی شده])</f>
        <v>1</v>
      </c>
    </row>
    <row r="951" spans="1:17" x14ac:dyDescent="0.25">
      <c r="A951" s="3" t="s">
        <v>1445</v>
      </c>
      <c r="B951" t="str">
        <f>RIGHT(TDays[[#This Row],[تاریخ]],2)</f>
        <v>04</v>
      </c>
      <c r="C951" t="str">
        <f>RIGHT(LEFT(TDays[[#This Row],[تاریخ]],7),2)</f>
        <v>08</v>
      </c>
      <c r="D951" t="str">
        <f>LEFT(TDays[[#This Row],[تاریخ]],4)</f>
        <v>1403</v>
      </c>
      <c r="E951" t="str">
        <f>LEFT(TDays[[#This Row],[تاریخ]],7)</f>
        <v>1403-08</v>
      </c>
      <c r="F951">
        <v>6</v>
      </c>
      <c r="G951" s="16" t="str">
        <f>VLOOKUP(TDays[[#This Row],[کد روز هفته]],TDaysOfTheWeek[],2,FALSE)</f>
        <v>جمعه</v>
      </c>
      <c r="H951" s="16">
        <f>IFERROR(IF(E950&lt;&gt;E951,1,INT(H950)+IF(TDays[[#This Row],[کد روز هفته]]=0,1,0)),1)</f>
        <v>1</v>
      </c>
      <c r="I951">
        <f>-SUMIF(TArticle[تاریخ],TDays[[#This Row],[تاریخ]],TArticle[هزینه])</f>
        <v>0</v>
      </c>
      <c r="J951">
        <f>SUMIF(TArticle[تاریخ],TDays[[#This Row],[تاریخ]],TArticle[درآمد تتا])</f>
        <v>0</v>
      </c>
      <c r="K951">
        <f>SUMIF(TArticle[تاریخ],TDays[[#This Row],[تاریخ]],TArticle[اسنپ])</f>
        <v>0</v>
      </c>
      <c r="L951">
        <f>-SUMIF(TArticle[تاریخ],TDays[[#This Row],[تاریخ]],TArticle[پرداخت بدهی])</f>
        <v>0</v>
      </c>
      <c r="M951">
        <f>SUMIF(TArticle[تاریخ],TDays[[#This Row],[تاریخ]],TArticle[افزایش بدهی])</f>
        <v>0</v>
      </c>
      <c r="N951">
        <f>-SUMIF(TArticle[تاریخ],TDays[[#This Row],[تاریخ]],TArticle[افزایش سرمایه])</f>
        <v>0</v>
      </c>
      <c r="O951">
        <f>SUMIF(TArticle[تاریخ],TDays[[#This Row],[تاریخ]],TArticle[تعداد تراکنش انجام شده])</f>
        <v>0</v>
      </c>
      <c r="P951">
        <f>INT(((TDays[[#This Row],[ماه]]-1)*31+TDays[[#This Row],[روز]]+1)/7)+1</f>
        <v>32</v>
      </c>
      <c r="Q951">
        <f>SUMIF(TArticle[تاریخ],TDays[[#This Row],[تاریخ]],TArticle[تراکنش برنامه ریزی شده])</f>
        <v>1</v>
      </c>
    </row>
    <row r="952" spans="1:17" x14ac:dyDescent="0.25">
      <c r="A952" s="3" t="s">
        <v>1446</v>
      </c>
      <c r="B952" t="str">
        <f>RIGHT(TDays[[#This Row],[تاریخ]],2)</f>
        <v>05</v>
      </c>
      <c r="C952" t="str">
        <f>RIGHT(LEFT(TDays[[#This Row],[تاریخ]],7),2)</f>
        <v>08</v>
      </c>
      <c r="D952" t="str">
        <f>LEFT(TDays[[#This Row],[تاریخ]],4)</f>
        <v>1403</v>
      </c>
      <c r="E952" t="str">
        <f>LEFT(TDays[[#This Row],[تاریخ]],7)</f>
        <v>1403-08</v>
      </c>
      <c r="F952">
        <v>0</v>
      </c>
      <c r="G952" s="16" t="str">
        <f>VLOOKUP(TDays[[#This Row],[کد روز هفته]],TDaysOfTheWeek[],2,FALSE)</f>
        <v>شنبه</v>
      </c>
      <c r="H952" s="16">
        <f>IFERROR(IF(E951&lt;&gt;E952,1,INT(H951)+IF(TDays[[#This Row],[کد روز هفته]]=0,1,0)),1)</f>
        <v>2</v>
      </c>
      <c r="I952">
        <f>-SUMIF(TArticle[تاریخ],TDays[[#This Row],[تاریخ]],TArticle[هزینه])</f>
        <v>0</v>
      </c>
      <c r="J952">
        <f>SUMIF(TArticle[تاریخ],TDays[[#This Row],[تاریخ]],TArticle[درآمد تتا])</f>
        <v>0</v>
      </c>
      <c r="K952">
        <f>SUMIF(TArticle[تاریخ],TDays[[#This Row],[تاریخ]],TArticle[اسنپ])</f>
        <v>0</v>
      </c>
      <c r="L952">
        <f>-SUMIF(TArticle[تاریخ],TDays[[#This Row],[تاریخ]],TArticle[پرداخت بدهی])</f>
        <v>0</v>
      </c>
      <c r="M952">
        <f>SUMIF(TArticle[تاریخ],TDays[[#This Row],[تاریخ]],TArticle[افزایش بدهی])</f>
        <v>0</v>
      </c>
      <c r="N952">
        <f>-SUMIF(TArticle[تاریخ],TDays[[#This Row],[تاریخ]],TArticle[افزایش سرمایه])</f>
        <v>0</v>
      </c>
      <c r="O952">
        <f>SUMIF(TArticle[تاریخ],TDays[[#This Row],[تاریخ]],TArticle[تعداد تراکنش انجام شده])</f>
        <v>0</v>
      </c>
      <c r="P952">
        <f>INT(((TDays[[#This Row],[ماه]]-1)*31+TDays[[#This Row],[روز]]+1)/7)+1</f>
        <v>32</v>
      </c>
      <c r="Q952">
        <f>SUMIF(TArticle[تاریخ],TDays[[#This Row],[تاریخ]],TArticle[تراکنش برنامه ریزی شده])</f>
        <v>0</v>
      </c>
    </row>
    <row r="953" spans="1:17" x14ac:dyDescent="0.25">
      <c r="A953" s="3" t="s">
        <v>1447</v>
      </c>
      <c r="B953" t="str">
        <f>RIGHT(TDays[[#This Row],[تاریخ]],2)</f>
        <v>06</v>
      </c>
      <c r="C953" t="str">
        <f>RIGHT(LEFT(TDays[[#This Row],[تاریخ]],7),2)</f>
        <v>08</v>
      </c>
      <c r="D953" t="str">
        <f>LEFT(TDays[[#This Row],[تاریخ]],4)</f>
        <v>1403</v>
      </c>
      <c r="E953" t="str">
        <f>LEFT(TDays[[#This Row],[تاریخ]],7)</f>
        <v>1403-08</v>
      </c>
      <c r="F953">
        <v>1</v>
      </c>
      <c r="G953" s="16" t="str">
        <f>VLOOKUP(TDays[[#This Row],[کد روز هفته]],TDaysOfTheWeek[],2,FALSE)</f>
        <v>یکشنبه</v>
      </c>
      <c r="H953" s="16">
        <f>IFERROR(IF(E952&lt;&gt;E953,1,INT(H952)+IF(TDays[[#This Row],[کد روز هفته]]=0,1,0)),1)</f>
        <v>2</v>
      </c>
      <c r="I953">
        <f>-SUMIF(TArticle[تاریخ],TDays[[#This Row],[تاریخ]],TArticle[هزینه])</f>
        <v>0</v>
      </c>
      <c r="J953">
        <f>SUMIF(TArticle[تاریخ],TDays[[#This Row],[تاریخ]],TArticle[درآمد تتا])</f>
        <v>0</v>
      </c>
      <c r="K953">
        <f>SUMIF(TArticle[تاریخ],TDays[[#This Row],[تاریخ]],TArticle[اسنپ])</f>
        <v>0</v>
      </c>
      <c r="L953">
        <f>-SUMIF(TArticle[تاریخ],TDays[[#This Row],[تاریخ]],TArticle[پرداخت بدهی])</f>
        <v>0</v>
      </c>
      <c r="M953">
        <f>SUMIF(TArticle[تاریخ],TDays[[#This Row],[تاریخ]],TArticle[افزایش بدهی])</f>
        <v>0</v>
      </c>
      <c r="N953">
        <f>-SUMIF(TArticle[تاریخ],TDays[[#This Row],[تاریخ]],TArticle[افزایش سرمایه])</f>
        <v>0</v>
      </c>
      <c r="O953">
        <f>SUMIF(TArticle[تاریخ],TDays[[#This Row],[تاریخ]],TArticle[تعداد تراکنش انجام شده])</f>
        <v>0</v>
      </c>
      <c r="P953">
        <f>INT(((TDays[[#This Row],[ماه]]-1)*31+TDays[[#This Row],[روز]]+1)/7)+1</f>
        <v>33</v>
      </c>
      <c r="Q953">
        <f>SUMIF(TArticle[تاریخ],TDays[[#This Row],[تاریخ]],TArticle[تراکنش برنامه ریزی شده])</f>
        <v>0</v>
      </c>
    </row>
    <row r="954" spans="1:17" x14ac:dyDescent="0.25">
      <c r="A954" s="3" t="s">
        <v>1448</v>
      </c>
      <c r="B954" t="str">
        <f>RIGHT(TDays[[#This Row],[تاریخ]],2)</f>
        <v>07</v>
      </c>
      <c r="C954" t="str">
        <f>RIGHT(LEFT(TDays[[#This Row],[تاریخ]],7),2)</f>
        <v>08</v>
      </c>
      <c r="D954" t="str">
        <f>LEFT(TDays[[#This Row],[تاریخ]],4)</f>
        <v>1403</v>
      </c>
      <c r="E954" t="str">
        <f>LEFT(TDays[[#This Row],[تاریخ]],7)</f>
        <v>1403-08</v>
      </c>
      <c r="F954">
        <v>2</v>
      </c>
      <c r="G954" s="16" t="str">
        <f>VLOOKUP(TDays[[#This Row],[کد روز هفته]],TDaysOfTheWeek[],2,FALSE)</f>
        <v>دوشنبه</v>
      </c>
      <c r="H954" s="16">
        <f>IFERROR(IF(E953&lt;&gt;E954,1,INT(H953)+IF(TDays[[#This Row],[کد روز هفته]]=0,1,0)),1)</f>
        <v>2</v>
      </c>
      <c r="I954">
        <f>-SUMIF(TArticle[تاریخ],TDays[[#This Row],[تاریخ]],TArticle[هزینه])</f>
        <v>0</v>
      </c>
      <c r="J954">
        <f>SUMIF(TArticle[تاریخ],TDays[[#This Row],[تاریخ]],TArticle[درآمد تتا])</f>
        <v>0</v>
      </c>
      <c r="K954">
        <f>SUMIF(TArticle[تاریخ],TDays[[#This Row],[تاریخ]],TArticle[اسنپ])</f>
        <v>0</v>
      </c>
      <c r="L954">
        <f>-SUMIF(TArticle[تاریخ],TDays[[#This Row],[تاریخ]],TArticle[پرداخت بدهی])</f>
        <v>0</v>
      </c>
      <c r="M954">
        <f>SUMIF(TArticle[تاریخ],TDays[[#This Row],[تاریخ]],TArticle[افزایش بدهی])</f>
        <v>0</v>
      </c>
      <c r="N954">
        <f>-SUMIF(TArticle[تاریخ],TDays[[#This Row],[تاریخ]],TArticle[افزایش سرمایه])</f>
        <v>0</v>
      </c>
      <c r="O954">
        <f>SUMIF(TArticle[تاریخ],TDays[[#This Row],[تاریخ]],TArticle[تعداد تراکنش انجام شده])</f>
        <v>0</v>
      </c>
      <c r="P954">
        <f>INT(((TDays[[#This Row],[ماه]]-1)*31+TDays[[#This Row],[روز]]+1)/7)+1</f>
        <v>33</v>
      </c>
      <c r="Q954">
        <f>SUMIF(TArticle[تاریخ],TDays[[#This Row],[تاریخ]],TArticle[تراکنش برنامه ریزی شده])</f>
        <v>0</v>
      </c>
    </row>
    <row r="955" spans="1:17" x14ac:dyDescent="0.25">
      <c r="A955" s="3" t="s">
        <v>1449</v>
      </c>
      <c r="B955" t="str">
        <f>RIGHT(TDays[[#This Row],[تاریخ]],2)</f>
        <v>08</v>
      </c>
      <c r="C955" t="str">
        <f>RIGHT(LEFT(TDays[[#This Row],[تاریخ]],7),2)</f>
        <v>08</v>
      </c>
      <c r="D955" t="str">
        <f>LEFT(TDays[[#This Row],[تاریخ]],4)</f>
        <v>1403</v>
      </c>
      <c r="E955" t="str">
        <f>LEFT(TDays[[#This Row],[تاریخ]],7)</f>
        <v>1403-08</v>
      </c>
      <c r="F955">
        <v>3</v>
      </c>
      <c r="G955" s="16" t="str">
        <f>VLOOKUP(TDays[[#This Row],[کد روز هفته]],TDaysOfTheWeek[],2,FALSE)</f>
        <v>سه شنبه</v>
      </c>
      <c r="H955" s="16">
        <f>IFERROR(IF(E954&lt;&gt;E955,1,INT(H954)+IF(TDays[[#This Row],[کد روز هفته]]=0,1,0)),1)</f>
        <v>2</v>
      </c>
      <c r="I955">
        <f>-SUMIF(TArticle[تاریخ],TDays[[#This Row],[تاریخ]],TArticle[هزینه])</f>
        <v>0</v>
      </c>
      <c r="J955">
        <f>SUMIF(TArticle[تاریخ],TDays[[#This Row],[تاریخ]],TArticle[درآمد تتا])</f>
        <v>0</v>
      </c>
      <c r="K955">
        <f>SUMIF(TArticle[تاریخ],TDays[[#This Row],[تاریخ]],TArticle[اسنپ])</f>
        <v>0</v>
      </c>
      <c r="L955">
        <f>-SUMIF(TArticle[تاریخ],TDays[[#This Row],[تاریخ]],TArticle[پرداخت بدهی])</f>
        <v>0</v>
      </c>
      <c r="M955">
        <f>SUMIF(TArticle[تاریخ],TDays[[#This Row],[تاریخ]],TArticle[افزایش بدهی])</f>
        <v>0</v>
      </c>
      <c r="N955">
        <f>-SUMIF(TArticle[تاریخ],TDays[[#This Row],[تاریخ]],TArticle[افزایش سرمایه])</f>
        <v>0</v>
      </c>
      <c r="O955">
        <f>SUMIF(TArticle[تاریخ],TDays[[#This Row],[تاریخ]],TArticle[تعداد تراکنش انجام شده])</f>
        <v>0</v>
      </c>
      <c r="P955">
        <f>INT(((TDays[[#This Row],[ماه]]-1)*31+TDays[[#This Row],[روز]]+1)/7)+1</f>
        <v>33</v>
      </c>
      <c r="Q955">
        <f>SUMIF(TArticle[تاریخ],TDays[[#This Row],[تاریخ]],TArticle[تراکنش برنامه ریزی شده])</f>
        <v>0</v>
      </c>
    </row>
    <row r="956" spans="1:17" x14ac:dyDescent="0.25">
      <c r="A956" s="3" t="s">
        <v>1450</v>
      </c>
      <c r="B956" t="str">
        <f>RIGHT(TDays[[#This Row],[تاریخ]],2)</f>
        <v>09</v>
      </c>
      <c r="C956" t="str">
        <f>RIGHT(LEFT(TDays[[#This Row],[تاریخ]],7),2)</f>
        <v>08</v>
      </c>
      <c r="D956" t="str">
        <f>LEFT(TDays[[#This Row],[تاریخ]],4)</f>
        <v>1403</v>
      </c>
      <c r="E956" t="str">
        <f>LEFT(TDays[[#This Row],[تاریخ]],7)</f>
        <v>1403-08</v>
      </c>
      <c r="F956">
        <v>4</v>
      </c>
      <c r="G956" s="16" t="str">
        <f>VLOOKUP(TDays[[#This Row],[کد روز هفته]],TDaysOfTheWeek[],2,FALSE)</f>
        <v>چهارشنبه</v>
      </c>
      <c r="H956" s="16">
        <f>IFERROR(IF(E955&lt;&gt;E956,1,INT(H955)+IF(TDays[[#This Row],[کد روز هفته]]=0,1,0)),1)</f>
        <v>2</v>
      </c>
      <c r="I956">
        <f>-SUMIF(TArticle[تاریخ],TDays[[#This Row],[تاریخ]],TArticle[هزینه])</f>
        <v>0</v>
      </c>
      <c r="J956">
        <f>SUMIF(TArticle[تاریخ],TDays[[#This Row],[تاریخ]],TArticle[درآمد تتا])</f>
        <v>0</v>
      </c>
      <c r="K956">
        <f>SUMIF(TArticle[تاریخ],TDays[[#This Row],[تاریخ]],TArticle[اسنپ])</f>
        <v>0</v>
      </c>
      <c r="L956">
        <f>-SUMIF(TArticle[تاریخ],TDays[[#This Row],[تاریخ]],TArticle[پرداخت بدهی])</f>
        <v>0</v>
      </c>
      <c r="M956">
        <f>SUMIF(TArticle[تاریخ],TDays[[#This Row],[تاریخ]],TArticle[افزایش بدهی])</f>
        <v>0</v>
      </c>
      <c r="N956">
        <f>-SUMIF(TArticle[تاریخ],TDays[[#This Row],[تاریخ]],TArticle[افزایش سرمایه])</f>
        <v>0</v>
      </c>
      <c r="O956">
        <f>SUMIF(TArticle[تاریخ],TDays[[#This Row],[تاریخ]],TArticle[تعداد تراکنش انجام شده])</f>
        <v>0</v>
      </c>
      <c r="P956">
        <f>INT(((TDays[[#This Row],[ماه]]-1)*31+TDays[[#This Row],[روز]]+1)/7)+1</f>
        <v>33</v>
      </c>
      <c r="Q956">
        <f>SUMIF(TArticle[تاریخ],TDays[[#This Row],[تاریخ]],TArticle[تراکنش برنامه ریزی شده])</f>
        <v>1</v>
      </c>
    </row>
    <row r="957" spans="1:17" x14ac:dyDescent="0.25">
      <c r="A957" s="3" t="s">
        <v>1451</v>
      </c>
      <c r="B957" t="str">
        <f>RIGHT(TDays[[#This Row],[تاریخ]],2)</f>
        <v>10</v>
      </c>
      <c r="C957" t="str">
        <f>RIGHT(LEFT(TDays[[#This Row],[تاریخ]],7),2)</f>
        <v>08</v>
      </c>
      <c r="D957" t="str">
        <f>LEFT(TDays[[#This Row],[تاریخ]],4)</f>
        <v>1403</v>
      </c>
      <c r="E957" t="str">
        <f>LEFT(TDays[[#This Row],[تاریخ]],7)</f>
        <v>1403-08</v>
      </c>
      <c r="F957">
        <v>5</v>
      </c>
      <c r="G957" s="16" t="str">
        <f>VLOOKUP(TDays[[#This Row],[کد روز هفته]],TDaysOfTheWeek[],2,FALSE)</f>
        <v>پنجشنبه</v>
      </c>
      <c r="H957" s="16">
        <f>IFERROR(IF(E956&lt;&gt;E957,1,INT(H956)+IF(TDays[[#This Row],[کد روز هفته]]=0,1,0)),1)</f>
        <v>2</v>
      </c>
      <c r="I957">
        <f>-SUMIF(TArticle[تاریخ],TDays[[#This Row],[تاریخ]],TArticle[هزینه])</f>
        <v>0</v>
      </c>
      <c r="J957">
        <f>SUMIF(TArticle[تاریخ],TDays[[#This Row],[تاریخ]],TArticle[درآمد تتا])</f>
        <v>0</v>
      </c>
      <c r="K957">
        <f>SUMIF(TArticle[تاریخ],TDays[[#This Row],[تاریخ]],TArticle[اسنپ])</f>
        <v>0</v>
      </c>
      <c r="L957">
        <f>-SUMIF(TArticle[تاریخ],TDays[[#This Row],[تاریخ]],TArticle[پرداخت بدهی])</f>
        <v>0</v>
      </c>
      <c r="M957">
        <f>SUMIF(TArticle[تاریخ],TDays[[#This Row],[تاریخ]],TArticle[افزایش بدهی])</f>
        <v>0</v>
      </c>
      <c r="N957">
        <f>-SUMIF(TArticle[تاریخ],TDays[[#This Row],[تاریخ]],TArticle[افزایش سرمایه])</f>
        <v>0</v>
      </c>
      <c r="O957">
        <f>SUMIF(TArticle[تاریخ],TDays[[#This Row],[تاریخ]],TArticle[تعداد تراکنش انجام شده])</f>
        <v>0</v>
      </c>
      <c r="P957">
        <f>INT(((TDays[[#This Row],[ماه]]-1)*31+TDays[[#This Row],[روز]]+1)/7)+1</f>
        <v>33</v>
      </c>
      <c r="Q957">
        <f>SUMIF(TArticle[تاریخ],TDays[[#This Row],[تاریخ]],TArticle[تراکنش برنامه ریزی شده])</f>
        <v>0</v>
      </c>
    </row>
    <row r="958" spans="1:17" x14ac:dyDescent="0.25">
      <c r="A958" s="3" t="s">
        <v>1452</v>
      </c>
      <c r="B958" t="str">
        <f>RIGHT(TDays[[#This Row],[تاریخ]],2)</f>
        <v>11</v>
      </c>
      <c r="C958" t="str">
        <f>RIGHT(LEFT(TDays[[#This Row],[تاریخ]],7),2)</f>
        <v>08</v>
      </c>
      <c r="D958" t="str">
        <f>LEFT(TDays[[#This Row],[تاریخ]],4)</f>
        <v>1403</v>
      </c>
      <c r="E958" t="str">
        <f>LEFT(TDays[[#This Row],[تاریخ]],7)</f>
        <v>1403-08</v>
      </c>
      <c r="F958">
        <v>6</v>
      </c>
      <c r="G958" s="16" t="str">
        <f>VLOOKUP(TDays[[#This Row],[کد روز هفته]],TDaysOfTheWeek[],2,FALSE)</f>
        <v>جمعه</v>
      </c>
      <c r="H958" s="16">
        <f>IFERROR(IF(E957&lt;&gt;E958,1,INT(H957)+IF(TDays[[#This Row],[کد روز هفته]]=0,1,0)),1)</f>
        <v>2</v>
      </c>
      <c r="I958">
        <f>-SUMIF(TArticle[تاریخ],TDays[[#This Row],[تاریخ]],TArticle[هزینه])</f>
        <v>0</v>
      </c>
      <c r="J958">
        <f>SUMIF(TArticle[تاریخ],TDays[[#This Row],[تاریخ]],TArticle[درآمد تتا])</f>
        <v>0</v>
      </c>
      <c r="K958">
        <f>SUMIF(TArticle[تاریخ],TDays[[#This Row],[تاریخ]],TArticle[اسنپ])</f>
        <v>0</v>
      </c>
      <c r="L958">
        <f>-SUMIF(TArticle[تاریخ],TDays[[#This Row],[تاریخ]],TArticle[پرداخت بدهی])</f>
        <v>0</v>
      </c>
      <c r="M958">
        <f>SUMIF(TArticle[تاریخ],TDays[[#This Row],[تاریخ]],TArticle[افزایش بدهی])</f>
        <v>0</v>
      </c>
      <c r="N958">
        <f>-SUMIF(TArticle[تاریخ],TDays[[#This Row],[تاریخ]],TArticle[افزایش سرمایه])</f>
        <v>0</v>
      </c>
      <c r="O958">
        <f>SUMIF(TArticle[تاریخ],TDays[[#This Row],[تاریخ]],TArticle[تعداد تراکنش انجام شده])</f>
        <v>0</v>
      </c>
      <c r="P958">
        <f>INT(((TDays[[#This Row],[ماه]]-1)*31+TDays[[#This Row],[روز]]+1)/7)+1</f>
        <v>33</v>
      </c>
      <c r="Q958">
        <f>SUMIF(TArticle[تاریخ],TDays[[#This Row],[تاریخ]],TArticle[تراکنش برنامه ریزی شده])</f>
        <v>0</v>
      </c>
    </row>
    <row r="959" spans="1:17" x14ac:dyDescent="0.25">
      <c r="A959" s="3" t="s">
        <v>1453</v>
      </c>
      <c r="B959" t="str">
        <f>RIGHT(TDays[[#This Row],[تاریخ]],2)</f>
        <v>12</v>
      </c>
      <c r="C959" t="str">
        <f>RIGHT(LEFT(TDays[[#This Row],[تاریخ]],7),2)</f>
        <v>08</v>
      </c>
      <c r="D959" t="str">
        <f>LEFT(TDays[[#This Row],[تاریخ]],4)</f>
        <v>1403</v>
      </c>
      <c r="E959" t="str">
        <f>LEFT(TDays[[#This Row],[تاریخ]],7)</f>
        <v>1403-08</v>
      </c>
      <c r="F959">
        <v>0</v>
      </c>
      <c r="G959" s="16" t="str">
        <f>VLOOKUP(TDays[[#This Row],[کد روز هفته]],TDaysOfTheWeek[],2,FALSE)</f>
        <v>شنبه</v>
      </c>
      <c r="H959" s="16">
        <f>IFERROR(IF(E958&lt;&gt;E959,1,INT(H958)+IF(TDays[[#This Row],[کد روز هفته]]=0,1,0)),1)</f>
        <v>3</v>
      </c>
      <c r="I959">
        <f>-SUMIF(TArticle[تاریخ],TDays[[#This Row],[تاریخ]],TArticle[هزینه])</f>
        <v>0</v>
      </c>
      <c r="J959">
        <f>SUMIF(TArticle[تاریخ],TDays[[#This Row],[تاریخ]],TArticle[درآمد تتا])</f>
        <v>0</v>
      </c>
      <c r="K959">
        <f>SUMIF(TArticle[تاریخ],TDays[[#This Row],[تاریخ]],TArticle[اسنپ])</f>
        <v>0</v>
      </c>
      <c r="L959">
        <f>-SUMIF(TArticle[تاریخ],TDays[[#This Row],[تاریخ]],TArticle[پرداخت بدهی])</f>
        <v>0</v>
      </c>
      <c r="M959">
        <f>SUMIF(TArticle[تاریخ],TDays[[#This Row],[تاریخ]],TArticle[افزایش بدهی])</f>
        <v>0</v>
      </c>
      <c r="N959">
        <f>-SUMIF(TArticle[تاریخ],TDays[[#This Row],[تاریخ]],TArticle[افزایش سرمایه])</f>
        <v>0</v>
      </c>
      <c r="O959">
        <f>SUMIF(TArticle[تاریخ],TDays[[#This Row],[تاریخ]],TArticle[تعداد تراکنش انجام شده])</f>
        <v>0</v>
      </c>
      <c r="P959">
        <f>INT(((TDays[[#This Row],[ماه]]-1)*31+TDays[[#This Row],[روز]]+1)/7)+1</f>
        <v>33</v>
      </c>
      <c r="Q959">
        <f>SUMIF(TArticle[تاریخ],TDays[[#This Row],[تاریخ]],TArticle[تراکنش برنامه ریزی شده])</f>
        <v>0</v>
      </c>
    </row>
    <row r="960" spans="1:17" x14ac:dyDescent="0.25">
      <c r="A960" s="3" t="s">
        <v>1454</v>
      </c>
      <c r="B960" t="str">
        <f>RIGHT(TDays[[#This Row],[تاریخ]],2)</f>
        <v>13</v>
      </c>
      <c r="C960" t="str">
        <f>RIGHT(LEFT(TDays[[#This Row],[تاریخ]],7),2)</f>
        <v>08</v>
      </c>
      <c r="D960" t="str">
        <f>LEFT(TDays[[#This Row],[تاریخ]],4)</f>
        <v>1403</v>
      </c>
      <c r="E960" t="str">
        <f>LEFT(TDays[[#This Row],[تاریخ]],7)</f>
        <v>1403-08</v>
      </c>
      <c r="F960">
        <v>1</v>
      </c>
      <c r="G960" s="16" t="str">
        <f>VLOOKUP(TDays[[#This Row],[کد روز هفته]],TDaysOfTheWeek[],2,FALSE)</f>
        <v>یکشنبه</v>
      </c>
      <c r="H960" s="16">
        <f>IFERROR(IF(E959&lt;&gt;E960,1,INT(H959)+IF(TDays[[#This Row],[کد روز هفته]]=0,1,0)),1)</f>
        <v>3</v>
      </c>
      <c r="I960">
        <f>-SUMIF(TArticle[تاریخ],TDays[[#This Row],[تاریخ]],TArticle[هزینه])</f>
        <v>0</v>
      </c>
      <c r="J960">
        <f>SUMIF(TArticle[تاریخ],TDays[[#This Row],[تاریخ]],TArticle[درآمد تتا])</f>
        <v>0</v>
      </c>
      <c r="K960">
        <f>SUMIF(TArticle[تاریخ],TDays[[#This Row],[تاریخ]],TArticle[اسنپ])</f>
        <v>0</v>
      </c>
      <c r="L960">
        <f>-SUMIF(TArticle[تاریخ],TDays[[#This Row],[تاریخ]],TArticle[پرداخت بدهی])</f>
        <v>0</v>
      </c>
      <c r="M960">
        <f>SUMIF(TArticle[تاریخ],TDays[[#This Row],[تاریخ]],TArticle[افزایش بدهی])</f>
        <v>0</v>
      </c>
      <c r="N960">
        <f>-SUMIF(TArticle[تاریخ],TDays[[#This Row],[تاریخ]],TArticle[افزایش سرمایه])</f>
        <v>0</v>
      </c>
      <c r="O960">
        <f>SUMIF(TArticle[تاریخ],TDays[[#This Row],[تاریخ]],TArticle[تعداد تراکنش انجام شده])</f>
        <v>0</v>
      </c>
      <c r="P960">
        <f>INT(((TDays[[#This Row],[ماه]]-1)*31+TDays[[#This Row],[روز]]+1)/7)+1</f>
        <v>34</v>
      </c>
      <c r="Q960">
        <f>SUMIF(TArticle[تاریخ],TDays[[#This Row],[تاریخ]],TArticle[تراکنش برنامه ریزی شده])</f>
        <v>0</v>
      </c>
    </row>
    <row r="961" spans="1:17" x14ac:dyDescent="0.25">
      <c r="A961" s="3" t="s">
        <v>1455</v>
      </c>
      <c r="B961" t="str">
        <f>RIGHT(TDays[[#This Row],[تاریخ]],2)</f>
        <v>14</v>
      </c>
      <c r="C961" t="str">
        <f>RIGHT(LEFT(TDays[[#This Row],[تاریخ]],7),2)</f>
        <v>08</v>
      </c>
      <c r="D961" t="str">
        <f>LEFT(TDays[[#This Row],[تاریخ]],4)</f>
        <v>1403</v>
      </c>
      <c r="E961" t="str">
        <f>LEFT(TDays[[#This Row],[تاریخ]],7)</f>
        <v>1403-08</v>
      </c>
      <c r="F961">
        <v>2</v>
      </c>
      <c r="G961" s="16" t="str">
        <f>VLOOKUP(TDays[[#This Row],[کد روز هفته]],TDaysOfTheWeek[],2,FALSE)</f>
        <v>دوشنبه</v>
      </c>
      <c r="H961" s="16">
        <f>IFERROR(IF(E960&lt;&gt;E961,1,INT(H960)+IF(TDays[[#This Row],[کد روز هفته]]=0,1,0)),1)</f>
        <v>3</v>
      </c>
      <c r="I961">
        <f>-SUMIF(TArticle[تاریخ],TDays[[#This Row],[تاریخ]],TArticle[هزینه])</f>
        <v>0</v>
      </c>
      <c r="J961">
        <f>SUMIF(TArticle[تاریخ],TDays[[#This Row],[تاریخ]],TArticle[درآمد تتا])</f>
        <v>0</v>
      </c>
      <c r="K961">
        <f>SUMIF(TArticle[تاریخ],TDays[[#This Row],[تاریخ]],TArticle[اسنپ])</f>
        <v>0</v>
      </c>
      <c r="L961">
        <f>-SUMIF(TArticle[تاریخ],TDays[[#This Row],[تاریخ]],TArticle[پرداخت بدهی])</f>
        <v>0</v>
      </c>
      <c r="M961">
        <f>SUMIF(TArticle[تاریخ],TDays[[#This Row],[تاریخ]],TArticle[افزایش بدهی])</f>
        <v>0</v>
      </c>
      <c r="N961">
        <f>-SUMIF(TArticle[تاریخ],TDays[[#This Row],[تاریخ]],TArticle[افزایش سرمایه])</f>
        <v>0</v>
      </c>
      <c r="O961">
        <f>SUMIF(TArticle[تاریخ],TDays[[#This Row],[تاریخ]],TArticle[تعداد تراکنش انجام شده])</f>
        <v>0</v>
      </c>
      <c r="P961">
        <f>INT(((TDays[[#This Row],[ماه]]-1)*31+TDays[[#This Row],[روز]]+1)/7)+1</f>
        <v>34</v>
      </c>
      <c r="Q961">
        <f>SUMIF(TArticle[تاریخ],TDays[[#This Row],[تاریخ]],TArticle[تراکنش برنامه ریزی شده])</f>
        <v>0</v>
      </c>
    </row>
    <row r="962" spans="1:17" x14ac:dyDescent="0.25">
      <c r="A962" s="3" t="s">
        <v>1456</v>
      </c>
      <c r="B962" t="str">
        <f>RIGHT(TDays[[#This Row],[تاریخ]],2)</f>
        <v>15</v>
      </c>
      <c r="C962" t="str">
        <f>RIGHT(LEFT(TDays[[#This Row],[تاریخ]],7),2)</f>
        <v>08</v>
      </c>
      <c r="D962" t="str">
        <f>LEFT(TDays[[#This Row],[تاریخ]],4)</f>
        <v>1403</v>
      </c>
      <c r="E962" t="str">
        <f>LEFT(TDays[[#This Row],[تاریخ]],7)</f>
        <v>1403-08</v>
      </c>
      <c r="F962">
        <v>3</v>
      </c>
      <c r="G962" s="16" t="str">
        <f>VLOOKUP(TDays[[#This Row],[کد روز هفته]],TDaysOfTheWeek[],2,FALSE)</f>
        <v>سه شنبه</v>
      </c>
      <c r="H962" s="16">
        <f>IFERROR(IF(E961&lt;&gt;E962,1,INT(H961)+IF(TDays[[#This Row],[کد روز هفته]]=0,1,0)),1)</f>
        <v>3</v>
      </c>
      <c r="I962">
        <f>-SUMIF(TArticle[تاریخ],TDays[[#This Row],[تاریخ]],TArticle[هزینه])</f>
        <v>0</v>
      </c>
      <c r="J962">
        <f>SUMIF(TArticle[تاریخ],TDays[[#This Row],[تاریخ]],TArticle[درآمد تتا])</f>
        <v>0</v>
      </c>
      <c r="K962">
        <f>SUMIF(TArticle[تاریخ],TDays[[#This Row],[تاریخ]],TArticle[اسنپ])</f>
        <v>0</v>
      </c>
      <c r="L962">
        <f>-SUMIF(TArticle[تاریخ],TDays[[#This Row],[تاریخ]],TArticle[پرداخت بدهی])</f>
        <v>0</v>
      </c>
      <c r="M962">
        <f>SUMIF(TArticle[تاریخ],TDays[[#This Row],[تاریخ]],TArticle[افزایش بدهی])</f>
        <v>0</v>
      </c>
      <c r="N962">
        <f>-SUMIF(TArticle[تاریخ],TDays[[#This Row],[تاریخ]],TArticle[افزایش سرمایه])</f>
        <v>0</v>
      </c>
      <c r="O962">
        <f>SUMIF(TArticle[تاریخ],TDays[[#This Row],[تاریخ]],TArticle[تعداد تراکنش انجام شده])</f>
        <v>0</v>
      </c>
      <c r="P962">
        <f>INT(((TDays[[#This Row],[ماه]]-1)*31+TDays[[#This Row],[روز]]+1)/7)+1</f>
        <v>34</v>
      </c>
      <c r="Q962">
        <f>SUMIF(TArticle[تاریخ],TDays[[#This Row],[تاریخ]],TArticle[تراکنش برنامه ریزی شده])</f>
        <v>0</v>
      </c>
    </row>
    <row r="963" spans="1:17" x14ac:dyDescent="0.25">
      <c r="A963" s="3" t="s">
        <v>1457</v>
      </c>
      <c r="B963" t="str">
        <f>RIGHT(TDays[[#This Row],[تاریخ]],2)</f>
        <v>16</v>
      </c>
      <c r="C963" t="str">
        <f>RIGHT(LEFT(TDays[[#This Row],[تاریخ]],7),2)</f>
        <v>08</v>
      </c>
      <c r="D963" t="str">
        <f>LEFT(TDays[[#This Row],[تاریخ]],4)</f>
        <v>1403</v>
      </c>
      <c r="E963" t="str">
        <f>LEFT(TDays[[#This Row],[تاریخ]],7)</f>
        <v>1403-08</v>
      </c>
      <c r="F963">
        <v>4</v>
      </c>
      <c r="G963" s="16" t="str">
        <f>VLOOKUP(TDays[[#This Row],[کد روز هفته]],TDaysOfTheWeek[],2,FALSE)</f>
        <v>چهارشنبه</v>
      </c>
      <c r="H963" s="16">
        <f>IFERROR(IF(E962&lt;&gt;E963,1,INT(H962)+IF(TDays[[#This Row],[کد روز هفته]]=0,1,0)),1)</f>
        <v>3</v>
      </c>
      <c r="I963">
        <f>-SUMIF(TArticle[تاریخ],TDays[[#This Row],[تاریخ]],TArticle[هزینه])</f>
        <v>0</v>
      </c>
      <c r="J963">
        <f>SUMIF(TArticle[تاریخ],TDays[[#This Row],[تاریخ]],TArticle[درآمد تتا])</f>
        <v>0</v>
      </c>
      <c r="K963">
        <f>SUMIF(TArticle[تاریخ],TDays[[#This Row],[تاریخ]],TArticle[اسنپ])</f>
        <v>0</v>
      </c>
      <c r="L963">
        <f>-SUMIF(TArticle[تاریخ],TDays[[#This Row],[تاریخ]],TArticle[پرداخت بدهی])</f>
        <v>0</v>
      </c>
      <c r="M963">
        <f>SUMIF(TArticle[تاریخ],TDays[[#This Row],[تاریخ]],TArticle[افزایش بدهی])</f>
        <v>0</v>
      </c>
      <c r="N963">
        <f>-SUMIF(TArticle[تاریخ],TDays[[#This Row],[تاریخ]],TArticle[افزایش سرمایه])</f>
        <v>0</v>
      </c>
      <c r="O963">
        <f>SUMIF(TArticle[تاریخ],TDays[[#This Row],[تاریخ]],TArticle[تعداد تراکنش انجام شده])</f>
        <v>0</v>
      </c>
      <c r="P963">
        <f>INT(((TDays[[#This Row],[ماه]]-1)*31+TDays[[#This Row],[روز]]+1)/7)+1</f>
        <v>34</v>
      </c>
      <c r="Q963">
        <f>SUMIF(TArticle[تاریخ],TDays[[#This Row],[تاریخ]],TArticle[تراکنش برنامه ریزی شده])</f>
        <v>0</v>
      </c>
    </row>
    <row r="964" spans="1:17" x14ac:dyDescent="0.25">
      <c r="A964" s="3" t="s">
        <v>1458</v>
      </c>
      <c r="B964" t="str">
        <f>RIGHT(TDays[[#This Row],[تاریخ]],2)</f>
        <v>17</v>
      </c>
      <c r="C964" t="str">
        <f>RIGHT(LEFT(TDays[[#This Row],[تاریخ]],7),2)</f>
        <v>08</v>
      </c>
      <c r="D964" t="str">
        <f>LEFT(TDays[[#This Row],[تاریخ]],4)</f>
        <v>1403</v>
      </c>
      <c r="E964" t="str">
        <f>LEFT(TDays[[#This Row],[تاریخ]],7)</f>
        <v>1403-08</v>
      </c>
      <c r="F964">
        <v>5</v>
      </c>
      <c r="G964" s="16" t="str">
        <f>VLOOKUP(TDays[[#This Row],[کد روز هفته]],TDaysOfTheWeek[],2,FALSE)</f>
        <v>پنجشنبه</v>
      </c>
      <c r="H964" s="16">
        <f>IFERROR(IF(E963&lt;&gt;E964,1,INT(H963)+IF(TDays[[#This Row],[کد روز هفته]]=0,1,0)),1)</f>
        <v>3</v>
      </c>
      <c r="I964">
        <f>-SUMIF(TArticle[تاریخ],TDays[[#This Row],[تاریخ]],TArticle[هزینه])</f>
        <v>0</v>
      </c>
      <c r="J964">
        <f>SUMIF(TArticle[تاریخ],TDays[[#This Row],[تاریخ]],TArticle[درآمد تتا])</f>
        <v>0</v>
      </c>
      <c r="K964">
        <f>SUMIF(TArticle[تاریخ],TDays[[#This Row],[تاریخ]],TArticle[اسنپ])</f>
        <v>0</v>
      </c>
      <c r="L964">
        <f>-SUMIF(TArticle[تاریخ],TDays[[#This Row],[تاریخ]],TArticle[پرداخت بدهی])</f>
        <v>0</v>
      </c>
      <c r="M964">
        <f>SUMIF(TArticle[تاریخ],TDays[[#This Row],[تاریخ]],TArticle[افزایش بدهی])</f>
        <v>0</v>
      </c>
      <c r="N964">
        <f>-SUMIF(TArticle[تاریخ],TDays[[#This Row],[تاریخ]],TArticle[افزایش سرمایه])</f>
        <v>0</v>
      </c>
      <c r="O964">
        <f>SUMIF(TArticle[تاریخ],TDays[[#This Row],[تاریخ]],TArticle[تعداد تراکنش انجام شده])</f>
        <v>0</v>
      </c>
      <c r="P964">
        <f>INT(((TDays[[#This Row],[ماه]]-1)*31+TDays[[#This Row],[روز]]+1)/7)+1</f>
        <v>34</v>
      </c>
      <c r="Q964">
        <f>SUMIF(TArticle[تاریخ],TDays[[#This Row],[تاریخ]],TArticle[تراکنش برنامه ریزی شده])</f>
        <v>0</v>
      </c>
    </row>
    <row r="965" spans="1:17" x14ac:dyDescent="0.25">
      <c r="A965" s="3" t="s">
        <v>1459</v>
      </c>
      <c r="B965" t="str">
        <f>RIGHT(TDays[[#This Row],[تاریخ]],2)</f>
        <v>18</v>
      </c>
      <c r="C965" t="str">
        <f>RIGHT(LEFT(TDays[[#This Row],[تاریخ]],7),2)</f>
        <v>08</v>
      </c>
      <c r="D965" t="str">
        <f>LEFT(TDays[[#This Row],[تاریخ]],4)</f>
        <v>1403</v>
      </c>
      <c r="E965" t="str">
        <f>LEFT(TDays[[#This Row],[تاریخ]],7)</f>
        <v>1403-08</v>
      </c>
      <c r="F965">
        <v>6</v>
      </c>
      <c r="G965" s="16" t="str">
        <f>VLOOKUP(TDays[[#This Row],[کد روز هفته]],TDaysOfTheWeek[],2,FALSE)</f>
        <v>جمعه</v>
      </c>
      <c r="H965" s="16">
        <f>IFERROR(IF(E964&lt;&gt;E965,1,INT(H964)+IF(TDays[[#This Row],[کد روز هفته]]=0,1,0)),1)</f>
        <v>3</v>
      </c>
      <c r="I965">
        <f>-SUMIF(TArticle[تاریخ],TDays[[#This Row],[تاریخ]],TArticle[هزینه])</f>
        <v>0</v>
      </c>
      <c r="J965">
        <f>SUMIF(TArticle[تاریخ],TDays[[#This Row],[تاریخ]],TArticle[درآمد تتا])</f>
        <v>0</v>
      </c>
      <c r="K965">
        <f>SUMIF(TArticle[تاریخ],TDays[[#This Row],[تاریخ]],TArticle[اسنپ])</f>
        <v>0</v>
      </c>
      <c r="L965">
        <f>-SUMIF(TArticle[تاریخ],TDays[[#This Row],[تاریخ]],TArticle[پرداخت بدهی])</f>
        <v>0</v>
      </c>
      <c r="M965">
        <f>SUMIF(TArticle[تاریخ],TDays[[#This Row],[تاریخ]],TArticle[افزایش بدهی])</f>
        <v>0</v>
      </c>
      <c r="N965">
        <f>-SUMIF(TArticle[تاریخ],TDays[[#This Row],[تاریخ]],TArticle[افزایش سرمایه])</f>
        <v>0</v>
      </c>
      <c r="O965">
        <f>SUMIF(TArticle[تاریخ],TDays[[#This Row],[تاریخ]],TArticle[تعداد تراکنش انجام شده])</f>
        <v>0</v>
      </c>
      <c r="P965">
        <f>INT(((TDays[[#This Row],[ماه]]-1)*31+TDays[[#This Row],[روز]]+1)/7)+1</f>
        <v>34</v>
      </c>
      <c r="Q965">
        <f>SUMIF(TArticle[تاریخ],TDays[[#This Row],[تاریخ]],TArticle[تراکنش برنامه ریزی شده])</f>
        <v>0</v>
      </c>
    </row>
    <row r="966" spans="1:17" x14ac:dyDescent="0.25">
      <c r="A966" s="3" t="s">
        <v>1460</v>
      </c>
      <c r="B966" t="str">
        <f>RIGHT(TDays[[#This Row],[تاریخ]],2)</f>
        <v>19</v>
      </c>
      <c r="C966" t="str">
        <f>RIGHT(LEFT(TDays[[#This Row],[تاریخ]],7),2)</f>
        <v>08</v>
      </c>
      <c r="D966" t="str">
        <f>LEFT(TDays[[#This Row],[تاریخ]],4)</f>
        <v>1403</v>
      </c>
      <c r="E966" t="str">
        <f>LEFT(TDays[[#This Row],[تاریخ]],7)</f>
        <v>1403-08</v>
      </c>
      <c r="F966">
        <v>0</v>
      </c>
      <c r="G966" s="16" t="str">
        <f>VLOOKUP(TDays[[#This Row],[کد روز هفته]],TDaysOfTheWeek[],2,FALSE)</f>
        <v>شنبه</v>
      </c>
      <c r="H966" s="16">
        <f>IFERROR(IF(E965&lt;&gt;E966,1,INT(H965)+IF(TDays[[#This Row],[کد روز هفته]]=0,1,0)),1)</f>
        <v>4</v>
      </c>
      <c r="I966">
        <f>-SUMIF(TArticle[تاریخ],TDays[[#This Row],[تاریخ]],TArticle[هزینه])</f>
        <v>0</v>
      </c>
      <c r="J966">
        <f>SUMIF(TArticle[تاریخ],TDays[[#This Row],[تاریخ]],TArticle[درآمد تتا])</f>
        <v>0</v>
      </c>
      <c r="K966">
        <f>SUMIF(TArticle[تاریخ],TDays[[#This Row],[تاریخ]],TArticle[اسنپ])</f>
        <v>0</v>
      </c>
      <c r="L966">
        <f>-SUMIF(TArticle[تاریخ],TDays[[#This Row],[تاریخ]],TArticle[پرداخت بدهی])</f>
        <v>0</v>
      </c>
      <c r="M966">
        <f>SUMIF(TArticle[تاریخ],TDays[[#This Row],[تاریخ]],TArticle[افزایش بدهی])</f>
        <v>0</v>
      </c>
      <c r="N966">
        <f>-SUMIF(TArticle[تاریخ],TDays[[#This Row],[تاریخ]],TArticle[افزایش سرمایه])</f>
        <v>0</v>
      </c>
      <c r="O966">
        <f>SUMIF(TArticle[تاریخ],TDays[[#This Row],[تاریخ]],TArticle[تعداد تراکنش انجام شده])</f>
        <v>0</v>
      </c>
      <c r="P966">
        <f>INT(((TDays[[#This Row],[ماه]]-1)*31+TDays[[#This Row],[روز]]+1)/7)+1</f>
        <v>34</v>
      </c>
      <c r="Q966">
        <f>SUMIF(TArticle[تاریخ],TDays[[#This Row],[تاریخ]],TArticle[تراکنش برنامه ریزی شده])</f>
        <v>0</v>
      </c>
    </row>
    <row r="967" spans="1:17" x14ac:dyDescent="0.25">
      <c r="A967" s="3" t="s">
        <v>1461</v>
      </c>
      <c r="B967" t="str">
        <f>RIGHT(TDays[[#This Row],[تاریخ]],2)</f>
        <v>20</v>
      </c>
      <c r="C967" t="str">
        <f>RIGHT(LEFT(TDays[[#This Row],[تاریخ]],7),2)</f>
        <v>08</v>
      </c>
      <c r="D967" t="str">
        <f>LEFT(TDays[[#This Row],[تاریخ]],4)</f>
        <v>1403</v>
      </c>
      <c r="E967" t="str">
        <f>LEFT(TDays[[#This Row],[تاریخ]],7)</f>
        <v>1403-08</v>
      </c>
      <c r="F967">
        <v>1</v>
      </c>
      <c r="G967" s="16" t="str">
        <f>VLOOKUP(TDays[[#This Row],[کد روز هفته]],TDaysOfTheWeek[],2,FALSE)</f>
        <v>یکشنبه</v>
      </c>
      <c r="H967" s="16">
        <f>IFERROR(IF(E966&lt;&gt;E967,1,INT(H966)+IF(TDays[[#This Row],[کد روز هفته]]=0,1,0)),1)</f>
        <v>4</v>
      </c>
      <c r="I967">
        <f>-SUMIF(TArticle[تاریخ],TDays[[#This Row],[تاریخ]],TArticle[هزینه])</f>
        <v>0</v>
      </c>
      <c r="J967">
        <f>SUMIF(TArticle[تاریخ],TDays[[#This Row],[تاریخ]],TArticle[درآمد تتا])</f>
        <v>0</v>
      </c>
      <c r="K967">
        <f>SUMIF(TArticle[تاریخ],TDays[[#This Row],[تاریخ]],TArticle[اسنپ])</f>
        <v>0</v>
      </c>
      <c r="L967">
        <f>-SUMIF(TArticle[تاریخ],TDays[[#This Row],[تاریخ]],TArticle[پرداخت بدهی])</f>
        <v>0</v>
      </c>
      <c r="M967">
        <f>SUMIF(TArticle[تاریخ],TDays[[#This Row],[تاریخ]],TArticle[افزایش بدهی])</f>
        <v>0</v>
      </c>
      <c r="N967">
        <f>-SUMIF(TArticle[تاریخ],TDays[[#This Row],[تاریخ]],TArticle[افزایش سرمایه])</f>
        <v>0</v>
      </c>
      <c r="O967">
        <f>SUMIF(TArticle[تاریخ],TDays[[#This Row],[تاریخ]],TArticle[تعداد تراکنش انجام شده])</f>
        <v>0</v>
      </c>
      <c r="P967">
        <f>INT(((TDays[[#This Row],[ماه]]-1)*31+TDays[[#This Row],[روز]]+1)/7)+1</f>
        <v>35</v>
      </c>
      <c r="Q967">
        <f>SUMIF(TArticle[تاریخ],TDays[[#This Row],[تاریخ]],TArticle[تراکنش برنامه ریزی شده])</f>
        <v>1</v>
      </c>
    </row>
    <row r="968" spans="1:17" x14ac:dyDescent="0.25">
      <c r="A968" s="3" t="s">
        <v>1462</v>
      </c>
      <c r="B968" t="str">
        <f>RIGHT(TDays[[#This Row],[تاریخ]],2)</f>
        <v>21</v>
      </c>
      <c r="C968" t="str">
        <f>RIGHT(LEFT(TDays[[#This Row],[تاریخ]],7),2)</f>
        <v>08</v>
      </c>
      <c r="D968" t="str">
        <f>LEFT(TDays[[#This Row],[تاریخ]],4)</f>
        <v>1403</v>
      </c>
      <c r="E968" t="str">
        <f>LEFT(TDays[[#This Row],[تاریخ]],7)</f>
        <v>1403-08</v>
      </c>
      <c r="F968">
        <v>2</v>
      </c>
      <c r="G968" s="16" t="str">
        <f>VLOOKUP(TDays[[#This Row],[کد روز هفته]],TDaysOfTheWeek[],2,FALSE)</f>
        <v>دوشنبه</v>
      </c>
      <c r="H968" s="16">
        <f>IFERROR(IF(E967&lt;&gt;E968,1,INT(H967)+IF(TDays[[#This Row],[کد روز هفته]]=0,1,0)),1)</f>
        <v>4</v>
      </c>
      <c r="I968">
        <f>-SUMIF(TArticle[تاریخ],TDays[[#This Row],[تاریخ]],TArticle[هزینه])</f>
        <v>0</v>
      </c>
      <c r="J968">
        <f>SUMIF(TArticle[تاریخ],TDays[[#This Row],[تاریخ]],TArticle[درآمد تتا])</f>
        <v>0</v>
      </c>
      <c r="K968">
        <f>SUMIF(TArticle[تاریخ],TDays[[#This Row],[تاریخ]],TArticle[اسنپ])</f>
        <v>0</v>
      </c>
      <c r="L968">
        <f>-SUMIF(TArticle[تاریخ],TDays[[#This Row],[تاریخ]],TArticle[پرداخت بدهی])</f>
        <v>0</v>
      </c>
      <c r="M968">
        <f>SUMIF(TArticle[تاریخ],TDays[[#This Row],[تاریخ]],TArticle[افزایش بدهی])</f>
        <v>0</v>
      </c>
      <c r="N968">
        <f>-SUMIF(TArticle[تاریخ],TDays[[#This Row],[تاریخ]],TArticle[افزایش سرمایه])</f>
        <v>0</v>
      </c>
      <c r="O968">
        <f>SUMIF(TArticle[تاریخ],TDays[[#This Row],[تاریخ]],TArticle[تعداد تراکنش انجام شده])</f>
        <v>0</v>
      </c>
      <c r="P968">
        <f>INT(((TDays[[#This Row],[ماه]]-1)*31+TDays[[#This Row],[روز]]+1)/7)+1</f>
        <v>35</v>
      </c>
      <c r="Q968">
        <f>SUMIF(TArticle[تاریخ],TDays[[#This Row],[تاریخ]],TArticle[تراکنش برنامه ریزی شده])</f>
        <v>0</v>
      </c>
    </row>
    <row r="969" spans="1:17" x14ac:dyDescent="0.25">
      <c r="A969" s="3" t="s">
        <v>1463</v>
      </c>
      <c r="B969" t="str">
        <f>RIGHT(TDays[[#This Row],[تاریخ]],2)</f>
        <v>22</v>
      </c>
      <c r="C969" t="str">
        <f>RIGHT(LEFT(TDays[[#This Row],[تاریخ]],7),2)</f>
        <v>08</v>
      </c>
      <c r="D969" t="str">
        <f>LEFT(TDays[[#This Row],[تاریخ]],4)</f>
        <v>1403</v>
      </c>
      <c r="E969" t="str">
        <f>LEFT(TDays[[#This Row],[تاریخ]],7)</f>
        <v>1403-08</v>
      </c>
      <c r="F969">
        <v>3</v>
      </c>
      <c r="G969" s="16" t="str">
        <f>VLOOKUP(TDays[[#This Row],[کد روز هفته]],TDaysOfTheWeek[],2,FALSE)</f>
        <v>سه شنبه</v>
      </c>
      <c r="H969" s="16">
        <f>IFERROR(IF(E968&lt;&gt;E969,1,INT(H968)+IF(TDays[[#This Row],[کد روز هفته]]=0,1,0)),1)</f>
        <v>4</v>
      </c>
      <c r="I969">
        <f>-SUMIF(TArticle[تاریخ],TDays[[#This Row],[تاریخ]],TArticle[هزینه])</f>
        <v>0</v>
      </c>
      <c r="J969">
        <f>SUMIF(TArticle[تاریخ],TDays[[#This Row],[تاریخ]],TArticle[درآمد تتا])</f>
        <v>0</v>
      </c>
      <c r="K969">
        <f>SUMIF(TArticle[تاریخ],TDays[[#This Row],[تاریخ]],TArticle[اسنپ])</f>
        <v>0</v>
      </c>
      <c r="L969">
        <f>-SUMIF(TArticle[تاریخ],TDays[[#This Row],[تاریخ]],TArticle[پرداخت بدهی])</f>
        <v>0</v>
      </c>
      <c r="M969">
        <f>SUMIF(TArticle[تاریخ],TDays[[#This Row],[تاریخ]],TArticle[افزایش بدهی])</f>
        <v>0</v>
      </c>
      <c r="N969">
        <f>-SUMIF(TArticle[تاریخ],TDays[[#This Row],[تاریخ]],TArticle[افزایش سرمایه])</f>
        <v>0</v>
      </c>
      <c r="O969">
        <f>SUMIF(TArticle[تاریخ],TDays[[#This Row],[تاریخ]],TArticle[تعداد تراکنش انجام شده])</f>
        <v>0</v>
      </c>
      <c r="P969">
        <f>INT(((TDays[[#This Row],[ماه]]-1)*31+TDays[[#This Row],[روز]]+1)/7)+1</f>
        <v>35</v>
      </c>
      <c r="Q969">
        <f>SUMIF(TArticle[تاریخ],TDays[[#This Row],[تاریخ]],TArticle[تراکنش برنامه ریزی شده])</f>
        <v>0</v>
      </c>
    </row>
    <row r="970" spans="1:17" x14ac:dyDescent="0.25">
      <c r="A970" s="3" t="s">
        <v>1464</v>
      </c>
      <c r="B970" t="str">
        <f>RIGHT(TDays[[#This Row],[تاریخ]],2)</f>
        <v>23</v>
      </c>
      <c r="C970" t="str">
        <f>RIGHT(LEFT(TDays[[#This Row],[تاریخ]],7),2)</f>
        <v>08</v>
      </c>
      <c r="D970" t="str">
        <f>LEFT(TDays[[#This Row],[تاریخ]],4)</f>
        <v>1403</v>
      </c>
      <c r="E970" t="str">
        <f>LEFT(TDays[[#This Row],[تاریخ]],7)</f>
        <v>1403-08</v>
      </c>
      <c r="F970">
        <v>4</v>
      </c>
      <c r="G970" s="16" t="str">
        <f>VLOOKUP(TDays[[#This Row],[کد روز هفته]],TDaysOfTheWeek[],2,FALSE)</f>
        <v>چهارشنبه</v>
      </c>
      <c r="H970" s="16">
        <f>IFERROR(IF(E969&lt;&gt;E970,1,INT(H969)+IF(TDays[[#This Row],[کد روز هفته]]=0,1,0)),1)</f>
        <v>4</v>
      </c>
      <c r="I970">
        <f>-SUMIF(TArticle[تاریخ],TDays[[#This Row],[تاریخ]],TArticle[هزینه])</f>
        <v>0</v>
      </c>
      <c r="J970">
        <f>SUMIF(TArticle[تاریخ],TDays[[#This Row],[تاریخ]],TArticle[درآمد تتا])</f>
        <v>0</v>
      </c>
      <c r="K970">
        <f>SUMIF(TArticle[تاریخ],TDays[[#This Row],[تاریخ]],TArticle[اسنپ])</f>
        <v>0</v>
      </c>
      <c r="L970">
        <f>-SUMIF(TArticle[تاریخ],TDays[[#This Row],[تاریخ]],TArticle[پرداخت بدهی])</f>
        <v>0</v>
      </c>
      <c r="M970">
        <f>SUMIF(TArticle[تاریخ],TDays[[#This Row],[تاریخ]],TArticle[افزایش بدهی])</f>
        <v>0</v>
      </c>
      <c r="N970">
        <f>-SUMIF(TArticle[تاریخ],TDays[[#This Row],[تاریخ]],TArticle[افزایش سرمایه])</f>
        <v>0</v>
      </c>
      <c r="O970">
        <f>SUMIF(TArticle[تاریخ],TDays[[#This Row],[تاریخ]],TArticle[تعداد تراکنش انجام شده])</f>
        <v>0</v>
      </c>
      <c r="P970">
        <f>INT(((TDays[[#This Row],[ماه]]-1)*31+TDays[[#This Row],[روز]]+1)/7)+1</f>
        <v>35</v>
      </c>
      <c r="Q970">
        <f>SUMIF(TArticle[تاریخ],TDays[[#This Row],[تاریخ]],TArticle[تراکنش برنامه ریزی شده])</f>
        <v>0</v>
      </c>
    </row>
    <row r="971" spans="1:17" x14ac:dyDescent="0.25">
      <c r="A971" s="3" t="s">
        <v>1465</v>
      </c>
      <c r="B971" t="str">
        <f>RIGHT(TDays[[#This Row],[تاریخ]],2)</f>
        <v>24</v>
      </c>
      <c r="C971" t="str">
        <f>RIGHT(LEFT(TDays[[#This Row],[تاریخ]],7),2)</f>
        <v>08</v>
      </c>
      <c r="D971" t="str">
        <f>LEFT(TDays[[#This Row],[تاریخ]],4)</f>
        <v>1403</v>
      </c>
      <c r="E971" t="str">
        <f>LEFT(TDays[[#This Row],[تاریخ]],7)</f>
        <v>1403-08</v>
      </c>
      <c r="F971">
        <v>5</v>
      </c>
      <c r="G971" s="16" t="str">
        <f>VLOOKUP(TDays[[#This Row],[کد روز هفته]],TDaysOfTheWeek[],2,FALSE)</f>
        <v>پنجشنبه</v>
      </c>
      <c r="H971" s="16">
        <f>IFERROR(IF(E970&lt;&gt;E971,1,INT(H970)+IF(TDays[[#This Row],[کد روز هفته]]=0,1,0)),1)</f>
        <v>4</v>
      </c>
      <c r="I971">
        <f>-SUMIF(TArticle[تاریخ],TDays[[#This Row],[تاریخ]],TArticle[هزینه])</f>
        <v>0</v>
      </c>
      <c r="J971">
        <f>SUMIF(TArticle[تاریخ],TDays[[#This Row],[تاریخ]],TArticle[درآمد تتا])</f>
        <v>0</v>
      </c>
      <c r="K971">
        <f>SUMIF(TArticle[تاریخ],TDays[[#This Row],[تاریخ]],TArticle[اسنپ])</f>
        <v>0</v>
      </c>
      <c r="L971">
        <f>-SUMIF(TArticle[تاریخ],TDays[[#This Row],[تاریخ]],TArticle[پرداخت بدهی])</f>
        <v>0</v>
      </c>
      <c r="M971">
        <f>SUMIF(TArticle[تاریخ],TDays[[#This Row],[تاریخ]],TArticle[افزایش بدهی])</f>
        <v>0</v>
      </c>
      <c r="N971">
        <f>-SUMIF(TArticle[تاریخ],TDays[[#This Row],[تاریخ]],TArticle[افزایش سرمایه])</f>
        <v>0</v>
      </c>
      <c r="O971">
        <f>SUMIF(TArticle[تاریخ],TDays[[#This Row],[تاریخ]],TArticle[تعداد تراکنش انجام شده])</f>
        <v>0</v>
      </c>
      <c r="P971">
        <f>INT(((TDays[[#This Row],[ماه]]-1)*31+TDays[[#This Row],[روز]]+1)/7)+1</f>
        <v>35</v>
      </c>
      <c r="Q971">
        <f>SUMIF(TArticle[تاریخ],TDays[[#This Row],[تاریخ]],TArticle[تراکنش برنامه ریزی شده])</f>
        <v>0</v>
      </c>
    </row>
    <row r="972" spans="1:17" x14ac:dyDescent="0.25">
      <c r="A972" s="3" t="s">
        <v>1466</v>
      </c>
      <c r="B972" t="str">
        <f>RIGHT(TDays[[#This Row],[تاریخ]],2)</f>
        <v>25</v>
      </c>
      <c r="C972" t="str">
        <f>RIGHT(LEFT(TDays[[#This Row],[تاریخ]],7),2)</f>
        <v>08</v>
      </c>
      <c r="D972" t="str">
        <f>LEFT(TDays[[#This Row],[تاریخ]],4)</f>
        <v>1403</v>
      </c>
      <c r="E972" t="str">
        <f>LEFT(TDays[[#This Row],[تاریخ]],7)</f>
        <v>1403-08</v>
      </c>
      <c r="F972">
        <v>6</v>
      </c>
      <c r="G972" s="16" t="str">
        <f>VLOOKUP(TDays[[#This Row],[کد روز هفته]],TDaysOfTheWeek[],2,FALSE)</f>
        <v>جمعه</v>
      </c>
      <c r="H972" s="16">
        <f>IFERROR(IF(E971&lt;&gt;E972,1,INT(H971)+IF(TDays[[#This Row],[کد روز هفته]]=0,1,0)),1)</f>
        <v>4</v>
      </c>
      <c r="I972">
        <f>-SUMIF(TArticle[تاریخ],TDays[[#This Row],[تاریخ]],TArticle[هزینه])</f>
        <v>0</v>
      </c>
      <c r="J972">
        <f>SUMIF(TArticle[تاریخ],TDays[[#This Row],[تاریخ]],TArticle[درآمد تتا])</f>
        <v>0</v>
      </c>
      <c r="K972">
        <f>SUMIF(TArticle[تاریخ],TDays[[#This Row],[تاریخ]],TArticle[اسنپ])</f>
        <v>0</v>
      </c>
      <c r="L972">
        <f>-SUMIF(TArticle[تاریخ],TDays[[#This Row],[تاریخ]],TArticle[پرداخت بدهی])</f>
        <v>0</v>
      </c>
      <c r="M972">
        <f>SUMIF(TArticle[تاریخ],TDays[[#This Row],[تاریخ]],TArticle[افزایش بدهی])</f>
        <v>0</v>
      </c>
      <c r="N972">
        <f>-SUMIF(TArticle[تاریخ],TDays[[#This Row],[تاریخ]],TArticle[افزایش سرمایه])</f>
        <v>0</v>
      </c>
      <c r="O972">
        <f>SUMIF(TArticle[تاریخ],TDays[[#This Row],[تاریخ]],TArticle[تعداد تراکنش انجام شده])</f>
        <v>0</v>
      </c>
      <c r="P972">
        <f>INT(((TDays[[#This Row],[ماه]]-1)*31+TDays[[#This Row],[روز]]+1)/7)+1</f>
        <v>35</v>
      </c>
      <c r="Q972">
        <f>SUMIF(TArticle[تاریخ],TDays[[#This Row],[تاریخ]],TArticle[تراکنش برنامه ریزی شده])</f>
        <v>0</v>
      </c>
    </row>
    <row r="973" spans="1:17" x14ac:dyDescent="0.25">
      <c r="A973" s="3" t="s">
        <v>1467</v>
      </c>
      <c r="B973" t="str">
        <f>RIGHT(TDays[[#This Row],[تاریخ]],2)</f>
        <v>26</v>
      </c>
      <c r="C973" t="str">
        <f>RIGHT(LEFT(TDays[[#This Row],[تاریخ]],7),2)</f>
        <v>08</v>
      </c>
      <c r="D973" t="str">
        <f>LEFT(TDays[[#This Row],[تاریخ]],4)</f>
        <v>1403</v>
      </c>
      <c r="E973" t="str">
        <f>LEFT(TDays[[#This Row],[تاریخ]],7)</f>
        <v>1403-08</v>
      </c>
      <c r="F973">
        <v>0</v>
      </c>
      <c r="G973" s="16" t="str">
        <f>VLOOKUP(TDays[[#This Row],[کد روز هفته]],TDaysOfTheWeek[],2,FALSE)</f>
        <v>شنبه</v>
      </c>
      <c r="H973" s="16">
        <f>IFERROR(IF(E972&lt;&gt;E973,1,INT(H972)+IF(TDays[[#This Row],[کد روز هفته]]=0,1,0)),1)</f>
        <v>5</v>
      </c>
      <c r="I973">
        <f>-SUMIF(TArticle[تاریخ],TDays[[#This Row],[تاریخ]],TArticle[هزینه])</f>
        <v>0</v>
      </c>
      <c r="J973">
        <f>SUMIF(TArticle[تاریخ],TDays[[#This Row],[تاریخ]],TArticle[درآمد تتا])</f>
        <v>0</v>
      </c>
      <c r="K973">
        <f>SUMIF(TArticle[تاریخ],TDays[[#This Row],[تاریخ]],TArticle[اسنپ])</f>
        <v>0</v>
      </c>
      <c r="L973">
        <f>-SUMIF(TArticle[تاریخ],TDays[[#This Row],[تاریخ]],TArticle[پرداخت بدهی])</f>
        <v>0</v>
      </c>
      <c r="M973">
        <f>SUMIF(TArticle[تاریخ],TDays[[#This Row],[تاریخ]],TArticle[افزایش بدهی])</f>
        <v>0</v>
      </c>
      <c r="N973">
        <f>-SUMIF(TArticle[تاریخ],TDays[[#This Row],[تاریخ]],TArticle[افزایش سرمایه])</f>
        <v>0</v>
      </c>
      <c r="O973">
        <f>SUMIF(TArticle[تاریخ],TDays[[#This Row],[تاریخ]],TArticle[تعداد تراکنش انجام شده])</f>
        <v>0</v>
      </c>
      <c r="P973">
        <f>INT(((TDays[[#This Row],[ماه]]-1)*31+TDays[[#This Row],[روز]]+1)/7)+1</f>
        <v>35</v>
      </c>
      <c r="Q973">
        <f>SUMIF(TArticle[تاریخ],TDays[[#This Row],[تاریخ]],TArticle[تراکنش برنامه ریزی شده])</f>
        <v>0</v>
      </c>
    </row>
    <row r="974" spans="1:17" x14ac:dyDescent="0.25">
      <c r="A974" s="3" t="s">
        <v>1468</v>
      </c>
      <c r="B974" t="str">
        <f>RIGHT(TDays[[#This Row],[تاریخ]],2)</f>
        <v>27</v>
      </c>
      <c r="C974" t="str">
        <f>RIGHT(LEFT(TDays[[#This Row],[تاریخ]],7),2)</f>
        <v>08</v>
      </c>
      <c r="D974" t="str">
        <f>LEFT(TDays[[#This Row],[تاریخ]],4)</f>
        <v>1403</v>
      </c>
      <c r="E974" t="str">
        <f>LEFT(TDays[[#This Row],[تاریخ]],7)</f>
        <v>1403-08</v>
      </c>
      <c r="F974">
        <v>1</v>
      </c>
      <c r="G974" s="16" t="str">
        <f>VLOOKUP(TDays[[#This Row],[کد روز هفته]],TDaysOfTheWeek[],2,FALSE)</f>
        <v>یکشنبه</v>
      </c>
      <c r="H974" s="16">
        <f>IFERROR(IF(E973&lt;&gt;E974,1,INT(H973)+IF(TDays[[#This Row],[کد روز هفته]]=0,1,0)),1)</f>
        <v>5</v>
      </c>
      <c r="I974">
        <f>-SUMIF(TArticle[تاریخ],TDays[[#This Row],[تاریخ]],TArticle[هزینه])</f>
        <v>0</v>
      </c>
      <c r="J974">
        <f>SUMIF(TArticle[تاریخ],TDays[[#This Row],[تاریخ]],TArticle[درآمد تتا])</f>
        <v>0</v>
      </c>
      <c r="K974">
        <f>SUMIF(TArticle[تاریخ],TDays[[#This Row],[تاریخ]],TArticle[اسنپ])</f>
        <v>0</v>
      </c>
      <c r="L974">
        <f>-SUMIF(TArticle[تاریخ],TDays[[#This Row],[تاریخ]],TArticle[پرداخت بدهی])</f>
        <v>0</v>
      </c>
      <c r="M974">
        <f>SUMIF(TArticle[تاریخ],TDays[[#This Row],[تاریخ]],TArticle[افزایش بدهی])</f>
        <v>0</v>
      </c>
      <c r="N974">
        <f>-SUMIF(TArticle[تاریخ],TDays[[#This Row],[تاریخ]],TArticle[افزایش سرمایه])</f>
        <v>0</v>
      </c>
      <c r="O974">
        <f>SUMIF(TArticle[تاریخ],TDays[[#This Row],[تاریخ]],TArticle[تعداد تراکنش انجام شده])</f>
        <v>0</v>
      </c>
      <c r="P974">
        <f>INT(((TDays[[#This Row],[ماه]]-1)*31+TDays[[#This Row],[روز]]+1)/7)+1</f>
        <v>36</v>
      </c>
      <c r="Q974">
        <f>SUMIF(TArticle[تاریخ],TDays[[#This Row],[تاریخ]],TArticle[تراکنش برنامه ریزی شده])</f>
        <v>0</v>
      </c>
    </row>
    <row r="975" spans="1:17" x14ac:dyDescent="0.25">
      <c r="A975" s="3" t="s">
        <v>1469</v>
      </c>
      <c r="B975" t="str">
        <f>RIGHT(TDays[[#This Row],[تاریخ]],2)</f>
        <v>28</v>
      </c>
      <c r="C975" t="str">
        <f>RIGHT(LEFT(TDays[[#This Row],[تاریخ]],7),2)</f>
        <v>08</v>
      </c>
      <c r="D975" t="str">
        <f>LEFT(TDays[[#This Row],[تاریخ]],4)</f>
        <v>1403</v>
      </c>
      <c r="E975" t="str">
        <f>LEFT(TDays[[#This Row],[تاریخ]],7)</f>
        <v>1403-08</v>
      </c>
      <c r="F975">
        <v>2</v>
      </c>
      <c r="G975" s="16" t="str">
        <f>VLOOKUP(TDays[[#This Row],[کد روز هفته]],TDaysOfTheWeek[],2,FALSE)</f>
        <v>دوشنبه</v>
      </c>
      <c r="H975" s="16">
        <f>IFERROR(IF(E974&lt;&gt;E975,1,INT(H974)+IF(TDays[[#This Row],[کد روز هفته]]=0,1,0)),1)</f>
        <v>5</v>
      </c>
      <c r="I975">
        <f>-SUMIF(TArticle[تاریخ],TDays[[#This Row],[تاریخ]],TArticle[هزینه])</f>
        <v>0</v>
      </c>
      <c r="J975">
        <f>SUMIF(TArticle[تاریخ],TDays[[#This Row],[تاریخ]],TArticle[درآمد تتا])</f>
        <v>0</v>
      </c>
      <c r="K975">
        <f>SUMIF(TArticle[تاریخ],TDays[[#This Row],[تاریخ]],TArticle[اسنپ])</f>
        <v>0</v>
      </c>
      <c r="L975">
        <f>-SUMIF(TArticle[تاریخ],TDays[[#This Row],[تاریخ]],TArticle[پرداخت بدهی])</f>
        <v>0</v>
      </c>
      <c r="M975">
        <f>SUMIF(TArticle[تاریخ],TDays[[#This Row],[تاریخ]],TArticle[افزایش بدهی])</f>
        <v>0</v>
      </c>
      <c r="N975">
        <f>-SUMIF(TArticle[تاریخ],TDays[[#This Row],[تاریخ]],TArticle[افزایش سرمایه])</f>
        <v>0</v>
      </c>
      <c r="O975">
        <f>SUMIF(TArticle[تاریخ],TDays[[#This Row],[تاریخ]],TArticle[تعداد تراکنش انجام شده])</f>
        <v>0</v>
      </c>
      <c r="P975">
        <f>INT(((TDays[[#This Row],[ماه]]-1)*31+TDays[[#This Row],[روز]]+1)/7)+1</f>
        <v>36</v>
      </c>
      <c r="Q975">
        <f>SUMIF(TArticle[تاریخ],TDays[[#This Row],[تاریخ]],TArticle[تراکنش برنامه ریزی شده])</f>
        <v>0</v>
      </c>
    </row>
    <row r="976" spans="1:17" x14ac:dyDescent="0.25">
      <c r="A976" s="3" t="s">
        <v>1470</v>
      </c>
      <c r="B976" t="str">
        <f>RIGHT(TDays[[#This Row],[تاریخ]],2)</f>
        <v>29</v>
      </c>
      <c r="C976" t="str">
        <f>RIGHT(LEFT(TDays[[#This Row],[تاریخ]],7),2)</f>
        <v>08</v>
      </c>
      <c r="D976" t="str">
        <f>LEFT(TDays[[#This Row],[تاریخ]],4)</f>
        <v>1403</v>
      </c>
      <c r="E976" t="str">
        <f>LEFT(TDays[[#This Row],[تاریخ]],7)</f>
        <v>1403-08</v>
      </c>
      <c r="F976">
        <v>3</v>
      </c>
      <c r="G976" s="16" t="str">
        <f>VLOOKUP(TDays[[#This Row],[کد روز هفته]],TDaysOfTheWeek[],2,FALSE)</f>
        <v>سه شنبه</v>
      </c>
      <c r="H976" s="16">
        <f>IFERROR(IF(E975&lt;&gt;E976,1,INT(H975)+IF(TDays[[#This Row],[کد روز هفته]]=0,1,0)),1)</f>
        <v>5</v>
      </c>
      <c r="I976">
        <f>-SUMIF(TArticle[تاریخ],TDays[[#This Row],[تاریخ]],TArticle[هزینه])</f>
        <v>0</v>
      </c>
      <c r="J976">
        <f>SUMIF(TArticle[تاریخ],TDays[[#This Row],[تاریخ]],TArticle[درآمد تتا])</f>
        <v>0</v>
      </c>
      <c r="K976">
        <f>SUMIF(TArticle[تاریخ],TDays[[#This Row],[تاریخ]],TArticle[اسنپ])</f>
        <v>0</v>
      </c>
      <c r="L976">
        <f>-SUMIF(TArticle[تاریخ],TDays[[#This Row],[تاریخ]],TArticle[پرداخت بدهی])</f>
        <v>0</v>
      </c>
      <c r="M976">
        <f>SUMIF(TArticle[تاریخ],TDays[[#This Row],[تاریخ]],TArticle[افزایش بدهی])</f>
        <v>0</v>
      </c>
      <c r="N976">
        <f>-SUMIF(TArticle[تاریخ],TDays[[#This Row],[تاریخ]],TArticle[افزایش سرمایه])</f>
        <v>0</v>
      </c>
      <c r="O976">
        <f>SUMIF(TArticle[تاریخ],TDays[[#This Row],[تاریخ]],TArticle[تعداد تراکنش انجام شده])</f>
        <v>0</v>
      </c>
      <c r="P976">
        <f>INT(((TDays[[#This Row],[ماه]]-1)*31+TDays[[#This Row],[روز]]+1)/7)+1</f>
        <v>36</v>
      </c>
      <c r="Q976">
        <f>SUMIF(TArticle[تاریخ],TDays[[#This Row],[تاریخ]],TArticle[تراکنش برنامه ریزی شده])</f>
        <v>0</v>
      </c>
    </row>
    <row r="977" spans="1:17" x14ac:dyDescent="0.25">
      <c r="A977" s="3" t="s">
        <v>1471</v>
      </c>
      <c r="B977" t="str">
        <f>RIGHT(TDays[[#This Row],[تاریخ]],2)</f>
        <v>30</v>
      </c>
      <c r="C977" t="str">
        <f>RIGHT(LEFT(TDays[[#This Row],[تاریخ]],7),2)</f>
        <v>08</v>
      </c>
      <c r="D977" t="str">
        <f>LEFT(TDays[[#This Row],[تاریخ]],4)</f>
        <v>1403</v>
      </c>
      <c r="E977" t="str">
        <f>LEFT(TDays[[#This Row],[تاریخ]],7)</f>
        <v>1403-08</v>
      </c>
      <c r="F977">
        <v>4</v>
      </c>
      <c r="G977" s="16" t="str">
        <f>VLOOKUP(TDays[[#This Row],[کد روز هفته]],TDaysOfTheWeek[],2,FALSE)</f>
        <v>چهارشنبه</v>
      </c>
      <c r="H977" s="16">
        <f>IFERROR(IF(E976&lt;&gt;E977,1,INT(H976)+IF(TDays[[#This Row],[کد روز هفته]]=0,1,0)),1)</f>
        <v>5</v>
      </c>
      <c r="I977">
        <f>-SUMIF(TArticle[تاریخ],TDays[[#This Row],[تاریخ]],TArticle[هزینه])</f>
        <v>0</v>
      </c>
      <c r="J977">
        <f>SUMIF(TArticle[تاریخ],TDays[[#This Row],[تاریخ]],TArticle[درآمد تتا])</f>
        <v>0</v>
      </c>
      <c r="K977">
        <f>SUMIF(TArticle[تاریخ],TDays[[#This Row],[تاریخ]],TArticle[اسنپ])</f>
        <v>0</v>
      </c>
      <c r="L977">
        <f>-SUMIF(TArticle[تاریخ],TDays[[#This Row],[تاریخ]],TArticle[پرداخت بدهی])</f>
        <v>0</v>
      </c>
      <c r="M977">
        <f>SUMIF(TArticle[تاریخ],TDays[[#This Row],[تاریخ]],TArticle[افزایش بدهی])</f>
        <v>0</v>
      </c>
      <c r="N977">
        <f>-SUMIF(TArticle[تاریخ],TDays[[#This Row],[تاریخ]],TArticle[افزایش سرمایه])</f>
        <v>0</v>
      </c>
      <c r="O977">
        <f>SUMIF(TArticle[تاریخ],TDays[[#This Row],[تاریخ]],TArticle[تعداد تراکنش انجام شده])</f>
        <v>0</v>
      </c>
      <c r="P977">
        <f>INT(((TDays[[#This Row],[ماه]]-1)*31+TDays[[#This Row],[روز]]+1)/7)+1</f>
        <v>36</v>
      </c>
      <c r="Q977">
        <f>SUMIF(TArticle[تاریخ],TDays[[#This Row],[تاریخ]],TArticle[تراکنش برنامه ریزی شده])</f>
        <v>0</v>
      </c>
    </row>
    <row r="978" spans="1:17" x14ac:dyDescent="0.25">
      <c r="A978" s="3" t="s">
        <v>1472</v>
      </c>
      <c r="B978" t="str">
        <f>RIGHT(TDays[[#This Row],[تاریخ]],2)</f>
        <v>01</v>
      </c>
      <c r="C978" t="str">
        <f>RIGHT(LEFT(TDays[[#This Row],[تاریخ]],7),2)</f>
        <v>09</v>
      </c>
      <c r="D978" t="str">
        <f>LEFT(TDays[[#This Row],[تاریخ]],4)</f>
        <v>1403</v>
      </c>
      <c r="E978" t="str">
        <f>LEFT(TDays[[#This Row],[تاریخ]],7)</f>
        <v>1403-09</v>
      </c>
      <c r="F978">
        <v>5</v>
      </c>
      <c r="G978" s="16" t="str">
        <f>VLOOKUP(TDays[[#This Row],[کد روز هفته]],TDaysOfTheWeek[],2,FALSE)</f>
        <v>پنجشنبه</v>
      </c>
      <c r="H978" s="16">
        <f>IFERROR(IF(E977&lt;&gt;E978,1,INT(H977)+IF(TDays[[#This Row],[کد روز هفته]]=0,1,0)),1)</f>
        <v>1</v>
      </c>
      <c r="I978">
        <f>-SUMIF(TArticle[تاریخ],TDays[[#This Row],[تاریخ]],TArticle[هزینه])</f>
        <v>0</v>
      </c>
      <c r="J978">
        <f>SUMIF(TArticle[تاریخ],TDays[[#This Row],[تاریخ]],TArticle[درآمد تتا])</f>
        <v>0</v>
      </c>
      <c r="K978">
        <f>SUMIF(TArticle[تاریخ],TDays[[#This Row],[تاریخ]],TArticle[اسنپ])</f>
        <v>0</v>
      </c>
      <c r="L978">
        <f>-SUMIF(TArticle[تاریخ],TDays[[#This Row],[تاریخ]],TArticle[پرداخت بدهی])</f>
        <v>0</v>
      </c>
      <c r="M978">
        <f>SUMIF(TArticle[تاریخ],TDays[[#This Row],[تاریخ]],TArticle[افزایش بدهی])</f>
        <v>0</v>
      </c>
      <c r="N978">
        <f>-SUMIF(TArticle[تاریخ],TDays[[#This Row],[تاریخ]],TArticle[افزایش سرمایه])</f>
        <v>0</v>
      </c>
      <c r="O978">
        <f>SUMIF(TArticle[تاریخ],TDays[[#This Row],[تاریخ]],TArticle[تعداد تراکنش انجام شده])</f>
        <v>0</v>
      </c>
      <c r="P978">
        <f>INT(((TDays[[#This Row],[ماه]]-1)*31+TDays[[#This Row],[روز]]+1)/7)+1</f>
        <v>36</v>
      </c>
      <c r="Q978">
        <f>SUMIF(TArticle[تاریخ],TDays[[#This Row],[تاریخ]],TArticle[تراکنش برنامه ریزی شده])</f>
        <v>2</v>
      </c>
    </row>
    <row r="979" spans="1:17" x14ac:dyDescent="0.25">
      <c r="A979" s="3" t="s">
        <v>1473</v>
      </c>
      <c r="B979" t="str">
        <f>RIGHT(TDays[[#This Row],[تاریخ]],2)</f>
        <v>02</v>
      </c>
      <c r="C979" t="str">
        <f>RIGHT(LEFT(TDays[[#This Row],[تاریخ]],7),2)</f>
        <v>09</v>
      </c>
      <c r="D979" t="str">
        <f>LEFT(TDays[[#This Row],[تاریخ]],4)</f>
        <v>1403</v>
      </c>
      <c r="E979" t="str">
        <f>LEFT(TDays[[#This Row],[تاریخ]],7)</f>
        <v>1403-09</v>
      </c>
      <c r="F979">
        <v>6</v>
      </c>
      <c r="G979" s="16" t="str">
        <f>VLOOKUP(TDays[[#This Row],[کد روز هفته]],TDaysOfTheWeek[],2,FALSE)</f>
        <v>جمعه</v>
      </c>
      <c r="H979" s="16">
        <f>IFERROR(IF(E978&lt;&gt;E979,1,INT(H978)+IF(TDays[[#This Row],[کد روز هفته]]=0,1,0)),1)</f>
        <v>1</v>
      </c>
      <c r="I979">
        <f>-SUMIF(TArticle[تاریخ],TDays[[#This Row],[تاریخ]],TArticle[هزینه])</f>
        <v>0</v>
      </c>
      <c r="J979">
        <f>SUMIF(TArticle[تاریخ],TDays[[#This Row],[تاریخ]],TArticle[درآمد تتا])</f>
        <v>0</v>
      </c>
      <c r="K979">
        <f>SUMIF(TArticle[تاریخ],TDays[[#This Row],[تاریخ]],TArticle[اسنپ])</f>
        <v>0</v>
      </c>
      <c r="L979">
        <f>-SUMIF(TArticle[تاریخ],TDays[[#This Row],[تاریخ]],TArticle[پرداخت بدهی])</f>
        <v>0</v>
      </c>
      <c r="M979">
        <f>SUMIF(TArticle[تاریخ],TDays[[#This Row],[تاریخ]],TArticle[افزایش بدهی])</f>
        <v>0</v>
      </c>
      <c r="N979">
        <f>-SUMIF(TArticle[تاریخ],TDays[[#This Row],[تاریخ]],TArticle[افزایش سرمایه])</f>
        <v>0</v>
      </c>
      <c r="O979">
        <f>SUMIF(TArticle[تاریخ],TDays[[#This Row],[تاریخ]],TArticle[تعداد تراکنش انجام شده])</f>
        <v>0</v>
      </c>
      <c r="P979">
        <f>INT(((TDays[[#This Row],[ماه]]-1)*31+TDays[[#This Row],[روز]]+1)/7)+1</f>
        <v>36</v>
      </c>
      <c r="Q979">
        <f>SUMIF(TArticle[تاریخ],TDays[[#This Row],[تاریخ]],TArticle[تراکنش برنامه ریزی شده])</f>
        <v>0</v>
      </c>
    </row>
    <row r="980" spans="1:17" x14ac:dyDescent="0.25">
      <c r="A980" s="3" t="s">
        <v>1474</v>
      </c>
      <c r="B980" t="str">
        <f>RIGHT(TDays[[#This Row],[تاریخ]],2)</f>
        <v>03</v>
      </c>
      <c r="C980" t="str">
        <f>RIGHT(LEFT(TDays[[#This Row],[تاریخ]],7),2)</f>
        <v>09</v>
      </c>
      <c r="D980" t="str">
        <f>LEFT(TDays[[#This Row],[تاریخ]],4)</f>
        <v>1403</v>
      </c>
      <c r="E980" t="str">
        <f>LEFT(TDays[[#This Row],[تاریخ]],7)</f>
        <v>1403-09</v>
      </c>
      <c r="F980">
        <v>0</v>
      </c>
      <c r="G980" s="16" t="str">
        <f>VLOOKUP(TDays[[#This Row],[کد روز هفته]],TDaysOfTheWeek[],2,FALSE)</f>
        <v>شنبه</v>
      </c>
      <c r="H980" s="16">
        <f>IFERROR(IF(E979&lt;&gt;E980,1,INT(H979)+IF(TDays[[#This Row],[کد روز هفته]]=0,1,0)),1)</f>
        <v>2</v>
      </c>
      <c r="I980">
        <f>-SUMIF(TArticle[تاریخ],TDays[[#This Row],[تاریخ]],TArticle[هزینه])</f>
        <v>0</v>
      </c>
      <c r="J980">
        <f>SUMIF(TArticle[تاریخ],TDays[[#This Row],[تاریخ]],TArticle[درآمد تتا])</f>
        <v>0</v>
      </c>
      <c r="K980">
        <f>SUMIF(TArticle[تاریخ],TDays[[#This Row],[تاریخ]],TArticle[اسنپ])</f>
        <v>0</v>
      </c>
      <c r="L980">
        <f>-SUMIF(TArticle[تاریخ],TDays[[#This Row],[تاریخ]],TArticle[پرداخت بدهی])</f>
        <v>0</v>
      </c>
      <c r="M980">
        <f>SUMIF(TArticle[تاریخ],TDays[[#This Row],[تاریخ]],TArticle[افزایش بدهی])</f>
        <v>0</v>
      </c>
      <c r="N980">
        <f>-SUMIF(TArticle[تاریخ],TDays[[#This Row],[تاریخ]],TArticle[افزایش سرمایه])</f>
        <v>0</v>
      </c>
      <c r="O980">
        <f>SUMIF(TArticle[تاریخ],TDays[[#This Row],[تاریخ]],TArticle[تعداد تراکنش انجام شده])</f>
        <v>0</v>
      </c>
      <c r="P980">
        <f>INT(((TDays[[#This Row],[ماه]]-1)*31+TDays[[#This Row],[روز]]+1)/7)+1</f>
        <v>37</v>
      </c>
      <c r="Q980">
        <f>SUMIF(TArticle[تاریخ],TDays[[#This Row],[تاریخ]],TArticle[تراکنش برنامه ریزی شده])</f>
        <v>1</v>
      </c>
    </row>
    <row r="981" spans="1:17" x14ac:dyDescent="0.25">
      <c r="A981" s="3" t="s">
        <v>1475</v>
      </c>
      <c r="B981" t="str">
        <f>RIGHT(TDays[[#This Row],[تاریخ]],2)</f>
        <v>04</v>
      </c>
      <c r="C981" t="str">
        <f>RIGHT(LEFT(TDays[[#This Row],[تاریخ]],7),2)</f>
        <v>09</v>
      </c>
      <c r="D981" t="str">
        <f>LEFT(TDays[[#This Row],[تاریخ]],4)</f>
        <v>1403</v>
      </c>
      <c r="E981" t="str">
        <f>LEFT(TDays[[#This Row],[تاریخ]],7)</f>
        <v>1403-09</v>
      </c>
      <c r="F981">
        <v>1</v>
      </c>
      <c r="G981" s="16" t="str">
        <f>VLOOKUP(TDays[[#This Row],[کد روز هفته]],TDaysOfTheWeek[],2,FALSE)</f>
        <v>یکشنبه</v>
      </c>
      <c r="H981" s="16">
        <f>IFERROR(IF(E980&lt;&gt;E981,1,INT(H980)+IF(TDays[[#This Row],[کد روز هفته]]=0,1,0)),1)</f>
        <v>2</v>
      </c>
      <c r="I981">
        <f>-SUMIF(TArticle[تاریخ],TDays[[#This Row],[تاریخ]],TArticle[هزینه])</f>
        <v>0</v>
      </c>
      <c r="J981">
        <f>SUMIF(TArticle[تاریخ],TDays[[#This Row],[تاریخ]],TArticle[درآمد تتا])</f>
        <v>0</v>
      </c>
      <c r="K981">
        <f>SUMIF(TArticle[تاریخ],TDays[[#This Row],[تاریخ]],TArticle[اسنپ])</f>
        <v>0</v>
      </c>
      <c r="L981">
        <f>-SUMIF(TArticle[تاریخ],TDays[[#This Row],[تاریخ]],TArticle[پرداخت بدهی])</f>
        <v>0</v>
      </c>
      <c r="M981">
        <f>SUMIF(TArticle[تاریخ],TDays[[#This Row],[تاریخ]],TArticle[افزایش بدهی])</f>
        <v>0</v>
      </c>
      <c r="N981">
        <f>-SUMIF(TArticle[تاریخ],TDays[[#This Row],[تاریخ]],TArticle[افزایش سرمایه])</f>
        <v>0</v>
      </c>
      <c r="O981">
        <f>SUMIF(TArticle[تاریخ],TDays[[#This Row],[تاریخ]],TArticle[تعداد تراکنش انجام شده])</f>
        <v>0</v>
      </c>
      <c r="P981">
        <f>INT(((TDays[[#This Row],[ماه]]-1)*31+TDays[[#This Row],[روز]]+1)/7)+1</f>
        <v>37</v>
      </c>
      <c r="Q981">
        <f>SUMIF(TArticle[تاریخ],TDays[[#This Row],[تاریخ]],TArticle[تراکنش برنامه ریزی شده])</f>
        <v>1</v>
      </c>
    </row>
    <row r="982" spans="1:17" x14ac:dyDescent="0.25">
      <c r="A982" s="3" t="s">
        <v>1476</v>
      </c>
      <c r="B982" t="str">
        <f>RIGHT(TDays[[#This Row],[تاریخ]],2)</f>
        <v>05</v>
      </c>
      <c r="C982" t="str">
        <f>RIGHT(LEFT(TDays[[#This Row],[تاریخ]],7),2)</f>
        <v>09</v>
      </c>
      <c r="D982" t="str">
        <f>LEFT(TDays[[#This Row],[تاریخ]],4)</f>
        <v>1403</v>
      </c>
      <c r="E982" t="str">
        <f>LEFT(TDays[[#This Row],[تاریخ]],7)</f>
        <v>1403-09</v>
      </c>
      <c r="F982">
        <v>2</v>
      </c>
      <c r="G982" s="16" t="str">
        <f>VLOOKUP(TDays[[#This Row],[کد روز هفته]],TDaysOfTheWeek[],2,FALSE)</f>
        <v>دوشنبه</v>
      </c>
      <c r="H982" s="16">
        <f>IFERROR(IF(E981&lt;&gt;E982,1,INT(H981)+IF(TDays[[#This Row],[کد روز هفته]]=0,1,0)),1)</f>
        <v>2</v>
      </c>
      <c r="I982">
        <f>-SUMIF(TArticle[تاریخ],TDays[[#This Row],[تاریخ]],TArticle[هزینه])</f>
        <v>0</v>
      </c>
      <c r="J982">
        <f>SUMIF(TArticle[تاریخ],TDays[[#This Row],[تاریخ]],TArticle[درآمد تتا])</f>
        <v>0</v>
      </c>
      <c r="K982">
        <f>SUMIF(TArticle[تاریخ],TDays[[#This Row],[تاریخ]],TArticle[اسنپ])</f>
        <v>0</v>
      </c>
      <c r="L982">
        <f>-SUMIF(TArticle[تاریخ],TDays[[#This Row],[تاریخ]],TArticle[پرداخت بدهی])</f>
        <v>0</v>
      </c>
      <c r="M982">
        <f>SUMIF(TArticle[تاریخ],TDays[[#This Row],[تاریخ]],TArticle[افزایش بدهی])</f>
        <v>0</v>
      </c>
      <c r="N982">
        <f>-SUMIF(TArticle[تاریخ],TDays[[#This Row],[تاریخ]],TArticle[افزایش سرمایه])</f>
        <v>0</v>
      </c>
      <c r="O982">
        <f>SUMIF(TArticle[تاریخ],TDays[[#This Row],[تاریخ]],TArticle[تعداد تراکنش انجام شده])</f>
        <v>0</v>
      </c>
      <c r="P982">
        <f>INT(((TDays[[#This Row],[ماه]]-1)*31+TDays[[#This Row],[روز]]+1)/7)+1</f>
        <v>37</v>
      </c>
      <c r="Q982">
        <f>SUMIF(TArticle[تاریخ],TDays[[#This Row],[تاریخ]],TArticle[تراکنش برنامه ریزی شده])</f>
        <v>0</v>
      </c>
    </row>
    <row r="983" spans="1:17" x14ac:dyDescent="0.25">
      <c r="A983" s="3" t="s">
        <v>1477</v>
      </c>
      <c r="B983" t="str">
        <f>RIGHT(TDays[[#This Row],[تاریخ]],2)</f>
        <v>06</v>
      </c>
      <c r="C983" t="str">
        <f>RIGHT(LEFT(TDays[[#This Row],[تاریخ]],7),2)</f>
        <v>09</v>
      </c>
      <c r="D983" t="str">
        <f>LEFT(TDays[[#This Row],[تاریخ]],4)</f>
        <v>1403</v>
      </c>
      <c r="E983" t="str">
        <f>LEFT(TDays[[#This Row],[تاریخ]],7)</f>
        <v>1403-09</v>
      </c>
      <c r="F983">
        <v>3</v>
      </c>
      <c r="G983" s="16" t="str">
        <f>VLOOKUP(TDays[[#This Row],[کد روز هفته]],TDaysOfTheWeek[],2,FALSE)</f>
        <v>سه شنبه</v>
      </c>
      <c r="H983" s="16">
        <f>IFERROR(IF(E982&lt;&gt;E983,1,INT(H982)+IF(TDays[[#This Row],[کد روز هفته]]=0,1,0)),1)</f>
        <v>2</v>
      </c>
      <c r="I983">
        <f>-SUMIF(TArticle[تاریخ],TDays[[#This Row],[تاریخ]],TArticle[هزینه])</f>
        <v>0</v>
      </c>
      <c r="J983">
        <f>SUMIF(TArticle[تاریخ],TDays[[#This Row],[تاریخ]],TArticle[درآمد تتا])</f>
        <v>0</v>
      </c>
      <c r="K983">
        <f>SUMIF(TArticle[تاریخ],TDays[[#This Row],[تاریخ]],TArticle[اسنپ])</f>
        <v>0</v>
      </c>
      <c r="L983">
        <f>-SUMIF(TArticle[تاریخ],TDays[[#This Row],[تاریخ]],TArticle[پرداخت بدهی])</f>
        <v>0</v>
      </c>
      <c r="M983">
        <f>SUMIF(TArticle[تاریخ],TDays[[#This Row],[تاریخ]],TArticle[افزایش بدهی])</f>
        <v>0</v>
      </c>
      <c r="N983">
        <f>-SUMIF(TArticle[تاریخ],TDays[[#This Row],[تاریخ]],TArticle[افزایش سرمایه])</f>
        <v>0</v>
      </c>
      <c r="O983">
        <f>SUMIF(TArticle[تاریخ],TDays[[#This Row],[تاریخ]],TArticle[تعداد تراکنش انجام شده])</f>
        <v>0</v>
      </c>
      <c r="P983">
        <f>INT(((TDays[[#This Row],[ماه]]-1)*31+TDays[[#This Row],[روز]]+1)/7)+1</f>
        <v>37</v>
      </c>
      <c r="Q983">
        <f>SUMIF(TArticle[تاریخ],TDays[[#This Row],[تاریخ]],TArticle[تراکنش برنامه ریزی شده])</f>
        <v>0</v>
      </c>
    </row>
    <row r="984" spans="1:17" x14ac:dyDescent="0.25">
      <c r="A984" s="3" t="s">
        <v>1478</v>
      </c>
      <c r="B984" t="str">
        <f>RIGHT(TDays[[#This Row],[تاریخ]],2)</f>
        <v>07</v>
      </c>
      <c r="C984" t="str">
        <f>RIGHT(LEFT(TDays[[#This Row],[تاریخ]],7),2)</f>
        <v>09</v>
      </c>
      <c r="D984" t="str">
        <f>LEFT(TDays[[#This Row],[تاریخ]],4)</f>
        <v>1403</v>
      </c>
      <c r="E984" t="str">
        <f>LEFT(TDays[[#This Row],[تاریخ]],7)</f>
        <v>1403-09</v>
      </c>
      <c r="F984">
        <v>4</v>
      </c>
      <c r="G984" s="16" t="str">
        <f>VLOOKUP(TDays[[#This Row],[کد روز هفته]],TDaysOfTheWeek[],2,FALSE)</f>
        <v>چهارشنبه</v>
      </c>
      <c r="H984" s="16">
        <f>IFERROR(IF(E983&lt;&gt;E984,1,INT(H983)+IF(TDays[[#This Row],[کد روز هفته]]=0,1,0)),1)</f>
        <v>2</v>
      </c>
      <c r="I984">
        <f>-SUMIF(TArticle[تاریخ],TDays[[#This Row],[تاریخ]],TArticle[هزینه])</f>
        <v>0</v>
      </c>
      <c r="J984">
        <f>SUMIF(TArticle[تاریخ],TDays[[#This Row],[تاریخ]],TArticle[درآمد تتا])</f>
        <v>0</v>
      </c>
      <c r="K984">
        <f>SUMIF(TArticle[تاریخ],TDays[[#This Row],[تاریخ]],TArticle[اسنپ])</f>
        <v>0</v>
      </c>
      <c r="L984">
        <f>-SUMIF(TArticle[تاریخ],TDays[[#This Row],[تاریخ]],TArticle[پرداخت بدهی])</f>
        <v>0</v>
      </c>
      <c r="M984">
        <f>SUMIF(TArticle[تاریخ],TDays[[#This Row],[تاریخ]],TArticle[افزایش بدهی])</f>
        <v>0</v>
      </c>
      <c r="N984">
        <f>-SUMIF(TArticle[تاریخ],TDays[[#This Row],[تاریخ]],TArticle[افزایش سرمایه])</f>
        <v>0</v>
      </c>
      <c r="O984">
        <f>SUMIF(TArticle[تاریخ],TDays[[#This Row],[تاریخ]],TArticle[تعداد تراکنش انجام شده])</f>
        <v>0</v>
      </c>
      <c r="P984">
        <f>INT(((TDays[[#This Row],[ماه]]-1)*31+TDays[[#This Row],[روز]]+1)/7)+1</f>
        <v>37</v>
      </c>
      <c r="Q984">
        <f>SUMIF(TArticle[تاریخ],TDays[[#This Row],[تاریخ]],TArticle[تراکنش برنامه ریزی شده])</f>
        <v>0</v>
      </c>
    </row>
    <row r="985" spans="1:17" x14ac:dyDescent="0.25">
      <c r="A985" s="3" t="s">
        <v>1479</v>
      </c>
      <c r="B985" t="str">
        <f>RIGHT(TDays[[#This Row],[تاریخ]],2)</f>
        <v>08</v>
      </c>
      <c r="C985" t="str">
        <f>RIGHT(LEFT(TDays[[#This Row],[تاریخ]],7),2)</f>
        <v>09</v>
      </c>
      <c r="D985" t="str">
        <f>LEFT(TDays[[#This Row],[تاریخ]],4)</f>
        <v>1403</v>
      </c>
      <c r="E985" t="str">
        <f>LEFT(TDays[[#This Row],[تاریخ]],7)</f>
        <v>1403-09</v>
      </c>
      <c r="F985">
        <v>5</v>
      </c>
      <c r="G985" s="16" t="str">
        <f>VLOOKUP(TDays[[#This Row],[کد روز هفته]],TDaysOfTheWeek[],2,FALSE)</f>
        <v>پنجشنبه</v>
      </c>
      <c r="H985" s="16">
        <f>IFERROR(IF(E984&lt;&gt;E985,1,INT(H984)+IF(TDays[[#This Row],[کد روز هفته]]=0,1,0)),1)</f>
        <v>2</v>
      </c>
      <c r="I985">
        <f>-SUMIF(TArticle[تاریخ],TDays[[#This Row],[تاریخ]],TArticle[هزینه])</f>
        <v>0</v>
      </c>
      <c r="J985">
        <f>SUMIF(TArticle[تاریخ],TDays[[#This Row],[تاریخ]],TArticle[درآمد تتا])</f>
        <v>0</v>
      </c>
      <c r="K985">
        <f>SUMIF(TArticle[تاریخ],TDays[[#This Row],[تاریخ]],TArticle[اسنپ])</f>
        <v>0</v>
      </c>
      <c r="L985">
        <f>-SUMIF(TArticle[تاریخ],TDays[[#This Row],[تاریخ]],TArticle[پرداخت بدهی])</f>
        <v>0</v>
      </c>
      <c r="M985">
        <f>SUMIF(TArticle[تاریخ],TDays[[#This Row],[تاریخ]],TArticle[افزایش بدهی])</f>
        <v>0</v>
      </c>
      <c r="N985">
        <f>-SUMIF(TArticle[تاریخ],TDays[[#This Row],[تاریخ]],TArticle[افزایش سرمایه])</f>
        <v>0</v>
      </c>
      <c r="O985">
        <f>SUMIF(TArticle[تاریخ],TDays[[#This Row],[تاریخ]],TArticle[تعداد تراکنش انجام شده])</f>
        <v>0</v>
      </c>
      <c r="P985">
        <f>INT(((TDays[[#This Row],[ماه]]-1)*31+TDays[[#This Row],[روز]]+1)/7)+1</f>
        <v>37</v>
      </c>
      <c r="Q985">
        <f>SUMIF(TArticle[تاریخ],TDays[[#This Row],[تاریخ]],TArticle[تراکنش برنامه ریزی شده])</f>
        <v>0</v>
      </c>
    </row>
    <row r="986" spans="1:17" x14ac:dyDescent="0.25">
      <c r="A986" s="3" t="s">
        <v>1480</v>
      </c>
      <c r="B986" t="str">
        <f>RIGHT(TDays[[#This Row],[تاریخ]],2)</f>
        <v>09</v>
      </c>
      <c r="C986" t="str">
        <f>RIGHT(LEFT(TDays[[#This Row],[تاریخ]],7),2)</f>
        <v>09</v>
      </c>
      <c r="D986" t="str">
        <f>LEFT(TDays[[#This Row],[تاریخ]],4)</f>
        <v>1403</v>
      </c>
      <c r="E986" t="str">
        <f>LEFT(TDays[[#This Row],[تاریخ]],7)</f>
        <v>1403-09</v>
      </c>
      <c r="F986">
        <v>6</v>
      </c>
      <c r="G986" s="16" t="str">
        <f>VLOOKUP(TDays[[#This Row],[کد روز هفته]],TDaysOfTheWeek[],2,FALSE)</f>
        <v>جمعه</v>
      </c>
      <c r="H986" s="16">
        <f>IFERROR(IF(E985&lt;&gt;E986,1,INT(H985)+IF(TDays[[#This Row],[کد روز هفته]]=0,1,0)),1)</f>
        <v>2</v>
      </c>
      <c r="I986">
        <f>-SUMIF(TArticle[تاریخ],TDays[[#This Row],[تاریخ]],TArticle[هزینه])</f>
        <v>0</v>
      </c>
      <c r="J986">
        <f>SUMIF(TArticle[تاریخ],TDays[[#This Row],[تاریخ]],TArticle[درآمد تتا])</f>
        <v>0</v>
      </c>
      <c r="K986">
        <f>SUMIF(TArticle[تاریخ],TDays[[#This Row],[تاریخ]],TArticle[اسنپ])</f>
        <v>0</v>
      </c>
      <c r="L986">
        <f>-SUMIF(TArticle[تاریخ],TDays[[#This Row],[تاریخ]],TArticle[پرداخت بدهی])</f>
        <v>0</v>
      </c>
      <c r="M986">
        <f>SUMIF(TArticle[تاریخ],TDays[[#This Row],[تاریخ]],TArticle[افزایش بدهی])</f>
        <v>0</v>
      </c>
      <c r="N986">
        <f>-SUMIF(TArticle[تاریخ],TDays[[#This Row],[تاریخ]],TArticle[افزایش سرمایه])</f>
        <v>0</v>
      </c>
      <c r="O986">
        <f>SUMIF(TArticle[تاریخ],TDays[[#This Row],[تاریخ]],TArticle[تعداد تراکنش انجام شده])</f>
        <v>0</v>
      </c>
      <c r="P986">
        <f>INT(((TDays[[#This Row],[ماه]]-1)*31+TDays[[#This Row],[روز]]+1)/7)+1</f>
        <v>37</v>
      </c>
      <c r="Q986">
        <f>SUMIF(TArticle[تاریخ],TDays[[#This Row],[تاریخ]],TArticle[تراکنش برنامه ریزی شده])</f>
        <v>1</v>
      </c>
    </row>
    <row r="987" spans="1:17" x14ac:dyDescent="0.25">
      <c r="A987" s="3" t="s">
        <v>1481</v>
      </c>
      <c r="B987" t="str">
        <f>RIGHT(TDays[[#This Row],[تاریخ]],2)</f>
        <v>10</v>
      </c>
      <c r="C987" t="str">
        <f>RIGHT(LEFT(TDays[[#This Row],[تاریخ]],7),2)</f>
        <v>09</v>
      </c>
      <c r="D987" t="str">
        <f>LEFT(TDays[[#This Row],[تاریخ]],4)</f>
        <v>1403</v>
      </c>
      <c r="E987" t="str">
        <f>LEFT(TDays[[#This Row],[تاریخ]],7)</f>
        <v>1403-09</v>
      </c>
      <c r="F987">
        <v>0</v>
      </c>
      <c r="G987" s="16" t="str">
        <f>VLOOKUP(TDays[[#This Row],[کد روز هفته]],TDaysOfTheWeek[],2,FALSE)</f>
        <v>شنبه</v>
      </c>
      <c r="H987" s="16">
        <f>IFERROR(IF(E986&lt;&gt;E987,1,INT(H986)+IF(TDays[[#This Row],[کد روز هفته]]=0,1,0)),1)</f>
        <v>3</v>
      </c>
      <c r="I987">
        <f>-SUMIF(TArticle[تاریخ],TDays[[#This Row],[تاریخ]],TArticle[هزینه])</f>
        <v>0</v>
      </c>
      <c r="J987">
        <f>SUMIF(TArticle[تاریخ],TDays[[#This Row],[تاریخ]],TArticle[درآمد تتا])</f>
        <v>0</v>
      </c>
      <c r="K987">
        <f>SUMIF(TArticle[تاریخ],TDays[[#This Row],[تاریخ]],TArticle[اسنپ])</f>
        <v>0</v>
      </c>
      <c r="L987">
        <f>-SUMIF(TArticle[تاریخ],TDays[[#This Row],[تاریخ]],TArticle[پرداخت بدهی])</f>
        <v>0</v>
      </c>
      <c r="M987">
        <f>SUMIF(TArticle[تاریخ],TDays[[#This Row],[تاریخ]],TArticle[افزایش بدهی])</f>
        <v>0</v>
      </c>
      <c r="N987">
        <f>-SUMIF(TArticle[تاریخ],TDays[[#This Row],[تاریخ]],TArticle[افزایش سرمایه])</f>
        <v>0</v>
      </c>
      <c r="O987">
        <f>SUMIF(TArticle[تاریخ],TDays[[#This Row],[تاریخ]],TArticle[تعداد تراکنش انجام شده])</f>
        <v>0</v>
      </c>
      <c r="P987">
        <f>INT(((TDays[[#This Row],[ماه]]-1)*31+TDays[[#This Row],[روز]]+1)/7)+1</f>
        <v>38</v>
      </c>
      <c r="Q987">
        <f>SUMIF(TArticle[تاریخ],TDays[[#This Row],[تاریخ]],TArticle[تراکنش برنامه ریزی شده])</f>
        <v>0</v>
      </c>
    </row>
    <row r="988" spans="1:17" x14ac:dyDescent="0.25">
      <c r="A988" s="3" t="s">
        <v>1482</v>
      </c>
      <c r="B988" t="str">
        <f>RIGHT(TDays[[#This Row],[تاریخ]],2)</f>
        <v>11</v>
      </c>
      <c r="C988" t="str">
        <f>RIGHT(LEFT(TDays[[#This Row],[تاریخ]],7),2)</f>
        <v>09</v>
      </c>
      <c r="D988" t="str">
        <f>LEFT(TDays[[#This Row],[تاریخ]],4)</f>
        <v>1403</v>
      </c>
      <c r="E988" t="str">
        <f>LEFT(TDays[[#This Row],[تاریخ]],7)</f>
        <v>1403-09</v>
      </c>
      <c r="F988">
        <v>1</v>
      </c>
      <c r="G988" s="16" t="str">
        <f>VLOOKUP(TDays[[#This Row],[کد روز هفته]],TDaysOfTheWeek[],2,FALSE)</f>
        <v>یکشنبه</v>
      </c>
      <c r="H988" s="16">
        <f>IFERROR(IF(E987&lt;&gt;E988,1,INT(H987)+IF(TDays[[#This Row],[کد روز هفته]]=0,1,0)),1)</f>
        <v>3</v>
      </c>
      <c r="I988">
        <f>-SUMIF(TArticle[تاریخ],TDays[[#This Row],[تاریخ]],TArticle[هزینه])</f>
        <v>0</v>
      </c>
      <c r="J988">
        <f>SUMIF(TArticle[تاریخ],TDays[[#This Row],[تاریخ]],TArticle[درآمد تتا])</f>
        <v>0</v>
      </c>
      <c r="K988">
        <f>SUMIF(TArticle[تاریخ],TDays[[#This Row],[تاریخ]],TArticle[اسنپ])</f>
        <v>0</v>
      </c>
      <c r="L988">
        <f>-SUMIF(TArticle[تاریخ],TDays[[#This Row],[تاریخ]],TArticle[پرداخت بدهی])</f>
        <v>0</v>
      </c>
      <c r="M988">
        <f>SUMIF(TArticle[تاریخ],TDays[[#This Row],[تاریخ]],TArticle[افزایش بدهی])</f>
        <v>0</v>
      </c>
      <c r="N988">
        <f>-SUMIF(TArticle[تاریخ],TDays[[#This Row],[تاریخ]],TArticle[افزایش سرمایه])</f>
        <v>0</v>
      </c>
      <c r="O988">
        <f>SUMIF(TArticle[تاریخ],TDays[[#This Row],[تاریخ]],TArticle[تعداد تراکنش انجام شده])</f>
        <v>0</v>
      </c>
      <c r="P988">
        <f>INT(((TDays[[#This Row],[ماه]]-1)*31+TDays[[#This Row],[روز]]+1)/7)+1</f>
        <v>38</v>
      </c>
      <c r="Q988">
        <f>SUMIF(TArticle[تاریخ],TDays[[#This Row],[تاریخ]],TArticle[تراکنش برنامه ریزی شده])</f>
        <v>0</v>
      </c>
    </row>
    <row r="989" spans="1:17" x14ac:dyDescent="0.25">
      <c r="A989" s="3" t="s">
        <v>1483</v>
      </c>
      <c r="B989" t="str">
        <f>RIGHT(TDays[[#This Row],[تاریخ]],2)</f>
        <v>12</v>
      </c>
      <c r="C989" t="str">
        <f>RIGHT(LEFT(TDays[[#This Row],[تاریخ]],7),2)</f>
        <v>09</v>
      </c>
      <c r="D989" t="str">
        <f>LEFT(TDays[[#This Row],[تاریخ]],4)</f>
        <v>1403</v>
      </c>
      <c r="E989" t="str">
        <f>LEFT(TDays[[#This Row],[تاریخ]],7)</f>
        <v>1403-09</v>
      </c>
      <c r="F989">
        <v>2</v>
      </c>
      <c r="G989" s="16" t="str">
        <f>VLOOKUP(TDays[[#This Row],[کد روز هفته]],TDaysOfTheWeek[],2,FALSE)</f>
        <v>دوشنبه</v>
      </c>
      <c r="H989" s="16">
        <f>IFERROR(IF(E988&lt;&gt;E989,1,INT(H988)+IF(TDays[[#This Row],[کد روز هفته]]=0,1,0)),1)</f>
        <v>3</v>
      </c>
      <c r="I989">
        <f>-SUMIF(TArticle[تاریخ],TDays[[#This Row],[تاریخ]],TArticle[هزینه])</f>
        <v>0</v>
      </c>
      <c r="J989">
        <f>SUMIF(TArticle[تاریخ],TDays[[#This Row],[تاریخ]],TArticle[درآمد تتا])</f>
        <v>0</v>
      </c>
      <c r="K989">
        <f>SUMIF(TArticle[تاریخ],TDays[[#This Row],[تاریخ]],TArticle[اسنپ])</f>
        <v>0</v>
      </c>
      <c r="L989">
        <f>-SUMIF(TArticle[تاریخ],TDays[[#This Row],[تاریخ]],TArticle[پرداخت بدهی])</f>
        <v>0</v>
      </c>
      <c r="M989">
        <f>SUMIF(TArticle[تاریخ],TDays[[#This Row],[تاریخ]],TArticle[افزایش بدهی])</f>
        <v>0</v>
      </c>
      <c r="N989">
        <f>-SUMIF(TArticle[تاریخ],TDays[[#This Row],[تاریخ]],TArticle[افزایش سرمایه])</f>
        <v>0</v>
      </c>
      <c r="O989">
        <f>SUMIF(TArticle[تاریخ],TDays[[#This Row],[تاریخ]],TArticle[تعداد تراکنش انجام شده])</f>
        <v>0</v>
      </c>
      <c r="P989">
        <f>INT(((TDays[[#This Row],[ماه]]-1)*31+TDays[[#This Row],[روز]]+1)/7)+1</f>
        <v>38</v>
      </c>
      <c r="Q989">
        <f>SUMIF(TArticle[تاریخ],TDays[[#This Row],[تاریخ]],TArticle[تراکنش برنامه ریزی شده])</f>
        <v>0</v>
      </c>
    </row>
    <row r="990" spans="1:17" x14ac:dyDescent="0.25">
      <c r="A990" s="3" t="s">
        <v>1484</v>
      </c>
      <c r="B990" t="str">
        <f>RIGHT(TDays[[#This Row],[تاریخ]],2)</f>
        <v>13</v>
      </c>
      <c r="C990" t="str">
        <f>RIGHT(LEFT(TDays[[#This Row],[تاریخ]],7),2)</f>
        <v>09</v>
      </c>
      <c r="D990" t="str">
        <f>LEFT(TDays[[#This Row],[تاریخ]],4)</f>
        <v>1403</v>
      </c>
      <c r="E990" t="str">
        <f>LEFT(TDays[[#This Row],[تاریخ]],7)</f>
        <v>1403-09</v>
      </c>
      <c r="F990">
        <v>3</v>
      </c>
      <c r="G990" s="16" t="str">
        <f>VLOOKUP(TDays[[#This Row],[کد روز هفته]],TDaysOfTheWeek[],2,FALSE)</f>
        <v>سه شنبه</v>
      </c>
      <c r="H990" s="16">
        <f>IFERROR(IF(E989&lt;&gt;E990,1,INT(H989)+IF(TDays[[#This Row],[کد روز هفته]]=0,1,0)),1)</f>
        <v>3</v>
      </c>
      <c r="I990">
        <f>-SUMIF(TArticle[تاریخ],TDays[[#This Row],[تاریخ]],TArticle[هزینه])</f>
        <v>0</v>
      </c>
      <c r="J990">
        <f>SUMIF(TArticle[تاریخ],TDays[[#This Row],[تاریخ]],TArticle[درآمد تتا])</f>
        <v>0</v>
      </c>
      <c r="K990">
        <f>SUMIF(TArticle[تاریخ],TDays[[#This Row],[تاریخ]],TArticle[اسنپ])</f>
        <v>0</v>
      </c>
      <c r="L990">
        <f>-SUMIF(TArticle[تاریخ],TDays[[#This Row],[تاریخ]],TArticle[پرداخت بدهی])</f>
        <v>0</v>
      </c>
      <c r="M990">
        <f>SUMIF(TArticle[تاریخ],TDays[[#This Row],[تاریخ]],TArticle[افزایش بدهی])</f>
        <v>0</v>
      </c>
      <c r="N990">
        <f>-SUMIF(TArticle[تاریخ],TDays[[#This Row],[تاریخ]],TArticle[افزایش سرمایه])</f>
        <v>0</v>
      </c>
      <c r="O990">
        <f>SUMIF(TArticle[تاریخ],TDays[[#This Row],[تاریخ]],TArticle[تعداد تراکنش انجام شده])</f>
        <v>0</v>
      </c>
      <c r="P990">
        <f>INT(((TDays[[#This Row],[ماه]]-1)*31+TDays[[#This Row],[روز]]+1)/7)+1</f>
        <v>38</v>
      </c>
      <c r="Q990">
        <f>SUMIF(TArticle[تاریخ],TDays[[#This Row],[تاریخ]],TArticle[تراکنش برنامه ریزی شده])</f>
        <v>0</v>
      </c>
    </row>
    <row r="991" spans="1:17" x14ac:dyDescent="0.25">
      <c r="A991" s="3" t="s">
        <v>1485</v>
      </c>
      <c r="B991" t="str">
        <f>RIGHT(TDays[[#This Row],[تاریخ]],2)</f>
        <v>14</v>
      </c>
      <c r="C991" t="str">
        <f>RIGHT(LEFT(TDays[[#This Row],[تاریخ]],7),2)</f>
        <v>09</v>
      </c>
      <c r="D991" t="str">
        <f>LEFT(TDays[[#This Row],[تاریخ]],4)</f>
        <v>1403</v>
      </c>
      <c r="E991" t="str">
        <f>LEFT(TDays[[#This Row],[تاریخ]],7)</f>
        <v>1403-09</v>
      </c>
      <c r="F991">
        <v>4</v>
      </c>
      <c r="G991" s="16" t="str">
        <f>VLOOKUP(TDays[[#This Row],[کد روز هفته]],TDaysOfTheWeek[],2,FALSE)</f>
        <v>چهارشنبه</v>
      </c>
      <c r="H991" s="16">
        <f>IFERROR(IF(E990&lt;&gt;E991,1,INT(H990)+IF(TDays[[#This Row],[کد روز هفته]]=0,1,0)),1)</f>
        <v>3</v>
      </c>
      <c r="I991">
        <f>-SUMIF(TArticle[تاریخ],TDays[[#This Row],[تاریخ]],TArticle[هزینه])</f>
        <v>0</v>
      </c>
      <c r="J991">
        <f>SUMIF(TArticle[تاریخ],TDays[[#This Row],[تاریخ]],TArticle[درآمد تتا])</f>
        <v>0</v>
      </c>
      <c r="K991">
        <f>SUMIF(TArticle[تاریخ],TDays[[#This Row],[تاریخ]],TArticle[اسنپ])</f>
        <v>0</v>
      </c>
      <c r="L991">
        <f>-SUMIF(TArticle[تاریخ],TDays[[#This Row],[تاریخ]],TArticle[پرداخت بدهی])</f>
        <v>0</v>
      </c>
      <c r="M991">
        <f>SUMIF(TArticle[تاریخ],TDays[[#This Row],[تاریخ]],TArticle[افزایش بدهی])</f>
        <v>0</v>
      </c>
      <c r="N991">
        <f>-SUMIF(TArticle[تاریخ],TDays[[#This Row],[تاریخ]],TArticle[افزایش سرمایه])</f>
        <v>0</v>
      </c>
      <c r="O991">
        <f>SUMIF(TArticle[تاریخ],TDays[[#This Row],[تاریخ]],TArticle[تعداد تراکنش انجام شده])</f>
        <v>0</v>
      </c>
      <c r="P991">
        <f>INT(((TDays[[#This Row],[ماه]]-1)*31+TDays[[#This Row],[روز]]+1)/7)+1</f>
        <v>38</v>
      </c>
      <c r="Q991">
        <f>SUMIF(TArticle[تاریخ],TDays[[#This Row],[تاریخ]],TArticle[تراکنش برنامه ریزی شده])</f>
        <v>0</v>
      </c>
    </row>
    <row r="992" spans="1:17" x14ac:dyDescent="0.25">
      <c r="A992" s="3" t="s">
        <v>1486</v>
      </c>
      <c r="B992" t="str">
        <f>RIGHT(TDays[[#This Row],[تاریخ]],2)</f>
        <v>15</v>
      </c>
      <c r="C992" t="str">
        <f>RIGHT(LEFT(TDays[[#This Row],[تاریخ]],7),2)</f>
        <v>09</v>
      </c>
      <c r="D992" t="str">
        <f>LEFT(TDays[[#This Row],[تاریخ]],4)</f>
        <v>1403</v>
      </c>
      <c r="E992" t="str">
        <f>LEFT(TDays[[#This Row],[تاریخ]],7)</f>
        <v>1403-09</v>
      </c>
      <c r="F992">
        <v>5</v>
      </c>
      <c r="G992" s="16" t="str">
        <f>VLOOKUP(TDays[[#This Row],[کد روز هفته]],TDaysOfTheWeek[],2,FALSE)</f>
        <v>پنجشنبه</v>
      </c>
      <c r="H992" s="16">
        <f>IFERROR(IF(E991&lt;&gt;E992,1,INT(H991)+IF(TDays[[#This Row],[کد روز هفته]]=0,1,0)),1)</f>
        <v>3</v>
      </c>
      <c r="I992">
        <f>-SUMIF(TArticle[تاریخ],TDays[[#This Row],[تاریخ]],TArticle[هزینه])</f>
        <v>0</v>
      </c>
      <c r="J992">
        <f>SUMIF(TArticle[تاریخ],TDays[[#This Row],[تاریخ]],TArticle[درآمد تتا])</f>
        <v>0</v>
      </c>
      <c r="K992">
        <f>SUMIF(TArticle[تاریخ],TDays[[#This Row],[تاریخ]],TArticle[اسنپ])</f>
        <v>0</v>
      </c>
      <c r="L992">
        <f>-SUMIF(TArticle[تاریخ],TDays[[#This Row],[تاریخ]],TArticle[پرداخت بدهی])</f>
        <v>0</v>
      </c>
      <c r="M992">
        <f>SUMIF(TArticle[تاریخ],TDays[[#This Row],[تاریخ]],TArticle[افزایش بدهی])</f>
        <v>0</v>
      </c>
      <c r="N992">
        <f>-SUMIF(TArticle[تاریخ],TDays[[#This Row],[تاریخ]],TArticle[افزایش سرمایه])</f>
        <v>0</v>
      </c>
      <c r="O992">
        <f>SUMIF(TArticle[تاریخ],TDays[[#This Row],[تاریخ]],TArticle[تعداد تراکنش انجام شده])</f>
        <v>0</v>
      </c>
      <c r="P992">
        <f>INT(((TDays[[#This Row],[ماه]]-1)*31+TDays[[#This Row],[روز]]+1)/7)+1</f>
        <v>38</v>
      </c>
      <c r="Q992">
        <f>SUMIF(TArticle[تاریخ],TDays[[#This Row],[تاریخ]],TArticle[تراکنش برنامه ریزی شده])</f>
        <v>0</v>
      </c>
    </row>
    <row r="993" spans="1:17" x14ac:dyDescent="0.25">
      <c r="A993" s="3" t="s">
        <v>1487</v>
      </c>
      <c r="B993" t="str">
        <f>RIGHT(TDays[[#This Row],[تاریخ]],2)</f>
        <v>16</v>
      </c>
      <c r="C993" t="str">
        <f>RIGHT(LEFT(TDays[[#This Row],[تاریخ]],7),2)</f>
        <v>09</v>
      </c>
      <c r="D993" t="str">
        <f>LEFT(TDays[[#This Row],[تاریخ]],4)</f>
        <v>1403</v>
      </c>
      <c r="E993" t="str">
        <f>LEFT(TDays[[#This Row],[تاریخ]],7)</f>
        <v>1403-09</v>
      </c>
      <c r="F993">
        <v>6</v>
      </c>
      <c r="G993" s="16" t="str">
        <f>VLOOKUP(TDays[[#This Row],[کد روز هفته]],TDaysOfTheWeek[],2,FALSE)</f>
        <v>جمعه</v>
      </c>
      <c r="H993" s="16">
        <f>IFERROR(IF(E992&lt;&gt;E993,1,INT(H992)+IF(TDays[[#This Row],[کد روز هفته]]=0,1,0)),1)</f>
        <v>3</v>
      </c>
      <c r="I993">
        <f>-SUMIF(TArticle[تاریخ],TDays[[#This Row],[تاریخ]],TArticle[هزینه])</f>
        <v>0</v>
      </c>
      <c r="J993">
        <f>SUMIF(TArticle[تاریخ],TDays[[#This Row],[تاریخ]],TArticle[درآمد تتا])</f>
        <v>0</v>
      </c>
      <c r="K993">
        <f>SUMIF(TArticle[تاریخ],TDays[[#This Row],[تاریخ]],TArticle[اسنپ])</f>
        <v>0</v>
      </c>
      <c r="L993">
        <f>-SUMIF(TArticle[تاریخ],TDays[[#This Row],[تاریخ]],TArticle[پرداخت بدهی])</f>
        <v>0</v>
      </c>
      <c r="M993">
        <f>SUMIF(TArticle[تاریخ],TDays[[#This Row],[تاریخ]],TArticle[افزایش بدهی])</f>
        <v>0</v>
      </c>
      <c r="N993">
        <f>-SUMIF(TArticle[تاریخ],TDays[[#This Row],[تاریخ]],TArticle[افزایش سرمایه])</f>
        <v>0</v>
      </c>
      <c r="O993">
        <f>SUMIF(TArticle[تاریخ],TDays[[#This Row],[تاریخ]],TArticle[تعداد تراکنش انجام شده])</f>
        <v>0</v>
      </c>
      <c r="P993">
        <f>INT(((TDays[[#This Row],[ماه]]-1)*31+TDays[[#This Row],[روز]]+1)/7)+1</f>
        <v>38</v>
      </c>
      <c r="Q993">
        <f>SUMIF(TArticle[تاریخ],TDays[[#This Row],[تاریخ]],TArticle[تراکنش برنامه ریزی شده])</f>
        <v>0</v>
      </c>
    </row>
    <row r="994" spans="1:17" x14ac:dyDescent="0.25">
      <c r="A994" s="3" t="s">
        <v>1488</v>
      </c>
      <c r="B994" t="str">
        <f>RIGHT(TDays[[#This Row],[تاریخ]],2)</f>
        <v>17</v>
      </c>
      <c r="C994" t="str">
        <f>RIGHT(LEFT(TDays[[#This Row],[تاریخ]],7),2)</f>
        <v>09</v>
      </c>
      <c r="D994" t="str">
        <f>LEFT(TDays[[#This Row],[تاریخ]],4)</f>
        <v>1403</v>
      </c>
      <c r="E994" t="str">
        <f>LEFT(TDays[[#This Row],[تاریخ]],7)</f>
        <v>1403-09</v>
      </c>
      <c r="F994">
        <v>0</v>
      </c>
      <c r="G994" s="16" t="str">
        <f>VLOOKUP(TDays[[#This Row],[کد روز هفته]],TDaysOfTheWeek[],2,FALSE)</f>
        <v>شنبه</v>
      </c>
      <c r="H994" s="16">
        <f>IFERROR(IF(E993&lt;&gt;E994,1,INT(H993)+IF(TDays[[#This Row],[کد روز هفته]]=0,1,0)),1)</f>
        <v>4</v>
      </c>
      <c r="I994">
        <f>-SUMIF(TArticle[تاریخ],TDays[[#This Row],[تاریخ]],TArticle[هزینه])</f>
        <v>0</v>
      </c>
      <c r="J994">
        <f>SUMIF(TArticle[تاریخ],TDays[[#This Row],[تاریخ]],TArticle[درآمد تتا])</f>
        <v>0</v>
      </c>
      <c r="K994">
        <f>SUMIF(TArticle[تاریخ],TDays[[#This Row],[تاریخ]],TArticle[اسنپ])</f>
        <v>0</v>
      </c>
      <c r="L994">
        <f>-SUMIF(TArticle[تاریخ],TDays[[#This Row],[تاریخ]],TArticle[پرداخت بدهی])</f>
        <v>0</v>
      </c>
      <c r="M994">
        <f>SUMIF(TArticle[تاریخ],TDays[[#This Row],[تاریخ]],TArticle[افزایش بدهی])</f>
        <v>0</v>
      </c>
      <c r="N994">
        <f>-SUMIF(TArticle[تاریخ],TDays[[#This Row],[تاریخ]],TArticle[افزایش سرمایه])</f>
        <v>0</v>
      </c>
      <c r="O994">
        <f>SUMIF(TArticle[تاریخ],TDays[[#This Row],[تاریخ]],TArticle[تعداد تراکنش انجام شده])</f>
        <v>0</v>
      </c>
      <c r="P994">
        <f>INT(((TDays[[#This Row],[ماه]]-1)*31+TDays[[#This Row],[روز]]+1)/7)+1</f>
        <v>39</v>
      </c>
      <c r="Q994">
        <f>SUMIF(TArticle[تاریخ],TDays[[#This Row],[تاریخ]],TArticle[تراکنش برنامه ریزی شده])</f>
        <v>0</v>
      </c>
    </row>
    <row r="995" spans="1:17" x14ac:dyDescent="0.25">
      <c r="A995" s="3" t="s">
        <v>1489</v>
      </c>
      <c r="B995" t="str">
        <f>RIGHT(TDays[[#This Row],[تاریخ]],2)</f>
        <v>18</v>
      </c>
      <c r="C995" t="str">
        <f>RIGHT(LEFT(TDays[[#This Row],[تاریخ]],7),2)</f>
        <v>09</v>
      </c>
      <c r="D995" t="str">
        <f>LEFT(TDays[[#This Row],[تاریخ]],4)</f>
        <v>1403</v>
      </c>
      <c r="E995" t="str">
        <f>LEFT(TDays[[#This Row],[تاریخ]],7)</f>
        <v>1403-09</v>
      </c>
      <c r="F995">
        <v>1</v>
      </c>
      <c r="G995" s="16" t="str">
        <f>VLOOKUP(TDays[[#This Row],[کد روز هفته]],TDaysOfTheWeek[],2,FALSE)</f>
        <v>یکشنبه</v>
      </c>
      <c r="H995" s="16">
        <f>IFERROR(IF(E994&lt;&gt;E995,1,INT(H994)+IF(TDays[[#This Row],[کد روز هفته]]=0,1,0)),1)</f>
        <v>4</v>
      </c>
      <c r="I995">
        <f>-SUMIF(TArticle[تاریخ],TDays[[#This Row],[تاریخ]],TArticle[هزینه])</f>
        <v>0</v>
      </c>
      <c r="J995">
        <f>SUMIF(TArticle[تاریخ],TDays[[#This Row],[تاریخ]],TArticle[درآمد تتا])</f>
        <v>0</v>
      </c>
      <c r="K995">
        <f>SUMIF(TArticle[تاریخ],TDays[[#This Row],[تاریخ]],TArticle[اسنپ])</f>
        <v>0</v>
      </c>
      <c r="L995">
        <f>-SUMIF(TArticle[تاریخ],TDays[[#This Row],[تاریخ]],TArticle[پرداخت بدهی])</f>
        <v>0</v>
      </c>
      <c r="M995">
        <f>SUMIF(TArticle[تاریخ],TDays[[#This Row],[تاریخ]],TArticle[افزایش بدهی])</f>
        <v>0</v>
      </c>
      <c r="N995">
        <f>-SUMIF(TArticle[تاریخ],TDays[[#This Row],[تاریخ]],TArticle[افزایش سرمایه])</f>
        <v>0</v>
      </c>
      <c r="O995">
        <f>SUMIF(TArticle[تاریخ],TDays[[#This Row],[تاریخ]],TArticle[تعداد تراکنش انجام شده])</f>
        <v>0</v>
      </c>
      <c r="P995">
        <f>INT(((TDays[[#This Row],[ماه]]-1)*31+TDays[[#This Row],[روز]]+1)/7)+1</f>
        <v>39</v>
      </c>
      <c r="Q995">
        <f>SUMIF(TArticle[تاریخ],TDays[[#This Row],[تاریخ]],TArticle[تراکنش برنامه ریزی شده])</f>
        <v>0</v>
      </c>
    </row>
    <row r="996" spans="1:17" x14ac:dyDescent="0.25">
      <c r="A996" s="3" t="s">
        <v>1490</v>
      </c>
      <c r="B996" t="str">
        <f>RIGHT(TDays[[#This Row],[تاریخ]],2)</f>
        <v>19</v>
      </c>
      <c r="C996" t="str">
        <f>RIGHT(LEFT(TDays[[#This Row],[تاریخ]],7),2)</f>
        <v>09</v>
      </c>
      <c r="D996" t="str">
        <f>LEFT(TDays[[#This Row],[تاریخ]],4)</f>
        <v>1403</v>
      </c>
      <c r="E996" t="str">
        <f>LEFT(TDays[[#This Row],[تاریخ]],7)</f>
        <v>1403-09</v>
      </c>
      <c r="F996">
        <v>2</v>
      </c>
      <c r="G996" s="16" t="str">
        <f>VLOOKUP(TDays[[#This Row],[کد روز هفته]],TDaysOfTheWeek[],2,FALSE)</f>
        <v>دوشنبه</v>
      </c>
      <c r="H996" s="16">
        <f>IFERROR(IF(E995&lt;&gt;E996,1,INT(H995)+IF(TDays[[#This Row],[کد روز هفته]]=0,1,0)),1)</f>
        <v>4</v>
      </c>
      <c r="I996">
        <f>-SUMIF(TArticle[تاریخ],TDays[[#This Row],[تاریخ]],TArticle[هزینه])</f>
        <v>0</v>
      </c>
      <c r="J996">
        <f>SUMIF(TArticle[تاریخ],TDays[[#This Row],[تاریخ]],TArticle[درآمد تتا])</f>
        <v>0</v>
      </c>
      <c r="K996">
        <f>SUMIF(TArticle[تاریخ],TDays[[#This Row],[تاریخ]],TArticle[اسنپ])</f>
        <v>0</v>
      </c>
      <c r="L996">
        <f>-SUMIF(TArticle[تاریخ],TDays[[#This Row],[تاریخ]],TArticle[پرداخت بدهی])</f>
        <v>0</v>
      </c>
      <c r="M996">
        <f>SUMIF(TArticle[تاریخ],TDays[[#This Row],[تاریخ]],TArticle[افزایش بدهی])</f>
        <v>0</v>
      </c>
      <c r="N996">
        <f>-SUMIF(TArticle[تاریخ],TDays[[#This Row],[تاریخ]],TArticle[افزایش سرمایه])</f>
        <v>0</v>
      </c>
      <c r="O996">
        <f>SUMIF(TArticle[تاریخ],TDays[[#This Row],[تاریخ]],TArticle[تعداد تراکنش انجام شده])</f>
        <v>0</v>
      </c>
      <c r="P996">
        <f>INT(((TDays[[#This Row],[ماه]]-1)*31+TDays[[#This Row],[روز]]+1)/7)+1</f>
        <v>39</v>
      </c>
      <c r="Q996">
        <f>SUMIF(TArticle[تاریخ],TDays[[#This Row],[تاریخ]],TArticle[تراکنش برنامه ریزی شده])</f>
        <v>0</v>
      </c>
    </row>
    <row r="997" spans="1:17" x14ac:dyDescent="0.25">
      <c r="A997" s="3" t="s">
        <v>1491</v>
      </c>
      <c r="B997" t="str">
        <f>RIGHT(TDays[[#This Row],[تاریخ]],2)</f>
        <v>20</v>
      </c>
      <c r="C997" t="str">
        <f>RIGHT(LEFT(TDays[[#This Row],[تاریخ]],7),2)</f>
        <v>09</v>
      </c>
      <c r="D997" t="str">
        <f>LEFT(TDays[[#This Row],[تاریخ]],4)</f>
        <v>1403</v>
      </c>
      <c r="E997" t="str">
        <f>LEFT(TDays[[#This Row],[تاریخ]],7)</f>
        <v>1403-09</v>
      </c>
      <c r="F997">
        <v>3</v>
      </c>
      <c r="G997" s="16" t="str">
        <f>VLOOKUP(TDays[[#This Row],[کد روز هفته]],TDaysOfTheWeek[],2,FALSE)</f>
        <v>سه شنبه</v>
      </c>
      <c r="H997" s="16">
        <f>IFERROR(IF(E996&lt;&gt;E997,1,INT(H996)+IF(TDays[[#This Row],[کد روز هفته]]=0,1,0)),1)</f>
        <v>4</v>
      </c>
      <c r="I997">
        <f>-SUMIF(TArticle[تاریخ],TDays[[#This Row],[تاریخ]],TArticle[هزینه])</f>
        <v>0</v>
      </c>
      <c r="J997">
        <f>SUMIF(TArticle[تاریخ],TDays[[#This Row],[تاریخ]],TArticle[درآمد تتا])</f>
        <v>0</v>
      </c>
      <c r="K997">
        <f>SUMIF(TArticle[تاریخ],TDays[[#This Row],[تاریخ]],TArticle[اسنپ])</f>
        <v>0</v>
      </c>
      <c r="L997">
        <f>-SUMIF(TArticle[تاریخ],TDays[[#This Row],[تاریخ]],TArticle[پرداخت بدهی])</f>
        <v>0</v>
      </c>
      <c r="M997">
        <f>SUMIF(TArticle[تاریخ],TDays[[#This Row],[تاریخ]],TArticle[افزایش بدهی])</f>
        <v>0</v>
      </c>
      <c r="N997">
        <f>-SUMIF(TArticle[تاریخ],TDays[[#This Row],[تاریخ]],TArticle[افزایش سرمایه])</f>
        <v>0</v>
      </c>
      <c r="O997">
        <f>SUMIF(TArticle[تاریخ],TDays[[#This Row],[تاریخ]],TArticle[تعداد تراکنش انجام شده])</f>
        <v>0</v>
      </c>
      <c r="P997">
        <f>INT(((TDays[[#This Row],[ماه]]-1)*31+TDays[[#This Row],[روز]]+1)/7)+1</f>
        <v>39</v>
      </c>
      <c r="Q997">
        <f>SUMIF(TArticle[تاریخ],TDays[[#This Row],[تاریخ]],TArticle[تراکنش برنامه ریزی شده])</f>
        <v>1</v>
      </c>
    </row>
    <row r="998" spans="1:17" x14ac:dyDescent="0.25">
      <c r="A998" s="3" t="s">
        <v>1492</v>
      </c>
      <c r="B998" t="str">
        <f>RIGHT(TDays[[#This Row],[تاریخ]],2)</f>
        <v>21</v>
      </c>
      <c r="C998" t="str">
        <f>RIGHT(LEFT(TDays[[#This Row],[تاریخ]],7),2)</f>
        <v>09</v>
      </c>
      <c r="D998" t="str">
        <f>LEFT(TDays[[#This Row],[تاریخ]],4)</f>
        <v>1403</v>
      </c>
      <c r="E998" t="str">
        <f>LEFT(TDays[[#This Row],[تاریخ]],7)</f>
        <v>1403-09</v>
      </c>
      <c r="F998">
        <v>4</v>
      </c>
      <c r="G998" s="16" t="str">
        <f>VLOOKUP(TDays[[#This Row],[کد روز هفته]],TDaysOfTheWeek[],2,FALSE)</f>
        <v>چهارشنبه</v>
      </c>
      <c r="H998" s="16">
        <f>IFERROR(IF(E997&lt;&gt;E998,1,INT(H997)+IF(TDays[[#This Row],[کد روز هفته]]=0,1,0)),1)</f>
        <v>4</v>
      </c>
      <c r="I998">
        <f>-SUMIF(TArticle[تاریخ],TDays[[#This Row],[تاریخ]],TArticle[هزینه])</f>
        <v>0</v>
      </c>
      <c r="J998">
        <f>SUMIF(TArticle[تاریخ],TDays[[#This Row],[تاریخ]],TArticle[درآمد تتا])</f>
        <v>0</v>
      </c>
      <c r="K998">
        <f>SUMIF(TArticle[تاریخ],TDays[[#This Row],[تاریخ]],TArticle[اسنپ])</f>
        <v>0</v>
      </c>
      <c r="L998">
        <f>-SUMIF(TArticle[تاریخ],TDays[[#This Row],[تاریخ]],TArticle[پرداخت بدهی])</f>
        <v>0</v>
      </c>
      <c r="M998">
        <f>SUMIF(TArticle[تاریخ],TDays[[#This Row],[تاریخ]],TArticle[افزایش بدهی])</f>
        <v>0</v>
      </c>
      <c r="N998">
        <f>-SUMIF(TArticle[تاریخ],TDays[[#This Row],[تاریخ]],TArticle[افزایش سرمایه])</f>
        <v>0</v>
      </c>
      <c r="O998">
        <f>SUMIF(TArticle[تاریخ],TDays[[#This Row],[تاریخ]],TArticle[تعداد تراکنش انجام شده])</f>
        <v>0</v>
      </c>
      <c r="P998">
        <f>INT(((TDays[[#This Row],[ماه]]-1)*31+TDays[[#This Row],[روز]]+1)/7)+1</f>
        <v>39</v>
      </c>
      <c r="Q998">
        <f>SUMIF(TArticle[تاریخ],TDays[[#This Row],[تاریخ]],TArticle[تراکنش برنامه ریزی شده])</f>
        <v>0</v>
      </c>
    </row>
    <row r="999" spans="1:17" x14ac:dyDescent="0.25">
      <c r="A999" s="3" t="s">
        <v>1493</v>
      </c>
      <c r="B999" t="str">
        <f>RIGHT(TDays[[#This Row],[تاریخ]],2)</f>
        <v>22</v>
      </c>
      <c r="C999" t="str">
        <f>RIGHT(LEFT(TDays[[#This Row],[تاریخ]],7),2)</f>
        <v>09</v>
      </c>
      <c r="D999" t="str">
        <f>LEFT(TDays[[#This Row],[تاریخ]],4)</f>
        <v>1403</v>
      </c>
      <c r="E999" t="str">
        <f>LEFT(TDays[[#This Row],[تاریخ]],7)</f>
        <v>1403-09</v>
      </c>
      <c r="F999">
        <v>5</v>
      </c>
      <c r="G999" s="16" t="str">
        <f>VLOOKUP(TDays[[#This Row],[کد روز هفته]],TDaysOfTheWeek[],2,FALSE)</f>
        <v>پنجشنبه</v>
      </c>
      <c r="H999" s="16">
        <f>IFERROR(IF(E998&lt;&gt;E999,1,INT(H998)+IF(TDays[[#This Row],[کد روز هفته]]=0,1,0)),1)</f>
        <v>4</v>
      </c>
      <c r="I999">
        <f>-SUMIF(TArticle[تاریخ],TDays[[#This Row],[تاریخ]],TArticle[هزینه])</f>
        <v>0</v>
      </c>
      <c r="J999">
        <f>SUMIF(TArticle[تاریخ],TDays[[#This Row],[تاریخ]],TArticle[درآمد تتا])</f>
        <v>0</v>
      </c>
      <c r="K999">
        <f>SUMIF(TArticle[تاریخ],TDays[[#This Row],[تاریخ]],TArticle[اسنپ])</f>
        <v>0</v>
      </c>
      <c r="L999">
        <f>-SUMIF(TArticle[تاریخ],TDays[[#This Row],[تاریخ]],TArticle[پرداخت بدهی])</f>
        <v>0</v>
      </c>
      <c r="M999">
        <f>SUMIF(TArticle[تاریخ],TDays[[#This Row],[تاریخ]],TArticle[افزایش بدهی])</f>
        <v>0</v>
      </c>
      <c r="N999">
        <f>-SUMIF(TArticle[تاریخ],TDays[[#This Row],[تاریخ]],TArticle[افزایش سرمایه])</f>
        <v>0</v>
      </c>
      <c r="O999">
        <f>SUMIF(TArticle[تاریخ],TDays[[#This Row],[تاریخ]],TArticle[تعداد تراکنش انجام شده])</f>
        <v>0</v>
      </c>
      <c r="P999">
        <f>INT(((TDays[[#This Row],[ماه]]-1)*31+TDays[[#This Row],[روز]]+1)/7)+1</f>
        <v>39</v>
      </c>
      <c r="Q999">
        <f>SUMIF(TArticle[تاریخ],TDays[[#This Row],[تاریخ]],TArticle[تراکنش برنامه ریزی شده])</f>
        <v>0</v>
      </c>
    </row>
    <row r="1000" spans="1:17" x14ac:dyDescent="0.25">
      <c r="A1000" s="3" t="s">
        <v>1494</v>
      </c>
      <c r="B1000" t="str">
        <f>RIGHT(TDays[[#This Row],[تاریخ]],2)</f>
        <v>23</v>
      </c>
      <c r="C1000" t="str">
        <f>RIGHT(LEFT(TDays[[#This Row],[تاریخ]],7),2)</f>
        <v>09</v>
      </c>
      <c r="D1000" t="str">
        <f>LEFT(TDays[[#This Row],[تاریخ]],4)</f>
        <v>1403</v>
      </c>
      <c r="E1000" t="str">
        <f>LEFT(TDays[[#This Row],[تاریخ]],7)</f>
        <v>1403-09</v>
      </c>
      <c r="F1000">
        <v>6</v>
      </c>
      <c r="G1000" s="16" t="str">
        <f>VLOOKUP(TDays[[#This Row],[کد روز هفته]],TDaysOfTheWeek[],2,FALSE)</f>
        <v>جمعه</v>
      </c>
      <c r="H1000" s="16">
        <f>IFERROR(IF(E999&lt;&gt;E1000,1,INT(H999)+IF(TDays[[#This Row],[کد روز هفته]]=0,1,0)),1)</f>
        <v>4</v>
      </c>
      <c r="I1000">
        <f>-SUMIF(TArticle[تاریخ],TDays[[#This Row],[تاریخ]],TArticle[هزینه])</f>
        <v>0</v>
      </c>
      <c r="J1000">
        <f>SUMIF(TArticle[تاریخ],TDays[[#This Row],[تاریخ]],TArticle[درآمد تتا])</f>
        <v>0</v>
      </c>
      <c r="K1000">
        <f>SUMIF(TArticle[تاریخ],TDays[[#This Row],[تاریخ]],TArticle[اسنپ])</f>
        <v>0</v>
      </c>
      <c r="L1000">
        <f>-SUMIF(TArticle[تاریخ],TDays[[#This Row],[تاریخ]],TArticle[پرداخت بدهی])</f>
        <v>0</v>
      </c>
      <c r="M1000">
        <f>SUMIF(TArticle[تاریخ],TDays[[#This Row],[تاریخ]],TArticle[افزایش بدهی])</f>
        <v>0</v>
      </c>
      <c r="N1000">
        <f>-SUMIF(TArticle[تاریخ],TDays[[#This Row],[تاریخ]],TArticle[افزایش سرمایه])</f>
        <v>0</v>
      </c>
      <c r="O1000">
        <f>SUMIF(TArticle[تاریخ],TDays[[#This Row],[تاریخ]],TArticle[تعداد تراکنش انجام شده])</f>
        <v>0</v>
      </c>
      <c r="P1000">
        <f>INT(((TDays[[#This Row],[ماه]]-1)*31+TDays[[#This Row],[روز]]+1)/7)+1</f>
        <v>39</v>
      </c>
      <c r="Q1000">
        <f>SUMIF(TArticle[تاریخ],TDays[[#This Row],[تاریخ]],TArticle[تراکنش برنامه ریزی شده])</f>
        <v>0</v>
      </c>
    </row>
    <row r="1001" spans="1:17" x14ac:dyDescent="0.25">
      <c r="A1001" s="3" t="s">
        <v>1495</v>
      </c>
      <c r="B1001" t="str">
        <f>RIGHT(TDays[[#This Row],[تاریخ]],2)</f>
        <v>24</v>
      </c>
      <c r="C1001" t="str">
        <f>RIGHT(LEFT(TDays[[#This Row],[تاریخ]],7),2)</f>
        <v>09</v>
      </c>
      <c r="D1001" t="str">
        <f>LEFT(TDays[[#This Row],[تاریخ]],4)</f>
        <v>1403</v>
      </c>
      <c r="E1001" t="str">
        <f>LEFT(TDays[[#This Row],[تاریخ]],7)</f>
        <v>1403-09</v>
      </c>
      <c r="F1001">
        <v>0</v>
      </c>
      <c r="G1001" s="16" t="str">
        <f>VLOOKUP(TDays[[#This Row],[کد روز هفته]],TDaysOfTheWeek[],2,FALSE)</f>
        <v>شنبه</v>
      </c>
      <c r="H1001" s="16">
        <f>IFERROR(IF(E1000&lt;&gt;E1001,1,INT(H1000)+IF(TDays[[#This Row],[کد روز هفته]]=0,1,0)),1)</f>
        <v>5</v>
      </c>
      <c r="I1001">
        <f>-SUMIF(TArticle[تاریخ],TDays[[#This Row],[تاریخ]],TArticle[هزینه])</f>
        <v>0</v>
      </c>
      <c r="J1001">
        <f>SUMIF(TArticle[تاریخ],TDays[[#This Row],[تاریخ]],TArticle[درآمد تتا])</f>
        <v>0</v>
      </c>
      <c r="K1001">
        <f>SUMIF(TArticle[تاریخ],TDays[[#This Row],[تاریخ]],TArticle[اسنپ])</f>
        <v>0</v>
      </c>
      <c r="L1001">
        <f>-SUMIF(TArticle[تاریخ],TDays[[#This Row],[تاریخ]],TArticle[پرداخت بدهی])</f>
        <v>0</v>
      </c>
      <c r="M1001">
        <f>SUMIF(TArticle[تاریخ],TDays[[#This Row],[تاریخ]],TArticle[افزایش بدهی])</f>
        <v>0</v>
      </c>
      <c r="N1001">
        <f>-SUMIF(TArticle[تاریخ],TDays[[#This Row],[تاریخ]],TArticle[افزایش سرمایه])</f>
        <v>0</v>
      </c>
      <c r="O1001">
        <f>SUMIF(TArticle[تاریخ],TDays[[#This Row],[تاریخ]],TArticle[تعداد تراکنش انجام شده])</f>
        <v>0</v>
      </c>
      <c r="P1001">
        <f>INT(((TDays[[#This Row],[ماه]]-1)*31+TDays[[#This Row],[روز]]+1)/7)+1</f>
        <v>40</v>
      </c>
      <c r="Q1001">
        <f>SUMIF(TArticle[تاریخ],TDays[[#This Row],[تاریخ]],TArticle[تراکنش برنامه ریزی شده])</f>
        <v>0</v>
      </c>
    </row>
    <row r="1002" spans="1:17" x14ac:dyDescent="0.25">
      <c r="A1002" s="3" t="s">
        <v>1496</v>
      </c>
      <c r="B1002" t="str">
        <f>RIGHT(TDays[[#This Row],[تاریخ]],2)</f>
        <v>25</v>
      </c>
      <c r="C1002" t="str">
        <f>RIGHT(LEFT(TDays[[#This Row],[تاریخ]],7),2)</f>
        <v>09</v>
      </c>
      <c r="D1002" t="str">
        <f>LEFT(TDays[[#This Row],[تاریخ]],4)</f>
        <v>1403</v>
      </c>
      <c r="E1002" t="str">
        <f>LEFT(TDays[[#This Row],[تاریخ]],7)</f>
        <v>1403-09</v>
      </c>
      <c r="F1002">
        <v>1</v>
      </c>
      <c r="G1002" s="16" t="str">
        <f>VLOOKUP(TDays[[#This Row],[کد روز هفته]],TDaysOfTheWeek[],2,FALSE)</f>
        <v>یکشنبه</v>
      </c>
      <c r="H1002" s="16">
        <f>IFERROR(IF(E1001&lt;&gt;E1002,1,INT(H1001)+IF(TDays[[#This Row],[کد روز هفته]]=0,1,0)),1)</f>
        <v>5</v>
      </c>
      <c r="I1002">
        <f>-SUMIF(TArticle[تاریخ],TDays[[#This Row],[تاریخ]],TArticle[هزینه])</f>
        <v>0</v>
      </c>
      <c r="J1002">
        <f>SUMIF(TArticle[تاریخ],TDays[[#This Row],[تاریخ]],TArticle[درآمد تتا])</f>
        <v>0</v>
      </c>
      <c r="K1002">
        <f>SUMIF(TArticle[تاریخ],TDays[[#This Row],[تاریخ]],TArticle[اسنپ])</f>
        <v>0</v>
      </c>
      <c r="L1002">
        <f>-SUMIF(TArticle[تاریخ],TDays[[#This Row],[تاریخ]],TArticle[پرداخت بدهی])</f>
        <v>0</v>
      </c>
      <c r="M1002">
        <f>SUMIF(TArticle[تاریخ],TDays[[#This Row],[تاریخ]],TArticle[افزایش بدهی])</f>
        <v>0</v>
      </c>
      <c r="N1002">
        <f>-SUMIF(TArticle[تاریخ],TDays[[#This Row],[تاریخ]],TArticle[افزایش سرمایه])</f>
        <v>0</v>
      </c>
      <c r="O1002">
        <f>SUMIF(TArticle[تاریخ],TDays[[#This Row],[تاریخ]],TArticle[تعداد تراکنش انجام شده])</f>
        <v>0</v>
      </c>
      <c r="P1002">
        <f>INT(((TDays[[#This Row],[ماه]]-1)*31+TDays[[#This Row],[روز]]+1)/7)+1</f>
        <v>40</v>
      </c>
      <c r="Q1002">
        <f>SUMIF(TArticle[تاریخ],TDays[[#This Row],[تاریخ]],TArticle[تراکنش برنامه ریزی شده])</f>
        <v>0</v>
      </c>
    </row>
    <row r="1003" spans="1:17" x14ac:dyDescent="0.25">
      <c r="A1003" s="3" t="s">
        <v>1497</v>
      </c>
      <c r="B1003" t="str">
        <f>RIGHT(TDays[[#This Row],[تاریخ]],2)</f>
        <v>26</v>
      </c>
      <c r="C1003" t="str">
        <f>RIGHT(LEFT(TDays[[#This Row],[تاریخ]],7),2)</f>
        <v>09</v>
      </c>
      <c r="D1003" t="str">
        <f>LEFT(TDays[[#This Row],[تاریخ]],4)</f>
        <v>1403</v>
      </c>
      <c r="E1003" t="str">
        <f>LEFT(TDays[[#This Row],[تاریخ]],7)</f>
        <v>1403-09</v>
      </c>
      <c r="F1003">
        <v>2</v>
      </c>
      <c r="G1003" s="16" t="str">
        <f>VLOOKUP(TDays[[#This Row],[کد روز هفته]],TDaysOfTheWeek[],2,FALSE)</f>
        <v>دوشنبه</v>
      </c>
      <c r="H1003" s="16">
        <f>IFERROR(IF(E1002&lt;&gt;E1003,1,INT(H1002)+IF(TDays[[#This Row],[کد روز هفته]]=0,1,0)),1)</f>
        <v>5</v>
      </c>
      <c r="I1003">
        <f>-SUMIF(TArticle[تاریخ],TDays[[#This Row],[تاریخ]],TArticle[هزینه])</f>
        <v>0</v>
      </c>
      <c r="J1003">
        <f>SUMIF(TArticle[تاریخ],TDays[[#This Row],[تاریخ]],TArticle[درآمد تتا])</f>
        <v>0</v>
      </c>
      <c r="K1003">
        <f>SUMIF(TArticle[تاریخ],TDays[[#This Row],[تاریخ]],TArticle[اسنپ])</f>
        <v>0</v>
      </c>
      <c r="L1003">
        <f>-SUMIF(TArticle[تاریخ],TDays[[#This Row],[تاریخ]],TArticle[پرداخت بدهی])</f>
        <v>0</v>
      </c>
      <c r="M1003">
        <f>SUMIF(TArticle[تاریخ],TDays[[#This Row],[تاریخ]],TArticle[افزایش بدهی])</f>
        <v>0</v>
      </c>
      <c r="N1003">
        <f>-SUMIF(TArticle[تاریخ],TDays[[#This Row],[تاریخ]],TArticle[افزایش سرمایه])</f>
        <v>0</v>
      </c>
      <c r="O1003">
        <f>SUMIF(TArticle[تاریخ],TDays[[#This Row],[تاریخ]],TArticle[تعداد تراکنش انجام شده])</f>
        <v>0</v>
      </c>
      <c r="P1003">
        <f>INT(((TDays[[#This Row],[ماه]]-1)*31+TDays[[#This Row],[روز]]+1)/7)+1</f>
        <v>40</v>
      </c>
      <c r="Q1003">
        <f>SUMIF(TArticle[تاریخ],TDays[[#This Row],[تاریخ]],TArticle[تراکنش برنامه ریزی شده])</f>
        <v>0</v>
      </c>
    </row>
    <row r="1004" spans="1:17" x14ac:dyDescent="0.25">
      <c r="A1004" s="3" t="s">
        <v>1498</v>
      </c>
      <c r="B1004" t="str">
        <f>RIGHT(TDays[[#This Row],[تاریخ]],2)</f>
        <v>27</v>
      </c>
      <c r="C1004" t="str">
        <f>RIGHT(LEFT(TDays[[#This Row],[تاریخ]],7),2)</f>
        <v>09</v>
      </c>
      <c r="D1004" t="str">
        <f>LEFT(TDays[[#This Row],[تاریخ]],4)</f>
        <v>1403</v>
      </c>
      <c r="E1004" t="str">
        <f>LEFT(TDays[[#This Row],[تاریخ]],7)</f>
        <v>1403-09</v>
      </c>
      <c r="F1004">
        <v>3</v>
      </c>
      <c r="G1004" s="16" t="str">
        <f>VLOOKUP(TDays[[#This Row],[کد روز هفته]],TDaysOfTheWeek[],2,FALSE)</f>
        <v>سه شنبه</v>
      </c>
      <c r="H1004" s="16">
        <f>IFERROR(IF(E1003&lt;&gt;E1004,1,INT(H1003)+IF(TDays[[#This Row],[کد روز هفته]]=0,1,0)),1)</f>
        <v>5</v>
      </c>
      <c r="I1004">
        <f>-SUMIF(TArticle[تاریخ],TDays[[#This Row],[تاریخ]],TArticle[هزینه])</f>
        <v>0</v>
      </c>
      <c r="J1004">
        <f>SUMIF(TArticle[تاریخ],TDays[[#This Row],[تاریخ]],TArticle[درآمد تتا])</f>
        <v>0</v>
      </c>
      <c r="K1004">
        <f>SUMIF(TArticle[تاریخ],TDays[[#This Row],[تاریخ]],TArticle[اسنپ])</f>
        <v>0</v>
      </c>
      <c r="L1004">
        <f>-SUMIF(TArticle[تاریخ],TDays[[#This Row],[تاریخ]],TArticle[پرداخت بدهی])</f>
        <v>0</v>
      </c>
      <c r="M1004">
        <f>SUMIF(TArticle[تاریخ],TDays[[#This Row],[تاریخ]],TArticle[افزایش بدهی])</f>
        <v>0</v>
      </c>
      <c r="N1004">
        <f>-SUMIF(TArticle[تاریخ],TDays[[#This Row],[تاریخ]],TArticle[افزایش سرمایه])</f>
        <v>0</v>
      </c>
      <c r="O1004">
        <f>SUMIF(TArticle[تاریخ],TDays[[#This Row],[تاریخ]],TArticle[تعداد تراکنش انجام شده])</f>
        <v>0</v>
      </c>
      <c r="P1004">
        <f>INT(((TDays[[#This Row],[ماه]]-1)*31+TDays[[#This Row],[روز]]+1)/7)+1</f>
        <v>40</v>
      </c>
      <c r="Q1004">
        <f>SUMIF(TArticle[تاریخ],TDays[[#This Row],[تاریخ]],TArticle[تراکنش برنامه ریزی شده])</f>
        <v>0</v>
      </c>
    </row>
    <row r="1005" spans="1:17" x14ac:dyDescent="0.25">
      <c r="A1005" s="3" t="s">
        <v>1499</v>
      </c>
      <c r="B1005" t="str">
        <f>RIGHT(TDays[[#This Row],[تاریخ]],2)</f>
        <v>28</v>
      </c>
      <c r="C1005" t="str">
        <f>RIGHT(LEFT(TDays[[#This Row],[تاریخ]],7),2)</f>
        <v>09</v>
      </c>
      <c r="D1005" t="str">
        <f>LEFT(TDays[[#This Row],[تاریخ]],4)</f>
        <v>1403</v>
      </c>
      <c r="E1005" t="str">
        <f>LEFT(TDays[[#This Row],[تاریخ]],7)</f>
        <v>1403-09</v>
      </c>
      <c r="F1005">
        <v>4</v>
      </c>
      <c r="G1005" s="16" t="str">
        <f>VLOOKUP(TDays[[#This Row],[کد روز هفته]],TDaysOfTheWeek[],2,FALSE)</f>
        <v>چهارشنبه</v>
      </c>
      <c r="H1005" s="16">
        <f>IFERROR(IF(E1004&lt;&gt;E1005,1,INT(H1004)+IF(TDays[[#This Row],[کد روز هفته]]=0,1,0)),1)</f>
        <v>5</v>
      </c>
      <c r="I1005">
        <f>-SUMIF(TArticle[تاریخ],TDays[[#This Row],[تاریخ]],TArticle[هزینه])</f>
        <v>0</v>
      </c>
      <c r="J1005">
        <f>SUMIF(TArticle[تاریخ],TDays[[#This Row],[تاریخ]],TArticle[درآمد تتا])</f>
        <v>0</v>
      </c>
      <c r="K1005">
        <f>SUMIF(TArticle[تاریخ],TDays[[#This Row],[تاریخ]],TArticle[اسنپ])</f>
        <v>0</v>
      </c>
      <c r="L1005">
        <f>-SUMIF(TArticle[تاریخ],TDays[[#This Row],[تاریخ]],TArticle[پرداخت بدهی])</f>
        <v>0</v>
      </c>
      <c r="M1005">
        <f>SUMIF(TArticle[تاریخ],TDays[[#This Row],[تاریخ]],TArticle[افزایش بدهی])</f>
        <v>0</v>
      </c>
      <c r="N1005">
        <f>-SUMIF(TArticle[تاریخ],TDays[[#This Row],[تاریخ]],TArticle[افزایش سرمایه])</f>
        <v>0</v>
      </c>
      <c r="O1005">
        <f>SUMIF(TArticle[تاریخ],TDays[[#This Row],[تاریخ]],TArticle[تعداد تراکنش انجام شده])</f>
        <v>0</v>
      </c>
      <c r="P1005">
        <f>INT(((TDays[[#This Row],[ماه]]-1)*31+TDays[[#This Row],[روز]]+1)/7)+1</f>
        <v>40</v>
      </c>
      <c r="Q1005">
        <f>SUMIF(TArticle[تاریخ],TDays[[#This Row],[تاریخ]],TArticle[تراکنش برنامه ریزی شده])</f>
        <v>0</v>
      </c>
    </row>
    <row r="1006" spans="1:17" x14ac:dyDescent="0.25">
      <c r="A1006" s="3" t="s">
        <v>1500</v>
      </c>
      <c r="B1006" t="str">
        <f>RIGHT(TDays[[#This Row],[تاریخ]],2)</f>
        <v>29</v>
      </c>
      <c r="C1006" t="str">
        <f>RIGHT(LEFT(TDays[[#This Row],[تاریخ]],7),2)</f>
        <v>09</v>
      </c>
      <c r="D1006" t="str">
        <f>LEFT(TDays[[#This Row],[تاریخ]],4)</f>
        <v>1403</v>
      </c>
      <c r="E1006" t="str">
        <f>LEFT(TDays[[#This Row],[تاریخ]],7)</f>
        <v>1403-09</v>
      </c>
      <c r="F1006">
        <v>5</v>
      </c>
      <c r="G1006" s="16" t="str">
        <f>VLOOKUP(TDays[[#This Row],[کد روز هفته]],TDaysOfTheWeek[],2,FALSE)</f>
        <v>پنجشنبه</v>
      </c>
      <c r="H1006" s="16">
        <f>IFERROR(IF(E1005&lt;&gt;E1006,1,INT(H1005)+IF(TDays[[#This Row],[کد روز هفته]]=0,1,0)),1)</f>
        <v>5</v>
      </c>
      <c r="I1006">
        <f>-SUMIF(TArticle[تاریخ],TDays[[#This Row],[تاریخ]],TArticle[هزینه])</f>
        <v>0</v>
      </c>
      <c r="J1006">
        <f>SUMIF(TArticle[تاریخ],TDays[[#This Row],[تاریخ]],TArticle[درآمد تتا])</f>
        <v>0</v>
      </c>
      <c r="K1006">
        <f>SUMIF(TArticle[تاریخ],TDays[[#This Row],[تاریخ]],TArticle[اسنپ])</f>
        <v>0</v>
      </c>
      <c r="L1006">
        <f>-SUMIF(TArticle[تاریخ],TDays[[#This Row],[تاریخ]],TArticle[پرداخت بدهی])</f>
        <v>0</v>
      </c>
      <c r="M1006">
        <f>SUMIF(TArticle[تاریخ],TDays[[#This Row],[تاریخ]],TArticle[افزایش بدهی])</f>
        <v>0</v>
      </c>
      <c r="N1006">
        <f>-SUMIF(TArticle[تاریخ],TDays[[#This Row],[تاریخ]],TArticle[افزایش سرمایه])</f>
        <v>0</v>
      </c>
      <c r="O1006">
        <f>SUMIF(TArticle[تاریخ],TDays[[#This Row],[تاریخ]],TArticle[تعداد تراکنش انجام شده])</f>
        <v>0</v>
      </c>
      <c r="P1006">
        <f>INT(((TDays[[#This Row],[ماه]]-1)*31+TDays[[#This Row],[روز]]+1)/7)+1</f>
        <v>40</v>
      </c>
      <c r="Q1006">
        <f>SUMIF(TArticle[تاریخ],TDays[[#This Row],[تاریخ]],TArticle[تراکنش برنامه ریزی شده])</f>
        <v>0</v>
      </c>
    </row>
    <row r="1007" spans="1:17" x14ac:dyDescent="0.25">
      <c r="A1007" s="3" t="s">
        <v>1501</v>
      </c>
      <c r="B1007" t="str">
        <f>RIGHT(TDays[[#This Row],[تاریخ]],2)</f>
        <v>30</v>
      </c>
      <c r="C1007" t="str">
        <f>RIGHT(LEFT(TDays[[#This Row],[تاریخ]],7),2)</f>
        <v>09</v>
      </c>
      <c r="D1007" t="str">
        <f>LEFT(TDays[[#This Row],[تاریخ]],4)</f>
        <v>1403</v>
      </c>
      <c r="E1007" t="str">
        <f>LEFT(TDays[[#This Row],[تاریخ]],7)</f>
        <v>1403-09</v>
      </c>
      <c r="F1007">
        <v>6</v>
      </c>
      <c r="G1007" s="16" t="str">
        <f>VLOOKUP(TDays[[#This Row],[کد روز هفته]],TDaysOfTheWeek[],2,FALSE)</f>
        <v>جمعه</v>
      </c>
      <c r="H1007" s="16">
        <f>IFERROR(IF(E1006&lt;&gt;E1007,1,INT(H1006)+IF(TDays[[#This Row],[کد روز هفته]]=0,1,0)),1)</f>
        <v>5</v>
      </c>
      <c r="I1007">
        <f>-SUMIF(TArticle[تاریخ],TDays[[#This Row],[تاریخ]],TArticle[هزینه])</f>
        <v>0</v>
      </c>
      <c r="J1007">
        <f>SUMIF(TArticle[تاریخ],TDays[[#This Row],[تاریخ]],TArticle[درآمد تتا])</f>
        <v>0</v>
      </c>
      <c r="K1007">
        <f>SUMIF(TArticle[تاریخ],TDays[[#This Row],[تاریخ]],TArticle[اسنپ])</f>
        <v>0</v>
      </c>
      <c r="L1007">
        <f>-SUMIF(TArticle[تاریخ],TDays[[#This Row],[تاریخ]],TArticle[پرداخت بدهی])</f>
        <v>0</v>
      </c>
      <c r="M1007">
        <f>SUMIF(TArticle[تاریخ],TDays[[#This Row],[تاریخ]],TArticle[افزایش بدهی])</f>
        <v>0</v>
      </c>
      <c r="N1007">
        <f>-SUMIF(TArticle[تاریخ],TDays[[#This Row],[تاریخ]],TArticle[افزایش سرمایه])</f>
        <v>0</v>
      </c>
      <c r="O1007">
        <f>SUMIF(TArticle[تاریخ],TDays[[#This Row],[تاریخ]],TArticle[تعداد تراکنش انجام شده])</f>
        <v>0</v>
      </c>
      <c r="P1007">
        <f>INT(((TDays[[#This Row],[ماه]]-1)*31+TDays[[#This Row],[روز]]+1)/7)+1</f>
        <v>40</v>
      </c>
      <c r="Q1007">
        <f>SUMIF(TArticle[تاریخ],TDays[[#This Row],[تاریخ]],TArticle[تراکنش برنامه ریزی شده])</f>
        <v>0</v>
      </c>
    </row>
    <row r="1008" spans="1:17" x14ac:dyDescent="0.25">
      <c r="A1008" s="3" t="s">
        <v>1502</v>
      </c>
      <c r="B1008" t="str">
        <f>RIGHT(TDays[[#This Row],[تاریخ]],2)</f>
        <v>01</v>
      </c>
      <c r="C1008" t="str">
        <f>RIGHT(LEFT(TDays[[#This Row],[تاریخ]],7),2)</f>
        <v>10</v>
      </c>
      <c r="D1008" t="str">
        <f>LEFT(TDays[[#This Row],[تاریخ]],4)</f>
        <v>1403</v>
      </c>
      <c r="E1008" t="str">
        <f>LEFT(TDays[[#This Row],[تاریخ]],7)</f>
        <v>1403-10</v>
      </c>
      <c r="F1008">
        <v>0</v>
      </c>
      <c r="G1008" s="16" t="str">
        <f>VLOOKUP(TDays[[#This Row],[کد روز هفته]],TDaysOfTheWeek[],2,FALSE)</f>
        <v>شنبه</v>
      </c>
      <c r="H1008" s="16">
        <f>IFERROR(IF(E1007&lt;&gt;E1008,1,INT(H1007)+IF(TDays[[#This Row],[کد روز هفته]]=0,1,0)),1)</f>
        <v>1</v>
      </c>
      <c r="I1008">
        <f>-SUMIF(TArticle[تاریخ],TDays[[#This Row],[تاریخ]],TArticle[هزینه])</f>
        <v>0</v>
      </c>
      <c r="J1008">
        <f>SUMIF(TArticle[تاریخ],TDays[[#This Row],[تاریخ]],TArticle[درآمد تتا])</f>
        <v>0</v>
      </c>
      <c r="K1008">
        <f>SUMIF(TArticle[تاریخ],TDays[[#This Row],[تاریخ]],TArticle[اسنپ])</f>
        <v>0</v>
      </c>
      <c r="L1008">
        <f>-SUMIF(TArticle[تاریخ],TDays[[#This Row],[تاریخ]],TArticle[پرداخت بدهی])</f>
        <v>0</v>
      </c>
      <c r="M1008">
        <f>SUMIF(TArticle[تاریخ],TDays[[#This Row],[تاریخ]],TArticle[افزایش بدهی])</f>
        <v>0</v>
      </c>
      <c r="N1008">
        <f>-SUMIF(TArticle[تاریخ],TDays[[#This Row],[تاریخ]],TArticle[افزایش سرمایه])</f>
        <v>0</v>
      </c>
      <c r="O1008">
        <f>SUMIF(TArticle[تاریخ],TDays[[#This Row],[تاریخ]],TArticle[تعداد تراکنش انجام شده])</f>
        <v>0</v>
      </c>
      <c r="P1008">
        <f>INT(((TDays[[#This Row],[ماه]]-1)*31+TDays[[#This Row],[روز]]+1)/7)+1</f>
        <v>41</v>
      </c>
      <c r="Q1008">
        <f>SUMIF(TArticle[تاریخ],TDays[[#This Row],[تاریخ]],TArticle[تراکنش برنامه ریزی شده])</f>
        <v>2</v>
      </c>
    </row>
    <row r="1009" spans="1:17" x14ac:dyDescent="0.25">
      <c r="A1009" s="3" t="s">
        <v>1503</v>
      </c>
      <c r="B1009" t="str">
        <f>RIGHT(TDays[[#This Row],[تاریخ]],2)</f>
        <v>02</v>
      </c>
      <c r="C1009" t="str">
        <f>RIGHT(LEFT(TDays[[#This Row],[تاریخ]],7),2)</f>
        <v>10</v>
      </c>
      <c r="D1009" t="str">
        <f>LEFT(TDays[[#This Row],[تاریخ]],4)</f>
        <v>1403</v>
      </c>
      <c r="E1009" t="str">
        <f>LEFT(TDays[[#This Row],[تاریخ]],7)</f>
        <v>1403-10</v>
      </c>
      <c r="F1009">
        <v>1</v>
      </c>
      <c r="G1009" s="16" t="str">
        <f>VLOOKUP(TDays[[#This Row],[کد روز هفته]],TDaysOfTheWeek[],2,FALSE)</f>
        <v>یکشنبه</v>
      </c>
      <c r="H1009" s="16">
        <f>IFERROR(IF(E1008&lt;&gt;E1009,1,INT(H1008)+IF(TDays[[#This Row],[کد روز هفته]]=0,1,0)),1)</f>
        <v>1</v>
      </c>
      <c r="I1009">
        <f>-SUMIF(TArticle[تاریخ],TDays[[#This Row],[تاریخ]],TArticle[هزینه])</f>
        <v>0</v>
      </c>
      <c r="J1009">
        <f>SUMIF(TArticle[تاریخ],TDays[[#This Row],[تاریخ]],TArticle[درآمد تتا])</f>
        <v>0</v>
      </c>
      <c r="K1009">
        <f>SUMIF(TArticle[تاریخ],TDays[[#This Row],[تاریخ]],TArticle[اسنپ])</f>
        <v>0</v>
      </c>
      <c r="L1009">
        <f>-SUMIF(TArticle[تاریخ],TDays[[#This Row],[تاریخ]],TArticle[پرداخت بدهی])</f>
        <v>0</v>
      </c>
      <c r="M1009">
        <f>SUMIF(TArticle[تاریخ],TDays[[#This Row],[تاریخ]],TArticle[افزایش بدهی])</f>
        <v>0</v>
      </c>
      <c r="N1009">
        <f>-SUMIF(TArticle[تاریخ],TDays[[#This Row],[تاریخ]],TArticle[افزایش سرمایه])</f>
        <v>0</v>
      </c>
      <c r="O1009">
        <f>SUMIF(TArticle[تاریخ],TDays[[#This Row],[تاریخ]],TArticle[تعداد تراکنش انجام شده])</f>
        <v>0</v>
      </c>
      <c r="P1009">
        <f>INT(((TDays[[#This Row],[ماه]]-1)*31+TDays[[#This Row],[روز]]+1)/7)+1</f>
        <v>41</v>
      </c>
      <c r="Q1009">
        <f>SUMIF(TArticle[تاریخ],TDays[[#This Row],[تاریخ]],TArticle[تراکنش برنامه ریزی شده])</f>
        <v>0</v>
      </c>
    </row>
    <row r="1010" spans="1:17" x14ac:dyDescent="0.25">
      <c r="A1010" s="3" t="s">
        <v>1504</v>
      </c>
      <c r="B1010" t="str">
        <f>RIGHT(TDays[[#This Row],[تاریخ]],2)</f>
        <v>03</v>
      </c>
      <c r="C1010" t="str">
        <f>RIGHT(LEFT(TDays[[#This Row],[تاریخ]],7),2)</f>
        <v>10</v>
      </c>
      <c r="D1010" t="str">
        <f>LEFT(TDays[[#This Row],[تاریخ]],4)</f>
        <v>1403</v>
      </c>
      <c r="E1010" t="str">
        <f>LEFT(TDays[[#This Row],[تاریخ]],7)</f>
        <v>1403-10</v>
      </c>
      <c r="F1010">
        <v>2</v>
      </c>
      <c r="G1010" s="16" t="str">
        <f>VLOOKUP(TDays[[#This Row],[کد روز هفته]],TDaysOfTheWeek[],2,FALSE)</f>
        <v>دوشنبه</v>
      </c>
      <c r="H1010" s="16">
        <f>IFERROR(IF(E1009&lt;&gt;E1010,1,INT(H1009)+IF(TDays[[#This Row],[کد روز هفته]]=0,1,0)),1)</f>
        <v>1</v>
      </c>
      <c r="I1010">
        <f>-SUMIF(TArticle[تاریخ],TDays[[#This Row],[تاریخ]],TArticle[هزینه])</f>
        <v>0</v>
      </c>
      <c r="J1010">
        <f>SUMIF(TArticle[تاریخ],TDays[[#This Row],[تاریخ]],TArticle[درآمد تتا])</f>
        <v>0</v>
      </c>
      <c r="K1010">
        <f>SUMIF(TArticle[تاریخ],TDays[[#This Row],[تاریخ]],TArticle[اسنپ])</f>
        <v>0</v>
      </c>
      <c r="L1010">
        <f>-SUMIF(TArticle[تاریخ],TDays[[#This Row],[تاریخ]],TArticle[پرداخت بدهی])</f>
        <v>0</v>
      </c>
      <c r="M1010">
        <f>SUMIF(TArticle[تاریخ],TDays[[#This Row],[تاریخ]],TArticle[افزایش بدهی])</f>
        <v>0</v>
      </c>
      <c r="N1010">
        <f>-SUMIF(TArticle[تاریخ],TDays[[#This Row],[تاریخ]],TArticle[افزایش سرمایه])</f>
        <v>0</v>
      </c>
      <c r="O1010">
        <f>SUMIF(TArticle[تاریخ],TDays[[#This Row],[تاریخ]],TArticle[تعداد تراکنش انجام شده])</f>
        <v>0</v>
      </c>
      <c r="P1010">
        <f>INT(((TDays[[#This Row],[ماه]]-1)*31+TDays[[#This Row],[روز]]+1)/7)+1</f>
        <v>41</v>
      </c>
      <c r="Q1010">
        <f>SUMIF(TArticle[تاریخ],TDays[[#This Row],[تاریخ]],TArticle[تراکنش برنامه ریزی شده])</f>
        <v>1</v>
      </c>
    </row>
    <row r="1011" spans="1:17" x14ac:dyDescent="0.25">
      <c r="A1011" s="3" t="s">
        <v>1505</v>
      </c>
      <c r="B1011" t="str">
        <f>RIGHT(TDays[[#This Row],[تاریخ]],2)</f>
        <v>04</v>
      </c>
      <c r="C1011" t="str">
        <f>RIGHT(LEFT(TDays[[#This Row],[تاریخ]],7),2)</f>
        <v>10</v>
      </c>
      <c r="D1011" t="str">
        <f>LEFT(TDays[[#This Row],[تاریخ]],4)</f>
        <v>1403</v>
      </c>
      <c r="E1011" t="str">
        <f>LEFT(TDays[[#This Row],[تاریخ]],7)</f>
        <v>1403-10</v>
      </c>
      <c r="F1011">
        <v>3</v>
      </c>
      <c r="G1011" s="16" t="str">
        <f>VLOOKUP(TDays[[#This Row],[کد روز هفته]],TDaysOfTheWeek[],2,FALSE)</f>
        <v>سه شنبه</v>
      </c>
      <c r="H1011" s="16">
        <f>IFERROR(IF(E1010&lt;&gt;E1011,1,INT(H1010)+IF(TDays[[#This Row],[کد روز هفته]]=0,1,0)),1)</f>
        <v>1</v>
      </c>
      <c r="I1011">
        <f>-SUMIF(TArticle[تاریخ],TDays[[#This Row],[تاریخ]],TArticle[هزینه])</f>
        <v>0</v>
      </c>
      <c r="J1011">
        <f>SUMIF(TArticle[تاریخ],TDays[[#This Row],[تاریخ]],TArticle[درآمد تتا])</f>
        <v>0</v>
      </c>
      <c r="K1011">
        <f>SUMIF(TArticle[تاریخ],TDays[[#This Row],[تاریخ]],TArticle[اسنپ])</f>
        <v>0</v>
      </c>
      <c r="L1011">
        <f>-SUMIF(TArticle[تاریخ],TDays[[#This Row],[تاریخ]],TArticle[پرداخت بدهی])</f>
        <v>0</v>
      </c>
      <c r="M1011">
        <f>SUMIF(TArticle[تاریخ],TDays[[#This Row],[تاریخ]],TArticle[افزایش بدهی])</f>
        <v>0</v>
      </c>
      <c r="N1011">
        <f>-SUMIF(TArticle[تاریخ],TDays[[#This Row],[تاریخ]],TArticle[افزایش سرمایه])</f>
        <v>0</v>
      </c>
      <c r="O1011">
        <f>SUMIF(TArticle[تاریخ],TDays[[#This Row],[تاریخ]],TArticle[تعداد تراکنش انجام شده])</f>
        <v>0</v>
      </c>
      <c r="P1011">
        <f>INT(((TDays[[#This Row],[ماه]]-1)*31+TDays[[#This Row],[روز]]+1)/7)+1</f>
        <v>41</v>
      </c>
      <c r="Q1011">
        <f>SUMIF(TArticle[تاریخ],TDays[[#This Row],[تاریخ]],TArticle[تراکنش برنامه ریزی شده])</f>
        <v>1</v>
      </c>
    </row>
    <row r="1012" spans="1:17" x14ac:dyDescent="0.25">
      <c r="A1012" s="3" t="s">
        <v>1506</v>
      </c>
      <c r="B1012" t="str">
        <f>RIGHT(TDays[[#This Row],[تاریخ]],2)</f>
        <v>05</v>
      </c>
      <c r="C1012" t="str">
        <f>RIGHT(LEFT(TDays[[#This Row],[تاریخ]],7),2)</f>
        <v>10</v>
      </c>
      <c r="D1012" t="str">
        <f>LEFT(TDays[[#This Row],[تاریخ]],4)</f>
        <v>1403</v>
      </c>
      <c r="E1012" t="str">
        <f>LEFT(TDays[[#This Row],[تاریخ]],7)</f>
        <v>1403-10</v>
      </c>
      <c r="F1012">
        <v>4</v>
      </c>
      <c r="G1012" s="16" t="str">
        <f>VLOOKUP(TDays[[#This Row],[کد روز هفته]],TDaysOfTheWeek[],2,FALSE)</f>
        <v>چهارشنبه</v>
      </c>
      <c r="H1012" s="16">
        <f>IFERROR(IF(E1011&lt;&gt;E1012,1,INT(H1011)+IF(TDays[[#This Row],[کد روز هفته]]=0,1,0)),1)</f>
        <v>1</v>
      </c>
      <c r="I1012">
        <f>-SUMIF(TArticle[تاریخ],TDays[[#This Row],[تاریخ]],TArticle[هزینه])</f>
        <v>0</v>
      </c>
      <c r="J1012">
        <f>SUMIF(TArticle[تاریخ],TDays[[#This Row],[تاریخ]],TArticle[درآمد تتا])</f>
        <v>0</v>
      </c>
      <c r="K1012">
        <f>SUMIF(TArticle[تاریخ],TDays[[#This Row],[تاریخ]],TArticle[اسنپ])</f>
        <v>0</v>
      </c>
      <c r="L1012">
        <f>-SUMIF(TArticle[تاریخ],TDays[[#This Row],[تاریخ]],TArticle[پرداخت بدهی])</f>
        <v>0</v>
      </c>
      <c r="M1012">
        <f>SUMIF(TArticle[تاریخ],TDays[[#This Row],[تاریخ]],TArticle[افزایش بدهی])</f>
        <v>0</v>
      </c>
      <c r="N1012">
        <f>-SUMIF(TArticle[تاریخ],TDays[[#This Row],[تاریخ]],TArticle[افزایش سرمایه])</f>
        <v>0</v>
      </c>
      <c r="O1012">
        <f>SUMIF(TArticle[تاریخ],TDays[[#This Row],[تاریخ]],TArticle[تعداد تراکنش انجام شده])</f>
        <v>0</v>
      </c>
      <c r="P1012">
        <f>INT(((TDays[[#This Row],[ماه]]-1)*31+TDays[[#This Row],[روز]]+1)/7)+1</f>
        <v>41</v>
      </c>
      <c r="Q1012">
        <f>SUMIF(TArticle[تاریخ],TDays[[#This Row],[تاریخ]],TArticle[تراکنش برنامه ریزی شده])</f>
        <v>0</v>
      </c>
    </row>
    <row r="1013" spans="1:17" x14ac:dyDescent="0.25">
      <c r="A1013" s="3" t="s">
        <v>1507</v>
      </c>
      <c r="B1013" t="str">
        <f>RIGHT(TDays[[#This Row],[تاریخ]],2)</f>
        <v>06</v>
      </c>
      <c r="C1013" t="str">
        <f>RIGHT(LEFT(TDays[[#This Row],[تاریخ]],7),2)</f>
        <v>10</v>
      </c>
      <c r="D1013" t="str">
        <f>LEFT(TDays[[#This Row],[تاریخ]],4)</f>
        <v>1403</v>
      </c>
      <c r="E1013" t="str">
        <f>LEFT(TDays[[#This Row],[تاریخ]],7)</f>
        <v>1403-10</v>
      </c>
      <c r="F1013">
        <v>5</v>
      </c>
      <c r="G1013" s="16" t="str">
        <f>VLOOKUP(TDays[[#This Row],[کد روز هفته]],TDaysOfTheWeek[],2,FALSE)</f>
        <v>پنجشنبه</v>
      </c>
      <c r="H1013" s="16">
        <f>IFERROR(IF(E1012&lt;&gt;E1013,1,INT(H1012)+IF(TDays[[#This Row],[کد روز هفته]]=0,1,0)),1)</f>
        <v>1</v>
      </c>
      <c r="I1013">
        <f>-SUMIF(TArticle[تاریخ],TDays[[#This Row],[تاریخ]],TArticle[هزینه])</f>
        <v>0</v>
      </c>
      <c r="J1013">
        <f>SUMIF(TArticle[تاریخ],TDays[[#This Row],[تاریخ]],TArticle[درآمد تتا])</f>
        <v>0</v>
      </c>
      <c r="K1013">
        <f>SUMIF(TArticle[تاریخ],TDays[[#This Row],[تاریخ]],TArticle[اسنپ])</f>
        <v>0</v>
      </c>
      <c r="L1013">
        <f>-SUMIF(TArticle[تاریخ],TDays[[#This Row],[تاریخ]],TArticle[پرداخت بدهی])</f>
        <v>0</v>
      </c>
      <c r="M1013">
        <f>SUMIF(TArticle[تاریخ],TDays[[#This Row],[تاریخ]],TArticle[افزایش بدهی])</f>
        <v>0</v>
      </c>
      <c r="N1013">
        <f>-SUMIF(TArticle[تاریخ],TDays[[#This Row],[تاریخ]],TArticle[افزایش سرمایه])</f>
        <v>0</v>
      </c>
      <c r="O1013">
        <f>SUMIF(TArticle[تاریخ],TDays[[#This Row],[تاریخ]],TArticle[تعداد تراکنش انجام شده])</f>
        <v>0</v>
      </c>
      <c r="P1013">
        <f>INT(((TDays[[#This Row],[ماه]]-1)*31+TDays[[#This Row],[روز]]+1)/7)+1</f>
        <v>41</v>
      </c>
      <c r="Q1013">
        <f>SUMIF(TArticle[تاریخ],TDays[[#This Row],[تاریخ]],TArticle[تراکنش برنامه ریزی شده])</f>
        <v>0</v>
      </c>
    </row>
    <row r="1014" spans="1:17" x14ac:dyDescent="0.25">
      <c r="A1014" s="3" t="s">
        <v>1508</v>
      </c>
      <c r="B1014" t="str">
        <f>RIGHT(TDays[[#This Row],[تاریخ]],2)</f>
        <v>07</v>
      </c>
      <c r="C1014" t="str">
        <f>RIGHT(LEFT(TDays[[#This Row],[تاریخ]],7),2)</f>
        <v>10</v>
      </c>
      <c r="D1014" t="str">
        <f>LEFT(TDays[[#This Row],[تاریخ]],4)</f>
        <v>1403</v>
      </c>
      <c r="E1014" t="str">
        <f>LEFT(TDays[[#This Row],[تاریخ]],7)</f>
        <v>1403-10</v>
      </c>
      <c r="F1014">
        <v>6</v>
      </c>
      <c r="G1014" s="16" t="str">
        <f>VLOOKUP(TDays[[#This Row],[کد روز هفته]],TDaysOfTheWeek[],2,FALSE)</f>
        <v>جمعه</v>
      </c>
      <c r="H1014" s="16">
        <f>IFERROR(IF(E1013&lt;&gt;E1014,1,INT(H1013)+IF(TDays[[#This Row],[کد روز هفته]]=0,1,0)),1)</f>
        <v>1</v>
      </c>
      <c r="I1014">
        <f>-SUMIF(TArticle[تاریخ],TDays[[#This Row],[تاریخ]],TArticle[هزینه])</f>
        <v>0</v>
      </c>
      <c r="J1014">
        <f>SUMIF(TArticle[تاریخ],TDays[[#This Row],[تاریخ]],TArticle[درآمد تتا])</f>
        <v>0</v>
      </c>
      <c r="K1014">
        <f>SUMIF(TArticle[تاریخ],TDays[[#This Row],[تاریخ]],TArticle[اسنپ])</f>
        <v>0</v>
      </c>
      <c r="L1014">
        <f>-SUMIF(TArticle[تاریخ],TDays[[#This Row],[تاریخ]],TArticle[پرداخت بدهی])</f>
        <v>0</v>
      </c>
      <c r="M1014">
        <f>SUMIF(TArticle[تاریخ],TDays[[#This Row],[تاریخ]],TArticle[افزایش بدهی])</f>
        <v>0</v>
      </c>
      <c r="N1014">
        <f>-SUMIF(TArticle[تاریخ],TDays[[#This Row],[تاریخ]],TArticle[افزایش سرمایه])</f>
        <v>0</v>
      </c>
      <c r="O1014">
        <f>SUMIF(TArticle[تاریخ],TDays[[#This Row],[تاریخ]],TArticle[تعداد تراکنش انجام شده])</f>
        <v>0</v>
      </c>
      <c r="P1014">
        <f>INT(((TDays[[#This Row],[ماه]]-1)*31+TDays[[#This Row],[روز]]+1)/7)+1</f>
        <v>42</v>
      </c>
      <c r="Q1014">
        <f>SUMIF(TArticle[تاریخ],TDays[[#This Row],[تاریخ]],TArticle[تراکنش برنامه ریزی شده])</f>
        <v>0</v>
      </c>
    </row>
    <row r="1015" spans="1:17" x14ac:dyDescent="0.25">
      <c r="A1015" s="3" t="s">
        <v>1509</v>
      </c>
      <c r="B1015" t="str">
        <f>RIGHT(TDays[[#This Row],[تاریخ]],2)</f>
        <v>08</v>
      </c>
      <c r="C1015" t="str">
        <f>RIGHT(LEFT(TDays[[#This Row],[تاریخ]],7),2)</f>
        <v>10</v>
      </c>
      <c r="D1015" t="str">
        <f>LEFT(TDays[[#This Row],[تاریخ]],4)</f>
        <v>1403</v>
      </c>
      <c r="E1015" t="str">
        <f>LEFT(TDays[[#This Row],[تاریخ]],7)</f>
        <v>1403-10</v>
      </c>
      <c r="F1015">
        <v>0</v>
      </c>
      <c r="G1015" s="16" t="str">
        <f>VLOOKUP(TDays[[#This Row],[کد روز هفته]],TDaysOfTheWeek[],2,FALSE)</f>
        <v>شنبه</v>
      </c>
      <c r="H1015" s="16">
        <f>IFERROR(IF(E1014&lt;&gt;E1015,1,INT(H1014)+IF(TDays[[#This Row],[کد روز هفته]]=0,1,0)),1)</f>
        <v>2</v>
      </c>
      <c r="I1015">
        <f>-SUMIF(TArticle[تاریخ],TDays[[#This Row],[تاریخ]],TArticle[هزینه])</f>
        <v>0</v>
      </c>
      <c r="J1015">
        <f>SUMIF(TArticle[تاریخ],TDays[[#This Row],[تاریخ]],TArticle[درآمد تتا])</f>
        <v>0</v>
      </c>
      <c r="K1015">
        <f>SUMIF(TArticle[تاریخ],TDays[[#This Row],[تاریخ]],TArticle[اسنپ])</f>
        <v>0</v>
      </c>
      <c r="L1015">
        <f>-SUMIF(TArticle[تاریخ],TDays[[#This Row],[تاریخ]],TArticle[پرداخت بدهی])</f>
        <v>0</v>
      </c>
      <c r="M1015">
        <f>SUMIF(TArticle[تاریخ],TDays[[#This Row],[تاریخ]],TArticle[افزایش بدهی])</f>
        <v>0</v>
      </c>
      <c r="N1015">
        <f>-SUMIF(TArticle[تاریخ],TDays[[#This Row],[تاریخ]],TArticle[افزایش سرمایه])</f>
        <v>0</v>
      </c>
      <c r="O1015">
        <f>SUMIF(TArticle[تاریخ],TDays[[#This Row],[تاریخ]],TArticle[تعداد تراکنش انجام شده])</f>
        <v>0</v>
      </c>
      <c r="P1015">
        <f>INT(((TDays[[#This Row],[ماه]]-1)*31+TDays[[#This Row],[روز]]+1)/7)+1</f>
        <v>42</v>
      </c>
      <c r="Q1015">
        <f>SUMIF(TArticle[تاریخ],TDays[[#This Row],[تاریخ]],TArticle[تراکنش برنامه ریزی شده])</f>
        <v>0</v>
      </c>
    </row>
    <row r="1016" spans="1:17" x14ac:dyDescent="0.25">
      <c r="A1016" s="3" t="s">
        <v>1510</v>
      </c>
      <c r="B1016" t="str">
        <f>RIGHT(TDays[[#This Row],[تاریخ]],2)</f>
        <v>09</v>
      </c>
      <c r="C1016" t="str">
        <f>RIGHT(LEFT(TDays[[#This Row],[تاریخ]],7),2)</f>
        <v>10</v>
      </c>
      <c r="D1016" t="str">
        <f>LEFT(TDays[[#This Row],[تاریخ]],4)</f>
        <v>1403</v>
      </c>
      <c r="E1016" t="str">
        <f>LEFT(TDays[[#This Row],[تاریخ]],7)</f>
        <v>1403-10</v>
      </c>
      <c r="F1016">
        <v>1</v>
      </c>
      <c r="G1016" s="16" t="str">
        <f>VLOOKUP(TDays[[#This Row],[کد روز هفته]],TDaysOfTheWeek[],2,FALSE)</f>
        <v>یکشنبه</v>
      </c>
      <c r="H1016" s="16">
        <f>IFERROR(IF(E1015&lt;&gt;E1016,1,INT(H1015)+IF(TDays[[#This Row],[کد روز هفته]]=0,1,0)),1)</f>
        <v>2</v>
      </c>
      <c r="I1016">
        <f>-SUMIF(TArticle[تاریخ],TDays[[#This Row],[تاریخ]],TArticle[هزینه])</f>
        <v>0</v>
      </c>
      <c r="J1016">
        <f>SUMIF(TArticle[تاریخ],TDays[[#This Row],[تاریخ]],TArticle[درآمد تتا])</f>
        <v>0</v>
      </c>
      <c r="K1016">
        <f>SUMIF(TArticle[تاریخ],TDays[[#This Row],[تاریخ]],TArticle[اسنپ])</f>
        <v>0</v>
      </c>
      <c r="L1016">
        <f>-SUMIF(TArticle[تاریخ],TDays[[#This Row],[تاریخ]],TArticle[پرداخت بدهی])</f>
        <v>0</v>
      </c>
      <c r="M1016">
        <f>SUMIF(TArticle[تاریخ],TDays[[#This Row],[تاریخ]],TArticle[افزایش بدهی])</f>
        <v>0</v>
      </c>
      <c r="N1016">
        <f>-SUMIF(TArticle[تاریخ],TDays[[#This Row],[تاریخ]],TArticle[افزایش سرمایه])</f>
        <v>0</v>
      </c>
      <c r="O1016">
        <f>SUMIF(TArticle[تاریخ],TDays[[#This Row],[تاریخ]],TArticle[تعداد تراکنش انجام شده])</f>
        <v>0</v>
      </c>
      <c r="P1016">
        <f>INT(((TDays[[#This Row],[ماه]]-1)*31+TDays[[#This Row],[روز]]+1)/7)+1</f>
        <v>42</v>
      </c>
      <c r="Q1016">
        <f>SUMIF(TArticle[تاریخ],TDays[[#This Row],[تاریخ]],TArticle[تراکنش برنامه ریزی شده])</f>
        <v>1</v>
      </c>
    </row>
    <row r="1017" spans="1:17" x14ac:dyDescent="0.25">
      <c r="A1017" s="3" t="s">
        <v>1511</v>
      </c>
      <c r="B1017" t="str">
        <f>RIGHT(TDays[[#This Row],[تاریخ]],2)</f>
        <v>10</v>
      </c>
      <c r="C1017" t="str">
        <f>RIGHT(LEFT(TDays[[#This Row],[تاریخ]],7),2)</f>
        <v>10</v>
      </c>
      <c r="D1017" t="str">
        <f>LEFT(TDays[[#This Row],[تاریخ]],4)</f>
        <v>1403</v>
      </c>
      <c r="E1017" t="str">
        <f>LEFT(TDays[[#This Row],[تاریخ]],7)</f>
        <v>1403-10</v>
      </c>
      <c r="F1017">
        <v>2</v>
      </c>
      <c r="G1017" s="16" t="str">
        <f>VLOOKUP(TDays[[#This Row],[کد روز هفته]],TDaysOfTheWeek[],2,FALSE)</f>
        <v>دوشنبه</v>
      </c>
      <c r="H1017" s="16">
        <f>IFERROR(IF(E1016&lt;&gt;E1017,1,INT(H1016)+IF(TDays[[#This Row],[کد روز هفته]]=0,1,0)),1)</f>
        <v>2</v>
      </c>
      <c r="I1017">
        <f>-SUMIF(TArticle[تاریخ],TDays[[#This Row],[تاریخ]],TArticle[هزینه])</f>
        <v>0</v>
      </c>
      <c r="J1017">
        <f>SUMIF(TArticle[تاریخ],TDays[[#This Row],[تاریخ]],TArticle[درآمد تتا])</f>
        <v>0</v>
      </c>
      <c r="K1017">
        <f>SUMIF(TArticle[تاریخ],TDays[[#This Row],[تاریخ]],TArticle[اسنپ])</f>
        <v>0</v>
      </c>
      <c r="L1017">
        <f>-SUMIF(TArticle[تاریخ],TDays[[#This Row],[تاریخ]],TArticle[پرداخت بدهی])</f>
        <v>0</v>
      </c>
      <c r="M1017">
        <f>SUMIF(TArticle[تاریخ],TDays[[#This Row],[تاریخ]],TArticle[افزایش بدهی])</f>
        <v>0</v>
      </c>
      <c r="N1017">
        <f>-SUMIF(TArticle[تاریخ],TDays[[#This Row],[تاریخ]],TArticle[افزایش سرمایه])</f>
        <v>0</v>
      </c>
      <c r="O1017">
        <f>SUMIF(TArticle[تاریخ],TDays[[#This Row],[تاریخ]],TArticle[تعداد تراکنش انجام شده])</f>
        <v>0</v>
      </c>
      <c r="P1017">
        <f>INT(((TDays[[#This Row],[ماه]]-1)*31+TDays[[#This Row],[روز]]+1)/7)+1</f>
        <v>42</v>
      </c>
      <c r="Q1017">
        <f>SUMIF(TArticle[تاریخ],TDays[[#This Row],[تاریخ]],TArticle[تراکنش برنامه ریزی شده])</f>
        <v>0</v>
      </c>
    </row>
    <row r="1018" spans="1:17" x14ac:dyDescent="0.25">
      <c r="A1018" s="3" t="s">
        <v>1512</v>
      </c>
      <c r="B1018" t="str">
        <f>RIGHT(TDays[[#This Row],[تاریخ]],2)</f>
        <v>11</v>
      </c>
      <c r="C1018" t="str">
        <f>RIGHT(LEFT(TDays[[#This Row],[تاریخ]],7),2)</f>
        <v>10</v>
      </c>
      <c r="D1018" t="str">
        <f>LEFT(TDays[[#This Row],[تاریخ]],4)</f>
        <v>1403</v>
      </c>
      <c r="E1018" t="str">
        <f>LEFT(TDays[[#This Row],[تاریخ]],7)</f>
        <v>1403-10</v>
      </c>
      <c r="F1018">
        <v>3</v>
      </c>
      <c r="G1018" s="16" t="str">
        <f>VLOOKUP(TDays[[#This Row],[کد روز هفته]],TDaysOfTheWeek[],2,FALSE)</f>
        <v>سه شنبه</v>
      </c>
      <c r="H1018" s="16">
        <f>IFERROR(IF(E1017&lt;&gt;E1018,1,INT(H1017)+IF(TDays[[#This Row],[کد روز هفته]]=0,1,0)),1)</f>
        <v>2</v>
      </c>
      <c r="I1018">
        <f>-SUMIF(TArticle[تاریخ],TDays[[#This Row],[تاریخ]],TArticle[هزینه])</f>
        <v>0</v>
      </c>
      <c r="J1018">
        <f>SUMIF(TArticle[تاریخ],TDays[[#This Row],[تاریخ]],TArticle[درآمد تتا])</f>
        <v>0</v>
      </c>
      <c r="K1018">
        <f>SUMIF(TArticle[تاریخ],TDays[[#This Row],[تاریخ]],TArticle[اسنپ])</f>
        <v>0</v>
      </c>
      <c r="L1018">
        <f>-SUMIF(TArticle[تاریخ],TDays[[#This Row],[تاریخ]],TArticle[پرداخت بدهی])</f>
        <v>0</v>
      </c>
      <c r="M1018">
        <f>SUMIF(TArticle[تاریخ],TDays[[#This Row],[تاریخ]],TArticle[افزایش بدهی])</f>
        <v>0</v>
      </c>
      <c r="N1018">
        <f>-SUMIF(TArticle[تاریخ],TDays[[#This Row],[تاریخ]],TArticle[افزایش سرمایه])</f>
        <v>0</v>
      </c>
      <c r="O1018">
        <f>SUMIF(TArticle[تاریخ],TDays[[#This Row],[تاریخ]],TArticle[تعداد تراکنش انجام شده])</f>
        <v>0</v>
      </c>
      <c r="P1018">
        <f>INT(((TDays[[#This Row],[ماه]]-1)*31+TDays[[#This Row],[روز]]+1)/7)+1</f>
        <v>42</v>
      </c>
      <c r="Q1018">
        <f>SUMIF(TArticle[تاریخ],TDays[[#This Row],[تاریخ]],TArticle[تراکنش برنامه ریزی شده])</f>
        <v>0</v>
      </c>
    </row>
    <row r="1019" spans="1:17" x14ac:dyDescent="0.25">
      <c r="A1019" s="3" t="s">
        <v>1513</v>
      </c>
      <c r="B1019" t="str">
        <f>RIGHT(TDays[[#This Row],[تاریخ]],2)</f>
        <v>12</v>
      </c>
      <c r="C1019" t="str">
        <f>RIGHT(LEFT(TDays[[#This Row],[تاریخ]],7),2)</f>
        <v>10</v>
      </c>
      <c r="D1019" t="str">
        <f>LEFT(TDays[[#This Row],[تاریخ]],4)</f>
        <v>1403</v>
      </c>
      <c r="E1019" t="str">
        <f>LEFT(TDays[[#This Row],[تاریخ]],7)</f>
        <v>1403-10</v>
      </c>
      <c r="F1019">
        <v>4</v>
      </c>
      <c r="G1019" s="16" t="str">
        <f>VLOOKUP(TDays[[#This Row],[کد روز هفته]],TDaysOfTheWeek[],2,FALSE)</f>
        <v>چهارشنبه</v>
      </c>
      <c r="H1019" s="16">
        <f>IFERROR(IF(E1018&lt;&gt;E1019,1,INT(H1018)+IF(TDays[[#This Row],[کد روز هفته]]=0,1,0)),1)</f>
        <v>2</v>
      </c>
      <c r="I1019">
        <f>-SUMIF(TArticle[تاریخ],TDays[[#This Row],[تاریخ]],TArticle[هزینه])</f>
        <v>0</v>
      </c>
      <c r="J1019">
        <f>SUMIF(TArticle[تاریخ],TDays[[#This Row],[تاریخ]],TArticle[درآمد تتا])</f>
        <v>0</v>
      </c>
      <c r="K1019">
        <f>SUMIF(TArticle[تاریخ],TDays[[#This Row],[تاریخ]],TArticle[اسنپ])</f>
        <v>0</v>
      </c>
      <c r="L1019">
        <f>-SUMIF(TArticle[تاریخ],TDays[[#This Row],[تاریخ]],TArticle[پرداخت بدهی])</f>
        <v>0</v>
      </c>
      <c r="M1019">
        <f>SUMIF(TArticle[تاریخ],TDays[[#This Row],[تاریخ]],TArticle[افزایش بدهی])</f>
        <v>0</v>
      </c>
      <c r="N1019">
        <f>-SUMIF(TArticle[تاریخ],TDays[[#This Row],[تاریخ]],TArticle[افزایش سرمایه])</f>
        <v>0</v>
      </c>
      <c r="O1019">
        <f>SUMIF(TArticle[تاریخ],TDays[[#This Row],[تاریخ]],TArticle[تعداد تراکنش انجام شده])</f>
        <v>0</v>
      </c>
      <c r="P1019">
        <f>INT(((TDays[[#This Row],[ماه]]-1)*31+TDays[[#This Row],[روز]]+1)/7)+1</f>
        <v>42</v>
      </c>
      <c r="Q1019">
        <f>SUMIF(TArticle[تاریخ],TDays[[#This Row],[تاریخ]],TArticle[تراکنش برنامه ریزی شده])</f>
        <v>0</v>
      </c>
    </row>
    <row r="1020" spans="1:17" x14ac:dyDescent="0.25">
      <c r="A1020" s="3" t="s">
        <v>1514</v>
      </c>
      <c r="B1020" t="str">
        <f>RIGHT(TDays[[#This Row],[تاریخ]],2)</f>
        <v>13</v>
      </c>
      <c r="C1020" t="str">
        <f>RIGHT(LEFT(TDays[[#This Row],[تاریخ]],7),2)</f>
        <v>10</v>
      </c>
      <c r="D1020" t="str">
        <f>LEFT(TDays[[#This Row],[تاریخ]],4)</f>
        <v>1403</v>
      </c>
      <c r="E1020" t="str">
        <f>LEFT(TDays[[#This Row],[تاریخ]],7)</f>
        <v>1403-10</v>
      </c>
      <c r="F1020">
        <v>5</v>
      </c>
      <c r="G1020" s="16" t="str">
        <f>VLOOKUP(TDays[[#This Row],[کد روز هفته]],TDaysOfTheWeek[],2,FALSE)</f>
        <v>پنجشنبه</v>
      </c>
      <c r="H1020" s="16">
        <f>IFERROR(IF(E1019&lt;&gt;E1020,1,INT(H1019)+IF(TDays[[#This Row],[کد روز هفته]]=0,1,0)),1)</f>
        <v>2</v>
      </c>
      <c r="I1020">
        <f>-SUMIF(TArticle[تاریخ],TDays[[#This Row],[تاریخ]],TArticle[هزینه])</f>
        <v>0</v>
      </c>
      <c r="J1020">
        <f>SUMIF(TArticle[تاریخ],TDays[[#This Row],[تاریخ]],TArticle[درآمد تتا])</f>
        <v>0</v>
      </c>
      <c r="K1020">
        <f>SUMIF(TArticle[تاریخ],TDays[[#This Row],[تاریخ]],TArticle[اسنپ])</f>
        <v>0</v>
      </c>
      <c r="L1020">
        <f>-SUMIF(TArticle[تاریخ],TDays[[#This Row],[تاریخ]],TArticle[پرداخت بدهی])</f>
        <v>0</v>
      </c>
      <c r="M1020">
        <f>SUMIF(TArticle[تاریخ],TDays[[#This Row],[تاریخ]],TArticle[افزایش بدهی])</f>
        <v>0</v>
      </c>
      <c r="N1020">
        <f>-SUMIF(TArticle[تاریخ],TDays[[#This Row],[تاریخ]],TArticle[افزایش سرمایه])</f>
        <v>0</v>
      </c>
      <c r="O1020">
        <f>SUMIF(TArticle[تاریخ],TDays[[#This Row],[تاریخ]],TArticle[تعداد تراکنش انجام شده])</f>
        <v>0</v>
      </c>
      <c r="P1020">
        <f>INT(((TDays[[#This Row],[ماه]]-1)*31+TDays[[#This Row],[روز]]+1)/7)+1</f>
        <v>42</v>
      </c>
      <c r="Q1020">
        <f>SUMIF(TArticle[تاریخ],TDays[[#This Row],[تاریخ]],TArticle[تراکنش برنامه ریزی شده])</f>
        <v>0</v>
      </c>
    </row>
    <row r="1021" spans="1:17" x14ac:dyDescent="0.25">
      <c r="A1021" s="3" t="s">
        <v>1515</v>
      </c>
      <c r="B1021" t="str">
        <f>RIGHT(TDays[[#This Row],[تاریخ]],2)</f>
        <v>14</v>
      </c>
      <c r="C1021" t="str">
        <f>RIGHT(LEFT(TDays[[#This Row],[تاریخ]],7),2)</f>
        <v>10</v>
      </c>
      <c r="D1021" t="str">
        <f>LEFT(TDays[[#This Row],[تاریخ]],4)</f>
        <v>1403</v>
      </c>
      <c r="E1021" t="str">
        <f>LEFT(TDays[[#This Row],[تاریخ]],7)</f>
        <v>1403-10</v>
      </c>
      <c r="F1021">
        <v>6</v>
      </c>
      <c r="G1021" s="16" t="str">
        <f>VLOOKUP(TDays[[#This Row],[کد روز هفته]],TDaysOfTheWeek[],2,FALSE)</f>
        <v>جمعه</v>
      </c>
      <c r="H1021" s="16">
        <f>IFERROR(IF(E1020&lt;&gt;E1021,1,INT(H1020)+IF(TDays[[#This Row],[کد روز هفته]]=0,1,0)),1)</f>
        <v>2</v>
      </c>
      <c r="I1021">
        <f>-SUMIF(TArticle[تاریخ],TDays[[#This Row],[تاریخ]],TArticle[هزینه])</f>
        <v>0</v>
      </c>
      <c r="J1021">
        <f>SUMIF(TArticle[تاریخ],TDays[[#This Row],[تاریخ]],TArticle[درآمد تتا])</f>
        <v>0</v>
      </c>
      <c r="K1021">
        <f>SUMIF(TArticle[تاریخ],TDays[[#This Row],[تاریخ]],TArticle[اسنپ])</f>
        <v>0</v>
      </c>
      <c r="L1021">
        <f>-SUMIF(TArticle[تاریخ],TDays[[#This Row],[تاریخ]],TArticle[پرداخت بدهی])</f>
        <v>0</v>
      </c>
      <c r="M1021">
        <f>SUMIF(TArticle[تاریخ],TDays[[#This Row],[تاریخ]],TArticle[افزایش بدهی])</f>
        <v>0</v>
      </c>
      <c r="N1021">
        <f>-SUMIF(TArticle[تاریخ],TDays[[#This Row],[تاریخ]],TArticle[افزایش سرمایه])</f>
        <v>0</v>
      </c>
      <c r="O1021">
        <f>SUMIF(TArticle[تاریخ],TDays[[#This Row],[تاریخ]],TArticle[تعداد تراکنش انجام شده])</f>
        <v>0</v>
      </c>
      <c r="P1021">
        <f>INT(((TDays[[#This Row],[ماه]]-1)*31+TDays[[#This Row],[روز]]+1)/7)+1</f>
        <v>43</v>
      </c>
      <c r="Q1021">
        <f>SUMIF(TArticle[تاریخ],TDays[[#This Row],[تاریخ]],TArticle[تراکنش برنامه ریزی شده])</f>
        <v>0</v>
      </c>
    </row>
    <row r="1022" spans="1:17" x14ac:dyDescent="0.25">
      <c r="A1022" s="3" t="s">
        <v>1516</v>
      </c>
      <c r="B1022" t="str">
        <f>RIGHT(TDays[[#This Row],[تاریخ]],2)</f>
        <v>15</v>
      </c>
      <c r="C1022" t="str">
        <f>RIGHT(LEFT(TDays[[#This Row],[تاریخ]],7),2)</f>
        <v>10</v>
      </c>
      <c r="D1022" t="str">
        <f>LEFT(TDays[[#This Row],[تاریخ]],4)</f>
        <v>1403</v>
      </c>
      <c r="E1022" t="str">
        <f>LEFT(TDays[[#This Row],[تاریخ]],7)</f>
        <v>1403-10</v>
      </c>
      <c r="F1022">
        <v>0</v>
      </c>
      <c r="G1022" s="16" t="str">
        <f>VLOOKUP(TDays[[#This Row],[کد روز هفته]],TDaysOfTheWeek[],2,FALSE)</f>
        <v>شنبه</v>
      </c>
      <c r="H1022" s="16">
        <f>IFERROR(IF(E1021&lt;&gt;E1022,1,INT(H1021)+IF(TDays[[#This Row],[کد روز هفته]]=0,1,0)),1)</f>
        <v>3</v>
      </c>
      <c r="I1022">
        <f>-SUMIF(TArticle[تاریخ],TDays[[#This Row],[تاریخ]],TArticle[هزینه])</f>
        <v>0</v>
      </c>
      <c r="J1022">
        <f>SUMIF(TArticle[تاریخ],TDays[[#This Row],[تاریخ]],TArticle[درآمد تتا])</f>
        <v>0</v>
      </c>
      <c r="K1022">
        <f>SUMIF(TArticle[تاریخ],TDays[[#This Row],[تاریخ]],TArticle[اسنپ])</f>
        <v>0</v>
      </c>
      <c r="L1022">
        <f>-SUMIF(TArticle[تاریخ],TDays[[#This Row],[تاریخ]],TArticle[پرداخت بدهی])</f>
        <v>0</v>
      </c>
      <c r="M1022">
        <f>SUMIF(TArticle[تاریخ],TDays[[#This Row],[تاریخ]],TArticle[افزایش بدهی])</f>
        <v>0</v>
      </c>
      <c r="N1022">
        <f>-SUMIF(TArticle[تاریخ],TDays[[#This Row],[تاریخ]],TArticle[افزایش سرمایه])</f>
        <v>0</v>
      </c>
      <c r="O1022">
        <f>SUMIF(TArticle[تاریخ],TDays[[#This Row],[تاریخ]],TArticle[تعداد تراکنش انجام شده])</f>
        <v>0</v>
      </c>
      <c r="P1022">
        <f>INT(((TDays[[#This Row],[ماه]]-1)*31+TDays[[#This Row],[روز]]+1)/7)+1</f>
        <v>43</v>
      </c>
      <c r="Q1022">
        <f>SUMIF(TArticle[تاریخ],TDays[[#This Row],[تاریخ]],TArticle[تراکنش برنامه ریزی شده])</f>
        <v>0</v>
      </c>
    </row>
    <row r="1023" spans="1:17" x14ac:dyDescent="0.25">
      <c r="A1023" s="3" t="s">
        <v>1517</v>
      </c>
      <c r="B1023" t="str">
        <f>RIGHT(TDays[[#This Row],[تاریخ]],2)</f>
        <v>16</v>
      </c>
      <c r="C1023" t="str">
        <f>RIGHT(LEFT(TDays[[#This Row],[تاریخ]],7),2)</f>
        <v>10</v>
      </c>
      <c r="D1023" t="str">
        <f>LEFT(TDays[[#This Row],[تاریخ]],4)</f>
        <v>1403</v>
      </c>
      <c r="E1023" t="str">
        <f>LEFT(TDays[[#This Row],[تاریخ]],7)</f>
        <v>1403-10</v>
      </c>
      <c r="F1023">
        <v>1</v>
      </c>
      <c r="G1023" s="16" t="str">
        <f>VLOOKUP(TDays[[#This Row],[کد روز هفته]],TDaysOfTheWeek[],2,FALSE)</f>
        <v>یکشنبه</v>
      </c>
      <c r="H1023" s="16">
        <f>IFERROR(IF(E1022&lt;&gt;E1023,1,INT(H1022)+IF(TDays[[#This Row],[کد روز هفته]]=0,1,0)),1)</f>
        <v>3</v>
      </c>
      <c r="I1023">
        <f>-SUMIF(TArticle[تاریخ],TDays[[#This Row],[تاریخ]],TArticle[هزینه])</f>
        <v>0</v>
      </c>
      <c r="J1023">
        <f>SUMIF(TArticle[تاریخ],TDays[[#This Row],[تاریخ]],TArticle[درآمد تتا])</f>
        <v>0</v>
      </c>
      <c r="K1023">
        <f>SUMIF(TArticle[تاریخ],TDays[[#This Row],[تاریخ]],TArticle[اسنپ])</f>
        <v>0</v>
      </c>
      <c r="L1023">
        <f>-SUMIF(TArticle[تاریخ],TDays[[#This Row],[تاریخ]],TArticle[پرداخت بدهی])</f>
        <v>0</v>
      </c>
      <c r="M1023">
        <f>SUMIF(TArticle[تاریخ],TDays[[#This Row],[تاریخ]],TArticle[افزایش بدهی])</f>
        <v>0</v>
      </c>
      <c r="N1023">
        <f>-SUMIF(TArticle[تاریخ],TDays[[#This Row],[تاریخ]],TArticle[افزایش سرمایه])</f>
        <v>0</v>
      </c>
      <c r="O1023">
        <f>SUMIF(TArticle[تاریخ],TDays[[#This Row],[تاریخ]],TArticle[تعداد تراکنش انجام شده])</f>
        <v>0</v>
      </c>
      <c r="P1023">
        <f>INT(((TDays[[#This Row],[ماه]]-1)*31+TDays[[#This Row],[روز]]+1)/7)+1</f>
        <v>43</v>
      </c>
      <c r="Q1023">
        <f>SUMIF(TArticle[تاریخ],TDays[[#This Row],[تاریخ]],TArticle[تراکنش برنامه ریزی شده])</f>
        <v>0</v>
      </c>
    </row>
    <row r="1024" spans="1:17" x14ac:dyDescent="0.25">
      <c r="A1024" s="3" t="s">
        <v>1518</v>
      </c>
      <c r="B1024" t="str">
        <f>RIGHT(TDays[[#This Row],[تاریخ]],2)</f>
        <v>17</v>
      </c>
      <c r="C1024" t="str">
        <f>RIGHT(LEFT(TDays[[#This Row],[تاریخ]],7),2)</f>
        <v>10</v>
      </c>
      <c r="D1024" t="str">
        <f>LEFT(TDays[[#This Row],[تاریخ]],4)</f>
        <v>1403</v>
      </c>
      <c r="E1024" t="str">
        <f>LEFT(TDays[[#This Row],[تاریخ]],7)</f>
        <v>1403-10</v>
      </c>
      <c r="F1024">
        <v>2</v>
      </c>
      <c r="G1024" s="16" t="str">
        <f>VLOOKUP(TDays[[#This Row],[کد روز هفته]],TDaysOfTheWeek[],2,FALSE)</f>
        <v>دوشنبه</v>
      </c>
      <c r="H1024" s="16">
        <f>IFERROR(IF(E1023&lt;&gt;E1024,1,INT(H1023)+IF(TDays[[#This Row],[کد روز هفته]]=0,1,0)),1)</f>
        <v>3</v>
      </c>
      <c r="I1024">
        <f>-SUMIF(TArticle[تاریخ],TDays[[#This Row],[تاریخ]],TArticle[هزینه])</f>
        <v>0</v>
      </c>
      <c r="J1024">
        <f>SUMIF(TArticle[تاریخ],TDays[[#This Row],[تاریخ]],TArticle[درآمد تتا])</f>
        <v>0</v>
      </c>
      <c r="K1024">
        <f>SUMIF(TArticle[تاریخ],TDays[[#This Row],[تاریخ]],TArticle[اسنپ])</f>
        <v>0</v>
      </c>
      <c r="L1024">
        <f>-SUMIF(TArticle[تاریخ],TDays[[#This Row],[تاریخ]],TArticle[پرداخت بدهی])</f>
        <v>0</v>
      </c>
      <c r="M1024">
        <f>SUMIF(TArticle[تاریخ],TDays[[#This Row],[تاریخ]],TArticle[افزایش بدهی])</f>
        <v>0</v>
      </c>
      <c r="N1024">
        <f>-SUMIF(TArticle[تاریخ],TDays[[#This Row],[تاریخ]],TArticle[افزایش سرمایه])</f>
        <v>0</v>
      </c>
      <c r="O1024">
        <f>SUMIF(TArticle[تاریخ],TDays[[#This Row],[تاریخ]],TArticle[تعداد تراکنش انجام شده])</f>
        <v>0</v>
      </c>
      <c r="P1024">
        <f>INT(((TDays[[#This Row],[ماه]]-1)*31+TDays[[#This Row],[روز]]+1)/7)+1</f>
        <v>43</v>
      </c>
      <c r="Q1024">
        <f>SUMIF(TArticle[تاریخ],TDays[[#This Row],[تاریخ]],TArticle[تراکنش برنامه ریزی شده])</f>
        <v>0</v>
      </c>
    </row>
    <row r="1025" spans="1:17" x14ac:dyDescent="0.25">
      <c r="A1025" s="3" t="s">
        <v>1519</v>
      </c>
      <c r="B1025" t="str">
        <f>RIGHT(TDays[[#This Row],[تاریخ]],2)</f>
        <v>18</v>
      </c>
      <c r="C1025" t="str">
        <f>RIGHT(LEFT(TDays[[#This Row],[تاریخ]],7),2)</f>
        <v>10</v>
      </c>
      <c r="D1025" t="str">
        <f>LEFT(TDays[[#This Row],[تاریخ]],4)</f>
        <v>1403</v>
      </c>
      <c r="E1025" t="str">
        <f>LEFT(TDays[[#This Row],[تاریخ]],7)</f>
        <v>1403-10</v>
      </c>
      <c r="F1025">
        <v>3</v>
      </c>
      <c r="G1025" s="16" t="str">
        <f>VLOOKUP(TDays[[#This Row],[کد روز هفته]],TDaysOfTheWeek[],2,FALSE)</f>
        <v>سه شنبه</v>
      </c>
      <c r="H1025" s="16">
        <f>IFERROR(IF(E1024&lt;&gt;E1025,1,INT(H1024)+IF(TDays[[#This Row],[کد روز هفته]]=0,1,0)),1)</f>
        <v>3</v>
      </c>
      <c r="I1025">
        <f>-SUMIF(TArticle[تاریخ],TDays[[#This Row],[تاریخ]],TArticle[هزینه])</f>
        <v>0</v>
      </c>
      <c r="J1025">
        <f>SUMIF(TArticle[تاریخ],TDays[[#This Row],[تاریخ]],TArticle[درآمد تتا])</f>
        <v>0</v>
      </c>
      <c r="K1025">
        <f>SUMIF(TArticle[تاریخ],TDays[[#This Row],[تاریخ]],TArticle[اسنپ])</f>
        <v>0</v>
      </c>
      <c r="L1025">
        <f>-SUMIF(TArticle[تاریخ],TDays[[#This Row],[تاریخ]],TArticle[پرداخت بدهی])</f>
        <v>0</v>
      </c>
      <c r="M1025">
        <f>SUMIF(TArticle[تاریخ],TDays[[#This Row],[تاریخ]],TArticle[افزایش بدهی])</f>
        <v>0</v>
      </c>
      <c r="N1025">
        <f>-SUMIF(TArticle[تاریخ],TDays[[#This Row],[تاریخ]],TArticle[افزایش سرمایه])</f>
        <v>0</v>
      </c>
      <c r="O1025">
        <f>SUMIF(TArticle[تاریخ],TDays[[#This Row],[تاریخ]],TArticle[تعداد تراکنش انجام شده])</f>
        <v>0</v>
      </c>
      <c r="P1025">
        <f>INT(((TDays[[#This Row],[ماه]]-1)*31+TDays[[#This Row],[روز]]+1)/7)+1</f>
        <v>43</v>
      </c>
      <c r="Q1025">
        <f>SUMIF(TArticle[تاریخ],TDays[[#This Row],[تاریخ]],TArticle[تراکنش برنامه ریزی شده])</f>
        <v>0</v>
      </c>
    </row>
    <row r="1026" spans="1:17" x14ac:dyDescent="0.25">
      <c r="A1026" s="3" t="s">
        <v>1520</v>
      </c>
      <c r="B1026" t="str">
        <f>RIGHT(TDays[[#This Row],[تاریخ]],2)</f>
        <v>19</v>
      </c>
      <c r="C1026" t="str">
        <f>RIGHT(LEFT(TDays[[#This Row],[تاریخ]],7),2)</f>
        <v>10</v>
      </c>
      <c r="D1026" t="str">
        <f>LEFT(TDays[[#This Row],[تاریخ]],4)</f>
        <v>1403</v>
      </c>
      <c r="E1026" t="str">
        <f>LEFT(TDays[[#This Row],[تاریخ]],7)</f>
        <v>1403-10</v>
      </c>
      <c r="F1026">
        <v>4</v>
      </c>
      <c r="G1026" s="16" t="str">
        <f>VLOOKUP(TDays[[#This Row],[کد روز هفته]],TDaysOfTheWeek[],2,FALSE)</f>
        <v>چهارشنبه</v>
      </c>
      <c r="H1026" s="16">
        <f>IFERROR(IF(E1025&lt;&gt;E1026,1,INT(H1025)+IF(TDays[[#This Row],[کد روز هفته]]=0,1,0)),1)</f>
        <v>3</v>
      </c>
      <c r="I1026">
        <f>-SUMIF(TArticle[تاریخ],TDays[[#This Row],[تاریخ]],TArticle[هزینه])</f>
        <v>0</v>
      </c>
      <c r="J1026">
        <f>SUMIF(TArticle[تاریخ],TDays[[#This Row],[تاریخ]],TArticle[درآمد تتا])</f>
        <v>0</v>
      </c>
      <c r="K1026">
        <f>SUMIF(TArticle[تاریخ],TDays[[#This Row],[تاریخ]],TArticle[اسنپ])</f>
        <v>0</v>
      </c>
      <c r="L1026">
        <f>-SUMIF(TArticle[تاریخ],TDays[[#This Row],[تاریخ]],TArticle[پرداخت بدهی])</f>
        <v>0</v>
      </c>
      <c r="M1026">
        <f>SUMIF(TArticle[تاریخ],TDays[[#This Row],[تاریخ]],TArticle[افزایش بدهی])</f>
        <v>0</v>
      </c>
      <c r="N1026">
        <f>-SUMIF(TArticle[تاریخ],TDays[[#This Row],[تاریخ]],TArticle[افزایش سرمایه])</f>
        <v>0</v>
      </c>
      <c r="O1026">
        <f>SUMIF(TArticle[تاریخ],TDays[[#This Row],[تاریخ]],TArticle[تعداد تراکنش انجام شده])</f>
        <v>0</v>
      </c>
      <c r="P1026">
        <f>INT(((TDays[[#This Row],[ماه]]-1)*31+TDays[[#This Row],[روز]]+1)/7)+1</f>
        <v>43</v>
      </c>
      <c r="Q1026">
        <f>SUMIF(TArticle[تاریخ],TDays[[#This Row],[تاریخ]],TArticle[تراکنش برنامه ریزی شده])</f>
        <v>0</v>
      </c>
    </row>
    <row r="1027" spans="1:17" x14ac:dyDescent="0.25">
      <c r="A1027" s="3" t="s">
        <v>1521</v>
      </c>
      <c r="B1027" t="str">
        <f>RIGHT(TDays[[#This Row],[تاریخ]],2)</f>
        <v>20</v>
      </c>
      <c r="C1027" t="str">
        <f>RIGHT(LEFT(TDays[[#This Row],[تاریخ]],7),2)</f>
        <v>10</v>
      </c>
      <c r="D1027" t="str">
        <f>LEFT(TDays[[#This Row],[تاریخ]],4)</f>
        <v>1403</v>
      </c>
      <c r="E1027" t="str">
        <f>LEFT(TDays[[#This Row],[تاریخ]],7)</f>
        <v>1403-10</v>
      </c>
      <c r="F1027">
        <v>5</v>
      </c>
      <c r="G1027" s="16" t="str">
        <f>VLOOKUP(TDays[[#This Row],[کد روز هفته]],TDaysOfTheWeek[],2,FALSE)</f>
        <v>پنجشنبه</v>
      </c>
      <c r="H1027" s="16">
        <f>IFERROR(IF(E1026&lt;&gt;E1027,1,INT(H1026)+IF(TDays[[#This Row],[کد روز هفته]]=0,1,0)),1)</f>
        <v>3</v>
      </c>
      <c r="I1027">
        <f>-SUMIF(TArticle[تاریخ],TDays[[#This Row],[تاریخ]],TArticle[هزینه])</f>
        <v>0</v>
      </c>
      <c r="J1027">
        <f>SUMIF(TArticle[تاریخ],TDays[[#This Row],[تاریخ]],TArticle[درآمد تتا])</f>
        <v>0</v>
      </c>
      <c r="K1027">
        <f>SUMIF(TArticle[تاریخ],TDays[[#This Row],[تاریخ]],TArticle[اسنپ])</f>
        <v>0</v>
      </c>
      <c r="L1027">
        <f>-SUMIF(TArticle[تاریخ],TDays[[#This Row],[تاریخ]],TArticle[پرداخت بدهی])</f>
        <v>0</v>
      </c>
      <c r="M1027">
        <f>SUMIF(TArticle[تاریخ],TDays[[#This Row],[تاریخ]],TArticle[افزایش بدهی])</f>
        <v>0</v>
      </c>
      <c r="N1027">
        <f>-SUMIF(TArticle[تاریخ],TDays[[#This Row],[تاریخ]],TArticle[افزایش سرمایه])</f>
        <v>0</v>
      </c>
      <c r="O1027">
        <f>SUMIF(TArticle[تاریخ],TDays[[#This Row],[تاریخ]],TArticle[تعداد تراکنش انجام شده])</f>
        <v>0</v>
      </c>
      <c r="P1027">
        <f>INT(((TDays[[#This Row],[ماه]]-1)*31+TDays[[#This Row],[روز]]+1)/7)+1</f>
        <v>43</v>
      </c>
      <c r="Q1027">
        <f>SUMIF(TArticle[تاریخ],TDays[[#This Row],[تاریخ]],TArticle[تراکنش برنامه ریزی شده])</f>
        <v>1</v>
      </c>
    </row>
    <row r="1028" spans="1:17" x14ac:dyDescent="0.25">
      <c r="A1028" s="3" t="s">
        <v>1522</v>
      </c>
      <c r="B1028" t="str">
        <f>RIGHT(TDays[[#This Row],[تاریخ]],2)</f>
        <v>21</v>
      </c>
      <c r="C1028" t="str">
        <f>RIGHT(LEFT(TDays[[#This Row],[تاریخ]],7),2)</f>
        <v>10</v>
      </c>
      <c r="D1028" t="str">
        <f>LEFT(TDays[[#This Row],[تاریخ]],4)</f>
        <v>1403</v>
      </c>
      <c r="E1028" t="str">
        <f>LEFT(TDays[[#This Row],[تاریخ]],7)</f>
        <v>1403-10</v>
      </c>
      <c r="F1028">
        <v>6</v>
      </c>
      <c r="G1028" s="16" t="str">
        <f>VLOOKUP(TDays[[#This Row],[کد روز هفته]],TDaysOfTheWeek[],2,FALSE)</f>
        <v>جمعه</v>
      </c>
      <c r="H1028" s="16">
        <f>IFERROR(IF(E1027&lt;&gt;E1028,1,INT(H1027)+IF(TDays[[#This Row],[کد روز هفته]]=0,1,0)),1)</f>
        <v>3</v>
      </c>
      <c r="I1028">
        <f>-SUMIF(TArticle[تاریخ],TDays[[#This Row],[تاریخ]],TArticle[هزینه])</f>
        <v>0</v>
      </c>
      <c r="J1028">
        <f>SUMIF(TArticle[تاریخ],TDays[[#This Row],[تاریخ]],TArticle[درآمد تتا])</f>
        <v>0</v>
      </c>
      <c r="K1028">
        <f>SUMIF(TArticle[تاریخ],TDays[[#This Row],[تاریخ]],TArticle[اسنپ])</f>
        <v>0</v>
      </c>
      <c r="L1028">
        <f>-SUMIF(TArticle[تاریخ],TDays[[#This Row],[تاریخ]],TArticle[پرداخت بدهی])</f>
        <v>0</v>
      </c>
      <c r="M1028">
        <f>SUMIF(TArticle[تاریخ],TDays[[#This Row],[تاریخ]],TArticle[افزایش بدهی])</f>
        <v>0</v>
      </c>
      <c r="N1028">
        <f>-SUMIF(TArticle[تاریخ],TDays[[#This Row],[تاریخ]],TArticle[افزایش سرمایه])</f>
        <v>0</v>
      </c>
      <c r="O1028">
        <f>SUMIF(TArticle[تاریخ],TDays[[#This Row],[تاریخ]],TArticle[تعداد تراکنش انجام شده])</f>
        <v>0</v>
      </c>
      <c r="P1028">
        <f>INT(((TDays[[#This Row],[ماه]]-1)*31+TDays[[#This Row],[روز]]+1)/7)+1</f>
        <v>44</v>
      </c>
      <c r="Q1028">
        <f>SUMIF(TArticle[تاریخ],TDays[[#This Row],[تاریخ]],TArticle[تراکنش برنامه ریزی شده])</f>
        <v>0</v>
      </c>
    </row>
    <row r="1029" spans="1:17" x14ac:dyDescent="0.25">
      <c r="A1029" s="3" t="s">
        <v>1523</v>
      </c>
      <c r="B1029" t="str">
        <f>RIGHT(TDays[[#This Row],[تاریخ]],2)</f>
        <v>22</v>
      </c>
      <c r="C1029" t="str">
        <f>RIGHT(LEFT(TDays[[#This Row],[تاریخ]],7),2)</f>
        <v>10</v>
      </c>
      <c r="D1029" t="str">
        <f>LEFT(TDays[[#This Row],[تاریخ]],4)</f>
        <v>1403</v>
      </c>
      <c r="E1029" t="str">
        <f>LEFT(TDays[[#This Row],[تاریخ]],7)</f>
        <v>1403-10</v>
      </c>
      <c r="F1029">
        <v>0</v>
      </c>
      <c r="G1029" s="16" t="str">
        <f>VLOOKUP(TDays[[#This Row],[کد روز هفته]],TDaysOfTheWeek[],2,FALSE)</f>
        <v>شنبه</v>
      </c>
      <c r="H1029" s="16">
        <f>IFERROR(IF(E1028&lt;&gt;E1029,1,INT(H1028)+IF(TDays[[#This Row],[کد روز هفته]]=0,1,0)),1)</f>
        <v>4</v>
      </c>
      <c r="I1029">
        <f>-SUMIF(TArticle[تاریخ],TDays[[#This Row],[تاریخ]],TArticle[هزینه])</f>
        <v>0</v>
      </c>
      <c r="J1029">
        <f>SUMIF(TArticle[تاریخ],TDays[[#This Row],[تاریخ]],TArticle[درآمد تتا])</f>
        <v>0</v>
      </c>
      <c r="K1029">
        <f>SUMIF(TArticle[تاریخ],TDays[[#This Row],[تاریخ]],TArticle[اسنپ])</f>
        <v>0</v>
      </c>
      <c r="L1029">
        <f>-SUMIF(TArticle[تاریخ],TDays[[#This Row],[تاریخ]],TArticle[پرداخت بدهی])</f>
        <v>0</v>
      </c>
      <c r="M1029">
        <f>SUMIF(TArticle[تاریخ],TDays[[#This Row],[تاریخ]],TArticle[افزایش بدهی])</f>
        <v>0</v>
      </c>
      <c r="N1029">
        <f>-SUMIF(TArticle[تاریخ],TDays[[#This Row],[تاریخ]],TArticle[افزایش سرمایه])</f>
        <v>0</v>
      </c>
      <c r="O1029">
        <f>SUMIF(TArticle[تاریخ],TDays[[#This Row],[تاریخ]],TArticle[تعداد تراکنش انجام شده])</f>
        <v>0</v>
      </c>
      <c r="P1029">
        <f>INT(((TDays[[#This Row],[ماه]]-1)*31+TDays[[#This Row],[روز]]+1)/7)+1</f>
        <v>44</v>
      </c>
      <c r="Q1029">
        <f>SUMIF(TArticle[تاریخ],TDays[[#This Row],[تاریخ]],TArticle[تراکنش برنامه ریزی شده])</f>
        <v>0</v>
      </c>
    </row>
    <row r="1030" spans="1:17" x14ac:dyDescent="0.25">
      <c r="A1030" s="3" t="s">
        <v>1524</v>
      </c>
      <c r="B1030" t="str">
        <f>RIGHT(TDays[[#This Row],[تاریخ]],2)</f>
        <v>23</v>
      </c>
      <c r="C1030" t="str">
        <f>RIGHT(LEFT(TDays[[#This Row],[تاریخ]],7),2)</f>
        <v>10</v>
      </c>
      <c r="D1030" t="str">
        <f>LEFT(TDays[[#This Row],[تاریخ]],4)</f>
        <v>1403</v>
      </c>
      <c r="E1030" t="str">
        <f>LEFT(TDays[[#This Row],[تاریخ]],7)</f>
        <v>1403-10</v>
      </c>
      <c r="F1030">
        <v>1</v>
      </c>
      <c r="G1030" s="16" t="str">
        <f>VLOOKUP(TDays[[#This Row],[کد روز هفته]],TDaysOfTheWeek[],2,FALSE)</f>
        <v>یکشنبه</v>
      </c>
      <c r="H1030" s="16">
        <f>IFERROR(IF(E1029&lt;&gt;E1030,1,INT(H1029)+IF(TDays[[#This Row],[کد روز هفته]]=0,1,0)),1)</f>
        <v>4</v>
      </c>
      <c r="I1030">
        <f>-SUMIF(TArticle[تاریخ],TDays[[#This Row],[تاریخ]],TArticle[هزینه])</f>
        <v>0</v>
      </c>
      <c r="J1030">
        <f>SUMIF(TArticle[تاریخ],TDays[[#This Row],[تاریخ]],TArticle[درآمد تتا])</f>
        <v>0</v>
      </c>
      <c r="K1030">
        <f>SUMIF(TArticle[تاریخ],TDays[[#This Row],[تاریخ]],TArticle[اسنپ])</f>
        <v>0</v>
      </c>
      <c r="L1030">
        <f>-SUMIF(TArticle[تاریخ],TDays[[#This Row],[تاریخ]],TArticle[پرداخت بدهی])</f>
        <v>0</v>
      </c>
      <c r="M1030">
        <f>SUMIF(TArticle[تاریخ],TDays[[#This Row],[تاریخ]],TArticle[افزایش بدهی])</f>
        <v>0</v>
      </c>
      <c r="N1030">
        <f>-SUMIF(TArticle[تاریخ],TDays[[#This Row],[تاریخ]],TArticle[افزایش سرمایه])</f>
        <v>0</v>
      </c>
      <c r="O1030">
        <f>SUMIF(TArticle[تاریخ],TDays[[#This Row],[تاریخ]],TArticle[تعداد تراکنش انجام شده])</f>
        <v>0</v>
      </c>
      <c r="P1030">
        <f>INT(((TDays[[#This Row],[ماه]]-1)*31+TDays[[#This Row],[روز]]+1)/7)+1</f>
        <v>44</v>
      </c>
      <c r="Q1030">
        <f>SUMIF(TArticle[تاریخ],TDays[[#This Row],[تاریخ]],TArticle[تراکنش برنامه ریزی شده])</f>
        <v>0</v>
      </c>
    </row>
    <row r="1031" spans="1:17" x14ac:dyDescent="0.25">
      <c r="A1031" s="3" t="s">
        <v>1525</v>
      </c>
      <c r="B1031" t="str">
        <f>RIGHT(TDays[[#This Row],[تاریخ]],2)</f>
        <v>24</v>
      </c>
      <c r="C1031" t="str">
        <f>RIGHT(LEFT(TDays[[#This Row],[تاریخ]],7),2)</f>
        <v>10</v>
      </c>
      <c r="D1031" t="str">
        <f>LEFT(TDays[[#This Row],[تاریخ]],4)</f>
        <v>1403</v>
      </c>
      <c r="E1031" t="str">
        <f>LEFT(TDays[[#This Row],[تاریخ]],7)</f>
        <v>1403-10</v>
      </c>
      <c r="F1031">
        <v>2</v>
      </c>
      <c r="G1031" s="16" t="str">
        <f>VLOOKUP(TDays[[#This Row],[کد روز هفته]],TDaysOfTheWeek[],2,FALSE)</f>
        <v>دوشنبه</v>
      </c>
      <c r="H1031" s="16">
        <f>IFERROR(IF(E1030&lt;&gt;E1031,1,INT(H1030)+IF(TDays[[#This Row],[کد روز هفته]]=0,1,0)),1)</f>
        <v>4</v>
      </c>
      <c r="I1031">
        <f>-SUMIF(TArticle[تاریخ],TDays[[#This Row],[تاریخ]],TArticle[هزینه])</f>
        <v>0</v>
      </c>
      <c r="J1031">
        <f>SUMIF(TArticle[تاریخ],TDays[[#This Row],[تاریخ]],TArticle[درآمد تتا])</f>
        <v>0</v>
      </c>
      <c r="K1031">
        <f>SUMIF(TArticle[تاریخ],TDays[[#This Row],[تاریخ]],TArticle[اسنپ])</f>
        <v>0</v>
      </c>
      <c r="L1031">
        <f>-SUMIF(TArticle[تاریخ],TDays[[#This Row],[تاریخ]],TArticle[پرداخت بدهی])</f>
        <v>0</v>
      </c>
      <c r="M1031">
        <f>SUMIF(TArticle[تاریخ],TDays[[#This Row],[تاریخ]],TArticle[افزایش بدهی])</f>
        <v>0</v>
      </c>
      <c r="N1031">
        <f>-SUMIF(TArticle[تاریخ],TDays[[#This Row],[تاریخ]],TArticle[افزایش سرمایه])</f>
        <v>0</v>
      </c>
      <c r="O1031">
        <f>SUMIF(TArticle[تاریخ],TDays[[#This Row],[تاریخ]],TArticle[تعداد تراکنش انجام شده])</f>
        <v>0</v>
      </c>
      <c r="P1031">
        <f>INT(((TDays[[#This Row],[ماه]]-1)*31+TDays[[#This Row],[روز]]+1)/7)+1</f>
        <v>44</v>
      </c>
      <c r="Q1031">
        <f>SUMIF(TArticle[تاریخ],TDays[[#This Row],[تاریخ]],TArticle[تراکنش برنامه ریزی شده])</f>
        <v>0</v>
      </c>
    </row>
    <row r="1032" spans="1:17" x14ac:dyDescent="0.25">
      <c r="A1032" s="3" t="s">
        <v>1526</v>
      </c>
      <c r="B1032" t="str">
        <f>RIGHT(TDays[[#This Row],[تاریخ]],2)</f>
        <v>25</v>
      </c>
      <c r="C1032" t="str">
        <f>RIGHT(LEFT(TDays[[#This Row],[تاریخ]],7),2)</f>
        <v>10</v>
      </c>
      <c r="D1032" t="str">
        <f>LEFT(TDays[[#This Row],[تاریخ]],4)</f>
        <v>1403</v>
      </c>
      <c r="E1032" t="str">
        <f>LEFT(TDays[[#This Row],[تاریخ]],7)</f>
        <v>1403-10</v>
      </c>
      <c r="F1032">
        <v>3</v>
      </c>
      <c r="G1032" s="16" t="str">
        <f>VLOOKUP(TDays[[#This Row],[کد روز هفته]],TDaysOfTheWeek[],2,FALSE)</f>
        <v>سه شنبه</v>
      </c>
      <c r="H1032" s="16">
        <f>IFERROR(IF(E1031&lt;&gt;E1032,1,INT(H1031)+IF(TDays[[#This Row],[کد روز هفته]]=0,1,0)),1)</f>
        <v>4</v>
      </c>
      <c r="I1032">
        <f>-SUMIF(TArticle[تاریخ],TDays[[#This Row],[تاریخ]],TArticle[هزینه])</f>
        <v>0</v>
      </c>
      <c r="J1032">
        <f>SUMIF(TArticle[تاریخ],TDays[[#This Row],[تاریخ]],TArticle[درآمد تتا])</f>
        <v>0</v>
      </c>
      <c r="K1032">
        <f>SUMIF(TArticle[تاریخ],TDays[[#This Row],[تاریخ]],TArticle[اسنپ])</f>
        <v>0</v>
      </c>
      <c r="L1032">
        <f>-SUMIF(TArticle[تاریخ],TDays[[#This Row],[تاریخ]],TArticle[پرداخت بدهی])</f>
        <v>0</v>
      </c>
      <c r="M1032">
        <f>SUMIF(TArticle[تاریخ],TDays[[#This Row],[تاریخ]],TArticle[افزایش بدهی])</f>
        <v>0</v>
      </c>
      <c r="N1032">
        <f>-SUMIF(TArticle[تاریخ],TDays[[#This Row],[تاریخ]],TArticle[افزایش سرمایه])</f>
        <v>0</v>
      </c>
      <c r="O1032">
        <f>SUMIF(TArticle[تاریخ],TDays[[#This Row],[تاریخ]],TArticle[تعداد تراکنش انجام شده])</f>
        <v>0</v>
      </c>
      <c r="P1032">
        <f>INT(((TDays[[#This Row],[ماه]]-1)*31+TDays[[#This Row],[روز]]+1)/7)+1</f>
        <v>44</v>
      </c>
      <c r="Q1032">
        <f>SUMIF(TArticle[تاریخ],TDays[[#This Row],[تاریخ]],TArticle[تراکنش برنامه ریزی شده])</f>
        <v>0</v>
      </c>
    </row>
    <row r="1033" spans="1:17" x14ac:dyDescent="0.25">
      <c r="A1033" s="3" t="s">
        <v>1527</v>
      </c>
      <c r="B1033" t="str">
        <f>RIGHT(TDays[[#This Row],[تاریخ]],2)</f>
        <v>26</v>
      </c>
      <c r="C1033" t="str">
        <f>RIGHT(LEFT(TDays[[#This Row],[تاریخ]],7),2)</f>
        <v>10</v>
      </c>
      <c r="D1033" t="str">
        <f>LEFT(TDays[[#This Row],[تاریخ]],4)</f>
        <v>1403</v>
      </c>
      <c r="E1033" t="str">
        <f>LEFT(TDays[[#This Row],[تاریخ]],7)</f>
        <v>1403-10</v>
      </c>
      <c r="F1033">
        <v>4</v>
      </c>
      <c r="G1033" s="16" t="str">
        <f>VLOOKUP(TDays[[#This Row],[کد روز هفته]],TDaysOfTheWeek[],2,FALSE)</f>
        <v>چهارشنبه</v>
      </c>
      <c r="H1033" s="16">
        <f>IFERROR(IF(E1032&lt;&gt;E1033,1,INT(H1032)+IF(TDays[[#This Row],[کد روز هفته]]=0,1,0)),1)</f>
        <v>4</v>
      </c>
      <c r="I1033">
        <f>-SUMIF(TArticle[تاریخ],TDays[[#This Row],[تاریخ]],TArticle[هزینه])</f>
        <v>0</v>
      </c>
      <c r="J1033">
        <f>SUMIF(TArticle[تاریخ],TDays[[#This Row],[تاریخ]],TArticle[درآمد تتا])</f>
        <v>0</v>
      </c>
      <c r="K1033">
        <f>SUMIF(TArticle[تاریخ],TDays[[#This Row],[تاریخ]],TArticle[اسنپ])</f>
        <v>0</v>
      </c>
      <c r="L1033">
        <f>-SUMIF(TArticle[تاریخ],TDays[[#This Row],[تاریخ]],TArticle[پرداخت بدهی])</f>
        <v>0</v>
      </c>
      <c r="M1033">
        <f>SUMIF(TArticle[تاریخ],TDays[[#This Row],[تاریخ]],TArticle[افزایش بدهی])</f>
        <v>0</v>
      </c>
      <c r="N1033">
        <f>-SUMIF(TArticle[تاریخ],TDays[[#This Row],[تاریخ]],TArticle[افزایش سرمایه])</f>
        <v>0</v>
      </c>
      <c r="O1033">
        <f>SUMIF(TArticle[تاریخ],TDays[[#This Row],[تاریخ]],TArticle[تعداد تراکنش انجام شده])</f>
        <v>0</v>
      </c>
      <c r="P1033">
        <f>INT(((TDays[[#This Row],[ماه]]-1)*31+TDays[[#This Row],[روز]]+1)/7)+1</f>
        <v>44</v>
      </c>
      <c r="Q1033">
        <f>SUMIF(TArticle[تاریخ],TDays[[#This Row],[تاریخ]],TArticle[تراکنش برنامه ریزی شده])</f>
        <v>0</v>
      </c>
    </row>
    <row r="1034" spans="1:17" x14ac:dyDescent="0.25">
      <c r="A1034" s="3" t="s">
        <v>1528</v>
      </c>
      <c r="B1034" t="str">
        <f>RIGHT(TDays[[#This Row],[تاریخ]],2)</f>
        <v>27</v>
      </c>
      <c r="C1034" t="str">
        <f>RIGHT(LEFT(TDays[[#This Row],[تاریخ]],7),2)</f>
        <v>10</v>
      </c>
      <c r="D1034" t="str">
        <f>LEFT(TDays[[#This Row],[تاریخ]],4)</f>
        <v>1403</v>
      </c>
      <c r="E1034" t="str">
        <f>LEFT(TDays[[#This Row],[تاریخ]],7)</f>
        <v>1403-10</v>
      </c>
      <c r="F1034">
        <v>5</v>
      </c>
      <c r="G1034" s="16" t="str">
        <f>VLOOKUP(TDays[[#This Row],[کد روز هفته]],TDaysOfTheWeek[],2,FALSE)</f>
        <v>پنجشنبه</v>
      </c>
      <c r="H1034" s="16">
        <f>IFERROR(IF(E1033&lt;&gt;E1034,1,INT(H1033)+IF(TDays[[#This Row],[کد روز هفته]]=0,1,0)),1)</f>
        <v>4</v>
      </c>
      <c r="I1034">
        <f>-SUMIF(TArticle[تاریخ],TDays[[#This Row],[تاریخ]],TArticle[هزینه])</f>
        <v>0</v>
      </c>
      <c r="J1034">
        <f>SUMIF(TArticle[تاریخ],TDays[[#This Row],[تاریخ]],TArticle[درآمد تتا])</f>
        <v>0</v>
      </c>
      <c r="K1034">
        <f>SUMIF(TArticle[تاریخ],TDays[[#This Row],[تاریخ]],TArticle[اسنپ])</f>
        <v>0</v>
      </c>
      <c r="L1034">
        <f>-SUMIF(TArticle[تاریخ],TDays[[#This Row],[تاریخ]],TArticle[پرداخت بدهی])</f>
        <v>0</v>
      </c>
      <c r="M1034">
        <f>SUMIF(TArticle[تاریخ],TDays[[#This Row],[تاریخ]],TArticle[افزایش بدهی])</f>
        <v>0</v>
      </c>
      <c r="N1034">
        <f>-SUMIF(TArticle[تاریخ],TDays[[#This Row],[تاریخ]],TArticle[افزایش سرمایه])</f>
        <v>0</v>
      </c>
      <c r="O1034">
        <f>SUMIF(TArticle[تاریخ],TDays[[#This Row],[تاریخ]],TArticle[تعداد تراکنش انجام شده])</f>
        <v>0</v>
      </c>
      <c r="P1034">
        <f>INT(((TDays[[#This Row],[ماه]]-1)*31+TDays[[#This Row],[روز]]+1)/7)+1</f>
        <v>44</v>
      </c>
      <c r="Q1034">
        <f>SUMIF(TArticle[تاریخ],TDays[[#This Row],[تاریخ]],TArticle[تراکنش برنامه ریزی شده])</f>
        <v>0</v>
      </c>
    </row>
    <row r="1035" spans="1:17" x14ac:dyDescent="0.25">
      <c r="A1035" s="3" t="s">
        <v>1529</v>
      </c>
      <c r="B1035" t="str">
        <f>RIGHT(TDays[[#This Row],[تاریخ]],2)</f>
        <v>28</v>
      </c>
      <c r="C1035" t="str">
        <f>RIGHT(LEFT(TDays[[#This Row],[تاریخ]],7),2)</f>
        <v>10</v>
      </c>
      <c r="D1035" t="str">
        <f>LEFT(TDays[[#This Row],[تاریخ]],4)</f>
        <v>1403</v>
      </c>
      <c r="E1035" t="str">
        <f>LEFT(TDays[[#This Row],[تاریخ]],7)</f>
        <v>1403-10</v>
      </c>
      <c r="F1035">
        <v>6</v>
      </c>
      <c r="G1035" s="16" t="str">
        <f>VLOOKUP(TDays[[#This Row],[کد روز هفته]],TDaysOfTheWeek[],2,FALSE)</f>
        <v>جمعه</v>
      </c>
      <c r="H1035" s="16">
        <f>IFERROR(IF(E1034&lt;&gt;E1035,1,INT(H1034)+IF(TDays[[#This Row],[کد روز هفته]]=0,1,0)),1)</f>
        <v>4</v>
      </c>
      <c r="I1035">
        <f>-SUMIF(TArticle[تاریخ],TDays[[#This Row],[تاریخ]],TArticle[هزینه])</f>
        <v>0</v>
      </c>
      <c r="J1035">
        <f>SUMIF(TArticle[تاریخ],TDays[[#This Row],[تاریخ]],TArticle[درآمد تتا])</f>
        <v>0</v>
      </c>
      <c r="K1035">
        <f>SUMIF(TArticle[تاریخ],TDays[[#This Row],[تاریخ]],TArticle[اسنپ])</f>
        <v>0</v>
      </c>
      <c r="L1035">
        <f>-SUMIF(TArticle[تاریخ],TDays[[#This Row],[تاریخ]],TArticle[پرداخت بدهی])</f>
        <v>0</v>
      </c>
      <c r="M1035">
        <f>SUMIF(TArticle[تاریخ],TDays[[#This Row],[تاریخ]],TArticle[افزایش بدهی])</f>
        <v>0</v>
      </c>
      <c r="N1035">
        <f>-SUMIF(TArticle[تاریخ],TDays[[#This Row],[تاریخ]],TArticle[افزایش سرمایه])</f>
        <v>0</v>
      </c>
      <c r="O1035">
        <f>SUMIF(TArticle[تاریخ],TDays[[#This Row],[تاریخ]],TArticle[تعداد تراکنش انجام شده])</f>
        <v>0</v>
      </c>
      <c r="P1035">
        <f>INT(((TDays[[#This Row],[ماه]]-1)*31+TDays[[#This Row],[روز]]+1)/7)+1</f>
        <v>45</v>
      </c>
      <c r="Q1035">
        <f>SUMIF(TArticle[تاریخ],TDays[[#This Row],[تاریخ]],TArticle[تراکنش برنامه ریزی شده])</f>
        <v>0</v>
      </c>
    </row>
    <row r="1036" spans="1:17" x14ac:dyDescent="0.25">
      <c r="A1036" s="3" t="s">
        <v>1530</v>
      </c>
      <c r="B1036" t="str">
        <f>RIGHT(TDays[[#This Row],[تاریخ]],2)</f>
        <v>29</v>
      </c>
      <c r="C1036" t="str">
        <f>RIGHT(LEFT(TDays[[#This Row],[تاریخ]],7),2)</f>
        <v>10</v>
      </c>
      <c r="D1036" t="str">
        <f>LEFT(TDays[[#This Row],[تاریخ]],4)</f>
        <v>1403</v>
      </c>
      <c r="E1036" t="str">
        <f>LEFT(TDays[[#This Row],[تاریخ]],7)</f>
        <v>1403-10</v>
      </c>
      <c r="F1036">
        <v>0</v>
      </c>
      <c r="G1036" s="16" t="str">
        <f>VLOOKUP(TDays[[#This Row],[کد روز هفته]],TDaysOfTheWeek[],2,FALSE)</f>
        <v>شنبه</v>
      </c>
      <c r="H1036" s="16">
        <f>IFERROR(IF(E1035&lt;&gt;E1036,1,INT(H1035)+IF(TDays[[#This Row],[کد روز هفته]]=0,1,0)),1)</f>
        <v>5</v>
      </c>
      <c r="I1036">
        <f>-SUMIF(TArticle[تاریخ],TDays[[#This Row],[تاریخ]],TArticle[هزینه])</f>
        <v>0</v>
      </c>
      <c r="J1036">
        <f>SUMIF(TArticle[تاریخ],TDays[[#This Row],[تاریخ]],TArticle[درآمد تتا])</f>
        <v>0</v>
      </c>
      <c r="K1036">
        <f>SUMIF(TArticle[تاریخ],TDays[[#This Row],[تاریخ]],TArticle[اسنپ])</f>
        <v>0</v>
      </c>
      <c r="L1036">
        <f>-SUMIF(TArticle[تاریخ],TDays[[#This Row],[تاریخ]],TArticle[پرداخت بدهی])</f>
        <v>0</v>
      </c>
      <c r="M1036">
        <f>SUMIF(TArticle[تاریخ],TDays[[#This Row],[تاریخ]],TArticle[افزایش بدهی])</f>
        <v>0</v>
      </c>
      <c r="N1036">
        <f>-SUMIF(TArticle[تاریخ],TDays[[#This Row],[تاریخ]],TArticle[افزایش سرمایه])</f>
        <v>0</v>
      </c>
      <c r="O1036">
        <f>SUMIF(TArticle[تاریخ],TDays[[#This Row],[تاریخ]],TArticle[تعداد تراکنش انجام شده])</f>
        <v>0</v>
      </c>
      <c r="P1036">
        <f>INT(((TDays[[#This Row],[ماه]]-1)*31+TDays[[#This Row],[روز]]+1)/7)+1</f>
        <v>45</v>
      </c>
      <c r="Q1036">
        <f>SUMIF(TArticle[تاریخ],TDays[[#This Row],[تاریخ]],TArticle[تراکنش برنامه ریزی شده])</f>
        <v>0</v>
      </c>
    </row>
    <row r="1037" spans="1:17" x14ac:dyDescent="0.25">
      <c r="A1037" s="3" t="s">
        <v>1531</v>
      </c>
      <c r="B1037" t="str">
        <f>RIGHT(TDays[[#This Row],[تاریخ]],2)</f>
        <v>30</v>
      </c>
      <c r="C1037" t="str">
        <f>RIGHT(LEFT(TDays[[#This Row],[تاریخ]],7),2)</f>
        <v>10</v>
      </c>
      <c r="D1037" t="str">
        <f>LEFT(TDays[[#This Row],[تاریخ]],4)</f>
        <v>1403</v>
      </c>
      <c r="E1037" t="str">
        <f>LEFT(TDays[[#This Row],[تاریخ]],7)</f>
        <v>1403-10</v>
      </c>
      <c r="F1037">
        <v>1</v>
      </c>
      <c r="G1037" s="16" t="str">
        <f>VLOOKUP(TDays[[#This Row],[کد روز هفته]],TDaysOfTheWeek[],2,FALSE)</f>
        <v>یکشنبه</v>
      </c>
      <c r="H1037" s="16">
        <f>IFERROR(IF(E1036&lt;&gt;E1037,1,INT(H1036)+IF(TDays[[#This Row],[کد روز هفته]]=0,1,0)),1)</f>
        <v>5</v>
      </c>
      <c r="I1037">
        <f>-SUMIF(TArticle[تاریخ],TDays[[#This Row],[تاریخ]],TArticle[هزینه])</f>
        <v>0</v>
      </c>
      <c r="J1037">
        <f>SUMIF(TArticle[تاریخ],TDays[[#This Row],[تاریخ]],TArticle[درآمد تتا])</f>
        <v>0</v>
      </c>
      <c r="K1037">
        <f>SUMIF(TArticle[تاریخ],TDays[[#This Row],[تاریخ]],TArticle[اسنپ])</f>
        <v>0</v>
      </c>
      <c r="L1037">
        <f>-SUMIF(TArticle[تاریخ],TDays[[#This Row],[تاریخ]],TArticle[پرداخت بدهی])</f>
        <v>0</v>
      </c>
      <c r="M1037">
        <f>SUMIF(TArticle[تاریخ],TDays[[#This Row],[تاریخ]],TArticle[افزایش بدهی])</f>
        <v>0</v>
      </c>
      <c r="N1037">
        <f>-SUMIF(TArticle[تاریخ],TDays[[#This Row],[تاریخ]],TArticle[افزایش سرمایه])</f>
        <v>0</v>
      </c>
      <c r="O1037">
        <f>SUMIF(TArticle[تاریخ],TDays[[#This Row],[تاریخ]],TArticle[تعداد تراکنش انجام شده])</f>
        <v>0</v>
      </c>
      <c r="P1037">
        <f>INT(((TDays[[#This Row],[ماه]]-1)*31+TDays[[#This Row],[روز]]+1)/7)+1</f>
        <v>45</v>
      </c>
      <c r="Q1037">
        <f>SUMIF(TArticle[تاریخ],TDays[[#This Row],[تاریخ]],TArticle[تراکنش برنامه ریزی شده])</f>
        <v>0</v>
      </c>
    </row>
    <row r="1038" spans="1:17" x14ac:dyDescent="0.25">
      <c r="A1038" s="3" t="s">
        <v>1532</v>
      </c>
      <c r="B1038" t="str">
        <f>RIGHT(TDays[[#This Row],[تاریخ]],2)</f>
        <v>01</v>
      </c>
      <c r="C1038" t="str">
        <f>RIGHT(LEFT(TDays[[#This Row],[تاریخ]],7),2)</f>
        <v>11</v>
      </c>
      <c r="D1038" t="str">
        <f>LEFT(TDays[[#This Row],[تاریخ]],4)</f>
        <v>1403</v>
      </c>
      <c r="E1038" t="str">
        <f>LEFT(TDays[[#This Row],[تاریخ]],7)</f>
        <v>1403-11</v>
      </c>
      <c r="F1038">
        <v>2</v>
      </c>
      <c r="G1038" s="16" t="str">
        <f>VLOOKUP(TDays[[#This Row],[کد روز هفته]],TDaysOfTheWeek[],2,FALSE)</f>
        <v>دوشنبه</v>
      </c>
      <c r="H1038" s="16">
        <f>IFERROR(IF(E1037&lt;&gt;E1038,1,INT(H1037)+IF(TDays[[#This Row],[کد روز هفته]]=0,1,0)),1)</f>
        <v>1</v>
      </c>
      <c r="I1038">
        <f>-SUMIF(TArticle[تاریخ],TDays[[#This Row],[تاریخ]],TArticle[هزینه])</f>
        <v>0</v>
      </c>
      <c r="J1038">
        <f>SUMIF(TArticle[تاریخ],TDays[[#This Row],[تاریخ]],TArticle[درآمد تتا])</f>
        <v>0</v>
      </c>
      <c r="K1038">
        <f>SUMIF(TArticle[تاریخ],TDays[[#This Row],[تاریخ]],TArticle[اسنپ])</f>
        <v>0</v>
      </c>
      <c r="L1038">
        <f>-SUMIF(TArticle[تاریخ],TDays[[#This Row],[تاریخ]],TArticle[پرداخت بدهی])</f>
        <v>0</v>
      </c>
      <c r="M1038">
        <f>SUMIF(TArticle[تاریخ],TDays[[#This Row],[تاریخ]],TArticle[افزایش بدهی])</f>
        <v>0</v>
      </c>
      <c r="N1038">
        <f>-SUMIF(TArticle[تاریخ],TDays[[#This Row],[تاریخ]],TArticle[افزایش سرمایه])</f>
        <v>0</v>
      </c>
      <c r="O1038">
        <f>SUMIF(TArticle[تاریخ],TDays[[#This Row],[تاریخ]],TArticle[تعداد تراکنش انجام شده])</f>
        <v>0</v>
      </c>
      <c r="P1038">
        <f>INT(((TDays[[#This Row],[ماه]]-1)*31+TDays[[#This Row],[روز]]+1)/7)+1</f>
        <v>45</v>
      </c>
      <c r="Q1038">
        <f>SUMIF(TArticle[تاریخ],TDays[[#This Row],[تاریخ]],TArticle[تراکنش برنامه ریزی شده])</f>
        <v>2</v>
      </c>
    </row>
    <row r="1039" spans="1:17" x14ac:dyDescent="0.25">
      <c r="A1039" s="3" t="s">
        <v>1533</v>
      </c>
      <c r="B1039" t="str">
        <f>RIGHT(TDays[[#This Row],[تاریخ]],2)</f>
        <v>02</v>
      </c>
      <c r="C1039" t="str">
        <f>RIGHT(LEFT(TDays[[#This Row],[تاریخ]],7),2)</f>
        <v>11</v>
      </c>
      <c r="D1039" t="str">
        <f>LEFT(TDays[[#This Row],[تاریخ]],4)</f>
        <v>1403</v>
      </c>
      <c r="E1039" t="str">
        <f>LEFT(TDays[[#This Row],[تاریخ]],7)</f>
        <v>1403-11</v>
      </c>
      <c r="F1039">
        <v>3</v>
      </c>
      <c r="G1039" s="16" t="str">
        <f>VLOOKUP(TDays[[#This Row],[کد روز هفته]],TDaysOfTheWeek[],2,FALSE)</f>
        <v>سه شنبه</v>
      </c>
      <c r="H1039" s="16">
        <f>IFERROR(IF(E1038&lt;&gt;E1039,1,INT(H1038)+IF(TDays[[#This Row],[کد روز هفته]]=0,1,0)),1)</f>
        <v>1</v>
      </c>
      <c r="I1039">
        <f>-SUMIF(TArticle[تاریخ],TDays[[#This Row],[تاریخ]],TArticle[هزینه])</f>
        <v>0</v>
      </c>
      <c r="J1039">
        <f>SUMIF(TArticle[تاریخ],TDays[[#This Row],[تاریخ]],TArticle[درآمد تتا])</f>
        <v>0</v>
      </c>
      <c r="K1039">
        <f>SUMIF(TArticle[تاریخ],TDays[[#This Row],[تاریخ]],TArticle[اسنپ])</f>
        <v>0</v>
      </c>
      <c r="L1039">
        <f>-SUMIF(TArticle[تاریخ],TDays[[#This Row],[تاریخ]],TArticle[پرداخت بدهی])</f>
        <v>0</v>
      </c>
      <c r="M1039">
        <f>SUMIF(TArticle[تاریخ],TDays[[#This Row],[تاریخ]],TArticle[افزایش بدهی])</f>
        <v>0</v>
      </c>
      <c r="N1039">
        <f>-SUMIF(TArticle[تاریخ],TDays[[#This Row],[تاریخ]],TArticle[افزایش سرمایه])</f>
        <v>0</v>
      </c>
      <c r="O1039">
        <f>SUMIF(TArticle[تاریخ],TDays[[#This Row],[تاریخ]],TArticle[تعداد تراکنش انجام شده])</f>
        <v>0</v>
      </c>
      <c r="P1039">
        <f>INT(((TDays[[#This Row],[ماه]]-1)*31+TDays[[#This Row],[روز]]+1)/7)+1</f>
        <v>45</v>
      </c>
      <c r="Q1039">
        <f>SUMIF(TArticle[تاریخ],TDays[[#This Row],[تاریخ]],TArticle[تراکنش برنامه ریزی شده])</f>
        <v>0</v>
      </c>
    </row>
    <row r="1040" spans="1:17" x14ac:dyDescent="0.25">
      <c r="A1040" s="3" t="s">
        <v>1534</v>
      </c>
      <c r="B1040" t="str">
        <f>RIGHT(TDays[[#This Row],[تاریخ]],2)</f>
        <v>03</v>
      </c>
      <c r="C1040" t="str">
        <f>RIGHT(LEFT(TDays[[#This Row],[تاریخ]],7),2)</f>
        <v>11</v>
      </c>
      <c r="D1040" t="str">
        <f>LEFT(TDays[[#This Row],[تاریخ]],4)</f>
        <v>1403</v>
      </c>
      <c r="E1040" t="str">
        <f>LEFT(TDays[[#This Row],[تاریخ]],7)</f>
        <v>1403-11</v>
      </c>
      <c r="F1040">
        <v>4</v>
      </c>
      <c r="G1040" s="16" t="str">
        <f>VLOOKUP(TDays[[#This Row],[کد روز هفته]],TDaysOfTheWeek[],2,FALSE)</f>
        <v>چهارشنبه</v>
      </c>
      <c r="H1040" s="16">
        <f>IFERROR(IF(E1039&lt;&gt;E1040,1,INT(H1039)+IF(TDays[[#This Row],[کد روز هفته]]=0,1,0)),1)</f>
        <v>1</v>
      </c>
      <c r="I1040">
        <f>-SUMIF(TArticle[تاریخ],TDays[[#This Row],[تاریخ]],TArticle[هزینه])</f>
        <v>0</v>
      </c>
      <c r="J1040">
        <f>SUMIF(TArticle[تاریخ],TDays[[#This Row],[تاریخ]],TArticle[درآمد تتا])</f>
        <v>0</v>
      </c>
      <c r="K1040">
        <f>SUMIF(TArticle[تاریخ],TDays[[#This Row],[تاریخ]],TArticle[اسنپ])</f>
        <v>0</v>
      </c>
      <c r="L1040">
        <f>-SUMIF(TArticle[تاریخ],TDays[[#This Row],[تاریخ]],TArticle[پرداخت بدهی])</f>
        <v>0</v>
      </c>
      <c r="M1040">
        <f>SUMIF(TArticle[تاریخ],TDays[[#This Row],[تاریخ]],TArticle[افزایش بدهی])</f>
        <v>0</v>
      </c>
      <c r="N1040">
        <f>-SUMIF(TArticle[تاریخ],TDays[[#This Row],[تاریخ]],TArticle[افزایش سرمایه])</f>
        <v>0</v>
      </c>
      <c r="O1040">
        <f>SUMIF(TArticle[تاریخ],TDays[[#This Row],[تاریخ]],TArticle[تعداد تراکنش انجام شده])</f>
        <v>0</v>
      </c>
      <c r="P1040">
        <f>INT(((TDays[[#This Row],[ماه]]-1)*31+TDays[[#This Row],[روز]]+1)/7)+1</f>
        <v>45</v>
      </c>
      <c r="Q1040">
        <f>SUMIF(TArticle[تاریخ],TDays[[#This Row],[تاریخ]],TArticle[تراکنش برنامه ریزی شده])</f>
        <v>1</v>
      </c>
    </row>
    <row r="1041" spans="1:17" x14ac:dyDescent="0.25">
      <c r="A1041" s="3" t="s">
        <v>1535</v>
      </c>
      <c r="B1041" t="str">
        <f>RIGHT(TDays[[#This Row],[تاریخ]],2)</f>
        <v>04</v>
      </c>
      <c r="C1041" t="str">
        <f>RIGHT(LEFT(TDays[[#This Row],[تاریخ]],7),2)</f>
        <v>11</v>
      </c>
      <c r="D1041" t="str">
        <f>LEFT(TDays[[#This Row],[تاریخ]],4)</f>
        <v>1403</v>
      </c>
      <c r="E1041" t="str">
        <f>LEFT(TDays[[#This Row],[تاریخ]],7)</f>
        <v>1403-11</v>
      </c>
      <c r="F1041">
        <v>5</v>
      </c>
      <c r="G1041" s="16" t="str">
        <f>VLOOKUP(TDays[[#This Row],[کد روز هفته]],TDaysOfTheWeek[],2,FALSE)</f>
        <v>پنجشنبه</v>
      </c>
      <c r="H1041" s="16">
        <f>IFERROR(IF(E1040&lt;&gt;E1041,1,INT(H1040)+IF(TDays[[#This Row],[کد روز هفته]]=0,1,0)),1)</f>
        <v>1</v>
      </c>
      <c r="I1041">
        <f>-SUMIF(TArticle[تاریخ],TDays[[#This Row],[تاریخ]],TArticle[هزینه])</f>
        <v>0</v>
      </c>
      <c r="J1041">
        <f>SUMIF(TArticle[تاریخ],TDays[[#This Row],[تاریخ]],TArticle[درآمد تتا])</f>
        <v>0</v>
      </c>
      <c r="K1041">
        <f>SUMIF(TArticle[تاریخ],TDays[[#This Row],[تاریخ]],TArticle[اسنپ])</f>
        <v>0</v>
      </c>
      <c r="L1041">
        <f>-SUMIF(TArticle[تاریخ],TDays[[#This Row],[تاریخ]],TArticle[پرداخت بدهی])</f>
        <v>0</v>
      </c>
      <c r="M1041">
        <f>SUMIF(TArticle[تاریخ],TDays[[#This Row],[تاریخ]],TArticle[افزایش بدهی])</f>
        <v>0</v>
      </c>
      <c r="N1041">
        <f>-SUMIF(TArticle[تاریخ],TDays[[#This Row],[تاریخ]],TArticle[افزایش سرمایه])</f>
        <v>0</v>
      </c>
      <c r="O1041">
        <f>SUMIF(TArticle[تاریخ],TDays[[#This Row],[تاریخ]],TArticle[تعداد تراکنش انجام شده])</f>
        <v>0</v>
      </c>
      <c r="P1041">
        <f>INT(((TDays[[#This Row],[ماه]]-1)*31+TDays[[#This Row],[روز]]+1)/7)+1</f>
        <v>46</v>
      </c>
      <c r="Q1041">
        <f>SUMIF(TArticle[تاریخ],TDays[[#This Row],[تاریخ]],TArticle[تراکنش برنامه ریزی شده])</f>
        <v>1</v>
      </c>
    </row>
    <row r="1042" spans="1:17" x14ac:dyDescent="0.25">
      <c r="A1042" s="3" t="s">
        <v>1536</v>
      </c>
      <c r="B1042" t="str">
        <f>RIGHT(TDays[[#This Row],[تاریخ]],2)</f>
        <v>05</v>
      </c>
      <c r="C1042" t="str">
        <f>RIGHT(LEFT(TDays[[#This Row],[تاریخ]],7),2)</f>
        <v>11</v>
      </c>
      <c r="D1042" t="str">
        <f>LEFT(TDays[[#This Row],[تاریخ]],4)</f>
        <v>1403</v>
      </c>
      <c r="E1042" t="str">
        <f>LEFT(TDays[[#This Row],[تاریخ]],7)</f>
        <v>1403-11</v>
      </c>
      <c r="F1042">
        <v>6</v>
      </c>
      <c r="G1042" s="16" t="str">
        <f>VLOOKUP(TDays[[#This Row],[کد روز هفته]],TDaysOfTheWeek[],2,FALSE)</f>
        <v>جمعه</v>
      </c>
      <c r="H1042" s="16">
        <f>IFERROR(IF(E1041&lt;&gt;E1042,1,INT(H1041)+IF(TDays[[#This Row],[کد روز هفته]]=0,1,0)),1)</f>
        <v>1</v>
      </c>
      <c r="I1042">
        <f>-SUMIF(TArticle[تاریخ],TDays[[#This Row],[تاریخ]],TArticle[هزینه])</f>
        <v>0</v>
      </c>
      <c r="J1042">
        <f>SUMIF(TArticle[تاریخ],TDays[[#This Row],[تاریخ]],TArticle[درآمد تتا])</f>
        <v>0</v>
      </c>
      <c r="K1042">
        <f>SUMIF(TArticle[تاریخ],TDays[[#This Row],[تاریخ]],TArticle[اسنپ])</f>
        <v>0</v>
      </c>
      <c r="L1042">
        <f>-SUMIF(TArticle[تاریخ],TDays[[#This Row],[تاریخ]],TArticle[پرداخت بدهی])</f>
        <v>0</v>
      </c>
      <c r="M1042">
        <f>SUMIF(TArticle[تاریخ],TDays[[#This Row],[تاریخ]],TArticle[افزایش بدهی])</f>
        <v>0</v>
      </c>
      <c r="N1042">
        <f>-SUMIF(TArticle[تاریخ],TDays[[#This Row],[تاریخ]],TArticle[افزایش سرمایه])</f>
        <v>0</v>
      </c>
      <c r="O1042">
        <f>SUMIF(TArticle[تاریخ],TDays[[#This Row],[تاریخ]],TArticle[تعداد تراکنش انجام شده])</f>
        <v>0</v>
      </c>
      <c r="P1042">
        <f>INT(((TDays[[#This Row],[ماه]]-1)*31+TDays[[#This Row],[روز]]+1)/7)+1</f>
        <v>46</v>
      </c>
      <c r="Q1042">
        <f>SUMIF(TArticle[تاریخ],TDays[[#This Row],[تاریخ]],TArticle[تراکنش برنامه ریزی شده])</f>
        <v>0</v>
      </c>
    </row>
    <row r="1043" spans="1:17" x14ac:dyDescent="0.25">
      <c r="A1043" s="3" t="s">
        <v>1537</v>
      </c>
      <c r="B1043" t="str">
        <f>RIGHT(TDays[[#This Row],[تاریخ]],2)</f>
        <v>06</v>
      </c>
      <c r="C1043" t="str">
        <f>RIGHT(LEFT(TDays[[#This Row],[تاریخ]],7),2)</f>
        <v>11</v>
      </c>
      <c r="D1043" t="str">
        <f>LEFT(TDays[[#This Row],[تاریخ]],4)</f>
        <v>1403</v>
      </c>
      <c r="E1043" t="str">
        <f>LEFT(TDays[[#This Row],[تاریخ]],7)</f>
        <v>1403-11</v>
      </c>
      <c r="F1043">
        <v>0</v>
      </c>
      <c r="G1043" s="16" t="str">
        <f>VLOOKUP(TDays[[#This Row],[کد روز هفته]],TDaysOfTheWeek[],2,FALSE)</f>
        <v>شنبه</v>
      </c>
      <c r="H1043" s="16">
        <f>IFERROR(IF(E1042&lt;&gt;E1043,1,INT(H1042)+IF(TDays[[#This Row],[کد روز هفته]]=0,1,0)),1)</f>
        <v>2</v>
      </c>
      <c r="I1043">
        <f>-SUMIF(TArticle[تاریخ],TDays[[#This Row],[تاریخ]],TArticle[هزینه])</f>
        <v>0</v>
      </c>
      <c r="J1043">
        <f>SUMIF(TArticle[تاریخ],TDays[[#This Row],[تاریخ]],TArticle[درآمد تتا])</f>
        <v>0</v>
      </c>
      <c r="K1043">
        <f>SUMIF(TArticle[تاریخ],TDays[[#This Row],[تاریخ]],TArticle[اسنپ])</f>
        <v>0</v>
      </c>
      <c r="L1043">
        <f>-SUMIF(TArticle[تاریخ],TDays[[#This Row],[تاریخ]],TArticle[پرداخت بدهی])</f>
        <v>0</v>
      </c>
      <c r="M1043">
        <f>SUMIF(TArticle[تاریخ],TDays[[#This Row],[تاریخ]],TArticle[افزایش بدهی])</f>
        <v>0</v>
      </c>
      <c r="N1043">
        <f>-SUMIF(TArticle[تاریخ],TDays[[#This Row],[تاریخ]],TArticle[افزایش سرمایه])</f>
        <v>0</v>
      </c>
      <c r="O1043">
        <f>SUMIF(TArticle[تاریخ],TDays[[#This Row],[تاریخ]],TArticle[تعداد تراکنش انجام شده])</f>
        <v>0</v>
      </c>
      <c r="P1043">
        <f>INT(((TDays[[#This Row],[ماه]]-1)*31+TDays[[#This Row],[روز]]+1)/7)+1</f>
        <v>46</v>
      </c>
      <c r="Q1043">
        <f>SUMIF(TArticle[تاریخ],TDays[[#This Row],[تاریخ]],TArticle[تراکنش برنامه ریزی شده])</f>
        <v>0</v>
      </c>
    </row>
    <row r="1044" spans="1:17" x14ac:dyDescent="0.25">
      <c r="A1044" s="3" t="s">
        <v>1538</v>
      </c>
      <c r="B1044" t="str">
        <f>RIGHT(TDays[[#This Row],[تاریخ]],2)</f>
        <v>07</v>
      </c>
      <c r="C1044" t="str">
        <f>RIGHT(LEFT(TDays[[#This Row],[تاریخ]],7),2)</f>
        <v>11</v>
      </c>
      <c r="D1044" t="str">
        <f>LEFT(TDays[[#This Row],[تاریخ]],4)</f>
        <v>1403</v>
      </c>
      <c r="E1044" t="str">
        <f>LEFT(TDays[[#This Row],[تاریخ]],7)</f>
        <v>1403-11</v>
      </c>
      <c r="F1044">
        <v>1</v>
      </c>
      <c r="G1044" s="16" t="str">
        <f>VLOOKUP(TDays[[#This Row],[کد روز هفته]],TDaysOfTheWeek[],2,FALSE)</f>
        <v>یکشنبه</v>
      </c>
      <c r="H1044" s="16">
        <f>IFERROR(IF(E1043&lt;&gt;E1044,1,INT(H1043)+IF(TDays[[#This Row],[کد روز هفته]]=0,1,0)),1)</f>
        <v>2</v>
      </c>
      <c r="I1044">
        <f>-SUMIF(TArticle[تاریخ],TDays[[#This Row],[تاریخ]],TArticle[هزینه])</f>
        <v>0</v>
      </c>
      <c r="J1044">
        <f>SUMIF(TArticle[تاریخ],TDays[[#This Row],[تاریخ]],TArticle[درآمد تتا])</f>
        <v>0</v>
      </c>
      <c r="K1044">
        <f>SUMIF(TArticle[تاریخ],TDays[[#This Row],[تاریخ]],TArticle[اسنپ])</f>
        <v>0</v>
      </c>
      <c r="L1044">
        <f>-SUMIF(TArticle[تاریخ],TDays[[#This Row],[تاریخ]],TArticle[پرداخت بدهی])</f>
        <v>0</v>
      </c>
      <c r="M1044">
        <f>SUMIF(TArticle[تاریخ],TDays[[#This Row],[تاریخ]],TArticle[افزایش بدهی])</f>
        <v>0</v>
      </c>
      <c r="N1044">
        <f>-SUMIF(TArticle[تاریخ],TDays[[#This Row],[تاریخ]],TArticle[افزایش سرمایه])</f>
        <v>0</v>
      </c>
      <c r="O1044">
        <f>SUMIF(TArticle[تاریخ],TDays[[#This Row],[تاریخ]],TArticle[تعداد تراکنش انجام شده])</f>
        <v>0</v>
      </c>
      <c r="P1044">
        <f>INT(((TDays[[#This Row],[ماه]]-1)*31+TDays[[#This Row],[روز]]+1)/7)+1</f>
        <v>46</v>
      </c>
      <c r="Q1044">
        <f>SUMIF(TArticle[تاریخ],TDays[[#This Row],[تاریخ]],TArticle[تراکنش برنامه ریزی شده])</f>
        <v>0</v>
      </c>
    </row>
    <row r="1045" spans="1:17" x14ac:dyDescent="0.25">
      <c r="A1045" s="3" t="s">
        <v>1539</v>
      </c>
      <c r="B1045" t="str">
        <f>RIGHT(TDays[[#This Row],[تاریخ]],2)</f>
        <v>08</v>
      </c>
      <c r="C1045" t="str">
        <f>RIGHT(LEFT(TDays[[#This Row],[تاریخ]],7),2)</f>
        <v>11</v>
      </c>
      <c r="D1045" t="str">
        <f>LEFT(TDays[[#This Row],[تاریخ]],4)</f>
        <v>1403</v>
      </c>
      <c r="E1045" t="str">
        <f>LEFT(TDays[[#This Row],[تاریخ]],7)</f>
        <v>1403-11</v>
      </c>
      <c r="F1045">
        <v>2</v>
      </c>
      <c r="G1045" s="16" t="str">
        <f>VLOOKUP(TDays[[#This Row],[کد روز هفته]],TDaysOfTheWeek[],2,FALSE)</f>
        <v>دوشنبه</v>
      </c>
      <c r="H1045" s="16">
        <f>IFERROR(IF(E1044&lt;&gt;E1045,1,INT(H1044)+IF(TDays[[#This Row],[کد روز هفته]]=0,1,0)),1)</f>
        <v>2</v>
      </c>
      <c r="I1045">
        <f>-SUMIF(TArticle[تاریخ],TDays[[#This Row],[تاریخ]],TArticle[هزینه])</f>
        <v>0</v>
      </c>
      <c r="J1045">
        <f>SUMIF(TArticle[تاریخ],TDays[[#This Row],[تاریخ]],TArticle[درآمد تتا])</f>
        <v>0</v>
      </c>
      <c r="K1045">
        <f>SUMIF(TArticle[تاریخ],TDays[[#This Row],[تاریخ]],TArticle[اسنپ])</f>
        <v>0</v>
      </c>
      <c r="L1045">
        <f>-SUMIF(TArticle[تاریخ],TDays[[#This Row],[تاریخ]],TArticle[پرداخت بدهی])</f>
        <v>0</v>
      </c>
      <c r="M1045">
        <f>SUMIF(TArticle[تاریخ],TDays[[#This Row],[تاریخ]],TArticle[افزایش بدهی])</f>
        <v>0</v>
      </c>
      <c r="N1045">
        <f>-SUMIF(TArticle[تاریخ],TDays[[#This Row],[تاریخ]],TArticle[افزایش سرمایه])</f>
        <v>0</v>
      </c>
      <c r="O1045">
        <f>SUMIF(TArticle[تاریخ],TDays[[#This Row],[تاریخ]],TArticle[تعداد تراکنش انجام شده])</f>
        <v>0</v>
      </c>
      <c r="P1045">
        <f>INT(((TDays[[#This Row],[ماه]]-1)*31+TDays[[#This Row],[روز]]+1)/7)+1</f>
        <v>46</v>
      </c>
      <c r="Q1045">
        <f>SUMIF(TArticle[تاریخ],TDays[[#This Row],[تاریخ]],TArticle[تراکنش برنامه ریزی شده])</f>
        <v>0</v>
      </c>
    </row>
    <row r="1046" spans="1:17" x14ac:dyDescent="0.25">
      <c r="A1046" s="3" t="s">
        <v>1540</v>
      </c>
      <c r="B1046" t="str">
        <f>RIGHT(TDays[[#This Row],[تاریخ]],2)</f>
        <v>09</v>
      </c>
      <c r="C1046" t="str">
        <f>RIGHT(LEFT(TDays[[#This Row],[تاریخ]],7),2)</f>
        <v>11</v>
      </c>
      <c r="D1046" t="str">
        <f>LEFT(TDays[[#This Row],[تاریخ]],4)</f>
        <v>1403</v>
      </c>
      <c r="E1046" t="str">
        <f>LEFT(TDays[[#This Row],[تاریخ]],7)</f>
        <v>1403-11</v>
      </c>
      <c r="F1046">
        <v>3</v>
      </c>
      <c r="G1046" s="16" t="str">
        <f>VLOOKUP(TDays[[#This Row],[کد روز هفته]],TDaysOfTheWeek[],2,FALSE)</f>
        <v>سه شنبه</v>
      </c>
      <c r="H1046" s="16">
        <f>IFERROR(IF(E1045&lt;&gt;E1046,1,INT(H1045)+IF(TDays[[#This Row],[کد روز هفته]]=0,1,0)),1)</f>
        <v>2</v>
      </c>
      <c r="I1046">
        <f>-SUMIF(TArticle[تاریخ],TDays[[#This Row],[تاریخ]],TArticle[هزینه])</f>
        <v>0</v>
      </c>
      <c r="J1046">
        <f>SUMIF(TArticle[تاریخ],TDays[[#This Row],[تاریخ]],TArticle[درآمد تتا])</f>
        <v>0</v>
      </c>
      <c r="K1046">
        <f>SUMIF(TArticle[تاریخ],TDays[[#This Row],[تاریخ]],TArticle[اسنپ])</f>
        <v>0</v>
      </c>
      <c r="L1046">
        <f>-SUMIF(TArticle[تاریخ],TDays[[#This Row],[تاریخ]],TArticle[پرداخت بدهی])</f>
        <v>0</v>
      </c>
      <c r="M1046">
        <f>SUMIF(TArticle[تاریخ],TDays[[#This Row],[تاریخ]],TArticle[افزایش بدهی])</f>
        <v>0</v>
      </c>
      <c r="N1046">
        <f>-SUMIF(TArticle[تاریخ],TDays[[#This Row],[تاریخ]],TArticle[افزایش سرمایه])</f>
        <v>0</v>
      </c>
      <c r="O1046">
        <f>SUMIF(TArticle[تاریخ],TDays[[#This Row],[تاریخ]],TArticle[تعداد تراکنش انجام شده])</f>
        <v>0</v>
      </c>
      <c r="P1046">
        <f>INT(((TDays[[#This Row],[ماه]]-1)*31+TDays[[#This Row],[روز]]+1)/7)+1</f>
        <v>46</v>
      </c>
      <c r="Q1046">
        <f>SUMIF(TArticle[تاریخ],TDays[[#This Row],[تاریخ]],TArticle[تراکنش برنامه ریزی شده])</f>
        <v>1</v>
      </c>
    </row>
    <row r="1047" spans="1:17" x14ac:dyDescent="0.25">
      <c r="A1047" s="3" t="s">
        <v>1541</v>
      </c>
      <c r="B1047" t="str">
        <f>RIGHT(TDays[[#This Row],[تاریخ]],2)</f>
        <v>10</v>
      </c>
      <c r="C1047" t="str">
        <f>RIGHT(LEFT(TDays[[#This Row],[تاریخ]],7),2)</f>
        <v>11</v>
      </c>
      <c r="D1047" t="str">
        <f>LEFT(TDays[[#This Row],[تاریخ]],4)</f>
        <v>1403</v>
      </c>
      <c r="E1047" t="str">
        <f>LEFT(TDays[[#This Row],[تاریخ]],7)</f>
        <v>1403-11</v>
      </c>
      <c r="F1047">
        <v>4</v>
      </c>
      <c r="G1047" s="16" t="str">
        <f>VLOOKUP(TDays[[#This Row],[کد روز هفته]],TDaysOfTheWeek[],2,FALSE)</f>
        <v>چهارشنبه</v>
      </c>
      <c r="H1047" s="16">
        <f>IFERROR(IF(E1046&lt;&gt;E1047,1,INT(H1046)+IF(TDays[[#This Row],[کد روز هفته]]=0,1,0)),1)</f>
        <v>2</v>
      </c>
      <c r="I1047">
        <f>-SUMIF(TArticle[تاریخ],TDays[[#This Row],[تاریخ]],TArticle[هزینه])</f>
        <v>0</v>
      </c>
      <c r="J1047">
        <f>SUMIF(TArticle[تاریخ],TDays[[#This Row],[تاریخ]],TArticle[درآمد تتا])</f>
        <v>0</v>
      </c>
      <c r="K1047">
        <f>SUMIF(TArticle[تاریخ],TDays[[#This Row],[تاریخ]],TArticle[اسنپ])</f>
        <v>0</v>
      </c>
      <c r="L1047">
        <f>-SUMIF(TArticle[تاریخ],TDays[[#This Row],[تاریخ]],TArticle[پرداخت بدهی])</f>
        <v>0</v>
      </c>
      <c r="M1047">
        <f>SUMIF(TArticle[تاریخ],TDays[[#This Row],[تاریخ]],TArticle[افزایش بدهی])</f>
        <v>0</v>
      </c>
      <c r="N1047">
        <f>-SUMIF(TArticle[تاریخ],TDays[[#This Row],[تاریخ]],TArticle[افزایش سرمایه])</f>
        <v>0</v>
      </c>
      <c r="O1047">
        <f>SUMIF(TArticle[تاریخ],TDays[[#This Row],[تاریخ]],TArticle[تعداد تراکنش انجام شده])</f>
        <v>0</v>
      </c>
      <c r="P1047">
        <f>INT(((TDays[[#This Row],[ماه]]-1)*31+TDays[[#This Row],[روز]]+1)/7)+1</f>
        <v>46</v>
      </c>
      <c r="Q1047">
        <f>SUMIF(TArticle[تاریخ],TDays[[#This Row],[تاریخ]],TArticle[تراکنش برنامه ریزی شده])</f>
        <v>0</v>
      </c>
    </row>
    <row r="1048" spans="1:17" x14ac:dyDescent="0.25">
      <c r="A1048" s="3" t="s">
        <v>1542</v>
      </c>
      <c r="B1048" t="str">
        <f>RIGHT(TDays[[#This Row],[تاریخ]],2)</f>
        <v>11</v>
      </c>
      <c r="C1048" t="str">
        <f>RIGHT(LEFT(TDays[[#This Row],[تاریخ]],7),2)</f>
        <v>11</v>
      </c>
      <c r="D1048" t="str">
        <f>LEFT(TDays[[#This Row],[تاریخ]],4)</f>
        <v>1403</v>
      </c>
      <c r="E1048" t="str">
        <f>LEFT(TDays[[#This Row],[تاریخ]],7)</f>
        <v>1403-11</v>
      </c>
      <c r="F1048">
        <v>5</v>
      </c>
      <c r="G1048" s="16" t="str">
        <f>VLOOKUP(TDays[[#This Row],[کد روز هفته]],TDaysOfTheWeek[],2,FALSE)</f>
        <v>پنجشنبه</v>
      </c>
      <c r="H1048" s="16">
        <f>IFERROR(IF(E1047&lt;&gt;E1048,1,INT(H1047)+IF(TDays[[#This Row],[کد روز هفته]]=0,1,0)),1)</f>
        <v>2</v>
      </c>
      <c r="I1048">
        <f>-SUMIF(TArticle[تاریخ],TDays[[#This Row],[تاریخ]],TArticle[هزینه])</f>
        <v>0</v>
      </c>
      <c r="J1048">
        <f>SUMIF(TArticle[تاریخ],TDays[[#This Row],[تاریخ]],TArticle[درآمد تتا])</f>
        <v>0</v>
      </c>
      <c r="K1048">
        <f>SUMIF(TArticle[تاریخ],TDays[[#This Row],[تاریخ]],TArticle[اسنپ])</f>
        <v>0</v>
      </c>
      <c r="L1048">
        <f>-SUMIF(TArticle[تاریخ],TDays[[#This Row],[تاریخ]],TArticle[پرداخت بدهی])</f>
        <v>0</v>
      </c>
      <c r="M1048">
        <f>SUMIF(TArticle[تاریخ],TDays[[#This Row],[تاریخ]],TArticle[افزایش بدهی])</f>
        <v>0</v>
      </c>
      <c r="N1048">
        <f>-SUMIF(TArticle[تاریخ],TDays[[#This Row],[تاریخ]],TArticle[افزایش سرمایه])</f>
        <v>0</v>
      </c>
      <c r="O1048">
        <f>SUMIF(TArticle[تاریخ],TDays[[#This Row],[تاریخ]],TArticle[تعداد تراکنش انجام شده])</f>
        <v>0</v>
      </c>
      <c r="P1048">
        <f>INT(((TDays[[#This Row],[ماه]]-1)*31+TDays[[#This Row],[روز]]+1)/7)+1</f>
        <v>47</v>
      </c>
      <c r="Q1048">
        <f>SUMIF(TArticle[تاریخ],TDays[[#This Row],[تاریخ]],TArticle[تراکنش برنامه ریزی شده])</f>
        <v>0</v>
      </c>
    </row>
    <row r="1049" spans="1:17" x14ac:dyDescent="0.25">
      <c r="A1049" s="3" t="s">
        <v>1543</v>
      </c>
      <c r="B1049" t="str">
        <f>RIGHT(TDays[[#This Row],[تاریخ]],2)</f>
        <v>12</v>
      </c>
      <c r="C1049" t="str">
        <f>RIGHT(LEFT(TDays[[#This Row],[تاریخ]],7),2)</f>
        <v>11</v>
      </c>
      <c r="D1049" t="str">
        <f>LEFT(TDays[[#This Row],[تاریخ]],4)</f>
        <v>1403</v>
      </c>
      <c r="E1049" t="str">
        <f>LEFT(TDays[[#This Row],[تاریخ]],7)</f>
        <v>1403-11</v>
      </c>
      <c r="F1049">
        <v>6</v>
      </c>
      <c r="G1049" s="16" t="str">
        <f>VLOOKUP(TDays[[#This Row],[کد روز هفته]],TDaysOfTheWeek[],2,FALSE)</f>
        <v>جمعه</v>
      </c>
      <c r="H1049" s="16">
        <f>IFERROR(IF(E1048&lt;&gt;E1049,1,INT(H1048)+IF(TDays[[#This Row],[کد روز هفته]]=0,1,0)),1)</f>
        <v>2</v>
      </c>
      <c r="I1049">
        <f>-SUMIF(TArticle[تاریخ],TDays[[#This Row],[تاریخ]],TArticle[هزینه])</f>
        <v>0</v>
      </c>
      <c r="J1049">
        <f>SUMIF(TArticle[تاریخ],TDays[[#This Row],[تاریخ]],TArticle[درآمد تتا])</f>
        <v>0</v>
      </c>
      <c r="K1049">
        <f>SUMIF(TArticle[تاریخ],TDays[[#This Row],[تاریخ]],TArticle[اسنپ])</f>
        <v>0</v>
      </c>
      <c r="L1049">
        <f>-SUMIF(TArticle[تاریخ],TDays[[#This Row],[تاریخ]],TArticle[پرداخت بدهی])</f>
        <v>0</v>
      </c>
      <c r="M1049">
        <f>SUMIF(TArticle[تاریخ],TDays[[#This Row],[تاریخ]],TArticle[افزایش بدهی])</f>
        <v>0</v>
      </c>
      <c r="N1049">
        <f>-SUMIF(TArticle[تاریخ],TDays[[#This Row],[تاریخ]],TArticle[افزایش سرمایه])</f>
        <v>0</v>
      </c>
      <c r="O1049">
        <f>SUMIF(TArticle[تاریخ],TDays[[#This Row],[تاریخ]],TArticle[تعداد تراکنش انجام شده])</f>
        <v>0</v>
      </c>
      <c r="P1049">
        <f>INT(((TDays[[#This Row],[ماه]]-1)*31+TDays[[#This Row],[روز]]+1)/7)+1</f>
        <v>47</v>
      </c>
      <c r="Q1049">
        <f>SUMIF(TArticle[تاریخ],TDays[[#This Row],[تاریخ]],TArticle[تراکنش برنامه ریزی شده])</f>
        <v>0</v>
      </c>
    </row>
    <row r="1050" spans="1:17" x14ac:dyDescent="0.25">
      <c r="A1050" s="3" t="s">
        <v>1544</v>
      </c>
      <c r="B1050" t="str">
        <f>RIGHT(TDays[[#This Row],[تاریخ]],2)</f>
        <v>13</v>
      </c>
      <c r="C1050" t="str">
        <f>RIGHT(LEFT(TDays[[#This Row],[تاریخ]],7),2)</f>
        <v>11</v>
      </c>
      <c r="D1050" t="str">
        <f>LEFT(TDays[[#This Row],[تاریخ]],4)</f>
        <v>1403</v>
      </c>
      <c r="E1050" t="str">
        <f>LEFT(TDays[[#This Row],[تاریخ]],7)</f>
        <v>1403-11</v>
      </c>
      <c r="F1050">
        <v>0</v>
      </c>
      <c r="G1050" s="16" t="str">
        <f>VLOOKUP(TDays[[#This Row],[کد روز هفته]],TDaysOfTheWeek[],2,FALSE)</f>
        <v>شنبه</v>
      </c>
      <c r="H1050" s="16">
        <f>IFERROR(IF(E1049&lt;&gt;E1050,1,INT(H1049)+IF(TDays[[#This Row],[کد روز هفته]]=0,1,0)),1)</f>
        <v>3</v>
      </c>
      <c r="I1050">
        <f>-SUMIF(TArticle[تاریخ],TDays[[#This Row],[تاریخ]],TArticle[هزینه])</f>
        <v>0</v>
      </c>
      <c r="J1050">
        <f>SUMIF(TArticle[تاریخ],TDays[[#This Row],[تاریخ]],TArticle[درآمد تتا])</f>
        <v>0</v>
      </c>
      <c r="K1050">
        <f>SUMIF(TArticle[تاریخ],TDays[[#This Row],[تاریخ]],TArticle[اسنپ])</f>
        <v>0</v>
      </c>
      <c r="L1050">
        <f>-SUMIF(TArticle[تاریخ],TDays[[#This Row],[تاریخ]],TArticle[پرداخت بدهی])</f>
        <v>0</v>
      </c>
      <c r="M1050">
        <f>SUMIF(TArticle[تاریخ],TDays[[#This Row],[تاریخ]],TArticle[افزایش بدهی])</f>
        <v>0</v>
      </c>
      <c r="N1050">
        <f>-SUMIF(TArticle[تاریخ],TDays[[#This Row],[تاریخ]],TArticle[افزایش سرمایه])</f>
        <v>0</v>
      </c>
      <c r="O1050">
        <f>SUMIF(TArticle[تاریخ],TDays[[#This Row],[تاریخ]],TArticle[تعداد تراکنش انجام شده])</f>
        <v>0</v>
      </c>
      <c r="P1050">
        <f>INT(((TDays[[#This Row],[ماه]]-1)*31+TDays[[#This Row],[روز]]+1)/7)+1</f>
        <v>47</v>
      </c>
      <c r="Q1050">
        <f>SUMIF(TArticle[تاریخ],TDays[[#This Row],[تاریخ]],TArticle[تراکنش برنامه ریزی شده])</f>
        <v>0</v>
      </c>
    </row>
    <row r="1051" spans="1:17" x14ac:dyDescent="0.25">
      <c r="A1051" s="3" t="s">
        <v>1545</v>
      </c>
      <c r="B1051" t="str">
        <f>RIGHT(TDays[[#This Row],[تاریخ]],2)</f>
        <v>14</v>
      </c>
      <c r="C1051" t="str">
        <f>RIGHT(LEFT(TDays[[#This Row],[تاریخ]],7),2)</f>
        <v>11</v>
      </c>
      <c r="D1051" t="str">
        <f>LEFT(TDays[[#This Row],[تاریخ]],4)</f>
        <v>1403</v>
      </c>
      <c r="E1051" t="str">
        <f>LEFT(TDays[[#This Row],[تاریخ]],7)</f>
        <v>1403-11</v>
      </c>
      <c r="F1051">
        <v>1</v>
      </c>
      <c r="G1051" s="16" t="str">
        <f>VLOOKUP(TDays[[#This Row],[کد روز هفته]],TDaysOfTheWeek[],2,FALSE)</f>
        <v>یکشنبه</v>
      </c>
      <c r="H1051" s="16">
        <f>IFERROR(IF(E1050&lt;&gt;E1051,1,INT(H1050)+IF(TDays[[#This Row],[کد روز هفته]]=0,1,0)),1)</f>
        <v>3</v>
      </c>
      <c r="I1051">
        <f>-SUMIF(TArticle[تاریخ],TDays[[#This Row],[تاریخ]],TArticle[هزینه])</f>
        <v>0</v>
      </c>
      <c r="J1051">
        <f>SUMIF(TArticle[تاریخ],TDays[[#This Row],[تاریخ]],TArticle[درآمد تتا])</f>
        <v>0</v>
      </c>
      <c r="K1051">
        <f>SUMIF(TArticle[تاریخ],TDays[[#This Row],[تاریخ]],TArticle[اسنپ])</f>
        <v>0</v>
      </c>
      <c r="L1051">
        <f>-SUMIF(TArticle[تاریخ],TDays[[#This Row],[تاریخ]],TArticle[پرداخت بدهی])</f>
        <v>0</v>
      </c>
      <c r="M1051">
        <f>SUMIF(TArticle[تاریخ],TDays[[#This Row],[تاریخ]],TArticle[افزایش بدهی])</f>
        <v>0</v>
      </c>
      <c r="N1051">
        <f>-SUMIF(TArticle[تاریخ],TDays[[#This Row],[تاریخ]],TArticle[افزایش سرمایه])</f>
        <v>0</v>
      </c>
      <c r="O1051">
        <f>SUMIF(TArticle[تاریخ],TDays[[#This Row],[تاریخ]],TArticle[تعداد تراکنش انجام شده])</f>
        <v>0</v>
      </c>
      <c r="P1051">
        <f>INT(((TDays[[#This Row],[ماه]]-1)*31+TDays[[#This Row],[روز]]+1)/7)+1</f>
        <v>47</v>
      </c>
      <c r="Q1051">
        <f>SUMIF(TArticle[تاریخ],TDays[[#This Row],[تاریخ]],TArticle[تراکنش برنامه ریزی شده])</f>
        <v>0</v>
      </c>
    </row>
    <row r="1052" spans="1:17" x14ac:dyDescent="0.25">
      <c r="A1052" s="3" t="s">
        <v>1546</v>
      </c>
      <c r="B1052" t="str">
        <f>RIGHT(TDays[[#This Row],[تاریخ]],2)</f>
        <v>15</v>
      </c>
      <c r="C1052" t="str">
        <f>RIGHT(LEFT(TDays[[#This Row],[تاریخ]],7),2)</f>
        <v>11</v>
      </c>
      <c r="D1052" t="str">
        <f>LEFT(TDays[[#This Row],[تاریخ]],4)</f>
        <v>1403</v>
      </c>
      <c r="E1052" t="str">
        <f>LEFT(TDays[[#This Row],[تاریخ]],7)</f>
        <v>1403-11</v>
      </c>
      <c r="F1052">
        <v>2</v>
      </c>
      <c r="G1052" s="16" t="str">
        <f>VLOOKUP(TDays[[#This Row],[کد روز هفته]],TDaysOfTheWeek[],2,FALSE)</f>
        <v>دوشنبه</v>
      </c>
      <c r="H1052" s="16">
        <f>IFERROR(IF(E1051&lt;&gt;E1052,1,INT(H1051)+IF(TDays[[#This Row],[کد روز هفته]]=0,1,0)),1)</f>
        <v>3</v>
      </c>
      <c r="I1052">
        <f>-SUMIF(TArticle[تاریخ],TDays[[#This Row],[تاریخ]],TArticle[هزینه])</f>
        <v>0</v>
      </c>
      <c r="J1052">
        <f>SUMIF(TArticle[تاریخ],TDays[[#This Row],[تاریخ]],TArticle[درآمد تتا])</f>
        <v>0</v>
      </c>
      <c r="K1052">
        <f>SUMIF(TArticle[تاریخ],TDays[[#This Row],[تاریخ]],TArticle[اسنپ])</f>
        <v>0</v>
      </c>
      <c r="L1052">
        <f>-SUMIF(TArticle[تاریخ],TDays[[#This Row],[تاریخ]],TArticle[پرداخت بدهی])</f>
        <v>0</v>
      </c>
      <c r="M1052">
        <f>SUMIF(TArticle[تاریخ],TDays[[#This Row],[تاریخ]],TArticle[افزایش بدهی])</f>
        <v>0</v>
      </c>
      <c r="N1052">
        <f>-SUMIF(TArticle[تاریخ],TDays[[#This Row],[تاریخ]],TArticle[افزایش سرمایه])</f>
        <v>0</v>
      </c>
      <c r="O1052">
        <f>SUMIF(TArticle[تاریخ],TDays[[#This Row],[تاریخ]],TArticle[تعداد تراکنش انجام شده])</f>
        <v>0</v>
      </c>
      <c r="P1052">
        <f>INT(((TDays[[#This Row],[ماه]]-1)*31+TDays[[#This Row],[روز]]+1)/7)+1</f>
        <v>47</v>
      </c>
      <c r="Q1052">
        <f>SUMIF(TArticle[تاریخ],TDays[[#This Row],[تاریخ]],TArticle[تراکنش برنامه ریزی شده])</f>
        <v>0</v>
      </c>
    </row>
    <row r="1053" spans="1:17" x14ac:dyDescent="0.25">
      <c r="A1053" s="3" t="s">
        <v>1547</v>
      </c>
      <c r="B1053" t="str">
        <f>RIGHT(TDays[[#This Row],[تاریخ]],2)</f>
        <v>16</v>
      </c>
      <c r="C1053" t="str">
        <f>RIGHT(LEFT(TDays[[#This Row],[تاریخ]],7),2)</f>
        <v>11</v>
      </c>
      <c r="D1053" t="str">
        <f>LEFT(TDays[[#This Row],[تاریخ]],4)</f>
        <v>1403</v>
      </c>
      <c r="E1053" t="str">
        <f>LEFT(TDays[[#This Row],[تاریخ]],7)</f>
        <v>1403-11</v>
      </c>
      <c r="F1053">
        <v>3</v>
      </c>
      <c r="G1053" s="16" t="str">
        <f>VLOOKUP(TDays[[#This Row],[کد روز هفته]],TDaysOfTheWeek[],2,FALSE)</f>
        <v>سه شنبه</v>
      </c>
      <c r="H1053" s="16">
        <f>IFERROR(IF(E1052&lt;&gt;E1053,1,INT(H1052)+IF(TDays[[#This Row],[کد روز هفته]]=0,1,0)),1)</f>
        <v>3</v>
      </c>
      <c r="I1053">
        <f>-SUMIF(TArticle[تاریخ],TDays[[#This Row],[تاریخ]],TArticle[هزینه])</f>
        <v>0</v>
      </c>
      <c r="J1053">
        <f>SUMIF(TArticle[تاریخ],TDays[[#This Row],[تاریخ]],TArticle[درآمد تتا])</f>
        <v>0</v>
      </c>
      <c r="K1053">
        <f>SUMIF(TArticle[تاریخ],TDays[[#This Row],[تاریخ]],TArticle[اسنپ])</f>
        <v>0</v>
      </c>
      <c r="L1053">
        <f>-SUMIF(TArticle[تاریخ],TDays[[#This Row],[تاریخ]],TArticle[پرداخت بدهی])</f>
        <v>0</v>
      </c>
      <c r="M1053">
        <f>SUMIF(TArticle[تاریخ],TDays[[#This Row],[تاریخ]],TArticle[افزایش بدهی])</f>
        <v>0</v>
      </c>
      <c r="N1053">
        <f>-SUMIF(TArticle[تاریخ],TDays[[#This Row],[تاریخ]],TArticle[افزایش سرمایه])</f>
        <v>0</v>
      </c>
      <c r="O1053">
        <f>SUMIF(TArticle[تاریخ],TDays[[#This Row],[تاریخ]],TArticle[تعداد تراکنش انجام شده])</f>
        <v>0</v>
      </c>
      <c r="P1053">
        <f>INT(((TDays[[#This Row],[ماه]]-1)*31+TDays[[#This Row],[روز]]+1)/7)+1</f>
        <v>47</v>
      </c>
      <c r="Q1053">
        <f>SUMIF(TArticle[تاریخ],TDays[[#This Row],[تاریخ]],TArticle[تراکنش برنامه ریزی شده])</f>
        <v>0</v>
      </c>
    </row>
    <row r="1054" spans="1:17" x14ac:dyDescent="0.25">
      <c r="A1054" s="3" t="s">
        <v>1548</v>
      </c>
      <c r="B1054" t="str">
        <f>RIGHT(TDays[[#This Row],[تاریخ]],2)</f>
        <v>17</v>
      </c>
      <c r="C1054" t="str">
        <f>RIGHT(LEFT(TDays[[#This Row],[تاریخ]],7),2)</f>
        <v>11</v>
      </c>
      <c r="D1054" t="str">
        <f>LEFT(TDays[[#This Row],[تاریخ]],4)</f>
        <v>1403</v>
      </c>
      <c r="E1054" t="str">
        <f>LEFT(TDays[[#This Row],[تاریخ]],7)</f>
        <v>1403-11</v>
      </c>
      <c r="F1054">
        <v>4</v>
      </c>
      <c r="G1054" s="16" t="str">
        <f>VLOOKUP(TDays[[#This Row],[کد روز هفته]],TDaysOfTheWeek[],2,FALSE)</f>
        <v>چهارشنبه</v>
      </c>
      <c r="H1054" s="16">
        <f>IFERROR(IF(E1053&lt;&gt;E1054,1,INT(H1053)+IF(TDays[[#This Row],[کد روز هفته]]=0,1,0)),1)</f>
        <v>3</v>
      </c>
      <c r="I1054">
        <f>-SUMIF(TArticle[تاریخ],TDays[[#This Row],[تاریخ]],TArticle[هزینه])</f>
        <v>0</v>
      </c>
      <c r="J1054">
        <f>SUMIF(TArticle[تاریخ],TDays[[#This Row],[تاریخ]],TArticle[درآمد تتا])</f>
        <v>0</v>
      </c>
      <c r="K1054">
        <f>SUMIF(TArticle[تاریخ],TDays[[#This Row],[تاریخ]],TArticle[اسنپ])</f>
        <v>0</v>
      </c>
      <c r="L1054">
        <f>-SUMIF(TArticle[تاریخ],TDays[[#This Row],[تاریخ]],TArticle[پرداخت بدهی])</f>
        <v>0</v>
      </c>
      <c r="M1054">
        <f>SUMIF(TArticle[تاریخ],TDays[[#This Row],[تاریخ]],TArticle[افزایش بدهی])</f>
        <v>0</v>
      </c>
      <c r="N1054">
        <f>-SUMIF(TArticle[تاریخ],TDays[[#This Row],[تاریخ]],TArticle[افزایش سرمایه])</f>
        <v>0</v>
      </c>
      <c r="O1054">
        <f>SUMIF(TArticle[تاریخ],TDays[[#This Row],[تاریخ]],TArticle[تعداد تراکنش انجام شده])</f>
        <v>0</v>
      </c>
      <c r="P1054">
        <f>INT(((TDays[[#This Row],[ماه]]-1)*31+TDays[[#This Row],[روز]]+1)/7)+1</f>
        <v>47</v>
      </c>
      <c r="Q1054">
        <f>SUMIF(TArticle[تاریخ],TDays[[#This Row],[تاریخ]],TArticle[تراکنش برنامه ریزی شده])</f>
        <v>0</v>
      </c>
    </row>
    <row r="1055" spans="1:17" x14ac:dyDescent="0.25">
      <c r="A1055" s="3" t="s">
        <v>1549</v>
      </c>
      <c r="B1055" t="str">
        <f>RIGHT(TDays[[#This Row],[تاریخ]],2)</f>
        <v>18</v>
      </c>
      <c r="C1055" t="str">
        <f>RIGHT(LEFT(TDays[[#This Row],[تاریخ]],7),2)</f>
        <v>11</v>
      </c>
      <c r="D1055" t="str">
        <f>LEFT(TDays[[#This Row],[تاریخ]],4)</f>
        <v>1403</v>
      </c>
      <c r="E1055" t="str">
        <f>LEFT(TDays[[#This Row],[تاریخ]],7)</f>
        <v>1403-11</v>
      </c>
      <c r="F1055">
        <v>5</v>
      </c>
      <c r="G1055" s="16" t="str">
        <f>VLOOKUP(TDays[[#This Row],[کد روز هفته]],TDaysOfTheWeek[],2,FALSE)</f>
        <v>پنجشنبه</v>
      </c>
      <c r="H1055" s="16">
        <f>IFERROR(IF(E1054&lt;&gt;E1055,1,INT(H1054)+IF(TDays[[#This Row],[کد روز هفته]]=0,1,0)),1)</f>
        <v>3</v>
      </c>
      <c r="I1055">
        <f>-SUMIF(TArticle[تاریخ],TDays[[#This Row],[تاریخ]],TArticle[هزینه])</f>
        <v>0</v>
      </c>
      <c r="J1055">
        <f>SUMIF(TArticle[تاریخ],TDays[[#This Row],[تاریخ]],TArticle[درآمد تتا])</f>
        <v>0</v>
      </c>
      <c r="K1055">
        <f>SUMIF(TArticle[تاریخ],TDays[[#This Row],[تاریخ]],TArticle[اسنپ])</f>
        <v>0</v>
      </c>
      <c r="L1055">
        <f>-SUMIF(TArticle[تاریخ],TDays[[#This Row],[تاریخ]],TArticle[پرداخت بدهی])</f>
        <v>0</v>
      </c>
      <c r="M1055">
        <f>SUMIF(TArticle[تاریخ],TDays[[#This Row],[تاریخ]],TArticle[افزایش بدهی])</f>
        <v>0</v>
      </c>
      <c r="N1055">
        <f>-SUMIF(TArticle[تاریخ],TDays[[#This Row],[تاریخ]],TArticle[افزایش سرمایه])</f>
        <v>0</v>
      </c>
      <c r="O1055">
        <f>SUMIF(TArticle[تاریخ],TDays[[#This Row],[تاریخ]],TArticle[تعداد تراکنش انجام شده])</f>
        <v>0</v>
      </c>
      <c r="P1055">
        <f>INT(((TDays[[#This Row],[ماه]]-1)*31+TDays[[#This Row],[روز]]+1)/7)+1</f>
        <v>48</v>
      </c>
      <c r="Q1055">
        <f>SUMIF(TArticle[تاریخ],TDays[[#This Row],[تاریخ]],TArticle[تراکنش برنامه ریزی شده])</f>
        <v>0</v>
      </c>
    </row>
    <row r="1056" spans="1:17" x14ac:dyDescent="0.25">
      <c r="A1056" s="3" t="s">
        <v>1550</v>
      </c>
      <c r="B1056" t="str">
        <f>RIGHT(TDays[[#This Row],[تاریخ]],2)</f>
        <v>19</v>
      </c>
      <c r="C1056" t="str">
        <f>RIGHT(LEFT(TDays[[#This Row],[تاریخ]],7),2)</f>
        <v>11</v>
      </c>
      <c r="D1056" t="str">
        <f>LEFT(TDays[[#This Row],[تاریخ]],4)</f>
        <v>1403</v>
      </c>
      <c r="E1056" t="str">
        <f>LEFT(TDays[[#This Row],[تاریخ]],7)</f>
        <v>1403-11</v>
      </c>
      <c r="F1056">
        <v>6</v>
      </c>
      <c r="G1056" s="16" t="str">
        <f>VLOOKUP(TDays[[#This Row],[کد روز هفته]],TDaysOfTheWeek[],2,FALSE)</f>
        <v>جمعه</v>
      </c>
      <c r="H1056" s="16">
        <f>IFERROR(IF(E1055&lt;&gt;E1056,1,INT(H1055)+IF(TDays[[#This Row],[کد روز هفته]]=0,1,0)),1)</f>
        <v>3</v>
      </c>
      <c r="I1056">
        <f>-SUMIF(TArticle[تاریخ],TDays[[#This Row],[تاریخ]],TArticle[هزینه])</f>
        <v>0</v>
      </c>
      <c r="J1056">
        <f>SUMIF(TArticle[تاریخ],TDays[[#This Row],[تاریخ]],TArticle[درآمد تتا])</f>
        <v>0</v>
      </c>
      <c r="K1056">
        <f>SUMIF(TArticle[تاریخ],TDays[[#This Row],[تاریخ]],TArticle[اسنپ])</f>
        <v>0</v>
      </c>
      <c r="L1056">
        <f>-SUMIF(TArticle[تاریخ],TDays[[#This Row],[تاریخ]],TArticle[پرداخت بدهی])</f>
        <v>0</v>
      </c>
      <c r="M1056">
        <f>SUMIF(TArticle[تاریخ],TDays[[#This Row],[تاریخ]],TArticle[افزایش بدهی])</f>
        <v>0</v>
      </c>
      <c r="N1056">
        <f>-SUMIF(TArticle[تاریخ],TDays[[#This Row],[تاریخ]],TArticle[افزایش سرمایه])</f>
        <v>0</v>
      </c>
      <c r="O1056">
        <f>SUMIF(TArticle[تاریخ],TDays[[#This Row],[تاریخ]],TArticle[تعداد تراکنش انجام شده])</f>
        <v>0</v>
      </c>
      <c r="P1056">
        <f>INT(((TDays[[#This Row],[ماه]]-1)*31+TDays[[#This Row],[روز]]+1)/7)+1</f>
        <v>48</v>
      </c>
      <c r="Q1056">
        <f>SUMIF(TArticle[تاریخ],TDays[[#This Row],[تاریخ]],TArticle[تراکنش برنامه ریزی شده])</f>
        <v>0</v>
      </c>
    </row>
    <row r="1057" spans="1:17" x14ac:dyDescent="0.25">
      <c r="A1057" s="3" t="s">
        <v>1551</v>
      </c>
      <c r="B1057" t="str">
        <f>RIGHT(TDays[[#This Row],[تاریخ]],2)</f>
        <v>20</v>
      </c>
      <c r="C1057" t="str">
        <f>RIGHT(LEFT(TDays[[#This Row],[تاریخ]],7),2)</f>
        <v>11</v>
      </c>
      <c r="D1057" t="str">
        <f>LEFT(TDays[[#This Row],[تاریخ]],4)</f>
        <v>1403</v>
      </c>
      <c r="E1057" t="str">
        <f>LEFT(TDays[[#This Row],[تاریخ]],7)</f>
        <v>1403-11</v>
      </c>
      <c r="F1057">
        <v>0</v>
      </c>
      <c r="G1057" s="16" t="str">
        <f>VLOOKUP(TDays[[#This Row],[کد روز هفته]],TDaysOfTheWeek[],2,FALSE)</f>
        <v>شنبه</v>
      </c>
      <c r="H1057" s="16">
        <f>IFERROR(IF(E1056&lt;&gt;E1057,1,INT(H1056)+IF(TDays[[#This Row],[کد روز هفته]]=0,1,0)),1)</f>
        <v>4</v>
      </c>
      <c r="I1057">
        <f>-SUMIF(TArticle[تاریخ],TDays[[#This Row],[تاریخ]],TArticle[هزینه])</f>
        <v>0</v>
      </c>
      <c r="J1057">
        <f>SUMIF(TArticle[تاریخ],TDays[[#This Row],[تاریخ]],TArticle[درآمد تتا])</f>
        <v>0</v>
      </c>
      <c r="K1057">
        <f>SUMIF(TArticle[تاریخ],TDays[[#This Row],[تاریخ]],TArticle[اسنپ])</f>
        <v>0</v>
      </c>
      <c r="L1057">
        <f>-SUMIF(TArticle[تاریخ],TDays[[#This Row],[تاریخ]],TArticle[پرداخت بدهی])</f>
        <v>0</v>
      </c>
      <c r="M1057">
        <f>SUMIF(TArticle[تاریخ],TDays[[#This Row],[تاریخ]],TArticle[افزایش بدهی])</f>
        <v>0</v>
      </c>
      <c r="N1057">
        <f>-SUMIF(TArticle[تاریخ],TDays[[#This Row],[تاریخ]],TArticle[افزایش سرمایه])</f>
        <v>0</v>
      </c>
      <c r="O1057">
        <f>SUMIF(TArticle[تاریخ],TDays[[#This Row],[تاریخ]],TArticle[تعداد تراکنش انجام شده])</f>
        <v>0</v>
      </c>
      <c r="P1057">
        <f>INT(((TDays[[#This Row],[ماه]]-1)*31+TDays[[#This Row],[روز]]+1)/7)+1</f>
        <v>48</v>
      </c>
      <c r="Q1057">
        <f>SUMIF(TArticle[تاریخ],TDays[[#This Row],[تاریخ]],TArticle[تراکنش برنامه ریزی شده])</f>
        <v>1</v>
      </c>
    </row>
    <row r="1058" spans="1:17" x14ac:dyDescent="0.25">
      <c r="A1058" s="3" t="s">
        <v>1552</v>
      </c>
      <c r="B1058" t="str">
        <f>RIGHT(TDays[[#This Row],[تاریخ]],2)</f>
        <v>21</v>
      </c>
      <c r="C1058" t="str">
        <f>RIGHT(LEFT(TDays[[#This Row],[تاریخ]],7),2)</f>
        <v>11</v>
      </c>
      <c r="D1058" t="str">
        <f>LEFT(TDays[[#This Row],[تاریخ]],4)</f>
        <v>1403</v>
      </c>
      <c r="E1058" t="str">
        <f>LEFT(TDays[[#This Row],[تاریخ]],7)</f>
        <v>1403-11</v>
      </c>
      <c r="F1058">
        <v>1</v>
      </c>
      <c r="G1058" s="16" t="str">
        <f>VLOOKUP(TDays[[#This Row],[کد روز هفته]],TDaysOfTheWeek[],2,FALSE)</f>
        <v>یکشنبه</v>
      </c>
      <c r="H1058" s="16">
        <f>IFERROR(IF(E1057&lt;&gt;E1058,1,INT(H1057)+IF(TDays[[#This Row],[کد روز هفته]]=0,1,0)),1)</f>
        <v>4</v>
      </c>
      <c r="I1058">
        <f>-SUMIF(TArticle[تاریخ],TDays[[#This Row],[تاریخ]],TArticle[هزینه])</f>
        <v>0</v>
      </c>
      <c r="J1058">
        <f>SUMIF(TArticle[تاریخ],TDays[[#This Row],[تاریخ]],TArticle[درآمد تتا])</f>
        <v>0</v>
      </c>
      <c r="K1058">
        <f>SUMIF(TArticle[تاریخ],TDays[[#This Row],[تاریخ]],TArticle[اسنپ])</f>
        <v>0</v>
      </c>
      <c r="L1058">
        <f>-SUMIF(TArticle[تاریخ],TDays[[#This Row],[تاریخ]],TArticle[پرداخت بدهی])</f>
        <v>0</v>
      </c>
      <c r="M1058">
        <f>SUMIF(TArticle[تاریخ],TDays[[#This Row],[تاریخ]],TArticle[افزایش بدهی])</f>
        <v>0</v>
      </c>
      <c r="N1058">
        <f>-SUMIF(TArticle[تاریخ],TDays[[#This Row],[تاریخ]],TArticle[افزایش سرمایه])</f>
        <v>0</v>
      </c>
      <c r="O1058">
        <f>SUMIF(TArticle[تاریخ],TDays[[#This Row],[تاریخ]],TArticle[تعداد تراکنش انجام شده])</f>
        <v>0</v>
      </c>
      <c r="P1058">
        <f>INT(((TDays[[#This Row],[ماه]]-1)*31+TDays[[#This Row],[روز]]+1)/7)+1</f>
        <v>48</v>
      </c>
      <c r="Q1058">
        <f>SUMIF(TArticle[تاریخ],TDays[[#This Row],[تاریخ]],TArticle[تراکنش برنامه ریزی شده])</f>
        <v>0</v>
      </c>
    </row>
    <row r="1059" spans="1:17" x14ac:dyDescent="0.25">
      <c r="A1059" s="3" t="s">
        <v>1553</v>
      </c>
      <c r="B1059" t="str">
        <f>RIGHT(TDays[[#This Row],[تاریخ]],2)</f>
        <v>22</v>
      </c>
      <c r="C1059" t="str">
        <f>RIGHT(LEFT(TDays[[#This Row],[تاریخ]],7),2)</f>
        <v>11</v>
      </c>
      <c r="D1059" t="str">
        <f>LEFT(TDays[[#This Row],[تاریخ]],4)</f>
        <v>1403</v>
      </c>
      <c r="E1059" t="str">
        <f>LEFT(TDays[[#This Row],[تاریخ]],7)</f>
        <v>1403-11</v>
      </c>
      <c r="F1059">
        <v>2</v>
      </c>
      <c r="G1059" s="16" t="str">
        <f>VLOOKUP(TDays[[#This Row],[کد روز هفته]],TDaysOfTheWeek[],2,FALSE)</f>
        <v>دوشنبه</v>
      </c>
      <c r="H1059" s="16">
        <f>IFERROR(IF(E1058&lt;&gt;E1059,1,INT(H1058)+IF(TDays[[#This Row],[کد روز هفته]]=0,1,0)),1)</f>
        <v>4</v>
      </c>
      <c r="I1059">
        <f>-SUMIF(TArticle[تاریخ],TDays[[#This Row],[تاریخ]],TArticle[هزینه])</f>
        <v>0</v>
      </c>
      <c r="J1059">
        <f>SUMIF(TArticle[تاریخ],TDays[[#This Row],[تاریخ]],TArticle[درآمد تتا])</f>
        <v>0</v>
      </c>
      <c r="K1059">
        <f>SUMIF(TArticle[تاریخ],TDays[[#This Row],[تاریخ]],TArticle[اسنپ])</f>
        <v>0</v>
      </c>
      <c r="L1059">
        <f>-SUMIF(TArticle[تاریخ],TDays[[#This Row],[تاریخ]],TArticle[پرداخت بدهی])</f>
        <v>0</v>
      </c>
      <c r="M1059">
        <f>SUMIF(TArticle[تاریخ],TDays[[#This Row],[تاریخ]],TArticle[افزایش بدهی])</f>
        <v>0</v>
      </c>
      <c r="N1059">
        <f>-SUMIF(TArticle[تاریخ],TDays[[#This Row],[تاریخ]],TArticle[افزایش سرمایه])</f>
        <v>0</v>
      </c>
      <c r="O1059">
        <f>SUMIF(TArticle[تاریخ],TDays[[#This Row],[تاریخ]],TArticle[تعداد تراکنش انجام شده])</f>
        <v>0</v>
      </c>
      <c r="P1059">
        <f>INT(((TDays[[#This Row],[ماه]]-1)*31+TDays[[#This Row],[روز]]+1)/7)+1</f>
        <v>48</v>
      </c>
      <c r="Q1059">
        <f>SUMIF(TArticle[تاریخ],TDays[[#This Row],[تاریخ]],TArticle[تراکنش برنامه ریزی شده])</f>
        <v>0</v>
      </c>
    </row>
    <row r="1060" spans="1:17" x14ac:dyDescent="0.25">
      <c r="A1060" s="3" t="s">
        <v>1554</v>
      </c>
      <c r="B1060" t="str">
        <f>RIGHT(TDays[[#This Row],[تاریخ]],2)</f>
        <v>23</v>
      </c>
      <c r="C1060" t="str">
        <f>RIGHT(LEFT(TDays[[#This Row],[تاریخ]],7),2)</f>
        <v>11</v>
      </c>
      <c r="D1060" t="str">
        <f>LEFT(TDays[[#This Row],[تاریخ]],4)</f>
        <v>1403</v>
      </c>
      <c r="E1060" t="str">
        <f>LEFT(TDays[[#This Row],[تاریخ]],7)</f>
        <v>1403-11</v>
      </c>
      <c r="F1060">
        <v>3</v>
      </c>
      <c r="G1060" s="16" t="str">
        <f>VLOOKUP(TDays[[#This Row],[کد روز هفته]],TDaysOfTheWeek[],2,FALSE)</f>
        <v>سه شنبه</v>
      </c>
      <c r="H1060" s="16">
        <f>IFERROR(IF(E1059&lt;&gt;E1060,1,INT(H1059)+IF(TDays[[#This Row],[کد روز هفته]]=0,1,0)),1)</f>
        <v>4</v>
      </c>
      <c r="I1060">
        <f>-SUMIF(TArticle[تاریخ],TDays[[#This Row],[تاریخ]],TArticle[هزینه])</f>
        <v>0</v>
      </c>
      <c r="J1060">
        <f>SUMIF(TArticle[تاریخ],TDays[[#This Row],[تاریخ]],TArticle[درآمد تتا])</f>
        <v>0</v>
      </c>
      <c r="K1060">
        <f>SUMIF(TArticle[تاریخ],TDays[[#This Row],[تاریخ]],TArticle[اسنپ])</f>
        <v>0</v>
      </c>
      <c r="L1060">
        <f>-SUMIF(TArticle[تاریخ],TDays[[#This Row],[تاریخ]],TArticle[پرداخت بدهی])</f>
        <v>0</v>
      </c>
      <c r="M1060">
        <f>SUMIF(TArticle[تاریخ],TDays[[#This Row],[تاریخ]],TArticle[افزایش بدهی])</f>
        <v>0</v>
      </c>
      <c r="N1060">
        <f>-SUMIF(TArticle[تاریخ],TDays[[#This Row],[تاریخ]],TArticle[افزایش سرمایه])</f>
        <v>0</v>
      </c>
      <c r="O1060">
        <f>SUMIF(TArticle[تاریخ],TDays[[#This Row],[تاریخ]],TArticle[تعداد تراکنش انجام شده])</f>
        <v>0</v>
      </c>
      <c r="P1060">
        <f>INT(((TDays[[#This Row],[ماه]]-1)*31+TDays[[#This Row],[روز]]+1)/7)+1</f>
        <v>48</v>
      </c>
      <c r="Q1060">
        <f>SUMIF(TArticle[تاریخ],TDays[[#This Row],[تاریخ]],TArticle[تراکنش برنامه ریزی شده])</f>
        <v>0</v>
      </c>
    </row>
    <row r="1061" spans="1:17" x14ac:dyDescent="0.25">
      <c r="A1061" s="3" t="s">
        <v>1555</v>
      </c>
      <c r="B1061" t="str">
        <f>RIGHT(TDays[[#This Row],[تاریخ]],2)</f>
        <v>24</v>
      </c>
      <c r="C1061" t="str">
        <f>RIGHT(LEFT(TDays[[#This Row],[تاریخ]],7),2)</f>
        <v>11</v>
      </c>
      <c r="D1061" t="str">
        <f>LEFT(TDays[[#This Row],[تاریخ]],4)</f>
        <v>1403</v>
      </c>
      <c r="E1061" t="str">
        <f>LEFT(TDays[[#This Row],[تاریخ]],7)</f>
        <v>1403-11</v>
      </c>
      <c r="F1061">
        <v>4</v>
      </c>
      <c r="G1061" s="16" t="str">
        <f>VLOOKUP(TDays[[#This Row],[کد روز هفته]],TDaysOfTheWeek[],2,FALSE)</f>
        <v>چهارشنبه</v>
      </c>
      <c r="H1061" s="16">
        <f>IFERROR(IF(E1060&lt;&gt;E1061,1,INT(H1060)+IF(TDays[[#This Row],[کد روز هفته]]=0,1,0)),1)</f>
        <v>4</v>
      </c>
      <c r="I1061">
        <f>-SUMIF(TArticle[تاریخ],TDays[[#This Row],[تاریخ]],TArticle[هزینه])</f>
        <v>0</v>
      </c>
      <c r="J1061">
        <f>SUMIF(TArticle[تاریخ],TDays[[#This Row],[تاریخ]],TArticle[درآمد تتا])</f>
        <v>0</v>
      </c>
      <c r="K1061">
        <f>SUMIF(TArticle[تاریخ],TDays[[#This Row],[تاریخ]],TArticle[اسنپ])</f>
        <v>0</v>
      </c>
      <c r="L1061">
        <f>-SUMIF(TArticle[تاریخ],TDays[[#This Row],[تاریخ]],TArticle[پرداخت بدهی])</f>
        <v>0</v>
      </c>
      <c r="M1061">
        <f>SUMIF(TArticle[تاریخ],TDays[[#This Row],[تاریخ]],TArticle[افزایش بدهی])</f>
        <v>0</v>
      </c>
      <c r="N1061">
        <f>-SUMIF(TArticle[تاریخ],TDays[[#This Row],[تاریخ]],TArticle[افزایش سرمایه])</f>
        <v>0</v>
      </c>
      <c r="O1061">
        <f>SUMIF(TArticle[تاریخ],TDays[[#This Row],[تاریخ]],TArticle[تعداد تراکنش انجام شده])</f>
        <v>0</v>
      </c>
      <c r="P1061">
        <f>INT(((TDays[[#This Row],[ماه]]-1)*31+TDays[[#This Row],[روز]]+1)/7)+1</f>
        <v>48</v>
      </c>
      <c r="Q1061">
        <f>SUMIF(TArticle[تاریخ],TDays[[#This Row],[تاریخ]],TArticle[تراکنش برنامه ریزی شده])</f>
        <v>0</v>
      </c>
    </row>
    <row r="1062" spans="1:17" x14ac:dyDescent="0.25">
      <c r="A1062" s="3" t="s">
        <v>1556</v>
      </c>
      <c r="B1062" t="str">
        <f>RIGHT(TDays[[#This Row],[تاریخ]],2)</f>
        <v>25</v>
      </c>
      <c r="C1062" t="str">
        <f>RIGHT(LEFT(TDays[[#This Row],[تاریخ]],7),2)</f>
        <v>11</v>
      </c>
      <c r="D1062" t="str">
        <f>LEFT(TDays[[#This Row],[تاریخ]],4)</f>
        <v>1403</v>
      </c>
      <c r="E1062" t="str">
        <f>LEFT(TDays[[#This Row],[تاریخ]],7)</f>
        <v>1403-11</v>
      </c>
      <c r="F1062">
        <v>5</v>
      </c>
      <c r="G1062" s="16" t="str">
        <f>VLOOKUP(TDays[[#This Row],[کد روز هفته]],TDaysOfTheWeek[],2,FALSE)</f>
        <v>پنجشنبه</v>
      </c>
      <c r="H1062" s="16">
        <f>IFERROR(IF(E1061&lt;&gt;E1062,1,INT(H1061)+IF(TDays[[#This Row],[کد روز هفته]]=0,1,0)),1)</f>
        <v>4</v>
      </c>
      <c r="I1062">
        <f>-SUMIF(TArticle[تاریخ],TDays[[#This Row],[تاریخ]],TArticle[هزینه])</f>
        <v>0</v>
      </c>
      <c r="J1062">
        <f>SUMIF(TArticle[تاریخ],TDays[[#This Row],[تاریخ]],TArticle[درآمد تتا])</f>
        <v>0</v>
      </c>
      <c r="K1062">
        <f>SUMIF(TArticle[تاریخ],TDays[[#This Row],[تاریخ]],TArticle[اسنپ])</f>
        <v>0</v>
      </c>
      <c r="L1062">
        <f>-SUMIF(TArticle[تاریخ],TDays[[#This Row],[تاریخ]],TArticle[پرداخت بدهی])</f>
        <v>0</v>
      </c>
      <c r="M1062">
        <f>SUMIF(TArticle[تاریخ],TDays[[#This Row],[تاریخ]],TArticle[افزایش بدهی])</f>
        <v>0</v>
      </c>
      <c r="N1062">
        <f>-SUMIF(TArticle[تاریخ],TDays[[#This Row],[تاریخ]],TArticle[افزایش سرمایه])</f>
        <v>0</v>
      </c>
      <c r="O1062">
        <f>SUMIF(TArticle[تاریخ],TDays[[#This Row],[تاریخ]],TArticle[تعداد تراکنش انجام شده])</f>
        <v>0</v>
      </c>
      <c r="P1062">
        <f>INT(((TDays[[#This Row],[ماه]]-1)*31+TDays[[#This Row],[روز]]+1)/7)+1</f>
        <v>49</v>
      </c>
      <c r="Q1062">
        <f>SUMIF(TArticle[تاریخ],TDays[[#This Row],[تاریخ]],TArticle[تراکنش برنامه ریزی شده])</f>
        <v>0</v>
      </c>
    </row>
    <row r="1063" spans="1:17" x14ac:dyDescent="0.25">
      <c r="A1063" s="3" t="s">
        <v>1557</v>
      </c>
      <c r="B1063" t="str">
        <f>RIGHT(TDays[[#This Row],[تاریخ]],2)</f>
        <v>26</v>
      </c>
      <c r="C1063" t="str">
        <f>RIGHT(LEFT(TDays[[#This Row],[تاریخ]],7),2)</f>
        <v>11</v>
      </c>
      <c r="D1063" t="str">
        <f>LEFT(TDays[[#This Row],[تاریخ]],4)</f>
        <v>1403</v>
      </c>
      <c r="E1063" t="str">
        <f>LEFT(TDays[[#This Row],[تاریخ]],7)</f>
        <v>1403-11</v>
      </c>
      <c r="F1063">
        <v>6</v>
      </c>
      <c r="G1063" s="16" t="str">
        <f>VLOOKUP(TDays[[#This Row],[کد روز هفته]],TDaysOfTheWeek[],2,FALSE)</f>
        <v>جمعه</v>
      </c>
      <c r="H1063" s="16">
        <f>IFERROR(IF(E1062&lt;&gt;E1063,1,INT(H1062)+IF(TDays[[#This Row],[کد روز هفته]]=0,1,0)),1)</f>
        <v>4</v>
      </c>
      <c r="I1063">
        <f>-SUMIF(TArticle[تاریخ],TDays[[#This Row],[تاریخ]],TArticle[هزینه])</f>
        <v>0</v>
      </c>
      <c r="J1063">
        <f>SUMIF(TArticle[تاریخ],TDays[[#This Row],[تاریخ]],TArticle[درآمد تتا])</f>
        <v>0</v>
      </c>
      <c r="K1063">
        <f>SUMIF(TArticle[تاریخ],TDays[[#This Row],[تاریخ]],TArticle[اسنپ])</f>
        <v>0</v>
      </c>
      <c r="L1063">
        <f>-SUMIF(TArticle[تاریخ],TDays[[#This Row],[تاریخ]],TArticle[پرداخت بدهی])</f>
        <v>0</v>
      </c>
      <c r="M1063">
        <f>SUMIF(TArticle[تاریخ],TDays[[#This Row],[تاریخ]],TArticle[افزایش بدهی])</f>
        <v>0</v>
      </c>
      <c r="N1063">
        <f>-SUMIF(TArticle[تاریخ],TDays[[#This Row],[تاریخ]],TArticle[افزایش سرمایه])</f>
        <v>0</v>
      </c>
      <c r="O1063">
        <f>SUMIF(TArticle[تاریخ],TDays[[#This Row],[تاریخ]],TArticle[تعداد تراکنش انجام شده])</f>
        <v>0</v>
      </c>
      <c r="P1063">
        <f>INT(((TDays[[#This Row],[ماه]]-1)*31+TDays[[#This Row],[روز]]+1)/7)+1</f>
        <v>49</v>
      </c>
      <c r="Q1063">
        <f>SUMIF(TArticle[تاریخ],TDays[[#This Row],[تاریخ]],TArticle[تراکنش برنامه ریزی شده])</f>
        <v>0</v>
      </c>
    </row>
    <row r="1064" spans="1:17" x14ac:dyDescent="0.25">
      <c r="A1064" s="3" t="s">
        <v>1558</v>
      </c>
      <c r="B1064" t="str">
        <f>RIGHT(TDays[[#This Row],[تاریخ]],2)</f>
        <v>27</v>
      </c>
      <c r="C1064" t="str">
        <f>RIGHT(LEFT(TDays[[#This Row],[تاریخ]],7),2)</f>
        <v>11</v>
      </c>
      <c r="D1064" t="str">
        <f>LEFT(TDays[[#This Row],[تاریخ]],4)</f>
        <v>1403</v>
      </c>
      <c r="E1064" t="str">
        <f>LEFT(TDays[[#This Row],[تاریخ]],7)</f>
        <v>1403-11</v>
      </c>
      <c r="F1064">
        <v>0</v>
      </c>
      <c r="G1064" s="16" t="str">
        <f>VLOOKUP(TDays[[#This Row],[کد روز هفته]],TDaysOfTheWeek[],2,FALSE)</f>
        <v>شنبه</v>
      </c>
      <c r="H1064" s="16">
        <f>IFERROR(IF(E1063&lt;&gt;E1064,1,INT(H1063)+IF(TDays[[#This Row],[کد روز هفته]]=0,1,0)),1)</f>
        <v>5</v>
      </c>
      <c r="I1064">
        <f>-SUMIF(TArticle[تاریخ],TDays[[#This Row],[تاریخ]],TArticle[هزینه])</f>
        <v>0</v>
      </c>
      <c r="J1064">
        <f>SUMIF(TArticle[تاریخ],TDays[[#This Row],[تاریخ]],TArticle[درآمد تتا])</f>
        <v>0</v>
      </c>
      <c r="K1064">
        <f>SUMIF(TArticle[تاریخ],TDays[[#This Row],[تاریخ]],TArticle[اسنپ])</f>
        <v>0</v>
      </c>
      <c r="L1064">
        <f>-SUMIF(TArticle[تاریخ],TDays[[#This Row],[تاریخ]],TArticle[پرداخت بدهی])</f>
        <v>0</v>
      </c>
      <c r="M1064">
        <f>SUMIF(TArticle[تاریخ],TDays[[#This Row],[تاریخ]],TArticle[افزایش بدهی])</f>
        <v>0</v>
      </c>
      <c r="N1064">
        <f>-SUMIF(TArticle[تاریخ],TDays[[#This Row],[تاریخ]],TArticle[افزایش سرمایه])</f>
        <v>0</v>
      </c>
      <c r="O1064">
        <f>SUMIF(TArticle[تاریخ],TDays[[#This Row],[تاریخ]],TArticle[تعداد تراکنش انجام شده])</f>
        <v>0</v>
      </c>
      <c r="P1064">
        <f>INT(((TDays[[#This Row],[ماه]]-1)*31+TDays[[#This Row],[روز]]+1)/7)+1</f>
        <v>49</v>
      </c>
      <c r="Q1064">
        <f>SUMIF(TArticle[تاریخ],TDays[[#This Row],[تاریخ]],TArticle[تراکنش برنامه ریزی شده])</f>
        <v>0</v>
      </c>
    </row>
    <row r="1065" spans="1:17" x14ac:dyDescent="0.25">
      <c r="A1065" s="3" t="s">
        <v>1559</v>
      </c>
      <c r="B1065" t="str">
        <f>RIGHT(TDays[[#This Row],[تاریخ]],2)</f>
        <v>28</v>
      </c>
      <c r="C1065" t="str">
        <f>RIGHT(LEFT(TDays[[#This Row],[تاریخ]],7),2)</f>
        <v>11</v>
      </c>
      <c r="D1065" t="str">
        <f>LEFT(TDays[[#This Row],[تاریخ]],4)</f>
        <v>1403</v>
      </c>
      <c r="E1065" t="str">
        <f>LEFT(TDays[[#This Row],[تاریخ]],7)</f>
        <v>1403-11</v>
      </c>
      <c r="F1065">
        <v>1</v>
      </c>
      <c r="G1065" s="16" t="str">
        <f>VLOOKUP(TDays[[#This Row],[کد روز هفته]],TDaysOfTheWeek[],2,FALSE)</f>
        <v>یکشنبه</v>
      </c>
      <c r="H1065" s="16">
        <f>IFERROR(IF(E1064&lt;&gt;E1065,1,INT(H1064)+IF(TDays[[#This Row],[کد روز هفته]]=0,1,0)),1)</f>
        <v>5</v>
      </c>
      <c r="I1065">
        <f>-SUMIF(TArticle[تاریخ],TDays[[#This Row],[تاریخ]],TArticle[هزینه])</f>
        <v>0</v>
      </c>
      <c r="J1065">
        <f>SUMIF(TArticle[تاریخ],TDays[[#This Row],[تاریخ]],TArticle[درآمد تتا])</f>
        <v>0</v>
      </c>
      <c r="K1065">
        <f>SUMIF(TArticle[تاریخ],TDays[[#This Row],[تاریخ]],TArticle[اسنپ])</f>
        <v>0</v>
      </c>
      <c r="L1065">
        <f>-SUMIF(TArticle[تاریخ],TDays[[#This Row],[تاریخ]],TArticle[پرداخت بدهی])</f>
        <v>0</v>
      </c>
      <c r="M1065">
        <f>SUMIF(TArticle[تاریخ],TDays[[#This Row],[تاریخ]],TArticle[افزایش بدهی])</f>
        <v>0</v>
      </c>
      <c r="N1065">
        <f>-SUMIF(TArticle[تاریخ],TDays[[#This Row],[تاریخ]],TArticle[افزایش سرمایه])</f>
        <v>0</v>
      </c>
      <c r="O1065">
        <f>SUMIF(TArticle[تاریخ],TDays[[#This Row],[تاریخ]],TArticle[تعداد تراکنش انجام شده])</f>
        <v>0</v>
      </c>
      <c r="P1065">
        <f>INT(((TDays[[#This Row],[ماه]]-1)*31+TDays[[#This Row],[روز]]+1)/7)+1</f>
        <v>49</v>
      </c>
      <c r="Q1065">
        <f>SUMIF(TArticle[تاریخ],TDays[[#This Row],[تاریخ]],TArticle[تراکنش برنامه ریزی شده])</f>
        <v>0</v>
      </c>
    </row>
    <row r="1066" spans="1:17" x14ac:dyDescent="0.25">
      <c r="A1066" s="3" t="s">
        <v>1560</v>
      </c>
      <c r="B1066" t="str">
        <f>RIGHT(TDays[[#This Row],[تاریخ]],2)</f>
        <v>29</v>
      </c>
      <c r="C1066" t="str">
        <f>RIGHT(LEFT(TDays[[#This Row],[تاریخ]],7),2)</f>
        <v>11</v>
      </c>
      <c r="D1066" t="str">
        <f>LEFT(TDays[[#This Row],[تاریخ]],4)</f>
        <v>1403</v>
      </c>
      <c r="E1066" t="str">
        <f>LEFT(TDays[[#This Row],[تاریخ]],7)</f>
        <v>1403-11</v>
      </c>
      <c r="F1066">
        <v>2</v>
      </c>
      <c r="G1066" s="16" t="str">
        <f>VLOOKUP(TDays[[#This Row],[کد روز هفته]],TDaysOfTheWeek[],2,FALSE)</f>
        <v>دوشنبه</v>
      </c>
      <c r="H1066" s="16">
        <f>IFERROR(IF(E1065&lt;&gt;E1066,1,INT(H1065)+IF(TDays[[#This Row],[کد روز هفته]]=0,1,0)),1)</f>
        <v>5</v>
      </c>
      <c r="I1066">
        <f>-SUMIF(TArticle[تاریخ],TDays[[#This Row],[تاریخ]],TArticle[هزینه])</f>
        <v>0</v>
      </c>
      <c r="J1066">
        <f>SUMIF(TArticle[تاریخ],TDays[[#This Row],[تاریخ]],TArticle[درآمد تتا])</f>
        <v>0</v>
      </c>
      <c r="K1066">
        <f>SUMIF(TArticle[تاریخ],TDays[[#This Row],[تاریخ]],TArticle[اسنپ])</f>
        <v>0</v>
      </c>
      <c r="L1066">
        <f>-SUMIF(TArticle[تاریخ],TDays[[#This Row],[تاریخ]],TArticle[پرداخت بدهی])</f>
        <v>0</v>
      </c>
      <c r="M1066">
        <f>SUMIF(TArticle[تاریخ],TDays[[#This Row],[تاریخ]],TArticle[افزایش بدهی])</f>
        <v>0</v>
      </c>
      <c r="N1066">
        <f>-SUMIF(TArticle[تاریخ],TDays[[#This Row],[تاریخ]],TArticle[افزایش سرمایه])</f>
        <v>0</v>
      </c>
      <c r="O1066">
        <f>SUMIF(TArticle[تاریخ],TDays[[#This Row],[تاریخ]],TArticle[تعداد تراکنش انجام شده])</f>
        <v>0</v>
      </c>
      <c r="P1066">
        <f>INT(((TDays[[#This Row],[ماه]]-1)*31+TDays[[#This Row],[روز]]+1)/7)+1</f>
        <v>49</v>
      </c>
      <c r="Q1066">
        <f>SUMIF(TArticle[تاریخ],TDays[[#This Row],[تاریخ]],TArticle[تراکنش برنامه ریزی شده])</f>
        <v>0</v>
      </c>
    </row>
    <row r="1067" spans="1:17" x14ac:dyDescent="0.25">
      <c r="A1067" s="3" t="s">
        <v>1561</v>
      </c>
      <c r="B1067" t="str">
        <f>RIGHT(TDays[[#This Row],[تاریخ]],2)</f>
        <v>30</v>
      </c>
      <c r="C1067" t="str">
        <f>RIGHT(LEFT(TDays[[#This Row],[تاریخ]],7),2)</f>
        <v>11</v>
      </c>
      <c r="D1067" t="str">
        <f>LEFT(TDays[[#This Row],[تاریخ]],4)</f>
        <v>1403</v>
      </c>
      <c r="E1067" t="str">
        <f>LEFT(TDays[[#This Row],[تاریخ]],7)</f>
        <v>1403-11</v>
      </c>
      <c r="F1067">
        <v>3</v>
      </c>
      <c r="G1067" s="16" t="str">
        <f>VLOOKUP(TDays[[#This Row],[کد روز هفته]],TDaysOfTheWeek[],2,FALSE)</f>
        <v>سه شنبه</v>
      </c>
      <c r="H1067" s="16">
        <f>IFERROR(IF(E1066&lt;&gt;E1067,1,INT(H1066)+IF(TDays[[#This Row],[کد روز هفته]]=0,1,0)),1)</f>
        <v>5</v>
      </c>
      <c r="I1067">
        <f>-SUMIF(TArticle[تاریخ],TDays[[#This Row],[تاریخ]],TArticle[هزینه])</f>
        <v>0</v>
      </c>
      <c r="J1067">
        <f>SUMIF(TArticle[تاریخ],TDays[[#This Row],[تاریخ]],TArticle[درآمد تتا])</f>
        <v>0</v>
      </c>
      <c r="K1067">
        <f>SUMIF(TArticle[تاریخ],TDays[[#This Row],[تاریخ]],TArticle[اسنپ])</f>
        <v>0</v>
      </c>
      <c r="L1067">
        <f>-SUMIF(TArticle[تاریخ],TDays[[#This Row],[تاریخ]],TArticle[پرداخت بدهی])</f>
        <v>0</v>
      </c>
      <c r="M1067">
        <f>SUMIF(TArticle[تاریخ],TDays[[#This Row],[تاریخ]],TArticle[افزایش بدهی])</f>
        <v>0</v>
      </c>
      <c r="N1067">
        <f>-SUMIF(TArticle[تاریخ],TDays[[#This Row],[تاریخ]],TArticle[افزایش سرمایه])</f>
        <v>0</v>
      </c>
      <c r="O1067">
        <f>SUMIF(TArticle[تاریخ],TDays[[#This Row],[تاریخ]],TArticle[تعداد تراکنش انجام شده])</f>
        <v>0</v>
      </c>
      <c r="P1067">
        <f>INT(((TDays[[#This Row],[ماه]]-1)*31+TDays[[#This Row],[روز]]+1)/7)+1</f>
        <v>49</v>
      </c>
      <c r="Q1067">
        <f>SUMIF(TArticle[تاریخ],TDays[[#This Row],[تاریخ]],TArticle[تراکنش برنامه ریزی شده])</f>
        <v>0</v>
      </c>
    </row>
    <row r="1068" spans="1:17" x14ac:dyDescent="0.25">
      <c r="A1068" s="3" t="s">
        <v>1562</v>
      </c>
      <c r="B1068" t="str">
        <f>RIGHT(TDays[[#This Row],[تاریخ]],2)</f>
        <v>01</v>
      </c>
      <c r="C1068" t="str">
        <f>RIGHT(LEFT(TDays[[#This Row],[تاریخ]],7),2)</f>
        <v>12</v>
      </c>
      <c r="D1068" t="str">
        <f>LEFT(TDays[[#This Row],[تاریخ]],4)</f>
        <v>1403</v>
      </c>
      <c r="E1068" t="str">
        <f>LEFT(TDays[[#This Row],[تاریخ]],7)</f>
        <v>1403-12</v>
      </c>
      <c r="F1068">
        <v>4</v>
      </c>
      <c r="G1068" s="16" t="str">
        <f>VLOOKUP(TDays[[#This Row],[کد روز هفته]],TDaysOfTheWeek[],2,FALSE)</f>
        <v>چهارشنبه</v>
      </c>
      <c r="H1068" s="16">
        <f>IFERROR(IF(E1067&lt;&gt;E1068,1,INT(H1067)+IF(TDays[[#This Row],[کد روز هفته]]=0,1,0)),1)</f>
        <v>1</v>
      </c>
      <c r="I1068">
        <f>-SUMIF(TArticle[تاریخ],TDays[[#This Row],[تاریخ]],TArticle[هزینه])</f>
        <v>0</v>
      </c>
      <c r="J1068">
        <f>SUMIF(TArticle[تاریخ],TDays[[#This Row],[تاریخ]],TArticle[درآمد تتا])</f>
        <v>0</v>
      </c>
      <c r="K1068">
        <f>SUMIF(TArticle[تاریخ],TDays[[#This Row],[تاریخ]],TArticle[اسنپ])</f>
        <v>0</v>
      </c>
      <c r="L1068">
        <f>-SUMIF(TArticle[تاریخ],TDays[[#This Row],[تاریخ]],TArticle[پرداخت بدهی])</f>
        <v>0</v>
      </c>
      <c r="M1068">
        <f>SUMIF(TArticle[تاریخ],TDays[[#This Row],[تاریخ]],TArticle[افزایش بدهی])</f>
        <v>0</v>
      </c>
      <c r="N1068">
        <f>-SUMIF(TArticle[تاریخ],TDays[[#This Row],[تاریخ]],TArticle[افزایش سرمایه])</f>
        <v>0</v>
      </c>
      <c r="O1068">
        <f>SUMIF(TArticle[تاریخ],TDays[[#This Row],[تاریخ]],TArticle[تعداد تراکنش انجام شده])</f>
        <v>0</v>
      </c>
      <c r="P1068">
        <f>INT(((TDays[[#This Row],[ماه]]-1)*31+TDays[[#This Row],[روز]]+1)/7)+1</f>
        <v>50</v>
      </c>
      <c r="Q1068">
        <f>SUMIF(TArticle[تاریخ],TDays[[#This Row],[تاریخ]],TArticle[تراکنش برنامه ریزی شده])</f>
        <v>2</v>
      </c>
    </row>
    <row r="1069" spans="1:17" x14ac:dyDescent="0.25">
      <c r="A1069" s="3" t="s">
        <v>1563</v>
      </c>
      <c r="B1069" t="str">
        <f>RIGHT(TDays[[#This Row],[تاریخ]],2)</f>
        <v>02</v>
      </c>
      <c r="C1069" t="str">
        <f>RIGHT(LEFT(TDays[[#This Row],[تاریخ]],7),2)</f>
        <v>12</v>
      </c>
      <c r="D1069" t="str">
        <f>LEFT(TDays[[#This Row],[تاریخ]],4)</f>
        <v>1403</v>
      </c>
      <c r="E1069" t="str">
        <f>LEFT(TDays[[#This Row],[تاریخ]],7)</f>
        <v>1403-12</v>
      </c>
      <c r="F1069">
        <v>5</v>
      </c>
      <c r="G1069" s="16" t="str">
        <f>VLOOKUP(TDays[[#This Row],[کد روز هفته]],TDaysOfTheWeek[],2,FALSE)</f>
        <v>پنجشنبه</v>
      </c>
      <c r="H1069" s="16">
        <f>IFERROR(IF(E1068&lt;&gt;E1069,1,INT(H1068)+IF(TDays[[#This Row],[کد روز هفته]]=0,1,0)),1)</f>
        <v>1</v>
      </c>
      <c r="I1069">
        <f>-SUMIF(TArticle[تاریخ],TDays[[#This Row],[تاریخ]],TArticle[هزینه])</f>
        <v>0</v>
      </c>
      <c r="J1069">
        <f>SUMIF(TArticle[تاریخ],TDays[[#This Row],[تاریخ]],TArticle[درآمد تتا])</f>
        <v>0</v>
      </c>
      <c r="K1069">
        <f>SUMIF(TArticle[تاریخ],TDays[[#This Row],[تاریخ]],TArticle[اسنپ])</f>
        <v>0</v>
      </c>
      <c r="L1069">
        <f>-SUMIF(TArticle[تاریخ],TDays[[#This Row],[تاریخ]],TArticle[پرداخت بدهی])</f>
        <v>0</v>
      </c>
      <c r="M1069">
        <f>SUMIF(TArticle[تاریخ],TDays[[#This Row],[تاریخ]],TArticle[افزایش بدهی])</f>
        <v>0</v>
      </c>
      <c r="N1069">
        <f>-SUMIF(TArticle[تاریخ],TDays[[#This Row],[تاریخ]],TArticle[افزایش سرمایه])</f>
        <v>0</v>
      </c>
      <c r="O1069">
        <f>SUMIF(TArticle[تاریخ],TDays[[#This Row],[تاریخ]],TArticle[تعداد تراکنش انجام شده])</f>
        <v>0</v>
      </c>
      <c r="P1069">
        <f>INT(((TDays[[#This Row],[ماه]]-1)*31+TDays[[#This Row],[روز]]+1)/7)+1</f>
        <v>50</v>
      </c>
      <c r="Q1069">
        <f>SUMIF(TArticle[تاریخ],TDays[[#This Row],[تاریخ]],TArticle[تراکنش برنامه ریزی شده])</f>
        <v>0</v>
      </c>
    </row>
    <row r="1070" spans="1:17" x14ac:dyDescent="0.25">
      <c r="A1070" s="3" t="s">
        <v>1564</v>
      </c>
      <c r="B1070" t="str">
        <f>RIGHT(TDays[[#This Row],[تاریخ]],2)</f>
        <v>03</v>
      </c>
      <c r="C1070" t="str">
        <f>RIGHT(LEFT(TDays[[#This Row],[تاریخ]],7),2)</f>
        <v>12</v>
      </c>
      <c r="D1070" t="str">
        <f>LEFT(TDays[[#This Row],[تاریخ]],4)</f>
        <v>1403</v>
      </c>
      <c r="E1070" t="str">
        <f>LEFT(TDays[[#This Row],[تاریخ]],7)</f>
        <v>1403-12</v>
      </c>
      <c r="F1070">
        <v>6</v>
      </c>
      <c r="G1070" s="16" t="str">
        <f>VLOOKUP(TDays[[#This Row],[کد روز هفته]],TDaysOfTheWeek[],2,FALSE)</f>
        <v>جمعه</v>
      </c>
      <c r="H1070" s="16">
        <f>IFERROR(IF(E1069&lt;&gt;E1070,1,INT(H1069)+IF(TDays[[#This Row],[کد روز هفته]]=0,1,0)),1)</f>
        <v>1</v>
      </c>
      <c r="I1070">
        <f>-SUMIF(TArticle[تاریخ],TDays[[#This Row],[تاریخ]],TArticle[هزینه])</f>
        <v>0</v>
      </c>
      <c r="J1070">
        <f>SUMIF(TArticle[تاریخ],TDays[[#This Row],[تاریخ]],TArticle[درآمد تتا])</f>
        <v>0</v>
      </c>
      <c r="K1070">
        <f>SUMIF(TArticle[تاریخ],TDays[[#This Row],[تاریخ]],TArticle[اسنپ])</f>
        <v>0</v>
      </c>
      <c r="L1070">
        <f>-SUMIF(TArticle[تاریخ],TDays[[#This Row],[تاریخ]],TArticle[پرداخت بدهی])</f>
        <v>0</v>
      </c>
      <c r="M1070">
        <f>SUMIF(TArticle[تاریخ],TDays[[#This Row],[تاریخ]],TArticle[افزایش بدهی])</f>
        <v>0</v>
      </c>
      <c r="N1070">
        <f>-SUMIF(TArticle[تاریخ],TDays[[#This Row],[تاریخ]],TArticle[افزایش سرمایه])</f>
        <v>0</v>
      </c>
      <c r="O1070">
        <f>SUMIF(TArticle[تاریخ],TDays[[#This Row],[تاریخ]],TArticle[تعداد تراکنش انجام شده])</f>
        <v>0</v>
      </c>
      <c r="P1070">
        <f>INT(((TDays[[#This Row],[ماه]]-1)*31+TDays[[#This Row],[روز]]+1)/7)+1</f>
        <v>50</v>
      </c>
      <c r="Q1070">
        <f>SUMIF(TArticle[تاریخ],TDays[[#This Row],[تاریخ]],TArticle[تراکنش برنامه ریزی شده])</f>
        <v>1</v>
      </c>
    </row>
    <row r="1071" spans="1:17" x14ac:dyDescent="0.25">
      <c r="A1071" s="3" t="s">
        <v>1565</v>
      </c>
      <c r="B1071" t="str">
        <f>RIGHT(TDays[[#This Row],[تاریخ]],2)</f>
        <v>04</v>
      </c>
      <c r="C1071" t="str">
        <f>RIGHT(LEFT(TDays[[#This Row],[تاریخ]],7),2)</f>
        <v>12</v>
      </c>
      <c r="D1071" t="str">
        <f>LEFT(TDays[[#This Row],[تاریخ]],4)</f>
        <v>1403</v>
      </c>
      <c r="E1071" t="str">
        <f>LEFT(TDays[[#This Row],[تاریخ]],7)</f>
        <v>1403-12</v>
      </c>
      <c r="F1071">
        <v>0</v>
      </c>
      <c r="G1071" s="16" t="str">
        <f>VLOOKUP(TDays[[#This Row],[کد روز هفته]],TDaysOfTheWeek[],2,FALSE)</f>
        <v>شنبه</v>
      </c>
      <c r="H1071" s="16">
        <f>IFERROR(IF(E1070&lt;&gt;E1071,1,INT(H1070)+IF(TDays[[#This Row],[کد روز هفته]]=0,1,0)),1)</f>
        <v>2</v>
      </c>
      <c r="I1071">
        <f>-SUMIF(TArticle[تاریخ],TDays[[#This Row],[تاریخ]],TArticle[هزینه])</f>
        <v>0</v>
      </c>
      <c r="J1071">
        <f>SUMIF(TArticle[تاریخ],TDays[[#This Row],[تاریخ]],TArticle[درآمد تتا])</f>
        <v>0</v>
      </c>
      <c r="K1071">
        <f>SUMIF(TArticle[تاریخ],TDays[[#This Row],[تاریخ]],TArticle[اسنپ])</f>
        <v>0</v>
      </c>
      <c r="L1071">
        <f>-SUMIF(TArticle[تاریخ],TDays[[#This Row],[تاریخ]],TArticle[پرداخت بدهی])</f>
        <v>0</v>
      </c>
      <c r="M1071">
        <f>SUMIF(TArticle[تاریخ],TDays[[#This Row],[تاریخ]],TArticle[افزایش بدهی])</f>
        <v>0</v>
      </c>
      <c r="N1071">
        <f>-SUMIF(TArticle[تاریخ],TDays[[#This Row],[تاریخ]],TArticle[افزایش سرمایه])</f>
        <v>0</v>
      </c>
      <c r="O1071">
        <f>SUMIF(TArticle[تاریخ],TDays[[#This Row],[تاریخ]],TArticle[تعداد تراکنش انجام شده])</f>
        <v>0</v>
      </c>
      <c r="P1071">
        <f>INT(((TDays[[#This Row],[ماه]]-1)*31+TDays[[#This Row],[روز]]+1)/7)+1</f>
        <v>50</v>
      </c>
      <c r="Q1071">
        <f>SUMIF(TArticle[تاریخ],TDays[[#This Row],[تاریخ]],TArticle[تراکنش برنامه ریزی شده])</f>
        <v>1</v>
      </c>
    </row>
    <row r="1072" spans="1:17" x14ac:dyDescent="0.25">
      <c r="A1072" s="3" t="s">
        <v>1566</v>
      </c>
      <c r="B1072" t="str">
        <f>RIGHT(TDays[[#This Row],[تاریخ]],2)</f>
        <v>05</v>
      </c>
      <c r="C1072" t="str">
        <f>RIGHT(LEFT(TDays[[#This Row],[تاریخ]],7),2)</f>
        <v>12</v>
      </c>
      <c r="D1072" t="str">
        <f>LEFT(TDays[[#This Row],[تاریخ]],4)</f>
        <v>1403</v>
      </c>
      <c r="E1072" t="str">
        <f>LEFT(TDays[[#This Row],[تاریخ]],7)</f>
        <v>1403-12</v>
      </c>
      <c r="F1072">
        <v>1</v>
      </c>
      <c r="G1072" s="16" t="str">
        <f>VLOOKUP(TDays[[#This Row],[کد روز هفته]],TDaysOfTheWeek[],2,FALSE)</f>
        <v>یکشنبه</v>
      </c>
      <c r="H1072" s="16">
        <f>IFERROR(IF(E1071&lt;&gt;E1072,1,INT(H1071)+IF(TDays[[#This Row],[کد روز هفته]]=0,1,0)),1)</f>
        <v>2</v>
      </c>
      <c r="I1072">
        <f>-SUMIF(TArticle[تاریخ],TDays[[#This Row],[تاریخ]],TArticle[هزینه])</f>
        <v>0</v>
      </c>
      <c r="J1072">
        <f>SUMIF(TArticle[تاریخ],TDays[[#This Row],[تاریخ]],TArticle[درآمد تتا])</f>
        <v>0</v>
      </c>
      <c r="K1072">
        <f>SUMIF(TArticle[تاریخ],TDays[[#This Row],[تاریخ]],TArticle[اسنپ])</f>
        <v>0</v>
      </c>
      <c r="L1072">
        <f>-SUMIF(TArticle[تاریخ],TDays[[#This Row],[تاریخ]],TArticle[پرداخت بدهی])</f>
        <v>0</v>
      </c>
      <c r="M1072">
        <f>SUMIF(TArticle[تاریخ],TDays[[#This Row],[تاریخ]],TArticle[افزایش بدهی])</f>
        <v>0</v>
      </c>
      <c r="N1072">
        <f>-SUMIF(TArticle[تاریخ],TDays[[#This Row],[تاریخ]],TArticle[افزایش سرمایه])</f>
        <v>0</v>
      </c>
      <c r="O1072">
        <f>SUMIF(TArticle[تاریخ],TDays[[#This Row],[تاریخ]],TArticle[تعداد تراکنش انجام شده])</f>
        <v>0</v>
      </c>
      <c r="P1072">
        <f>INT(((TDays[[#This Row],[ماه]]-1)*31+TDays[[#This Row],[روز]]+1)/7)+1</f>
        <v>50</v>
      </c>
      <c r="Q1072">
        <f>SUMIF(TArticle[تاریخ],TDays[[#This Row],[تاریخ]],TArticle[تراکنش برنامه ریزی شده])</f>
        <v>0</v>
      </c>
    </row>
    <row r="1073" spans="1:17" x14ac:dyDescent="0.25">
      <c r="A1073" s="3" t="s">
        <v>1567</v>
      </c>
      <c r="B1073" t="str">
        <f>RIGHT(TDays[[#This Row],[تاریخ]],2)</f>
        <v>06</v>
      </c>
      <c r="C1073" t="str">
        <f>RIGHT(LEFT(TDays[[#This Row],[تاریخ]],7),2)</f>
        <v>12</v>
      </c>
      <c r="D1073" t="str">
        <f>LEFT(TDays[[#This Row],[تاریخ]],4)</f>
        <v>1403</v>
      </c>
      <c r="E1073" t="str">
        <f>LEFT(TDays[[#This Row],[تاریخ]],7)</f>
        <v>1403-12</v>
      </c>
      <c r="F1073">
        <v>2</v>
      </c>
      <c r="G1073" s="16" t="str">
        <f>VLOOKUP(TDays[[#This Row],[کد روز هفته]],TDaysOfTheWeek[],2,FALSE)</f>
        <v>دوشنبه</v>
      </c>
      <c r="H1073" s="16">
        <f>IFERROR(IF(E1072&lt;&gt;E1073,1,INT(H1072)+IF(TDays[[#This Row],[کد روز هفته]]=0,1,0)),1)</f>
        <v>2</v>
      </c>
      <c r="I1073">
        <f>-SUMIF(TArticle[تاریخ],TDays[[#This Row],[تاریخ]],TArticle[هزینه])</f>
        <v>0</v>
      </c>
      <c r="J1073">
        <f>SUMIF(TArticle[تاریخ],TDays[[#This Row],[تاریخ]],TArticle[درآمد تتا])</f>
        <v>0</v>
      </c>
      <c r="K1073">
        <f>SUMIF(TArticle[تاریخ],TDays[[#This Row],[تاریخ]],TArticle[اسنپ])</f>
        <v>0</v>
      </c>
      <c r="L1073">
        <f>-SUMIF(TArticle[تاریخ],TDays[[#This Row],[تاریخ]],TArticle[پرداخت بدهی])</f>
        <v>0</v>
      </c>
      <c r="M1073">
        <f>SUMIF(TArticle[تاریخ],TDays[[#This Row],[تاریخ]],TArticle[افزایش بدهی])</f>
        <v>0</v>
      </c>
      <c r="N1073">
        <f>-SUMIF(TArticle[تاریخ],TDays[[#This Row],[تاریخ]],TArticle[افزایش سرمایه])</f>
        <v>0</v>
      </c>
      <c r="O1073">
        <f>SUMIF(TArticle[تاریخ],TDays[[#This Row],[تاریخ]],TArticle[تعداد تراکنش انجام شده])</f>
        <v>0</v>
      </c>
      <c r="P1073">
        <f>INT(((TDays[[#This Row],[ماه]]-1)*31+TDays[[#This Row],[روز]]+1)/7)+1</f>
        <v>50</v>
      </c>
      <c r="Q1073">
        <f>SUMIF(TArticle[تاریخ],TDays[[#This Row],[تاریخ]],TArticle[تراکنش برنامه ریزی شده])</f>
        <v>0</v>
      </c>
    </row>
    <row r="1074" spans="1:17" x14ac:dyDescent="0.25">
      <c r="A1074" s="3" t="s">
        <v>1568</v>
      </c>
      <c r="B1074" t="str">
        <f>RIGHT(TDays[[#This Row],[تاریخ]],2)</f>
        <v>07</v>
      </c>
      <c r="C1074" t="str">
        <f>RIGHT(LEFT(TDays[[#This Row],[تاریخ]],7),2)</f>
        <v>12</v>
      </c>
      <c r="D1074" t="str">
        <f>LEFT(TDays[[#This Row],[تاریخ]],4)</f>
        <v>1403</v>
      </c>
      <c r="E1074" t="str">
        <f>LEFT(TDays[[#This Row],[تاریخ]],7)</f>
        <v>1403-12</v>
      </c>
      <c r="F1074">
        <v>3</v>
      </c>
      <c r="G1074" s="16" t="str">
        <f>VLOOKUP(TDays[[#This Row],[کد روز هفته]],TDaysOfTheWeek[],2,FALSE)</f>
        <v>سه شنبه</v>
      </c>
      <c r="H1074" s="16">
        <f>IFERROR(IF(E1073&lt;&gt;E1074,1,INT(H1073)+IF(TDays[[#This Row],[کد روز هفته]]=0,1,0)),1)</f>
        <v>2</v>
      </c>
      <c r="I1074">
        <f>-SUMIF(TArticle[تاریخ],TDays[[#This Row],[تاریخ]],TArticle[هزینه])</f>
        <v>0</v>
      </c>
      <c r="J1074">
        <f>SUMIF(TArticle[تاریخ],TDays[[#This Row],[تاریخ]],TArticle[درآمد تتا])</f>
        <v>0</v>
      </c>
      <c r="K1074">
        <f>SUMIF(TArticle[تاریخ],TDays[[#This Row],[تاریخ]],TArticle[اسنپ])</f>
        <v>0</v>
      </c>
      <c r="L1074">
        <f>-SUMIF(TArticle[تاریخ],TDays[[#This Row],[تاریخ]],TArticle[پرداخت بدهی])</f>
        <v>0</v>
      </c>
      <c r="M1074">
        <f>SUMIF(TArticle[تاریخ],TDays[[#This Row],[تاریخ]],TArticle[افزایش بدهی])</f>
        <v>0</v>
      </c>
      <c r="N1074">
        <f>-SUMIF(TArticle[تاریخ],TDays[[#This Row],[تاریخ]],TArticle[افزایش سرمایه])</f>
        <v>0</v>
      </c>
      <c r="O1074">
        <f>SUMIF(TArticle[تاریخ],TDays[[#This Row],[تاریخ]],TArticle[تعداد تراکنش انجام شده])</f>
        <v>0</v>
      </c>
      <c r="P1074">
        <f>INT(((TDays[[#This Row],[ماه]]-1)*31+TDays[[#This Row],[روز]]+1)/7)+1</f>
        <v>50</v>
      </c>
      <c r="Q1074">
        <f>SUMIF(TArticle[تاریخ],TDays[[#This Row],[تاریخ]],TArticle[تراکنش برنامه ریزی شده])</f>
        <v>0</v>
      </c>
    </row>
    <row r="1075" spans="1:17" x14ac:dyDescent="0.25">
      <c r="A1075" s="3" t="s">
        <v>1569</v>
      </c>
      <c r="B1075" t="str">
        <f>RIGHT(TDays[[#This Row],[تاریخ]],2)</f>
        <v>08</v>
      </c>
      <c r="C1075" t="str">
        <f>RIGHT(LEFT(TDays[[#This Row],[تاریخ]],7),2)</f>
        <v>12</v>
      </c>
      <c r="D1075" t="str">
        <f>LEFT(TDays[[#This Row],[تاریخ]],4)</f>
        <v>1403</v>
      </c>
      <c r="E1075" t="str">
        <f>LEFT(TDays[[#This Row],[تاریخ]],7)</f>
        <v>1403-12</v>
      </c>
      <c r="F1075">
        <v>4</v>
      </c>
      <c r="G1075" s="16" t="str">
        <f>VLOOKUP(TDays[[#This Row],[کد روز هفته]],TDaysOfTheWeek[],2,FALSE)</f>
        <v>چهارشنبه</v>
      </c>
      <c r="H1075" s="16">
        <f>IFERROR(IF(E1074&lt;&gt;E1075,1,INT(H1074)+IF(TDays[[#This Row],[کد روز هفته]]=0,1,0)),1)</f>
        <v>2</v>
      </c>
      <c r="I1075">
        <f>-SUMIF(TArticle[تاریخ],TDays[[#This Row],[تاریخ]],TArticle[هزینه])</f>
        <v>0</v>
      </c>
      <c r="J1075">
        <f>SUMIF(TArticle[تاریخ],TDays[[#This Row],[تاریخ]],TArticle[درآمد تتا])</f>
        <v>0</v>
      </c>
      <c r="K1075">
        <f>SUMIF(TArticle[تاریخ],TDays[[#This Row],[تاریخ]],TArticle[اسنپ])</f>
        <v>0</v>
      </c>
      <c r="L1075">
        <f>-SUMIF(TArticle[تاریخ],TDays[[#This Row],[تاریخ]],TArticle[پرداخت بدهی])</f>
        <v>0</v>
      </c>
      <c r="M1075">
        <f>SUMIF(TArticle[تاریخ],TDays[[#This Row],[تاریخ]],TArticle[افزایش بدهی])</f>
        <v>0</v>
      </c>
      <c r="N1075">
        <f>-SUMIF(TArticle[تاریخ],TDays[[#This Row],[تاریخ]],TArticle[افزایش سرمایه])</f>
        <v>0</v>
      </c>
      <c r="O1075">
        <f>SUMIF(TArticle[تاریخ],TDays[[#This Row],[تاریخ]],TArticle[تعداد تراکنش انجام شده])</f>
        <v>0</v>
      </c>
      <c r="P1075">
        <f>INT(((TDays[[#This Row],[ماه]]-1)*31+TDays[[#This Row],[روز]]+1)/7)+1</f>
        <v>51</v>
      </c>
      <c r="Q1075">
        <f>SUMIF(TArticle[تاریخ],TDays[[#This Row],[تاریخ]],TArticle[تراکنش برنامه ریزی شده])</f>
        <v>0</v>
      </c>
    </row>
    <row r="1076" spans="1:17" x14ac:dyDescent="0.25">
      <c r="A1076" s="3" t="s">
        <v>1570</v>
      </c>
      <c r="B1076" t="str">
        <f>RIGHT(TDays[[#This Row],[تاریخ]],2)</f>
        <v>09</v>
      </c>
      <c r="C1076" t="str">
        <f>RIGHT(LEFT(TDays[[#This Row],[تاریخ]],7),2)</f>
        <v>12</v>
      </c>
      <c r="D1076" t="str">
        <f>LEFT(TDays[[#This Row],[تاریخ]],4)</f>
        <v>1403</v>
      </c>
      <c r="E1076" t="str">
        <f>LEFT(TDays[[#This Row],[تاریخ]],7)</f>
        <v>1403-12</v>
      </c>
      <c r="F1076">
        <v>5</v>
      </c>
      <c r="G1076" s="16" t="str">
        <f>VLOOKUP(TDays[[#This Row],[کد روز هفته]],TDaysOfTheWeek[],2,FALSE)</f>
        <v>پنجشنبه</v>
      </c>
      <c r="H1076" s="16">
        <f>IFERROR(IF(E1075&lt;&gt;E1076,1,INT(H1075)+IF(TDays[[#This Row],[کد روز هفته]]=0,1,0)),1)</f>
        <v>2</v>
      </c>
      <c r="I1076">
        <f>-SUMIF(TArticle[تاریخ],TDays[[#This Row],[تاریخ]],TArticle[هزینه])</f>
        <v>0</v>
      </c>
      <c r="J1076">
        <f>SUMIF(TArticle[تاریخ],TDays[[#This Row],[تاریخ]],TArticle[درآمد تتا])</f>
        <v>0</v>
      </c>
      <c r="K1076">
        <f>SUMIF(TArticle[تاریخ],TDays[[#This Row],[تاریخ]],TArticle[اسنپ])</f>
        <v>0</v>
      </c>
      <c r="L1076">
        <f>-SUMIF(TArticle[تاریخ],TDays[[#This Row],[تاریخ]],TArticle[پرداخت بدهی])</f>
        <v>0</v>
      </c>
      <c r="M1076">
        <f>SUMIF(TArticle[تاریخ],TDays[[#This Row],[تاریخ]],TArticle[افزایش بدهی])</f>
        <v>0</v>
      </c>
      <c r="N1076">
        <f>-SUMIF(TArticle[تاریخ],TDays[[#This Row],[تاریخ]],TArticle[افزایش سرمایه])</f>
        <v>0</v>
      </c>
      <c r="O1076">
        <f>SUMIF(TArticle[تاریخ],TDays[[#This Row],[تاریخ]],TArticle[تعداد تراکنش انجام شده])</f>
        <v>0</v>
      </c>
      <c r="P1076">
        <f>INT(((TDays[[#This Row],[ماه]]-1)*31+TDays[[#This Row],[روز]]+1)/7)+1</f>
        <v>51</v>
      </c>
      <c r="Q1076">
        <f>SUMIF(TArticle[تاریخ],TDays[[#This Row],[تاریخ]],TArticle[تراکنش برنامه ریزی شده])</f>
        <v>1</v>
      </c>
    </row>
    <row r="1077" spans="1:17" x14ac:dyDescent="0.25">
      <c r="A1077" s="3" t="s">
        <v>1571</v>
      </c>
      <c r="B1077" t="str">
        <f>RIGHT(TDays[[#This Row],[تاریخ]],2)</f>
        <v>10</v>
      </c>
      <c r="C1077" t="str">
        <f>RIGHT(LEFT(TDays[[#This Row],[تاریخ]],7),2)</f>
        <v>12</v>
      </c>
      <c r="D1077" t="str">
        <f>LEFT(TDays[[#This Row],[تاریخ]],4)</f>
        <v>1403</v>
      </c>
      <c r="E1077" t="str">
        <f>LEFT(TDays[[#This Row],[تاریخ]],7)</f>
        <v>1403-12</v>
      </c>
      <c r="F1077">
        <v>6</v>
      </c>
      <c r="G1077" s="16" t="str">
        <f>VLOOKUP(TDays[[#This Row],[کد روز هفته]],TDaysOfTheWeek[],2,FALSE)</f>
        <v>جمعه</v>
      </c>
      <c r="H1077" s="16">
        <f>IFERROR(IF(E1076&lt;&gt;E1077,1,INT(H1076)+IF(TDays[[#This Row],[کد روز هفته]]=0,1,0)),1)</f>
        <v>2</v>
      </c>
      <c r="I1077">
        <f>-SUMIF(TArticle[تاریخ],TDays[[#This Row],[تاریخ]],TArticle[هزینه])</f>
        <v>0</v>
      </c>
      <c r="J1077">
        <f>SUMIF(TArticle[تاریخ],TDays[[#This Row],[تاریخ]],TArticle[درآمد تتا])</f>
        <v>0</v>
      </c>
      <c r="K1077">
        <f>SUMIF(TArticle[تاریخ],TDays[[#This Row],[تاریخ]],TArticle[اسنپ])</f>
        <v>0</v>
      </c>
      <c r="L1077">
        <f>-SUMIF(TArticle[تاریخ],TDays[[#This Row],[تاریخ]],TArticle[پرداخت بدهی])</f>
        <v>0</v>
      </c>
      <c r="M1077">
        <f>SUMIF(TArticle[تاریخ],TDays[[#This Row],[تاریخ]],TArticle[افزایش بدهی])</f>
        <v>0</v>
      </c>
      <c r="N1077">
        <f>-SUMIF(TArticle[تاریخ],TDays[[#This Row],[تاریخ]],TArticle[افزایش سرمایه])</f>
        <v>0</v>
      </c>
      <c r="O1077">
        <f>SUMIF(TArticle[تاریخ],TDays[[#This Row],[تاریخ]],TArticle[تعداد تراکنش انجام شده])</f>
        <v>0</v>
      </c>
      <c r="P1077">
        <f>INT(((TDays[[#This Row],[ماه]]-1)*31+TDays[[#This Row],[روز]]+1)/7)+1</f>
        <v>51</v>
      </c>
      <c r="Q1077">
        <f>SUMIF(TArticle[تاریخ],TDays[[#This Row],[تاریخ]],TArticle[تراکنش برنامه ریزی شده])</f>
        <v>0</v>
      </c>
    </row>
    <row r="1078" spans="1:17" x14ac:dyDescent="0.25">
      <c r="A1078" s="3" t="s">
        <v>1572</v>
      </c>
      <c r="B1078" t="str">
        <f>RIGHT(TDays[[#This Row],[تاریخ]],2)</f>
        <v>11</v>
      </c>
      <c r="C1078" t="str">
        <f>RIGHT(LEFT(TDays[[#This Row],[تاریخ]],7),2)</f>
        <v>12</v>
      </c>
      <c r="D1078" t="str">
        <f>LEFT(TDays[[#This Row],[تاریخ]],4)</f>
        <v>1403</v>
      </c>
      <c r="E1078" t="str">
        <f>LEFT(TDays[[#This Row],[تاریخ]],7)</f>
        <v>1403-12</v>
      </c>
      <c r="F1078">
        <v>0</v>
      </c>
      <c r="G1078" s="16" t="str">
        <f>VLOOKUP(TDays[[#This Row],[کد روز هفته]],TDaysOfTheWeek[],2,FALSE)</f>
        <v>شنبه</v>
      </c>
      <c r="H1078" s="16">
        <f>IFERROR(IF(E1077&lt;&gt;E1078,1,INT(H1077)+IF(TDays[[#This Row],[کد روز هفته]]=0,1,0)),1)</f>
        <v>3</v>
      </c>
      <c r="I1078">
        <f>-SUMIF(TArticle[تاریخ],TDays[[#This Row],[تاریخ]],TArticle[هزینه])</f>
        <v>0</v>
      </c>
      <c r="J1078">
        <f>SUMIF(TArticle[تاریخ],TDays[[#This Row],[تاریخ]],TArticle[درآمد تتا])</f>
        <v>0</v>
      </c>
      <c r="K1078">
        <f>SUMIF(TArticle[تاریخ],TDays[[#This Row],[تاریخ]],TArticle[اسنپ])</f>
        <v>0</v>
      </c>
      <c r="L1078">
        <f>-SUMIF(TArticle[تاریخ],TDays[[#This Row],[تاریخ]],TArticle[پرداخت بدهی])</f>
        <v>0</v>
      </c>
      <c r="M1078">
        <f>SUMIF(TArticle[تاریخ],TDays[[#This Row],[تاریخ]],TArticle[افزایش بدهی])</f>
        <v>0</v>
      </c>
      <c r="N1078">
        <f>-SUMIF(TArticle[تاریخ],TDays[[#This Row],[تاریخ]],TArticle[افزایش سرمایه])</f>
        <v>0</v>
      </c>
      <c r="O1078">
        <f>SUMIF(TArticle[تاریخ],TDays[[#This Row],[تاریخ]],TArticle[تعداد تراکنش انجام شده])</f>
        <v>0</v>
      </c>
      <c r="P1078">
        <f>INT(((TDays[[#This Row],[ماه]]-1)*31+TDays[[#This Row],[روز]]+1)/7)+1</f>
        <v>51</v>
      </c>
      <c r="Q1078">
        <f>SUMIF(TArticle[تاریخ],TDays[[#This Row],[تاریخ]],TArticle[تراکنش برنامه ریزی شده])</f>
        <v>0</v>
      </c>
    </row>
    <row r="1079" spans="1:17" x14ac:dyDescent="0.25">
      <c r="A1079" s="3" t="s">
        <v>1573</v>
      </c>
      <c r="B1079" t="str">
        <f>RIGHT(TDays[[#This Row],[تاریخ]],2)</f>
        <v>12</v>
      </c>
      <c r="C1079" t="str">
        <f>RIGHT(LEFT(TDays[[#This Row],[تاریخ]],7),2)</f>
        <v>12</v>
      </c>
      <c r="D1079" t="str">
        <f>LEFT(TDays[[#This Row],[تاریخ]],4)</f>
        <v>1403</v>
      </c>
      <c r="E1079" t="str">
        <f>LEFT(TDays[[#This Row],[تاریخ]],7)</f>
        <v>1403-12</v>
      </c>
      <c r="F1079">
        <v>1</v>
      </c>
      <c r="G1079" s="16" t="str">
        <f>VLOOKUP(TDays[[#This Row],[کد روز هفته]],TDaysOfTheWeek[],2,FALSE)</f>
        <v>یکشنبه</v>
      </c>
      <c r="H1079" s="16">
        <f>IFERROR(IF(E1078&lt;&gt;E1079,1,INT(H1078)+IF(TDays[[#This Row],[کد روز هفته]]=0,1,0)),1)</f>
        <v>3</v>
      </c>
      <c r="I1079">
        <f>-SUMIF(TArticle[تاریخ],TDays[[#This Row],[تاریخ]],TArticle[هزینه])</f>
        <v>0</v>
      </c>
      <c r="J1079">
        <f>SUMIF(TArticle[تاریخ],TDays[[#This Row],[تاریخ]],TArticle[درآمد تتا])</f>
        <v>0</v>
      </c>
      <c r="K1079">
        <f>SUMIF(TArticle[تاریخ],TDays[[#This Row],[تاریخ]],TArticle[اسنپ])</f>
        <v>0</v>
      </c>
      <c r="L1079">
        <f>-SUMIF(TArticle[تاریخ],TDays[[#This Row],[تاریخ]],TArticle[پرداخت بدهی])</f>
        <v>0</v>
      </c>
      <c r="M1079">
        <f>SUMIF(TArticle[تاریخ],TDays[[#This Row],[تاریخ]],TArticle[افزایش بدهی])</f>
        <v>0</v>
      </c>
      <c r="N1079">
        <f>-SUMIF(TArticle[تاریخ],TDays[[#This Row],[تاریخ]],TArticle[افزایش سرمایه])</f>
        <v>0</v>
      </c>
      <c r="O1079">
        <f>SUMIF(TArticle[تاریخ],TDays[[#This Row],[تاریخ]],TArticle[تعداد تراکنش انجام شده])</f>
        <v>0</v>
      </c>
      <c r="P1079">
        <f>INT(((TDays[[#This Row],[ماه]]-1)*31+TDays[[#This Row],[روز]]+1)/7)+1</f>
        <v>51</v>
      </c>
      <c r="Q1079">
        <f>SUMIF(TArticle[تاریخ],TDays[[#This Row],[تاریخ]],TArticle[تراکنش برنامه ریزی شده])</f>
        <v>0</v>
      </c>
    </row>
    <row r="1080" spans="1:17" x14ac:dyDescent="0.25">
      <c r="A1080" s="3" t="s">
        <v>1574</v>
      </c>
      <c r="B1080" t="str">
        <f>RIGHT(TDays[[#This Row],[تاریخ]],2)</f>
        <v>13</v>
      </c>
      <c r="C1080" t="str">
        <f>RIGHT(LEFT(TDays[[#This Row],[تاریخ]],7),2)</f>
        <v>12</v>
      </c>
      <c r="D1080" t="str">
        <f>LEFT(TDays[[#This Row],[تاریخ]],4)</f>
        <v>1403</v>
      </c>
      <c r="E1080" t="str">
        <f>LEFT(TDays[[#This Row],[تاریخ]],7)</f>
        <v>1403-12</v>
      </c>
      <c r="F1080">
        <v>2</v>
      </c>
      <c r="G1080" s="16" t="str">
        <f>VLOOKUP(TDays[[#This Row],[کد روز هفته]],TDaysOfTheWeek[],2,FALSE)</f>
        <v>دوشنبه</v>
      </c>
      <c r="H1080" s="16">
        <f>IFERROR(IF(E1079&lt;&gt;E1080,1,INT(H1079)+IF(TDays[[#This Row],[کد روز هفته]]=0,1,0)),1)</f>
        <v>3</v>
      </c>
      <c r="I1080">
        <f>-SUMIF(TArticle[تاریخ],TDays[[#This Row],[تاریخ]],TArticle[هزینه])</f>
        <v>0</v>
      </c>
      <c r="J1080">
        <f>SUMIF(TArticle[تاریخ],TDays[[#This Row],[تاریخ]],TArticle[درآمد تتا])</f>
        <v>0</v>
      </c>
      <c r="K1080">
        <f>SUMIF(TArticle[تاریخ],TDays[[#This Row],[تاریخ]],TArticle[اسنپ])</f>
        <v>0</v>
      </c>
      <c r="L1080">
        <f>-SUMIF(TArticle[تاریخ],TDays[[#This Row],[تاریخ]],TArticle[پرداخت بدهی])</f>
        <v>0</v>
      </c>
      <c r="M1080">
        <f>SUMIF(TArticle[تاریخ],TDays[[#This Row],[تاریخ]],TArticle[افزایش بدهی])</f>
        <v>0</v>
      </c>
      <c r="N1080">
        <f>-SUMIF(TArticle[تاریخ],TDays[[#This Row],[تاریخ]],TArticle[افزایش سرمایه])</f>
        <v>0</v>
      </c>
      <c r="O1080">
        <f>SUMIF(TArticle[تاریخ],TDays[[#This Row],[تاریخ]],TArticle[تعداد تراکنش انجام شده])</f>
        <v>0</v>
      </c>
      <c r="P1080">
        <f>INT(((TDays[[#This Row],[ماه]]-1)*31+TDays[[#This Row],[روز]]+1)/7)+1</f>
        <v>51</v>
      </c>
      <c r="Q1080">
        <f>SUMIF(TArticle[تاریخ],TDays[[#This Row],[تاریخ]],TArticle[تراکنش برنامه ریزی شده])</f>
        <v>0</v>
      </c>
    </row>
    <row r="1081" spans="1:17" x14ac:dyDescent="0.25">
      <c r="A1081" s="3" t="s">
        <v>1575</v>
      </c>
      <c r="B1081" t="str">
        <f>RIGHT(TDays[[#This Row],[تاریخ]],2)</f>
        <v>14</v>
      </c>
      <c r="C1081" t="str">
        <f>RIGHT(LEFT(TDays[[#This Row],[تاریخ]],7),2)</f>
        <v>12</v>
      </c>
      <c r="D1081" t="str">
        <f>LEFT(TDays[[#This Row],[تاریخ]],4)</f>
        <v>1403</v>
      </c>
      <c r="E1081" t="str">
        <f>LEFT(TDays[[#This Row],[تاریخ]],7)</f>
        <v>1403-12</v>
      </c>
      <c r="F1081">
        <v>3</v>
      </c>
      <c r="G1081" s="16" t="str">
        <f>VLOOKUP(TDays[[#This Row],[کد روز هفته]],TDaysOfTheWeek[],2,FALSE)</f>
        <v>سه شنبه</v>
      </c>
      <c r="H1081" s="16">
        <f>IFERROR(IF(E1080&lt;&gt;E1081,1,INT(H1080)+IF(TDays[[#This Row],[کد روز هفته]]=0,1,0)),1)</f>
        <v>3</v>
      </c>
      <c r="I1081">
        <f>-SUMIF(TArticle[تاریخ],TDays[[#This Row],[تاریخ]],TArticle[هزینه])</f>
        <v>0</v>
      </c>
      <c r="J1081">
        <f>SUMIF(TArticle[تاریخ],TDays[[#This Row],[تاریخ]],TArticle[درآمد تتا])</f>
        <v>0</v>
      </c>
      <c r="K1081">
        <f>SUMIF(TArticle[تاریخ],TDays[[#This Row],[تاریخ]],TArticle[اسنپ])</f>
        <v>0</v>
      </c>
      <c r="L1081">
        <f>-SUMIF(TArticle[تاریخ],TDays[[#This Row],[تاریخ]],TArticle[پرداخت بدهی])</f>
        <v>0</v>
      </c>
      <c r="M1081">
        <f>SUMIF(TArticle[تاریخ],TDays[[#This Row],[تاریخ]],TArticle[افزایش بدهی])</f>
        <v>0</v>
      </c>
      <c r="N1081">
        <f>-SUMIF(TArticle[تاریخ],TDays[[#This Row],[تاریخ]],TArticle[افزایش سرمایه])</f>
        <v>0</v>
      </c>
      <c r="O1081">
        <f>SUMIF(TArticle[تاریخ],TDays[[#This Row],[تاریخ]],TArticle[تعداد تراکنش انجام شده])</f>
        <v>0</v>
      </c>
      <c r="P1081">
        <f>INT(((TDays[[#This Row],[ماه]]-1)*31+TDays[[#This Row],[روز]]+1)/7)+1</f>
        <v>51</v>
      </c>
      <c r="Q1081">
        <f>SUMIF(TArticle[تاریخ],TDays[[#This Row],[تاریخ]],TArticle[تراکنش برنامه ریزی شده])</f>
        <v>0</v>
      </c>
    </row>
    <row r="1082" spans="1:17" x14ac:dyDescent="0.25">
      <c r="A1082" s="3" t="s">
        <v>1576</v>
      </c>
      <c r="B1082" t="str">
        <f>RIGHT(TDays[[#This Row],[تاریخ]],2)</f>
        <v>15</v>
      </c>
      <c r="C1082" t="str">
        <f>RIGHT(LEFT(TDays[[#This Row],[تاریخ]],7),2)</f>
        <v>12</v>
      </c>
      <c r="D1082" t="str">
        <f>LEFT(TDays[[#This Row],[تاریخ]],4)</f>
        <v>1403</v>
      </c>
      <c r="E1082" t="str">
        <f>LEFT(TDays[[#This Row],[تاریخ]],7)</f>
        <v>1403-12</v>
      </c>
      <c r="F1082">
        <v>4</v>
      </c>
      <c r="G1082" s="16" t="str">
        <f>VLOOKUP(TDays[[#This Row],[کد روز هفته]],TDaysOfTheWeek[],2,FALSE)</f>
        <v>چهارشنبه</v>
      </c>
      <c r="H1082" s="16">
        <f>IFERROR(IF(E1081&lt;&gt;E1082,1,INT(H1081)+IF(TDays[[#This Row],[کد روز هفته]]=0,1,0)),1)</f>
        <v>3</v>
      </c>
      <c r="I1082">
        <f>-SUMIF(TArticle[تاریخ],TDays[[#This Row],[تاریخ]],TArticle[هزینه])</f>
        <v>0</v>
      </c>
      <c r="J1082">
        <f>SUMIF(TArticle[تاریخ],TDays[[#This Row],[تاریخ]],TArticle[درآمد تتا])</f>
        <v>0</v>
      </c>
      <c r="K1082">
        <f>SUMIF(TArticle[تاریخ],TDays[[#This Row],[تاریخ]],TArticle[اسنپ])</f>
        <v>0</v>
      </c>
      <c r="L1082">
        <f>-SUMIF(TArticle[تاریخ],TDays[[#This Row],[تاریخ]],TArticle[پرداخت بدهی])</f>
        <v>0</v>
      </c>
      <c r="M1082">
        <f>SUMIF(TArticle[تاریخ],TDays[[#This Row],[تاریخ]],TArticle[افزایش بدهی])</f>
        <v>0</v>
      </c>
      <c r="N1082">
        <f>-SUMIF(TArticle[تاریخ],TDays[[#This Row],[تاریخ]],TArticle[افزایش سرمایه])</f>
        <v>0</v>
      </c>
      <c r="O1082">
        <f>SUMIF(TArticle[تاریخ],TDays[[#This Row],[تاریخ]],TArticle[تعداد تراکنش انجام شده])</f>
        <v>0</v>
      </c>
      <c r="P1082">
        <f>INT(((TDays[[#This Row],[ماه]]-1)*31+TDays[[#This Row],[روز]]+1)/7)+1</f>
        <v>52</v>
      </c>
      <c r="Q1082">
        <f>SUMIF(TArticle[تاریخ],TDays[[#This Row],[تاریخ]],TArticle[تراکنش برنامه ریزی شده])</f>
        <v>0</v>
      </c>
    </row>
    <row r="1083" spans="1:17" x14ac:dyDescent="0.25">
      <c r="A1083" s="3" t="s">
        <v>1577</v>
      </c>
      <c r="B1083" t="str">
        <f>RIGHT(TDays[[#This Row],[تاریخ]],2)</f>
        <v>16</v>
      </c>
      <c r="C1083" t="str">
        <f>RIGHT(LEFT(TDays[[#This Row],[تاریخ]],7),2)</f>
        <v>12</v>
      </c>
      <c r="D1083" t="str">
        <f>LEFT(TDays[[#This Row],[تاریخ]],4)</f>
        <v>1403</v>
      </c>
      <c r="E1083" t="str">
        <f>LEFT(TDays[[#This Row],[تاریخ]],7)</f>
        <v>1403-12</v>
      </c>
      <c r="F1083">
        <v>5</v>
      </c>
      <c r="G1083" s="16" t="str">
        <f>VLOOKUP(TDays[[#This Row],[کد روز هفته]],TDaysOfTheWeek[],2,FALSE)</f>
        <v>پنجشنبه</v>
      </c>
      <c r="H1083" s="16">
        <f>IFERROR(IF(E1082&lt;&gt;E1083,1,INT(H1082)+IF(TDays[[#This Row],[کد روز هفته]]=0,1,0)),1)</f>
        <v>3</v>
      </c>
      <c r="I1083">
        <f>-SUMIF(TArticle[تاریخ],TDays[[#This Row],[تاریخ]],TArticle[هزینه])</f>
        <v>0</v>
      </c>
      <c r="J1083">
        <f>SUMIF(TArticle[تاریخ],TDays[[#This Row],[تاریخ]],TArticle[درآمد تتا])</f>
        <v>0</v>
      </c>
      <c r="K1083">
        <f>SUMIF(TArticle[تاریخ],TDays[[#This Row],[تاریخ]],TArticle[اسنپ])</f>
        <v>0</v>
      </c>
      <c r="L1083">
        <f>-SUMIF(TArticle[تاریخ],TDays[[#This Row],[تاریخ]],TArticle[پرداخت بدهی])</f>
        <v>0</v>
      </c>
      <c r="M1083">
        <f>SUMIF(TArticle[تاریخ],TDays[[#This Row],[تاریخ]],TArticle[افزایش بدهی])</f>
        <v>0</v>
      </c>
      <c r="N1083">
        <f>-SUMIF(TArticle[تاریخ],TDays[[#This Row],[تاریخ]],TArticle[افزایش سرمایه])</f>
        <v>0</v>
      </c>
      <c r="O1083">
        <f>SUMIF(TArticle[تاریخ],TDays[[#This Row],[تاریخ]],TArticle[تعداد تراکنش انجام شده])</f>
        <v>0</v>
      </c>
      <c r="P1083">
        <f>INT(((TDays[[#This Row],[ماه]]-1)*31+TDays[[#This Row],[روز]]+1)/7)+1</f>
        <v>52</v>
      </c>
      <c r="Q1083">
        <f>SUMIF(TArticle[تاریخ],TDays[[#This Row],[تاریخ]],TArticle[تراکنش برنامه ریزی شده])</f>
        <v>0</v>
      </c>
    </row>
    <row r="1084" spans="1:17" x14ac:dyDescent="0.25">
      <c r="A1084" s="3" t="s">
        <v>1578</v>
      </c>
      <c r="B1084" t="str">
        <f>RIGHT(TDays[[#This Row],[تاریخ]],2)</f>
        <v>17</v>
      </c>
      <c r="C1084" t="str">
        <f>RIGHT(LEFT(TDays[[#This Row],[تاریخ]],7),2)</f>
        <v>12</v>
      </c>
      <c r="D1084" t="str">
        <f>LEFT(TDays[[#This Row],[تاریخ]],4)</f>
        <v>1403</v>
      </c>
      <c r="E1084" t="str">
        <f>LEFT(TDays[[#This Row],[تاریخ]],7)</f>
        <v>1403-12</v>
      </c>
      <c r="F1084">
        <v>6</v>
      </c>
      <c r="G1084" s="16" t="str">
        <f>VLOOKUP(TDays[[#This Row],[کد روز هفته]],TDaysOfTheWeek[],2,FALSE)</f>
        <v>جمعه</v>
      </c>
      <c r="H1084" s="16">
        <f>IFERROR(IF(E1083&lt;&gt;E1084,1,INT(H1083)+IF(TDays[[#This Row],[کد روز هفته]]=0,1,0)),1)</f>
        <v>3</v>
      </c>
      <c r="I1084">
        <f>-SUMIF(TArticle[تاریخ],TDays[[#This Row],[تاریخ]],TArticle[هزینه])</f>
        <v>0</v>
      </c>
      <c r="J1084">
        <f>SUMIF(TArticle[تاریخ],TDays[[#This Row],[تاریخ]],TArticle[درآمد تتا])</f>
        <v>0</v>
      </c>
      <c r="K1084">
        <f>SUMIF(TArticle[تاریخ],TDays[[#This Row],[تاریخ]],TArticle[اسنپ])</f>
        <v>0</v>
      </c>
      <c r="L1084">
        <f>-SUMIF(TArticle[تاریخ],TDays[[#This Row],[تاریخ]],TArticle[پرداخت بدهی])</f>
        <v>0</v>
      </c>
      <c r="M1084">
        <f>SUMIF(TArticle[تاریخ],TDays[[#This Row],[تاریخ]],TArticle[افزایش بدهی])</f>
        <v>0</v>
      </c>
      <c r="N1084">
        <f>-SUMIF(TArticle[تاریخ],TDays[[#This Row],[تاریخ]],TArticle[افزایش سرمایه])</f>
        <v>0</v>
      </c>
      <c r="O1084">
        <f>SUMIF(TArticle[تاریخ],TDays[[#This Row],[تاریخ]],TArticle[تعداد تراکنش انجام شده])</f>
        <v>0</v>
      </c>
      <c r="P1084">
        <f>INT(((TDays[[#This Row],[ماه]]-1)*31+TDays[[#This Row],[روز]]+1)/7)+1</f>
        <v>52</v>
      </c>
      <c r="Q1084">
        <f>SUMIF(TArticle[تاریخ],TDays[[#This Row],[تاریخ]],TArticle[تراکنش برنامه ریزی شده])</f>
        <v>0</v>
      </c>
    </row>
    <row r="1085" spans="1:17" x14ac:dyDescent="0.25">
      <c r="A1085" s="3" t="s">
        <v>1579</v>
      </c>
      <c r="B1085" t="str">
        <f>RIGHT(TDays[[#This Row],[تاریخ]],2)</f>
        <v>18</v>
      </c>
      <c r="C1085" t="str">
        <f>RIGHT(LEFT(TDays[[#This Row],[تاریخ]],7),2)</f>
        <v>12</v>
      </c>
      <c r="D1085" t="str">
        <f>LEFT(TDays[[#This Row],[تاریخ]],4)</f>
        <v>1403</v>
      </c>
      <c r="E1085" t="str">
        <f>LEFT(TDays[[#This Row],[تاریخ]],7)</f>
        <v>1403-12</v>
      </c>
      <c r="F1085">
        <v>0</v>
      </c>
      <c r="G1085" s="16" t="str">
        <f>VLOOKUP(TDays[[#This Row],[کد روز هفته]],TDaysOfTheWeek[],2,FALSE)</f>
        <v>شنبه</v>
      </c>
      <c r="H1085" s="16">
        <f>IFERROR(IF(E1084&lt;&gt;E1085,1,INT(H1084)+IF(TDays[[#This Row],[کد روز هفته]]=0,1,0)),1)</f>
        <v>4</v>
      </c>
      <c r="I1085">
        <f>-SUMIF(TArticle[تاریخ],TDays[[#This Row],[تاریخ]],TArticle[هزینه])</f>
        <v>0</v>
      </c>
      <c r="J1085">
        <f>SUMIF(TArticle[تاریخ],TDays[[#This Row],[تاریخ]],TArticle[درآمد تتا])</f>
        <v>0</v>
      </c>
      <c r="K1085">
        <f>SUMIF(TArticle[تاریخ],TDays[[#This Row],[تاریخ]],TArticle[اسنپ])</f>
        <v>0</v>
      </c>
      <c r="L1085">
        <f>-SUMIF(TArticle[تاریخ],TDays[[#This Row],[تاریخ]],TArticle[پرداخت بدهی])</f>
        <v>0</v>
      </c>
      <c r="M1085">
        <f>SUMIF(TArticle[تاریخ],TDays[[#This Row],[تاریخ]],TArticle[افزایش بدهی])</f>
        <v>0</v>
      </c>
      <c r="N1085">
        <f>-SUMIF(TArticle[تاریخ],TDays[[#This Row],[تاریخ]],TArticle[افزایش سرمایه])</f>
        <v>0</v>
      </c>
      <c r="O1085">
        <f>SUMIF(TArticle[تاریخ],TDays[[#This Row],[تاریخ]],TArticle[تعداد تراکنش انجام شده])</f>
        <v>0</v>
      </c>
      <c r="P1085">
        <f>INT(((TDays[[#This Row],[ماه]]-1)*31+TDays[[#This Row],[روز]]+1)/7)+1</f>
        <v>52</v>
      </c>
      <c r="Q1085">
        <f>SUMIF(TArticle[تاریخ],TDays[[#This Row],[تاریخ]],TArticle[تراکنش برنامه ریزی شده])</f>
        <v>0</v>
      </c>
    </row>
    <row r="1086" spans="1:17" x14ac:dyDescent="0.25">
      <c r="A1086" s="3" t="s">
        <v>1580</v>
      </c>
      <c r="B1086" t="str">
        <f>RIGHT(TDays[[#This Row],[تاریخ]],2)</f>
        <v>19</v>
      </c>
      <c r="C1086" t="str">
        <f>RIGHT(LEFT(TDays[[#This Row],[تاریخ]],7),2)</f>
        <v>12</v>
      </c>
      <c r="D1086" t="str">
        <f>LEFT(TDays[[#This Row],[تاریخ]],4)</f>
        <v>1403</v>
      </c>
      <c r="E1086" t="str">
        <f>LEFT(TDays[[#This Row],[تاریخ]],7)</f>
        <v>1403-12</v>
      </c>
      <c r="F1086">
        <v>1</v>
      </c>
      <c r="G1086" s="16" t="str">
        <f>VLOOKUP(TDays[[#This Row],[کد روز هفته]],TDaysOfTheWeek[],2,FALSE)</f>
        <v>یکشنبه</v>
      </c>
      <c r="H1086" s="16">
        <f>IFERROR(IF(E1085&lt;&gt;E1086,1,INT(H1085)+IF(TDays[[#This Row],[کد روز هفته]]=0,1,0)),1)</f>
        <v>4</v>
      </c>
      <c r="I1086">
        <f>-SUMIF(TArticle[تاریخ],TDays[[#This Row],[تاریخ]],TArticle[هزینه])</f>
        <v>0</v>
      </c>
      <c r="J1086">
        <f>SUMIF(TArticle[تاریخ],TDays[[#This Row],[تاریخ]],TArticle[درآمد تتا])</f>
        <v>0</v>
      </c>
      <c r="K1086">
        <f>SUMIF(TArticle[تاریخ],TDays[[#This Row],[تاریخ]],TArticle[اسنپ])</f>
        <v>0</v>
      </c>
      <c r="L1086">
        <f>-SUMIF(TArticle[تاریخ],TDays[[#This Row],[تاریخ]],TArticle[پرداخت بدهی])</f>
        <v>0</v>
      </c>
      <c r="M1086">
        <f>SUMIF(TArticle[تاریخ],TDays[[#This Row],[تاریخ]],TArticle[افزایش بدهی])</f>
        <v>0</v>
      </c>
      <c r="N1086">
        <f>-SUMIF(TArticle[تاریخ],TDays[[#This Row],[تاریخ]],TArticle[افزایش سرمایه])</f>
        <v>0</v>
      </c>
      <c r="O1086">
        <f>SUMIF(TArticle[تاریخ],TDays[[#This Row],[تاریخ]],TArticle[تعداد تراکنش انجام شده])</f>
        <v>0</v>
      </c>
      <c r="P1086">
        <f>INT(((TDays[[#This Row],[ماه]]-1)*31+TDays[[#This Row],[روز]]+1)/7)+1</f>
        <v>52</v>
      </c>
      <c r="Q1086">
        <f>SUMIF(TArticle[تاریخ],TDays[[#This Row],[تاریخ]],TArticle[تراکنش برنامه ریزی شده])</f>
        <v>0</v>
      </c>
    </row>
    <row r="1087" spans="1:17" x14ac:dyDescent="0.25">
      <c r="A1087" s="3" t="s">
        <v>1581</v>
      </c>
      <c r="B1087" t="str">
        <f>RIGHT(TDays[[#This Row],[تاریخ]],2)</f>
        <v>20</v>
      </c>
      <c r="C1087" t="str">
        <f>RIGHT(LEFT(TDays[[#This Row],[تاریخ]],7),2)</f>
        <v>12</v>
      </c>
      <c r="D1087" t="str">
        <f>LEFT(TDays[[#This Row],[تاریخ]],4)</f>
        <v>1403</v>
      </c>
      <c r="E1087" t="str">
        <f>LEFT(TDays[[#This Row],[تاریخ]],7)</f>
        <v>1403-12</v>
      </c>
      <c r="F1087">
        <v>2</v>
      </c>
      <c r="G1087" s="16" t="str">
        <f>VLOOKUP(TDays[[#This Row],[کد روز هفته]],TDaysOfTheWeek[],2,FALSE)</f>
        <v>دوشنبه</v>
      </c>
      <c r="H1087" s="16">
        <f>IFERROR(IF(E1086&lt;&gt;E1087,1,INT(H1086)+IF(TDays[[#This Row],[کد روز هفته]]=0,1,0)),1)</f>
        <v>4</v>
      </c>
      <c r="I1087">
        <f>-SUMIF(TArticle[تاریخ],TDays[[#This Row],[تاریخ]],TArticle[هزینه])</f>
        <v>0</v>
      </c>
      <c r="J1087">
        <f>SUMIF(TArticle[تاریخ],TDays[[#This Row],[تاریخ]],TArticle[درآمد تتا])</f>
        <v>0</v>
      </c>
      <c r="K1087">
        <f>SUMIF(TArticle[تاریخ],TDays[[#This Row],[تاریخ]],TArticle[اسنپ])</f>
        <v>0</v>
      </c>
      <c r="L1087">
        <f>-SUMIF(TArticle[تاریخ],TDays[[#This Row],[تاریخ]],TArticle[پرداخت بدهی])</f>
        <v>0</v>
      </c>
      <c r="M1087">
        <f>SUMIF(TArticle[تاریخ],TDays[[#This Row],[تاریخ]],TArticle[افزایش بدهی])</f>
        <v>0</v>
      </c>
      <c r="N1087">
        <f>-SUMIF(TArticle[تاریخ],TDays[[#This Row],[تاریخ]],TArticle[افزایش سرمایه])</f>
        <v>0</v>
      </c>
      <c r="O1087">
        <f>SUMIF(TArticle[تاریخ],TDays[[#This Row],[تاریخ]],TArticle[تعداد تراکنش انجام شده])</f>
        <v>0</v>
      </c>
      <c r="P1087">
        <f>INT(((TDays[[#This Row],[ماه]]-1)*31+TDays[[#This Row],[روز]]+1)/7)+1</f>
        <v>52</v>
      </c>
      <c r="Q1087">
        <f>SUMIF(TArticle[تاریخ],TDays[[#This Row],[تاریخ]],TArticle[تراکنش برنامه ریزی شده])</f>
        <v>1</v>
      </c>
    </row>
    <row r="1088" spans="1:17" x14ac:dyDescent="0.25">
      <c r="A1088" s="3" t="s">
        <v>1582</v>
      </c>
      <c r="B1088" t="str">
        <f>RIGHT(TDays[[#This Row],[تاریخ]],2)</f>
        <v>21</v>
      </c>
      <c r="C1088" t="str">
        <f>RIGHT(LEFT(TDays[[#This Row],[تاریخ]],7),2)</f>
        <v>12</v>
      </c>
      <c r="D1088" t="str">
        <f>LEFT(TDays[[#This Row],[تاریخ]],4)</f>
        <v>1403</v>
      </c>
      <c r="E1088" t="str">
        <f>LEFT(TDays[[#This Row],[تاریخ]],7)</f>
        <v>1403-12</v>
      </c>
      <c r="F1088">
        <v>3</v>
      </c>
      <c r="G1088" s="16" t="str">
        <f>VLOOKUP(TDays[[#This Row],[کد روز هفته]],TDaysOfTheWeek[],2,FALSE)</f>
        <v>سه شنبه</v>
      </c>
      <c r="H1088" s="16">
        <f>IFERROR(IF(E1087&lt;&gt;E1088,1,INT(H1087)+IF(TDays[[#This Row],[کد روز هفته]]=0,1,0)),1)</f>
        <v>4</v>
      </c>
      <c r="I1088">
        <f>-SUMIF(TArticle[تاریخ],TDays[[#This Row],[تاریخ]],TArticle[هزینه])</f>
        <v>0</v>
      </c>
      <c r="J1088">
        <f>SUMIF(TArticle[تاریخ],TDays[[#This Row],[تاریخ]],TArticle[درآمد تتا])</f>
        <v>0</v>
      </c>
      <c r="K1088">
        <f>SUMIF(TArticle[تاریخ],TDays[[#This Row],[تاریخ]],TArticle[اسنپ])</f>
        <v>0</v>
      </c>
      <c r="L1088">
        <f>-SUMIF(TArticle[تاریخ],TDays[[#This Row],[تاریخ]],TArticle[پرداخت بدهی])</f>
        <v>0</v>
      </c>
      <c r="M1088">
        <f>SUMIF(TArticle[تاریخ],TDays[[#This Row],[تاریخ]],TArticle[افزایش بدهی])</f>
        <v>0</v>
      </c>
      <c r="N1088">
        <f>-SUMIF(TArticle[تاریخ],TDays[[#This Row],[تاریخ]],TArticle[افزایش سرمایه])</f>
        <v>0</v>
      </c>
      <c r="O1088">
        <f>SUMIF(TArticle[تاریخ],TDays[[#This Row],[تاریخ]],TArticle[تعداد تراکنش انجام شده])</f>
        <v>0</v>
      </c>
      <c r="P1088">
        <f>INT(((TDays[[#This Row],[ماه]]-1)*31+TDays[[#This Row],[روز]]+1)/7)+1</f>
        <v>52</v>
      </c>
      <c r="Q1088">
        <f>SUMIF(TArticle[تاریخ],TDays[[#This Row],[تاریخ]],TArticle[تراکنش برنامه ریزی شده])</f>
        <v>0</v>
      </c>
    </row>
    <row r="1089" spans="1:17" x14ac:dyDescent="0.25">
      <c r="A1089" s="3" t="s">
        <v>1583</v>
      </c>
      <c r="B1089" t="str">
        <f>RIGHT(TDays[[#This Row],[تاریخ]],2)</f>
        <v>22</v>
      </c>
      <c r="C1089" t="str">
        <f>RIGHT(LEFT(TDays[[#This Row],[تاریخ]],7),2)</f>
        <v>12</v>
      </c>
      <c r="D1089" t="str">
        <f>LEFT(TDays[[#This Row],[تاریخ]],4)</f>
        <v>1403</v>
      </c>
      <c r="E1089" t="str">
        <f>LEFT(TDays[[#This Row],[تاریخ]],7)</f>
        <v>1403-12</v>
      </c>
      <c r="F1089">
        <v>4</v>
      </c>
      <c r="G1089" s="16" t="str">
        <f>VLOOKUP(TDays[[#This Row],[کد روز هفته]],TDaysOfTheWeek[],2,FALSE)</f>
        <v>چهارشنبه</v>
      </c>
      <c r="H1089" s="16">
        <f>IFERROR(IF(E1088&lt;&gt;E1089,1,INT(H1088)+IF(TDays[[#This Row],[کد روز هفته]]=0,1,0)),1)</f>
        <v>4</v>
      </c>
      <c r="I1089">
        <f>-SUMIF(TArticle[تاریخ],TDays[[#This Row],[تاریخ]],TArticle[هزینه])</f>
        <v>0</v>
      </c>
      <c r="J1089">
        <f>SUMIF(TArticle[تاریخ],TDays[[#This Row],[تاریخ]],TArticle[درآمد تتا])</f>
        <v>0</v>
      </c>
      <c r="K1089">
        <f>SUMIF(TArticle[تاریخ],TDays[[#This Row],[تاریخ]],TArticle[اسنپ])</f>
        <v>0</v>
      </c>
      <c r="L1089">
        <f>-SUMIF(TArticle[تاریخ],TDays[[#This Row],[تاریخ]],TArticle[پرداخت بدهی])</f>
        <v>0</v>
      </c>
      <c r="M1089">
        <f>SUMIF(TArticle[تاریخ],TDays[[#This Row],[تاریخ]],TArticle[افزایش بدهی])</f>
        <v>0</v>
      </c>
      <c r="N1089">
        <f>-SUMIF(TArticle[تاریخ],TDays[[#This Row],[تاریخ]],TArticle[افزایش سرمایه])</f>
        <v>0</v>
      </c>
      <c r="O1089">
        <f>SUMIF(TArticle[تاریخ],TDays[[#This Row],[تاریخ]],TArticle[تعداد تراکنش انجام شده])</f>
        <v>0</v>
      </c>
      <c r="P1089">
        <f>INT(((TDays[[#This Row],[ماه]]-1)*31+TDays[[#This Row],[روز]]+1)/7)+1</f>
        <v>53</v>
      </c>
      <c r="Q1089">
        <f>SUMIF(TArticle[تاریخ],TDays[[#This Row],[تاریخ]],TArticle[تراکنش برنامه ریزی شده])</f>
        <v>0</v>
      </c>
    </row>
    <row r="1090" spans="1:17" x14ac:dyDescent="0.25">
      <c r="A1090" s="3" t="s">
        <v>1584</v>
      </c>
      <c r="B1090" t="str">
        <f>RIGHT(TDays[[#This Row],[تاریخ]],2)</f>
        <v>23</v>
      </c>
      <c r="C1090" t="str">
        <f>RIGHT(LEFT(TDays[[#This Row],[تاریخ]],7),2)</f>
        <v>12</v>
      </c>
      <c r="D1090" t="str">
        <f>LEFT(TDays[[#This Row],[تاریخ]],4)</f>
        <v>1403</v>
      </c>
      <c r="E1090" t="str">
        <f>LEFT(TDays[[#This Row],[تاریخ]],7)</f>
        <v>1403-12</v>
      </c>
      <c r="F1090">
        <v>5</v>
      </c>
      <c r="G1090" s="16" t="str">
        <f>VLOOKUP(TDays[[#This Row],[کد روز هفته]],TDaysOfTheWeek[],2,FALSE)</f>
        <v>پنجشنبه</v>
      </c>
      <c r="H1090" s="16">
        <f>IFERROR(IF(E1089&lt;&gt;E1090,1,INT(H1089)+IF(TDays[[#This Row],[کد روز هفته]]=0,1,0)),1)</f>
        <v>4</v>
      </c>
      <c r="I1090">
        <f>-SUMIF(TArticle[تاریخ],TDays[[#This Row],[تاریخ]],TArticle[هزینه])</f>
        <v>0</v>
      </c>
      <c r="J1090">
        <f>SUMIF(TArticle[تاریخ],TDays[[#This Row],[تاریخ]],TArticle[درآمد تتا])</f>
        <v>0</v>
      </c>
      <c r="K1090">
        <f>SUMIF(TArticle[تاریخ],TDays[[#This Row],[تاریخ]],TArticle[اسنپ])</f>
        <v>0</v>
      </c>
      <c r="L1090">
        <f>-SUMIF(TArticle[تاریخ],TDays[[#This Row],[تاریخ]],TArticle[پرداخت بدهی])</f>
        <v>0</v>
      </c>
      <c r="M1090">
        <f>SUMIF(TArticle[تاریخ],TDays[[#This Row],[تاریخ]],TArticle[افزایش بدهی])</f>
        <v>0</v>
      </c>
      <c r="N1090">
        <f>-SUMIF(TArticle[تاریخ],TDays[[#This Row],[تاریخ]],TArticle[افزایش سرمایه])</f>
        <v>0</v>
      </c>
      <c r="O1090">
        <f>SUMIF(TArticle[تاریخ],TDays[[#This Row],[تاریخ]],TArticle[تعداد تراکنش انجام شده])</f>
        <v>0</v>
      </c>
      <c r="P1090">
        <f>INT(((TDays[[#This Row],[ماه]]-1)*31+TDays[[#This Row],[روز]]+1)/7)+1</f>
        <v>53</v>
      </c>
      <c r="Q1090">
        <f>SUMIF(TArticle[تاریخ],TDays[[#This Row],[تاریخ]],TArticle[تراکنش برنامه ریزی شده])</f>
        <v>0</v>
      </c>
    </row>
    <row r="1091" spans="1:17" x14ac:dyDescent="0.25">
      <c r="A1091" s="3" t="s">
        <v>1585</v>
      </c>
      <c r="B1091" t="str">
        <f>RIGHT(TDays[[#This Row],[تاریخ]],2)</f>
        <v>24</v>
      </c>
      <c r="C1091" t="str">
        <f>RIGHT(LEFT(TDays[[#This Row],[تاریخ]],7),2)</f>
        <v>12</v>
      </c>
      <c r="D1091" t="str">
        <f>LEFT(TDays[[#This Row],[تاریخ]],4)</f>
        <v>1403</v>
      </c>
      <c r="E1091" t="str">
        <f>LEFT(TDays[[#This Row],[تاریخ]],7)</f>
        <v>1403-12</v>
      </c>
      <c r="F1091">
        <v>6</v>
      </c>
      <c r="G1091" s="16" t="str">
        <f>VLOOKUP(TDays[[#This Row],[کد روز هفته]],TDaysOfTheWeek[],2,FALSE)</f>
        <v>جمعه</v>
      </c>
      <c r="H1091" s="16">
        <f>IFERROR(IF(E1090&lt;&gt;E1091,1,INT(H1090)+IF(TDays[[#This Row],[کد روز هفته]]=0,1,0)),1)</f>
        <v>4</v>
      </c>
      <c r="I1091">
        <f>-SUMIF(TArticle[تاریخ],TDays[[#This Row],[تاریخ]],TArticle[هزینه])</f>
        <v>0</v>
      </c>
      <c r="J1091">
        <f>SUMIF(TArticle[تاریخ],TDays[[#This Row],[تاریخ]],TArticle[درآمد تتا])</f>
        <v>0</v>
      </c>
      <c r="K1091">
        <f>SUMIF(TArticle[تاریخ],TDays[[#This Row],[تاریخ]],TArticle[اسنپ])</f>
        <v>0</v>
      </c>
      <c r="L1091">
        <f>-SUMIF(TArticle[تاریخ],TDays[[#This Row],[تاریخ]],TArticle[پرداخت بدهی])</f>
        <v>0</v>
      </c>
      <c r="M1091">
        <f>SUMIF(TArticle[تاریخ],TDays[[#This Row],[تاریخ]],TArticle[افزایش بدهی])</f>
        <v>0</v>
      </c>
      <c r="N1091">
        <f>-SUMIF(TArticle[تاریخ],TDays[[#This Row],[تاریخ]],TArticle[افزایش سرمایه])</f>
        <v>0</v>
      </c>
      <c r="O1091">
        <f>SUMIF(TArticle[تاریخ],TDays[[#This Row],[تاریخ]],TArticle[تعداد تراکنش انجام شده])</f>
        <v>0</v>
      </c>
      <c r="P1091">
        <f>INT(((TDays[[#This Row],[ماه]]-1)*31+TDays[[#This Row],[روز]]+1)/7)+1</f>
        <v>53</v>
      </c>
      <c r="Q1091">
        <f>SUMIF(TArticle[تاریخ],TDays[[#This Row],[تاریخ]],TArticle[تراکنش برنامه ریزی شده])</f>
        <v>0</v>
      </c>
    </row>
    <row r="1092" spans="1:17" x14ac:dyDescent="0.25">
      <c r="A1092" s="3" t="s">
        <v>1586</v>
      </c>
      <c r="B1092" t="str">
        <f>RIGHT(TDays[[#This Row],[تاریخ]],2)</f>
        <v>25</v>
      </c>
      <c r="C1092" t="str">
        <f>RIGHT(LEFT(TDays[[#This Row],[تاریخ]],7),2)</f>
        <v>12</v>
      </c>
      <c r="D1092" t="str">
        <f>LEFT(TDays[[#This Row],[تاریخ]],4)</f>
        <v>1403</v>
      </c>
      <c r="E1092" t="str">
        <f>LEFT(TDays[[#This Row],[تاریخ]],7)</f>
        <v>1403-12</v>
      </c>
      <c r="F1092">
        <v>0</v>
      </c>
      <c r="G1092" s="16" t="str">
        <f>VLOOKUP(TDays[[#This Row],[کد روز هفته]],TDaysOfTheWeek[],2,FALSE)</f>
        <v>شنبه</v>
      </c>
      <c r="H1092" s="16">
        <f>IFERROR(IF(E1091&lt;&gt;E1092,1,INT(H1091)+IF(TDays[[#This Row],[کد روز هفته]]=0,1,0)),1)</f>
        <v>5</v>
      </c>
      <c r="I1092">
        <f>-SUMIF(TArticle[تاریخ],TDays[[#This Row],[تاریخ]],TArticle[هزینه])</f>
        <v>0</v>
      </c>
      <c r="J1092">
        <f>SUMIF(TArticle[تاریخ],TDays[[#This Row],[تاریخ]],TArticle[درآمد تتا])</f>
        <v>0</v>
      </c>
      <c r="K1092">
        <f>SUMIF(TArticle[تاریخ],TDays[[#This Row],[تاریخ]],TArticle[اسنپ])</f>
        <v>0</v>
      </c>
      <c r="L1092">
        <f>-SUMIF(TArticle[تاریخ],TDays[[#This Row],[تاریخ]],TArticle[پرداخت بدهی])</f>
        <v>0</v>
      </c>
      <c r="M1092">
        <f>SUMIF(TArticle[تاریخ],TDays[[#This Row],[تاریخ]],TArticle[افزایش بدهی])</f>
        <v>0</v>
      </c>
      <c r="N1092">
        <f>-SUMIF(TArticle[تاریخ],TDays[[#This Row],[تاریخ]],TArticle[افزایش سرمایه])</f>
        <v>0</v>
      </c>
      <c r="O1092">
        <f>SUMIF(TArticle[تاریخ],TDays[[#This Row],[تاریخ]],TArticle[تعداد تراکنش انجام شده])</f>
        <v>0</v>
      </c>
      <c r="P1092">
        <f>INT(((TDays[[#This Row],[ماه]]-1)*31+TDays[[#This Row],[روز]]+1)/7)+1</f>
        <v>53</v>
      </c>
      <c r="Q1092">
        <f>SUMIF(TArticle[تاریخ],TDays[[#This Row],[تاریخ]],TArticle[تراکنش برنامه ریزی شده])</f>
        <v>0</v>
      </c>
    </row>
    <row r="1093" spans="1:17" x14ac:dyDescent="0.25">
      <c r="A1093" s="3" t="s">
        <v>1587</v>
      </c>
      <c r="B1093" t="str">
        <f>RIGHT(TDays[[#This Row],[تاریخ]],2)</f>
        <v>26</v>
      </c>
      <c r="C1093" t="str">
        <f>RIGHT(LEFT(TDays[[#This Row],[تاریخ]],7),2)</f>
        <v>12</v>
      </c>
      <c r="D1093" t="str">
        <f>LEFT(TDays[[#This Row],[تاریخ]],4)</f>
        <v>1403</v>
      </c>
      <c r="E1093" t="str">
        <f>LEFT(TDays[[#This Row],[تاریخ]],7)</f>
        <v>1403-12</v>
      </c>
      <c r="F1093">
        <v>1</v>
      </c>
      <c r="G1093" s="16" t="str">
        <f>VLOOKUP(TDays[[#This Row],[کد روز هفته]],TDaysOfTheWeek[],2,FALSE)</f>
        <v>یکشنبه</v>
      </c>
      <c r="H1093" s="16">
        <f>IFERROR(IF(E1092&lt;&gt;E1093,1,INT(H1092)+IF(TDays[[#This Row],[کد روز هفته]]=0,1,0)),1)</f>
        <v>5</v>
      </c>
      <c r="I1093">
        <f>-SUMIF(TArticle[تاریخ],TDays[[#This Row],[تاریخ]],TArticle[هزینه])</f>
        <v>0</v>
      </c>
      <c r="J1093">
        <f>SUMIF(TArticle[تاریخ],TDays[[#This Row],[تاریخ]],TArticle[درآمد تتا])</f>
        <v>0</v>
      </c>
      <c r="K1093">
        <f>SUMIF(TArticle[تاریخ],TDays[[#This Row],[تاریخ]],TArticle[اسنپ])</f>
        <v>0</v>
      </c>
      <c r="L1093">
        <f>-SUMIF(TArticle[تاریخ],TDays[[#This Row],[تاریخ]],TArticle[پرداخت بدهی])</f>
        <v>0</v>
      </c>
      <c r="M1093">
        <f>SUMIF(TArticle[تاریخ],TDays[[#This Row],[تاریخ]],TArticle[افزایش بدهی])</f>
        <v>0</v>
      </c>
      <c r="N1093">
        <f>-SUMIF(TArticle[تاریخ],TDays[[#This Row],[تاریخ]],TArticle[افزایش سرمایه])</f>
        <v>0</v>
      </c>
      <c r="O1093">
        <f>SUMIF(TArticle[تاریخ],TDays[[#This Row],[تاریخ]],TArticle[تعداد تراکنش انجام شده])</f>
        <v>0</v>
      </c>
      <c r="P1093">
        <f>INT(((TDays[[#This Row],[ماه]]-1)*31+TDays[[#This Row],[روز]]+1)/7)+1</f>
        <v>53</v>
      </c>
      <c r="Q1093">
        <f>SUMIF(TArticle[تاریخ],TDays[[#This Row],[تاریخ]],TArticle[تراکنش برنامه ریزی شده])</f>
        <v>0</v>
      </c>
    </row>
    <row r="1094" spans="1:17" x14ac:dyDescent="0.25">
      <c r="A1094" s="3" t="s">
        <v>1588</v>
      </c>
      <c r="B1094" t="str">
        <f>RIGHT(TDays[[#This Row],[تاریخ]],2)</f>
        <v>27</v>
      </c>
      <c r="C1094" t="str">
        <f>RIGHT(LEFT(TDays[[#This Row],[تاریخ]],7),2)</f>
        <v>12</v>
      </c>
      <c r="D1094" t="str">
        <f>LEFT(TDays[[#This Row],[تاریخ]],4)</f>
        <v>1403</v>
      </c>
      <c r="E1094" t="str">
        <f>LEFT(TDays[[#This Row],[تاریخ]],7)</f>
        <v>1403-12</v>
      </c>
      <c r="F1094">
        <v>2</v>
      </c>
      <c r="G1094" s="16" t="str">
        <f>VLOOKUP(TDays[[#This Row],[کد روز هفته]],TDaysOfTheWeek[],2,FALSE)</f>
        <v>دوشنبه</v>
      </c>
      <c r="H1094" s="16">
        <f>IFERROR(IF(E1093&lt;&gt;E1094,1,INT(H1093)+IF(TDays[[#This Row],[کد روز هفته]]=0,1,0)),1)</f>
        <v>5</v>
      </c>
      <c r="I1094">
        <f>-SUMIF(TArticle[تاریخ],TDays[[#This Row],[تاریخ]],TArticle[هزینه])</f>
        <v>0</v>
      </c>
      <c r="J1094">
        <f>SUMIF(TArticle[تاریخ],TDays[[#This Row],[تاریخ]],TArticle[درآمد تتا])</f>
        <v>0</v>
      </c>
      <c r="K1094">
        <f>SUMIF(TArticle[تاریخ],TDays[[#This Row],[تاریخ]],TArticle[اسنپ])</f>
        <v>0</v>
      </c>
      <c r="L1094">
        <f>-SUMIF(TArticle[تاریخ],TDays[[#This Row],[تاریخ]],TArticle[پرداخت بدهی])</f>
        <v>0</v>
      </c>
      <c r="M1094">
        <f>SUMIF(TArticle[تاریخ],TDays[[#This Row],[تاریخ]],TArticle[افزایش بدهی])</f>
        <v>0</v>
      </c>
      <c r="N1094">
        <f>-SUMIF(TArticle[تاریخ],TDays[[#This Row],[تاریخ]],TArticle[افزایش سرمایه])</f>
        <v>0</v>
      </c>
      <c r="O1094">
        <f>SUMIF(TArticle[تاریخ],TDays[[#This Row],[تاریخ]],TArticle[تعداد تراکنش انجام شده])</f>
        <v>0</v>
      </c>
      <c r="P1094">
        <f>INT(((TDays[[#This Row],[ماه]]-1)*31+TDays[[#This Row],[روز]]+1)/7)+1</f>
        <v>53</v>
      </c>
      <c r="Q1094">
        <f>SUMIF(TArticle[تاریخ],TDays[[#This Row],[تاریخ]],TArticle[تراکنش برنامه ریزی شده])</f>
        <v>0</v>
      </c>
    </row>
    <row r="1095" spans="1:17" x14ac:dyDescent="0.25">
      <c r="A1095" s="3" t="s">
        <v>1589</v>
      </c>
      <c r="B1095" t="str">
        <f>RIGHT(TDays[[#This Row],[تاریخ]],2)</f>
        <v>28</v>
      </c>
      <c r="C1095" t="str">
        <f>RIGHT(LEFT(TDays[[#This Row],[تاریخ]],7),2)</f>
        <v>12</v>
      </c>
      <c r="D1095" t="str">
        <f>LEFT(TDays[[#This Row],[تاریخ]],4)</f>
        <v>1403</v>
      </c>
      <c r="E1095" t="str">
        <f>LEFT(TDays[[#This Row],[تاریخ]],7)</f>
        <v>1403-12</v>
      </c>
      <c r="F1095">
        <v>3</v>
      </c>
      <c r="G1095" s="16" t="str">
        <f>VLOOKUP(TDays[[#This Row],[کد روز هفته]],TDaysOfTheWeek[],2,FALSE)</f>
        <v>سه شنبه</v>
      </c>
      <c r="H1095" s="16">
        <f>IFERROR(IF(E1094&lt;&gt;E1095,1,INT(H1094)+IF(TDays[[#This Row],[کد روز هفته]]=0,1,0)),1)</f>
        <v>5</v>
      </c>
      <c r="I1095">
        <f>-SUMIF(TArticle[تاریخ],TDays[[#This Row],[تاریخ]],TArticle[هزینه])</f>
        <v>0</v>
      </c>
      <c r="J1095">
        <f>SUMIF(TArticle[تاریخ],TDays[[#This Row],[تاریخ]],TArticle[درآمد تتا])</f>
        <v>0</v>
      </c>
      <c r="K1095">
        <f>SUMIF(TArticle[تاریخ],TDays[[#This Row],[تاریخ]],TArticle[اسنپ])</f>
        <v>0</v>
      </c>
      <c r="L1095">
        <f>-SUMIF(TArticle[تاریخ],TDays[[#This Row],[تاریخ]],TArticle[پرداخت بدهی])</f>
        <v>0</v>
      </c>
      <c r="M1095">
        <f>SUMIF(TArticle[تاریخ],TDays[[#This Row],[تاریخ]],TArticle[افزایش بدهی])</f>
        <v>0</v>
      </c>
      <c r="N1095">
        <f>-SUMIF(TArticle[تاریخ],TDays[[#This Row],[تاریخ]],TArticle[افزایش سرمایه])</f>
        <v>0</v>
      </c>
      <c r="O1095">
        <f>SUMIF(TArticle[تاریخ],TDays[[#This Row],[تاریخ]],TArticle[تعداد تراکنش انجام شده])</f>
        <v>0</v>
      </c>
      <c r="P1095">
        <f>INT(((TDays[[#This Row],[ماه]]-1)*31+TDays[[#This Row],[روز]]+1)/7)+1</f>
        <v>53</v>
      </c>
      <c r="Q1095">
        <f>SUMIF(TArticle[تاریخ],TDays[[#This Row],[تاریخ]],TArticle[تراکنش برنامه ریزی شده])</f>
        <v>0</v>
      </c>
    </row>
    <row r="1096" spans="1:17" x14ac:dyDescent="0.25">
      <c r="A1096" s="3" t="s">
        <v>1590</v>
      </c>
      <c r="B1096" t="str">
        <f>RIGHT(TDays[[#This Row],[تاریخ]],2)</f>
        <v>29</v>
      </c>
      <c r="C1096" t="str">
        <f>RIGHT(LEFT(TDays[[#This Row],[تاریخ]],7),2)</f>
        <v>12</v>
      </c>
      <c r="D1096" t="str">
        <f>LEFT(TDays[[#This Row],[تاریخ]],4)</f>
        <v>1403</v>
      </c>
      <c r="E1096" t="str">
        <f>LEFT(TDays[[#This Row],[تاریخ]],7)</f>
        <v>1403-12</v>
      </c>
      <c r="F1096">
        <v>4</v>
      </c>
      <c r="G1096" s="16" t="str">
        <f>VLOOKUP(TDays[[#This Row],[کد روز هفته]],TDaysOfTheWeek[],2,FALSE)</f>
        <v>چهارشنبه</v>
      </c>
      <c r="H1096" s="16">
        <f>IFERROR(IF(E1095&lt;&gt;E1096,1,INT(H1095)+IF(TDays[[#This Row],[کد روز هفته]]=0,1,0)),1)</f>
        <v>5</v>
      </c>
      <c r="I1096">
        <f>-SUMIF(TArticle[تاریخ],TDays[[#This Row],[تاریخ]],TArticle[هزینه])</f>
        <v>0</v>
      </c>
      <c r="J1096">
        <f>SUMIF(TArticle[تاریخ],TDays[[#This Row],[تاریخ]],TArticle[درآمد تتا])</f>
        <v>0</v>
      </c>
      <c r="K1096">
        <f>SUMIF(TArticle[تاریخ],TDays[[#This Row],[تاریخ]],TArticle[اسنپ])</f>
        <v>0</v>
      </c>
      <c r="L1096">
        <f>-SUMIF(TArticle[تاریخ],TDays[[#This Row],[تاریخ]],TArticle[پرداخت بدهی])</f>
        <v>0</v>
      </c>
      <c r="M1096">
        <f>SUMIF(TArticle[تاریخ],TDays[[#This Row],[تاریخ]],TArticle[افزایش بدهی])</f>
        <v>0</v>
      </c>
      <c r="N1096">
        <f>-SUMIF(TArticle[تاریخ],TDays[[#This Row],[تاریخ]],TArticle[افزایش سرمایه])</f>
        <v>0</v>
      </c>
      <c r="O1096">
        <f>SUMIF(TArticle[تاریخ],TDays[[#This Row],[تاریخ]],TArticle[تعداد تراکنش انجام شده])</f>
        <v>0</v>
      </c>
      <c r="P1096">
        <f>INT(((TDays[[#This Row],[ماه]]-1)*31+TDays[[#This Row],[روز]]+1)/7)+1</f>
        <v>54</v>
      </c>
      <c r="Q1096">
        <f>SUMIF(TArticle[تاریخ],TDays[[#This Row],[تاریخ]],TArticle[تراکنش برنامه ریزی شده])</f>
        <v>0</v>
      </c>
    </row>
    <row r="1097" spans="1:17" x14ac:dyDescent="0.25">
      <c r="A1097" s="3" t="s">
        <v>2044</v>
      </c>
      <c r="B1097" s="164" t="str">
        <f>RIGHT(TDays[[#This Row],[تاریخ]],2)</f>
        <v>30</v>
      </c>
      <c r="C1097" s="164" t="str">
        <f>RIGHT(LEFT(TDays[[#This Row],[تاریخ]],7),2)</f>
        <v>12</v>
      </c>
      <c r="D1097" s="164" t="str">
        <f>LEFT(TDays[[#This Row],[تاریخ]],4)</f>
        <v>1403</v>
      </c>
      <c r="E1097" s="164" t="str">
        <f>LEFT(TDays[[#This Row],[تاریخ]],7)</f>
        <v>1403-12</v>
      </c>
      <c r="F1097">
        <v>5</v>
      </c>
      <c r="G1097" s="165" t="str">
        <f>VLOOKUP(TDays[[#This Row],[کد روز هفته]],TDaysOfTheWeek[],2,FALSE)</f>
        <v>پنجشنبه</v>
      </c>
      <c r="H1097" s="165">
        <f>IFERROR(IF(E1096&lt;&gt;E1097,1,INT(H1096)+IF(TDays[[#This Row],[کد روز هفته]]=0,1,0)),1)</f>
        <v>5</v>
      </c>
      <c r="I1097" s="164">
        <f>-SUMIF(TArticle[تاریخ],TDays[[#This Row],[تاریخ]],TArticle[هزینه])</f>
        <v>0</v>
      </c>
      <c r="J1097" s="164">
        <f>SUMIF(TArticle[تاریخ],TDays[[#This Row],[تاریخ]],TArticle[درآمد تتا])</f>
        <v>0</v>
      </c>
      <c r="K1097" s="164">
        <f>SUMIF(TArticle[تاریخ],TDays[[#This Row],[تاریخ]],TArticle[اسنپ])</f>
        <v>0</v>
      </c>
      <c r="L1097" s="164">
        <f>-SUMIF(TArticle[تاریخ],TDays[[#This Row],[تاریخ]],TArticle[پرداخت بدهی])</f>
        <v>0</v>
      </c>
      <c r="M1097" s="164">
        <f>SUMIF(TArticle[تاریخ],TDays[[#This Row],[تاریخ]],TArticle[افزایش بدهی])</f>
        <v>0</v>
      </c>
      <c r="N1097" s="164">
        <f>-SUMIF(TArticle[تاریخ],TDays[[#This Row],[تاریخ]],TArticle[افزایش سرمایه])</f>
        <v>0</v>
      </c>
      <c r="O1097" s="164">
        <f>SUMIF(TArticle[تاریخ],TDays[[#This Row],[تاریخ]],TArticle[تعداد تراکنش انجام شده])</f>
        <v>0</v>
      </c>
      <c r="P1097" s="164">
        <f>INT(((TDays[[#This Row],[ماه]]-1)*31+TDays[[#This Row],[روز]]+1)/7)+1</f>
        <v>54</v>
      </c>
      <c r="Q1097" s="164">
        <f>SUMIF(TArticle[تاریخ],TDays[[#This Row],[تاریخ]],TArticle[تراکنش برنامه ریزی شده])</f>
        <v>0</v>
      </c>
    </row>
    <row r="1098" spans="1:17" x14ac:dyDescent="0.25">
      <c r="A1098" s="3" t="s">
        <v>1691</v>
      </c>
      <c r="B1098" s="164" t="str">
        <f>RIGHT(TDays[[#This Row],[تاریخ]],2)</f>
        <v>01</v>
      </c>
      <c r="C1098" s="164" t="str">
        <f>RIGHT(LEFT(TDays[[#This Row],[تاریخ]],7),2)</f>
        <v>01</v>
      </c>
      <c r="D1098" s="164" t="str">
        <f>LEFT(TDays[[#This Row],[تاریخ]],4)</f>
        <v>1404</v>
      </c>
      <c r="E1098" s="164" t="str">
        <f>LEFT(TDays[[#This Row],[تاریخ]],7)</f>
        <v>1404-01</v>
      </c>
      <c r="F1098">
        <v>6</v>
      </c>
      <c r="G1098" s="165" t="str">
        <f>VLOOKUP(TDays[[#This Row],[کد روز هفته]],TDaysOfTheWeek[],2,FALSE)</f>
        <v>جمعه</v>
      </c>
      <c r="H1098" s="165">
        <f>IFERROR(IF(E1097&lt;&gt;E1098,1,INT(H1097)+IF(TDays[[#This Row],[کد روز هفته]]=0,1,0)),1)</f>
        <v>1</v>
      </c>
      <c r="I1098" s="164">
        <f>-SUMIF(TArticle[تاریخ],TDays[[#This Row],[تاریخ]],TArticle[هزینه])</f>
        <v>0</v>
      </c>
      <c r="J1098" s="164">
        <f>SUMIF(TArticle[تاریخ],TDays[[#This Row],[تاریخ]],TArticle[درآمد تتا])</f>
        <v>0</v>
      </c>
      <c r="K1098" s="164">
        <f>SUMIF(TArticle[تاریخ],TDays[[#This Row],[تاریخ]],TArticle[اسنپ])</f>
        <v>0</v>
      </c>
      <c r="L1098" s="164">
        <f>-SUMIF(TArticle[تاریخ],TDays[[#This Row],[تاریخ]],TArticle[پرداخت بدهی])</f>
        <v>0</v>
      </c>
      <c r="M1098" s="164">
        <f>SUMIF(TArticle[تاریخ],TDays[[#This Row],[تاریخ]],TArticle[افزایش بدهی])</f>
        <v>0</v>
      </c>
      <c r="N1098" s="164">
        <f>-SUMIF(TArticle[تاریخ],TDays[[#This Row],[تاریخ]],TArticle[افزایش سرمایه])</f>
        <v>0</v>
      </c>
      <c r="O1098" s="164">
        <f>SUMIF(TArticle[تاریخ],TDays[[#This Row],[تاریخ]],TArticle[تعداد تراکنش انجام شده])</f>
        <v>0</v>
      </c>
      <c r="P1098" s="164">
        <f>INT(((TDays[[#This Row],[ماه]]-1)*31+TDays[[#This Row],[روز]]+1)/7)+1</f>
        <v>1</v>
      </c>
      <c r="Q1098" s="164">
        <f>SUMIF(TArticle[تاریخ],TDays[[#This Row],[تاریخ]],TArticle[تراکنش برنامه ریزی شده])</f>
        <v>2</v>
      </c>
    </row>
    <row r="1099" spans="1:17" x14ac:dyDescent="0.25">
      <c r="A1099" s="3" t="s">
        <v>1692</v>
      </c>
      <c r="B1099" s="164" t="str">
        <f>RIGHT(TDays[[#This Row],[تاریخ]],2)</f>
        <v>02</v>
      </c>
      <c r="C1099" s="164" t="str">
        <f>RIGHT(LEFT(TDays[[#This Row],[تاریخ]],7),2)</f>
        <v>01</v>
      </c>
      <c r="D1099" s="164" t="str">
        <f>LEFT(TDays[[#This Row],[تاریخ]],4)</f>
        <v>1404</v>
      </c>
      <c r="E1099" s="164" t="str">
        <f>LEFT(TDays[[#This Row],[تاریخ]],7)</f>
        <v>1404-01</v>
      </c>
      <c r="F1099">
        <v>0</v>
      </c>
      <c r="G1099" s="165" t="str">
        <f>VLOOKUP(TDays[[#This Row],[کد روز هفته]],TDaysOfTheWeek[],2,FALSE)</f>
        <v>شنبه</v>
      </c>
      <c r="H1099" s="165">
        <f>IFERROR(IF(E1098&lt;&gt;E1099,1,INT(H1098)+IF(TDays[[#This Row],[کد روز هفته]]=0,1,0)),1)</f>
        <v>2</v>
      </c>
      <c r="I1099" s="164">
        <f>-SUMIF(TArticle[تاریخ],TDays[[#This Row],[تاریخ]],TArticle[هزینه])</f>
        <v>0</v>
      </c>
      <c r="J1099" s="164">
        <f>SUMIF(TArticle[تاریخ],TDays[[#This Row],[تاریخ]],TArticle[درآمد تتا])</f>
        <v>0</v>
      </c>
      <c r="K1099" s="164">
        <f>SUMIF(TArticle[تاریخ],TDays[[#This Row],[تاریخ]],TArticle[اسنپ])</f>
        <v>0</v>
      </c>
      <c r="L1099" s="164">
        <f>-SUMIF(TArticle[تاریخ],TDays[[#This Row],[تاریخ]],TArticle[پرداخت بدهی])</f>
        <v>0</v>
      </c>
      <c r="M1099" s="164">
        <f>SUMIF(TArticle[تاریخ],TDays[[#This Row],[تاریخ]],TArticle[افزایش بدهی])</f>
        <v>0</v>
      </c>
      <c r="N1099" s="164">
        <f>-SUMIF(TArticle[تاریخ],TDays[[#This Row],[تاریخ]],TArticle[افزایش سرمایه])</f>
        <v>0</v>
      </c>
      <c r="O1099" s="164">
        <f>SUMIF(TArticle[تاریخ],TDays[[#This Row],[تاریخ]],TArticle[تعداد تراکنش انجام شده])</f>
        <v>0</v>
      </c>
      <c r="P1099" s="164">
        <f>INT(((TDays[[#This Row],[ماه]]-1)*31+TDays[[#This Row],[روز]]+1)/7)+1</f>
        <v>1</v>
      </c>
      <c r="Q1099" s="164">
        <f>SUMIF(TArticle[تاریخ],TDays[[#This Row],[تاریخ]],TArticle[تراکنش برنامه ریزی شده])</f>
        <v>0</v>
      </c>
    </row>
    <row r="1100" spans="1:17" x14ac:dyDescent="0.25">
      <c r="A1100" s="3" t="s">
        <v>1693</v>
      </c>
      <c r="B1100" s="164" t="str">
        <f>RIGHT(TDays[[#This Row],[تاریخ]],2)</f>
        <v>03</v>
      </c>
      <c r="C1100" s="164" t="str">
        <f>RIGHT(LEFT(TDays[[#This Row],[تاریخ]],7),2)</f>
        <v>01</v>
      </c>
      <c r="D1100" s="164" t="str">
        <f>LEFT(TDays[[#This Row],[تاریخ]],4)</f>
        <v>1404</v>
      </c>
      <c r="E1100" s="164" t="str">
        <f>LEFT(TDays[[#This Row],[تاریخ]],7)</f>
        <v>1404-01</v>
      </c>
      <c r="F1100">
        <v>1</v>
      </c>
      <c r="G1100" s="165" t="str">
        <f>VLOOKUP(TDays[[#This Row],[کد روز هفته]],TDaysOfTheWeek[],2,FALSE)</f>
        <v>یکشنبه</v>
      </c>
      <c r="H1100" s="165">
        <f>IFERROR(IF(E1099&lt;&gt;E1100,1,INT(H1099)+IF(TDays[[#This Row],[کد روز هفته]]=0,1,0)),1)</f>
        <v>2</v>
      </c>
      <c r="I1100" s="164">
        <f>-SUMIF(TArticle[تاریخ],TDays[[#This Row],[تاریخ]],TArticle[هزینه])</f>
        <v>0</v>
      </c>
      <c r="J1100" s="164">
        <f>SUMIF(TArticle[تاریخ],TDays[[#This Row],[تاریخ]],TArticle[درآمد تتا])</f>
        <v>0</v>
      </c>
      <c r="K1100" s="164">
        <f>SUMIF(TArticle[تاریخ],TDays[[#This Row],[تاریخ]],TArticle[اسنپ])</f>
        <v>0</v>
      </c>
      <c r="L1100" s="164">
        <f>-SUMIF(TArticle[تاریخ],TDays[[#This Row],[تاریخ]],TArticle[پرداخت بدهی])</f>
        <v>0</v>
      </c>
      <c r="M1100" s="164">
        <f>SUMIF(TArticle[تاریخ],TDays[[#This Row],[تاریخ]],TArticle[افزایش بدهی])</f>
        <v>0</v>
      </c>
      <c r="N1100" s="164">
        <f>-SUMIF(TArticle[تاریخ],TDays[[#This Row],[تاریخ]],TArticle[افزایش سرمایه])</f>
        <v>0</v>
      </c>
      <c r="O1100" s="164">
        <f>SUMIF(TArticle[تاریخ],TDays[[#This Row],[تاریخ]],TArticle[تعداد تراکنش انجام شده])</f>
        <v>0</v>
      </c>
      <c r="P1100" s="164">
        <f>INT(((TDays[[#This Row],[ماه]]-1)*31+TDays[[#This Row],[روز]]+1)/7)+1</f>
        <v>1</v>
      </c>
      <c r="Q1100" s="164">
        <f>SUMIF(TArticle[تاریخ],TDays[[#This Row],[تاریخ]],TArticle[تراکنش برنامه ریزی شده])</f>
        <v>1</v>
      </c>
    </row>
    <row r="1101" spans="1:17" x14ac:dyDescent="0.25">
      <c r="A1101" s="3" t="s">
        <v>1694</v>
      </c>
      <c r="B1101" s="164" t="str">
        <f>RIGHT(TDays[[#This Row],[تاریخ]],2)</f>
        <v>04</v>
      </c>
      <c r="C1101" s="164" t="str">
        <f>RIGHT(LEFT(TDays[[#This Row],[تاریخ]],7),2)</f>
        <v>01</v>
      </c>
      <c r="D1101" s="164" t="str">
        <f>LEFT(TDays[[#This Row],[تاریخ]],4)</f>
        <v>1404</v>
      </c>
      <c r="E1101" s="164" t="str">
        <f>LEFT(TDays[[#This Row],[تاریخ]],7)</f>
        <v>1404-01</v>
      </c>
      <c r="F1101">
        <v>2</v>
      </c>
      <c r="G1101" s="165" t="str">
        <f>VLOOKUP(TDays[[#This Row],[کد روز هفته]],TDaysOfTheWeek[],2,FALSE)</f>
        <v>دوشنبه</v>
      </c>
      <c r="H1101" s="165">
        <f>IFERROR(IF(E1100&lt;&gt;E1101,1,INT(H1100)+IF(TDays[[#This Row],[کد روز هفته]]=0,1,0)),1)</f>
        <v>2</v>
      </c>
      <c r="I1101" s="164">
        <f>-SUMIF(TArticle[تاریخ],TDays[[#This Row],[تاریخ]],TArticle[هزینه])</f>
        <v>0</v>
      </c>
      <c r="J1101" s="164">
        <f>SUMIF(TArticle[تاریخ],TDays[[#This Row],[تاریخ]],TArticle[درآمد تتا])</f>
        <v>0</v>
      </c>
      <c r="K1101" s="164">
        <f>SUMIF(TArticle[تاریخ],TDays[[#This Row],[تاریخ]],TArticle[اسنپ])</f>
        <v>0</v>
      </c>
      <c r="L1101" s="164">
        <f>-SUMIF(TArticle[تاریخ],TDays[[#This Row],[تاریخ]],TArticle[پرداخت بدهی])</f>
        <v>0</v>
      </c>
      <c r="M1101" s="164">
        <f>SUMIF(TArticle[تاریخ],TDays[[#This Row],[تاریخ]],TArticle[افزایش بدهی])</f>
        <v>0</v>
      </c>
      <c r="N1101" s="164">
        <f>-SUMIF(TArticle[تاریخ],TDays[[#This Row],[تاریخ]],TArticle[افزایش سرمایه])</f>
        <v>0</v>
      </c>
      <c r="O1101" s="164">
        <f>SUMIF(TArticle[تاریخ],TDays[[#This Row],[تاریخ]],TArticle[تعداد تراکنش انجام شده])</f>
        <v>0</v>
      </c>
      <c r="P1101" s="164">
        <f>INT(((TDays[[#This Row],[ماه]]-1)*31+TDays[[#This Row],[روز]]+1)/7)+1</f>
        <v>1</v>
      </c>
      <c r="Q1101" s="164">
        <f>SUMIF(TArticle[تاریخ],TDays[[#This Row],[تاریخ]],TArticle[تراکنش برنامه ریزی شده])</f>
        <v>0</v>
      </c>
    </row>
    <row r="1102" spans="1:17" x14ac:dyDescent="0.25">
      <c r="A1102" s="3" t="s">
        <v>1680</v>
      </c>
      <c r="B1102" s="164" t="str">
        <f>RIGHT(TDays[[#This Row],[تاریخ]],2)</f>
        <v>05</v>
      </c>
      <c r="C1102" s="164" t="str">
        <f>RIGHT(LEFT(TDays[[#This Row],[تاریخ]],7),2)</f>
        <v>01</v>
      </c>
      <c r="D1102" s="164" t="str">
        <f>LEFT(TDays[[#This Row],[تاریخ]],4)</f>
        <v>1404</v>
      </c>
      <c r="E1102" s="164" t="str">
        <f>LEFT(TDays[[#This Row],[تاریخ]],7)</f>
        <v>1404-01</v>
      </c>
      <c r="F1102">
        <v>3</v>
      </c>
      <c r="G1102" s="165" t="str">
        <f>VLOOKUP(TDays[[#This Row],[کد روز هفته]],TDaysOfTheWeek[],2,FALSE)</f>
        <v>سه شنبه</v>
      </c>
      <c r="H1102" s="165">
        <f>IFERROR(IF(E1101&lt;&gt;E1102,1,INT(H1101)+IF(TDays[[#This Row],[کد روز هفته]]=0,1,0)),1)</f>
        <v>2</v>
      </c>
      <c r="I1102" s="164">
        <f>-SUMIF(TArticle[تاریخ],TDays[[#This Row],[تاریخ]],TArticle[هزینه])</f>
        <v>0</v>
      </c>
      <c r="J1102" s="164">
        <f>SUMIF(TArticle[تاریخ],TDays[[#This Row],[تاریخ]],TArticle[درآمد تتا])</f>
        <v>0</v>
      </c>
      <c r="K1102" s="164">
        <f>SUMIF(TArticle[تاریخ],TDays[[#This Row],[تاریخ]],TArticle[اسنپ])</f>
        <v>0</v>
      </c>
      <c r="L1102" s="164">
        <f>-SUMIF(TArticle[تاریخ],TDays[[#This Row],[تاریخ]],TArticle[پرداخت بدهی])</f>
        <v>0</v>
      </c>
      <c r="M1102" s="164">
        <f>SUMIF(TArticle[تاریخ],TDays[[#This Row],[تاریخ]],TArticle[افزایش بدهی])</f>
        <v>0</v>
      </c>
      <c r="N1102" s="164">
        <f>-SUMIF(TArticle[تاریخ],TDays[[#This Row],[تاریخ]],TArticle[افزایش سرمایه])</f>
        <v>0</v>
      </c>
      <c r="O1102" s="164">
        <f>SUMIF(TArticle[تاریخ],TDays[[#This Row],[تاریخ]],TArticle[تعداد تراکنش انجام شده])</f>
        <v>0</v>
      </c>
      <c r="P1102" s="164">
        <f>INT(((TDays[[#This Row],[ماه]]-1)*31+TDays[[#This Row],[روز]]+1)/7)+1</f>
        <v>1</v>
      </c>
      <c r="Q1102" s="164">
        <f>SUMIF(TArticle[تاریخ],TDays[[#This Row],[تاریخ]],TArticle[تراکنش برنامه ریزی شده])</f>
        <v>0</v>
      </c>
    </row>
    <row r="1103" spans="1:17" x14ac:dyDescent="0.25">
      <c r="A1103" s="3" t="s">
        <v>1695</v>
      </c>
      <c r="B1103" s="164" t="str">
        <f>RIGHT(TDays[[#This Row],[تاریخ]],2)</f>
        <v>06</v>
      </c>
      <c r="C1103" s="164" t="str">
        <f>RIGHT(LEFT(TDays[[#This Row],[تاریخ]],7),2)</f>
        <v>01</v>
      </c>
      <c r="D1103" s="164" t="str">
        <f>LEFT(TDays[[#This Row],[تاریخ]],4)</f>
        <v>1404</v>
      </c>
      <c r="E1103" s="164" t="str">
        <f>LEFT(TDays[[#This Row],[تاریخ]],7)</f>
        <v>1404-01</v>
      </c>
      <c r="F1103">
        <v>4</v>
      </c>
      <c r="G1103" s="165" t="str">
        <f>VLOOKUP(TDays[[#This Row],[کد روز هفته]],TDaysOfTheWeek[],2,FALSE)</f>
        <v>چهارشنبه</v>
      </c>
      <c r="H1103" s="165">
        <f>IFERROR(IF(E1102&lt;&gt;E1103,1,INT(H1102)+IF(TDays[[#This Row],[کد روز هفته]]=0,1,0)),1)</f>
        <v>2</v>
      </c>
      <c r="I1103" s="164">
        <f>-SUMIF(TArticle[تاریخ],TDays[[#This Row],[تاریخ]],TArticle[هزینه])</f>
        <v>0</v>
      </c>
      <c r="J1103" s="164">
        <f>SUMIF(TArticle[تاریخ],TDays[[#This Row],[تاریخ]],TArticle[درآمد تتا])</f>
        <v>0</v>
      </c>
      <c r="K1103" s="164">
        <f>SUMIF(TArticle[تاریخ],TDays[[#This Row],[تاریخ]],TArticle[اسنپ])</f>
        <v>0</v>
      </c>
      <c r="L1103" s="164">
        <f>-SUMIF(TArticle[تاریخ],TDays[[#This Row],[تاریخ]],TArticle[پرداخت بدهی])</f>
        <v>0</v>
      </c>
      <c r="M1103" s="164">
        <f>SUMIF(TArticle[تاریخ],TDays[[#This Row],[تاریخ]],TArticle[افزایش بدهی])</f>
        <v>0</v>
      </c>
      <c r="N1103" s="164">
        <f>-SUMIF(TArticle[تاریخ],TDays[[#This Row],[تاریخ]],TArticle[افزایش سرمایه])</f>
        <v>0</v>
      </c>
      <c r="O1103" s="164">
        <f>SUMIF(TArticle[تاریخ],TDays[[#This Row],[تاریخ]],TArticle[تعداد تراکنش انجام شده])</f>
        <v>0</v>
      </c>
      <c r="P1103" s="164">
        <f>INT(((TDays[[#This Row],[ماه]]-1)*31+TDays[[#This Row],[روز]]+1)/7)+1</f>
        <v>2</v>
      </c>
      <c r="Q1103" s="164">
        <f>SUMIF(TArticle[تاریخ],TDays[[#This Row],[تاریخ]],TArticle[تراکنش برنامه ریزی شده])</f>
        <v>0</v>
      </c>
    </row>
    <row r="1104" spans="1:17" x14ac:dyDescent="0.25">
      <c r="A1104" s="3" t="s">
        <v>1696</v>
      </c>
      <c r="B1104" s="164" t="str">
        <f>RIGHT(TDays[[#This Row],[تاریخ]],2)</f>
        <v>07</v>
      </c>
      <c r="C1104" s="164" t="str">
        <f>RIGHT(LEFT(TDays[[#This Row],[تاریخ]],7),2)</f>
        <v>01</v>
      </c>
      <c r="D1104" s="164" t="str">
        <f>LEFT(TDays[[#This Row],[تاریخ]],4)</f>
        <v>1404</v>
      </c>
      <c r="E1104" s="164" t="str">
        <f>LEFT(TDays[[#This Row],[تاریخ]],7)</f>
        <v>1404-01</v>
      </c>
      <c r="F1104">
        <v>5</v>
      </c>
      <c r="G1104" s="165" t="str">
        <f>VLOOKUP(TDays[[#This Row],[کد روز هفته]],TDaysOfTheWeek[],2,FALSE)</f>
        <v>پنجشنبه</v>
      </c>
      <c r="H1104" s="165">
        <f>IFERROR(IF(E1103&lt;&gt;E1104,1,INT(H1103)+IF(TDays[[#This Row],[کد روز هفته]]=0,1,0)),1)</f>
        <v>2</v>
      </c>
      <c r="I1104" s="164">
        <f>-SUMIF(TArticle[تاریخ],TDays[[#This Row],[تاریخ]],TArticle[هزینه])</f>
        <v>0</v>
      </c>
      <c r="J1104" s="164">
        <f>SUMIF(TArticle[تاریخ],TDays[[#This Row],[تاریخ]],TArticle[درآمد تتا])</f>
        <v>0</v>
      </c>
      <c r="K1104" s="164">
        <f>SUMIF(TArticle[تاریخ],TDays[[#This Row],[تاریخ]],TArticle[اسنپ])</f>
        <v>0</v>
      </c>
      <c r="L1104" s="164">
        <f>-SUMIF(TArticle[تاریخ],TDays[[#This Row],[تاریخ]],TArticle[پرداخت بدهی])</f>
        <v>0</v>
      </c>
      <c r="M1104" s="164">
        <f>SUMIF(TArticle[تاریخ],TDays[[#This Row],[تاریخ]],TArticle[افزایش بدهی])</f>
        <v>0</v>
      </c>
      <c r="N1104" s="164">
        <f>-SUMIF(TArticle[تاریخ],TDays[[#This Row],[تاریخ]],TArticle[افزایش سرمایه])</f>
        <v>0</v>
      </c>
      <c r="O1104" s="164">
        <f>SUMIF(TArticle[تاریخ],TDays[[#This Row],[تاریخ]],TArticle[تعداد تراکنش انجام شده])</f>
        <v>0</v>
      </c>
      <c r="P1104" s="164">
        <f>INT(((TDays[[#This Row],[ماه]]-1)*31+TDays[[#This Row],[روز]]+1)/7)+1</f>
        <v>2</v>
      </c>
      <c r="Q1104" s="164">
        <f>SUMIF(TArticle[تاریخ],TDays[[#This Row],[تاریخ]],TArticle[تراکنش برنامه ریزی شده])</f>
        <v>0</v>
      </c>
    </row>
    <row r="1105" spans="1:17" x14ac:dyDescent="0.25">
      <c r="A1105" s="3" t="s">
        <v>1697</v>
      </c>
      <c r="B1105" s="164" t="str">
        <f>RIGHT(TDays[[#This Row],[تاریخ]],2)</f>
        <v>08</v>
      </c>
      <c r="C1105" s="164" t="str">
        <f>RIGHT(LEFT(TDays[[#This Row],[تاریخ]],7),2)</f>
        <v>01</v>
      </c>
      <c r="D1105" s="164" t="str">
        <f>LEFT(TDays[[#This Row],[تاریخ]],4)</f>
        <v>1404</v>
      </c>
      <c r="E1105" s="164" t="str">
        <f>LEFT(TDays[[#This Row],[تاریخ]],7)</f>
        <v>1404-01</v>
      </c>
      <c r="F1105">
        <v>6</v>
      </c>
      <c r="G1105" s="165" t="str">
        <f>VLOOKUP(TDays[[#This Row],[کد روز هفته]],TDaysOfTheWeek[],2,FALSE)</f>
        <v>جمعه</v>
      </c>
      <c r="H1105" s="165">
        <f>IFERROR(IF(E1104&lt;&gt;E1105,1,INT(H1104)+IF(TDays[[#This Row],[کد روز هفته]]=0,1,0)),1)</f>
        <v>2</v>
      </c>
      <c r="I1105" s="164">
        <f>-SUMIF(TArticle[تاریخ],TDays[[#This Row],[تاریخ]],TArticle[هزینه])</f>
        <v>0</v>
      </c>
      <c r="J1105" s="164">
        <f>SUMIF(TArticle[تاریخ],TDays[[#This Row],[تاریخ]],TArticle[درآمد تتا])</f>
        <v>0</v>
      </c>
      <c r="K1105" s="164">
        <f>SUMIF(TArticle[تاریخ],TDays[[#This Row],[تاریخ]],TArticle[اسنپ])</f>
        <v>0</v>
      </c>
      <c r="L1105" s="164">
        <f>-SUMIF(TArticle[تاریخ],TDays[[#This Row],[تاریخ]],TArticle[پرداخت بدهی])</f>
        <v>0</v>
      </c>
      <c r="M1105" s="164">
        <f>SUMIF(TArticle[تاریخ],TDays[[#This Row],[تاریخ]],TArticle[افزایش بدهی])</f>
        <v>0</v>
      </c>
      <c r="N1105" s="164">
        <f>-SUMIF(TArticle[تاریخ],TDays[[#This Row],[تاریخ]],TArticle[افزایش سرمایه])</f>
        <v>0</v>
      </c>
      <c r="O1105" s="164">
        <f>SUMIF(TArticle[تاریخ],TDays[[#This Row],[تاریخ]],TArticle[تعداد تراکنش انجام شده])</f>
        <v>0</v>
      </c>
      <c r="P1105" s="164">
        <f>INT(((TDays[[#This Row],[ماه]]-1)*31+TDays[[#This Row],[روز]]+1)/7)+1</f>
        <v>2</v>
      </c>
      <c r="Q1105" s="164">
        <f>SUMIF(TArticle[تاریخ],TDays[[#This Row],[تاریخ]],TArticle[تراکنش برنامه ریزی شده])</f>
        <v>0</v>
      </c>
    </row>
    <row r="1106" spans="1:17" x14ac:dyDescent="0.25">
      <c r="A1106" s="3" t="s">
        <v>1698</v>
      </c>
      <c r="B1106" s="164" t="str">
        <f>RIGHT(TDays[[#This Row],[تاریخ]],2)</f>
        <v>09</v>
      </c>
      <c r="C1106" s="164" t="str">
        <f>RIGHT(LEFT(TDays[[#This Row],[تاریخ]],7),2)</f>
        <v>01</v>
      </c>
      <c r="D1106" s="164" t="str">
        <f>LEFT(TDays[[#This Row],[تاریخ]],4)</f>
        <v>1404</v>
      </c>
      <c r="E1106" s="164" t="str">
        <f>LEFT(TDays[[#This Row],[تاریخ]],7)</f>
        <v>1404-01</v>
      </c>
      <c r="F1106">
        <v>0</v>
      </c>
      <c r="G1106" s="165" t="str">
        <f>VLOOKUP(TDays[[#This Row],[کد روز هفته]],TDaysOfTheWeek[],2,FALSE)</f>
        <v>شنبه</v>
      </c>
      <c r="H1106" s="165">
        <f>IFERROR(IF(E1105&lt;&gt;E1106,1,INT(H1105)+IF(TDays[[#This Row],[کد روز هفته]]=0,1,0)),1)</f>
        <v>3</v>
      </c>
      <c r="I1106" s="164">
        <f>-SUMIF(TArticle[تاریخ],TDays[[#This Row],[تاریخ]],TArticle[هزینه])</f>
        <v>0</v>
      </c>
      <c r="J1106" s="164">
        <f>SUMIF(TArticle[تاریخ],TDays[[#This Row],[تاریخ]],TArticle[درآمد تتا])</f>
        <v>0</v>
      </c>
      <c r="K1106" s="164">
        <f>SUMIF(TArticle[تاریخ],TDays[[#This Row],[تاریخ]],TArticle[اسنپ])</f>
        <v>0</v>
      </c>
      <c r="L1106" s="164">
        <f>-SUMIF(TArticle[تاریخ],TDays[[#This Row],[تاریخ]],TArticle[پرداخت بدهی])</f>
        <v>0</v>
      </c>
      <c r="M1106" s="164">
        <f>SUMIF(TArticle[تاریخ],TDays[[#This Row],[تاریخ]],TArticle[افزایش بدهی])</f>
        <v>0</v>
      </c>
      <c r="N1106" s="164">
        <f>-SUMIF(TArticle[تاریخ],TDays[[#This Row],[تاریخ]],TArticle[افزایش سرمایه])</f>
        <v>0</v>
      </c>
      <c r="O1106" s="164">
        <f>SUMIF(TArticle[تاریخ],TDays[[#This Row],[تاریخ]],TArticle[تعداد تراکنش انجام شده])</f>
        <v>0</v>
      </c>
      <c r="P1106" s="164">
        <f>INT(((TDays[[#This Row],[ماه]]-1)*31+TDays[[#This Row],[روز]]+1)/7)+1</f>
        <v>2</v>
      </c>
      <c r="Q1106" s="164">
        <f>SUMIF(TArticle[تاریخ],TDays[[#This Row],[تاریخ]],TArticle[تراکنش برنامه ریزی شده])</f>
        <v>1</v>
      </c>
    </row>
    <row r="1107" spans="1:17" x14ac:dyDescent="0.25">
      <c r="A1107" s="3" t="s">
        <v>1699</v>
      </c>
      <c r="B1107" s="164" t="str">
        <f>RIGHT(TDays[[#This Row],[تاریخ]],2)</f>
        <v>10</v>
      </c>
      <c r="C1107" s="164" t="str">
        <f>RIGHT(LEFT(TDays[[#This Row],[تاریخ]],7),2)</f>
        <v>01</v>
      </c>
      <c r="D1107" s="164" t="str">
        <f>LEFT(TDays[[#This Row],[تاریخ]],4)</f>
        <v>1404</v>
      </c>
      <c r="E1107" s="164" t="str">
        <f>LEFT(TDays[[#This Row],[تاریخ]],7)</f>
        <v>1404-01</v>
      </c>
      <c r="F1107">
        <v>1</v>
      </c>
      <c r="G1107" s="165" t="str">
        <f>VLOOKUP(TDays[[#This Row],[کد روز هفته]],TDaysOfTheWeek[],2,FALSE)</f>
        <v>یکشنبه</v>
      </c>
      <c r="H1107" s="165">
        <f>IFERROR(IF(E1106&lt;&gt;E1107,1,INT(H1106)+IF(TDays[[#This Row],[کد روز هفته]]=0,1,0)),1)</f>
        <v>3</v>
      </c>
      <c r="I1107" s="164">
        <f>-SUMIF(TArticle[تاریخ],TDays[[#This Row],[تاریخ]],TArticle[هزینه])</f>
        <v>0</v>
      </c>
      <c r="J1107" s="164">
        <f>SUMIF(TArticle[تاریخ],TDays[[#This Row],[تاریخ]],TArticle[درآمد تتا])</f>
        <v>0</v>
      </c>
      <c r="K1107" s="164">
        <f>SUMIF(TArticle[تاریخ],TDays[[#This Row],[تاریخ]],TArticle[اسنپ])</f>
        <v>0</v>
      </c>
      <c r="L1107" s="164">
        <f>-SUMIF(TArticle[تاریخ],TDays[[#This Row],[تاریخ]],TArticle[پرداخت بدهی])</f>
        <v>0</v>
      </c>
      <c r="M1107" s="164">
        <f>SUMIF(TArticle[تاریخ],TDays[[#This Row],[تاریخ]],TArticle[افزایش بدهی])</f>
        <v>0</v>
      </c>
      <c r="N1107" s="164">
        <f>-SUMIF(TArticle[تاریخ],TDays[[#This Row],[تاریخ]],TArticle[افزایش سرمایه])</f>
        <v>0</v>
      </c>
      <c r="O1107" s="164">
        <f>SUMIF(TArticle[تاریخ],TDays[[#This Row],[تاریخ]],TArticle[تعداد تراکنش انجام شده])</f>
        <v>0</v>
      </c>
      <c r="P1107" s="164">
        <f>INT(((TDays[[#This Row],[ماه]]-1)*31+TDays[[#This Row],[روز]]+1)/7)+1</f>
        <v>2</v>
      </c>
      <c r="Q1107" s="164">
        <f>SUMIF(TArticle[تاریخ],TDays[[#This Row],[تاریخ]],TArticle[تراکنش برنامه ریزی شده])</f>
        <v>0</v>
      </c>
    </row>
    <row r="1108" spans="1:17" x14ac:dyDescent="0.25">
      <c r="A1108" s="3" t="s">
        <v>1700</v>
      </c>
      <c r="B1108" s="164" t="str">
        <f>RIGHT(TDays[[#This Row],[تاریخ]],2)</f>
        <v>11</v>
      </c>
      <c r="C1108" s="164" t="str">
        <f>RIGHT(LEFT(TDays[[#This Row],[تاریخ]],7),2)</f>
        <v>01</v>
      </c>
      <c r="D1108" s="164" t="str">
        <f>LEFT(TDays[[#This Row],[تاریخ]],4)</f>
        <v>1404</v>
      </c>
      <c r="E1108" s="164" t="str">
        <f>LEFT(TDays[[#This Row],[تاریخ]],7)</f>
        <v>1404-01</v>
      </c>
      <c r="F1108">
        <v>2</v>
      </c>
      <c r="G1108" s="165" t="str">
        <f>VLOOKUP(TDays[[#This Row],[کد روز هفته]],TDaysOfTheWeek[],2,FALSE)</f>
        <v>دوشنبه</v>
      </c>
      <c r="H1108" s="165">
        <f>IFERROR(IF(E1107&lt;&gt;E1108,1,INT(H1107)+IF(TDays[[#This Row],[کد روز هفته]]=0,1,0)),1)</f>
        <v>3</v>
      </c>
      <c r="I1108" s="164">
        <f>-SUMIF(TArticle[تاریخ],TDays[[#This Row],[تاریخ]],TArticle[هزینه])</f>
        <v>0</v>
      </c>
      <c r="J1108" s="164">
        <f>SUMIF(TArticle[تاریخ],TDays[[#This Row],[تاریخ]],TArticle[درآمد تتا])</f>
        <v>0</v>
      </c>
      <c r="K1108" s="164">
        <f>SUMIF(TArticle[تاریخ],TDays[[#This Row],[تاریخ]],TArticle[اسنپ])</f>
        <v>0</v>
      </c>
      <c r="L1108" s="164">
        <f>-SUMIF(TArticle[تاریخ],TDays[[#This Row],[تاریخ]],TArticle[پرداخت بدهی])</f>
        <v>0</v>
      </c>
      <c r="M1108" s="164">
        <f>SUMIF(TArticle[تاریخ],TDays[[#This Row],[تاریخ]],TArticle[افزایش بدهی])</f>
        <v>0</v>
      </c>
      <c r="N1108" s="164">
        <f>-SUMIF(TArticle[تاریخ],TDays[[#This Row],[تاریخ]],TArticle[افزایش سرمایه])</f>
        <v>0</v>
      </c>
      <c r="O1108" s="164">
        <f>SUMIF(TArticle[تاریخ],TDays[[#This Row],[تاریخ]],TArticle[تعداد تراکنش انجام شده])</f>
        <v>0</v>
      </c>
      <c r="P1108" s="164">
        <f>INT(((TDays[[#This Row],[ماه]]-1)*31+TDays[[#This Row],[روز]]+1)/7)+1</f>
        <v>2</v>
      </c>
      <c r="Q1108" s="164">
        <f>SUMIF(TArticle[تاریخ],TDays[[#This Row],[تاریخ]],TArticle[تراکنش برنامه ریزی شده])</f>
        <v>0</v>
      </c>
    </row>
    <row r="1109" spans="1:17" x14ac:dyDescent="0.25">
      <c r="A1109" s="3" t="s">
        <v>1701</v>
      </c>
      <c r="B1109" s="164" t="str">
        <f>RIGHT(TDays[[#This Row],[تاریخ]],2)</f>
        <v>12</v>
      </c>
      <c r="C1109" s="164" t="str">
        <f>RIGHT(LEFT(TDays[[#This Row],[تاریخ]],7),2)</f>
        <v>01</v>
      </c>
      <c r="D1109" s="164" t="str">
        <f>LEFT(TDays[[#This Row],[تاریخ]],4)</f>
        <v>1404</v>
      </c>
      <c r="E1109" s="164" t="str">
        <f>LEFT(TDays[[#This Row],[تاریخ]],7)</f>
        <v>1404-01</v>
      </c>
      <c r="F1109">
        <v>3</v>
      </c>
      <c r="G1109" s="165" t="str">
        <f>VLOOKUP(TDays[[#This Row],[کد روز هفته]],TDaysOfTheWeek[],2,FALSE)</f>
        <v>سه شنبه</v>
      </c>
      <c r="H1109" s="165">
        <f>IFERROR(IF(E1108&lt;&gt;E1109,1,INT(H1108)+IF(TDays[[#This Row],[کد روز هفته]]=0,1,0)),1)</f>
        <v>3</v>
      </c>
      <c r="I1109" s="164">
        <f>-SUMIF(TArticle[تاریخ],TDays[[#This Row],[تاریخ]],TArticle[هزینه])</f>
        <v>0</v>
      </c>
      <c r="J1109" s="164">
        <f>SUMIF(TArticle[تاریخ],TDays[[#This Row],[تاریخ]],TArticle[درآمد تتا])</f>
        <v>0</v>
      </c>
      <c r="K1109" s="164">
        <f>SUMIF(TArticle[تاریخ],TDays[[#This Row],[تاریخ]],TArticle[اسنپ])</f>
        <v>0</v>
      </c>
      <c r="L1109" s="164">
        <f>-SUMIF(TArticle[تاریخ],TDays[[#This Row],[تاریخ]],TArticle[پرداخت بدهی])</f>
        <v>0</v>
      </c>
      <c r="M1109" s="164">
        <f>SUMIF(TArticle[تاریخ],TDays[[#This Row],[تاریخ]],TArticle[افزایش بدهی])</f>
        <v>0</v>
      </c>
      <c r="N1109" s="164">
        <f>-SUMIF(TArticle[تاریخ],TDays[[#This Row],[تاریخ]],TArticle[افزایش سرمایه])</f>
        <v>0</v>
      </c>
      <c r="O1109" s="164">
        <f>SUMIF(TArticle[تاریخ],TDays[[#This Row],[تاریخ]],TArticle[تعداد تراکنش انجام شده])</f>
        <v>0</v>
      </c>
      <c r="P1109" s="164">
        <f>INT(((TDays[[#This Row],[ماه]]-1)*31+TDays[[#This Row],[روز]]+1)/7)+1</f>
        <v>2</v>
      </c>
      <c r="Q1109" s="164">
        <f>SUMIF(TArticle[تاریخ],TDays[[#This Row],[تاریخ]],TArticle[تراکنش برنامه ریزی شده])</f>
        <v>0</v>
      </c>
    </row>
    <row r="1110" spans="1:17" x14ac:dyDescent="0.25">
      <c r="A1110" s="3" t="s">
        <v>1702</v>
      </c>
      <c r="B1110" s="164" t="str">
        <f>RIGHT(TDays[[#This Row],[تاریخ]],2)</f>
        <v>13</v>
      </c>
      <c r="C1110" s="164" t="str">
        <f>RIGHT(LEFT(TDays[[#This Row],[تاریخ]],7),2)</f>
        <v>01</v>
      </c>
      <c r="D1110" s="164" t="str">
        <f>LEFT(TDays[[#This Row],[تاریخ]],4)</f>
        <v>1404</v>
      </c>
      <c r="E1110" s="164" t="str">
        <f>LEFT(TDays[[#This Row],[تاریخ]],7)</f>
        <v>1404-01</v>
      </c>
      <c r="F1110">
        <v>4</v>
      </c>
      <c r="G1110" s="165" t="str">
        <f>VLOOKUP(TDays[[#This Row],[کد روز هفته]],TDaysOfTheWeek[],2,FALSE)</f>
        <v>چهارشنبه</v>
      </c>
      <c r="H1110" s="165">
        <f>IFERROR(IF(E1109&lt;&gt;E1110,1,INT(H1109)+IF(TDays[[#This Row],[کد روز هفته]]=0,1,0)),1)</f>
        <v>3</v>
      </c>
      <c r="I1110" s="164">
        <f>-SUMIF(TArticle[تاریخ],TDays[[#This Row],[تاریخ]],TArticle[هزینه])</f>
        <v>0</v>
      </c>
      <c r="J1110" s="164">
        <f>SUMIF(TArticle[تاریخ],TDays[[#This Row],[تاریخ]],TArticle[درآمد تتا])</f>
        <v>0</v>
      </c>
      <c r="K1110" s="164">
        <f>SUMIF(TArticle[تاریخ],TDays[[#This Row],[تاریخ]],TArticle[اسنپ])</f>
        <v>0</v>
      </c>
      <c r="L1110" s="164">
        <f>-SUMIF(TArticle[تاریخ],TDays[[#This Row],[تاریخ]],TArticle[پرداخت بدهی])</f>
        <v>0</v>
      </c>
      <c r="M1110" s="164">
        <f>SUMIF(TArticle[تاریخ],TDays[[#This Row],[تاریخ]],TArticle[افزایش بدهی])</f>
        <v>0</v>
      </c>
      <c r="N1110" s="164">
        <f>-SUMIF(TArticle[تاریخ],TDays[[#This Row],[تاریخ]],TArticle[افزایش سرمایه])</f>
        <v>0</v>
      </c>
      <c r="O1110" s="164">
        <f>SUMIF(TArticle[تاریخ],TDays[[#This Row],[تاریخ]],TArticle[تعداد تراکنش انجام شده])</f>
        <v>0</v>
      </c>
      <c r="P1110" s="164">
        <f>INT(((TDays[[#This Row],[ماه]]-1)*31+TDays[[#This Row],[روز]]+1)/7)+1</f>
        <v>3</v>
      </c>
      <c r="Q1110" s="164">
        <f>SUMIF(TArticle[تاریخ],TDays[[#This Row],[تاریخ]],TArticle[تراکنش برنامه ریزی شده])</f>
        <v>0</v>
      </c>
    </row>
    <row r="1111" spans="1:17" x14ac:dyDescent="0.25">
      <c r="A1111" s="3" t="s">
        <v>1703</v>
      </c>
      <c r="B1111" s="164" t="str">
        <f>RIGHT(TDays[[#This Row],[تاریخ]],2)</f>
        <v>14</v>
      </c>
      <c r="C1111" s="164" t="str">
        <f>RIGHT(LEFT(TDays[[#This Row],[تاریخ]],7),2)</f>
        <v>01</v>
      </c>
      <c r="D1111" s="164" t="str">
        <f>LEFT(TDays[[#This Row],[تاریخ]],4)</f>
        <v>1404</v>
      </c>
      <c r="E1111" s="164" t="str">
        <f>LEFT(TDays[[#This Row],[تاریخ]],7)</f>
        <v>1404-01</v>
      </c>
      <c r="F1111">
        <v>5</v>
      </c>
      <c r="G1111" s="165" t="str">
        <f>VLOOKUP(TDays[[#This Row],[کد روز هفته]],TDaysOfTheWeek[],2,FALSE)</f>
        <v>پنجشنبه</v>
      </c>
      <c r="H1111" s="165">
        <f>IFERROR(IF(E1110&lt;&gt;E1111,1,INT(H1110)+IF(TDays[[#This Row],[کد روز هفته]]=0,1,0)),1)</f>
        <v>3</v>
      </c>
      <c r="I1111" s="164">
        <f>-SUMIF(TArticle[تاریخ],TDays[[#This Row],[تاریخ]],TArticle[هزینه])</f>
        <v>0</v>
      </c>
      <c r="J1111" s="164">
        <f>SUMIF(TArticle[تاریخ],TDays[[#This Row],[تاریخ]],TArticle[درآمد تتا])</f>
        <v>0</v>
      </c>
      <c r="K1111" s="164">
        <f>SUMIF(TArticle[تاریخ],TDays[[#This Row],[تاریخ]],TArticle[اسنپ])</f>
        <v>0</v>
      </c>
      <c r="L1111" s="164">
        <f>-SUMIF(TArticle[تاریخ],TDays[[#This Row],[تاریخ]],TArticle[پرداخت بدهی])</f>
        <v>0</v>
      </c>
      <c r="M1111" s="164">
        <f>SUMIF(TArticle[تاریخ],TDays[[#This Row],[تاریخ]],TArticle[افزایش بدهی])</f>
        <v>0</v>
      </c>
      <c r="N1111" s="164">
        <f>-SUMIF(TArticle[تاریخ],TDays[[#This Row],[تاریخ]],TArticle[افزایش سرمایه])</f>
        <v>0</v>
      </c>
      <c r="O1111" s="164">
        <f>SUMIF(TArticle[تاریخ],TDays[[#This Row],[تاریخ]],TArticle[تعداد تراکنش انجام شده])</f>
        <v>0</v>
      </c>
      <c r="P1111" s="164">
        <f>INT(((TDays[[#This Row],[ماه]]-1)*31+TDays[[#This Row],[روز]]+1)/7)+1</f>
        <v>3</v>
      </c>
      <c r="Q1111" s="164">
        <f>SUMIF(TArticle[تاریخ],TDays[[#This Row],[تاریخ]],TArticle[تراکنش برنامه ریزی شده])</f>
        <v>0</v>
      </c>
    </row>
    <row r="1112" spans="1:17" x14ac:dyDescent="0.25">
      <c r="A1112" s="3" t="s">
        <v>1704</v>
      </c>
      <c r="B1112" s="164" t="str">
        <f>RIGHT(TDays[[#This Row],[تاریخ]],2)</f>
        <v>15</v>
      </c>
      <c r="C1112" s="164" t="str">
        <f>RIGHT(LEFT(TDays[[#This Row],[تاریخ]],7),2)</f>
        <v>01</v>
      </c>
      <c r="D1112" s="164" t="str">
        <f>LEFT(TDays[[#This Row],[تاریخ]],4)</f>
        <v>1404</v>
      </c>
      <c r="E1112" s="164" t="str">
        <f>LEFT(TDays[[#This Row],[تاریخ]],7)</f>
        <v>1404-01</v>
      </c>
      <c r="F1112">
        <v>6</v>
      </c>
      <c r="G1112" s="165" t="str">
        <f>VLOOKUP(TDays[[#This Row],[کد روز هفته]],TDaysOfTheWeek[],2,FALSE)</f>
        <v>جمعه</v>
      </c>
      <c r="H1112" s="165">
        <f>IFERROR(IF(E1111&lt;&gt;E1112,1,INT(H1111)+IF(TDays[[#This Row],[کد روز هفته]]=0,1,0)),1)</f>
        <v>3</v>
      </c>
      <c r="I1112" s="164">
        <f>-SUMIF(TArticle[تاریخ],TDays[[#This Row],[تاریخ]],TArticle[هزینه])</f>
        <v>0</v>
      </c>
      <c r="J1112" s="164">
        <f>SUMIF(TArticle[تاریخ],TDays[[#This Row],[تاریخ]],TArticle[درآمد تتا])</f>
        <v>0</v>
      </c>
      <c r="K1112" s="164">
        <f>SUMIF(TArticle[تاریخ],TDays[[#This Row],[تاریخ]],TArticle[اسنپ])</f>
        <v>0</v>
      </c>
      <c r="L1112" s="164">
        <f>-SUMIF(TArticle[تاریخ],TDays[[#This Row],[تاریخ]],TArticle[پرداخت بدهی])</f>
        <v>0</v>
      </c>
      <c r="M1112" s="164">
        <f>SUMIF(TArticle[تاریخ],TDays[[#This Row],[تاریخ]],TArticle[افزایش بدهی])</f>
        <v>0</v>
      </c>
      <c r="N1112" s="164">
        <f>-SUMIF(TArticle[تاریخ],TDays[[#This Row],[تاریخ]],TArticle[افزایش سرمایه])</f>
        <v>0</v>
      </c>
      <c r="O1112" s="164">
        <f>SUMIF(TArticle[تاریخ],TDays[[#This Row],[تاریخ]],TArticle[تعداد تراکنش انجام شده])</f>
        <v>0</v>
      </c>
      <c r="P1112" s="164">
        <f>INT(((TDays[[#This Row],[ماه]]-1)*31+TDays[[#This Row],[روز]]+1)/7)+1</f>
        <v>3</v>
      </c>
      <c r="Q1112" s="164">
        <f>SUMIF(TArticle[تاریخ],TDays[[#This Row],[تاریخ]],TArticle[تراکنش برنامه ریزی شده])</f>
        <v>0</v>
      </c>
    </row>
    <row r="1113" spans="1:17" x14ac:dyDescent="0.25">
      <c r="A1113" s="3" t="s">
        <v>1705</v>
      </c>
      <c r="B1113" s="164" t="str">
        <f>RIGHT(TDays[[#This Row],[تاریخ]],2)</f>
        <v>16</v>
      </c>
      <c r="C1113" s="164" t="str">
        <f>RIGHT(LEFT(TDays[[#This Row],[تاریخ]],7),2)</f>
        <v>01</v>
      </c>
      <c r="D1113" s="164" t="str">
        <f>LEFT(TDays[[#This Row],[تاریخ]],4)</f>
        <v>1404</v>
      </c>
      <c r="E1113" s="164" t="str">
        <f>LEFT(TDays[[#This Row],[تاریخ]],7)</f>
        <v>1404-01</v>
      </c>
      <c r="F1113">
        <v>0</v>
      </c>
      <c r="G1113" s="165" t="str">
        <f>VLOOKUP(TDays[[#This Row],[کد روز هفته]],TDaysOfTheWeek[],2,FALSE)</f>
        <v>شنبه</v>
      </c>
      <c r="H1113" s="165">
        <f>IFERROR(IF(E1112&lt;&gt;E1113,1,INT(H1112)+IF(TDays[[#This Row],[کد روز هفته]]=0,1,0)),1)</f>
        <v>4</v>
      </c>
      <c r="I1113" s="164">
        <f>-SUMIF(TArticle[تاریخ],TDays[[#This Row],[تاریخ]],TArticle[هزینه])</f>
        <v>0</v>
      </c>
      <c r="J1113" s="164">
        <f>SUMIF(TArticle[تاریخ],TDays[[#This Row],[تاریخ]],TArticle[درآمد تتا])</f>
        <v>0</v>
      </c>
      <c r="K1113" s="164">
        <f>SUMIF(TArticle[تاریخ],TDays[[#This Row],[تاریخ]],TArticle[اسنپ])</f>
        <v>0</v>
      </c>
      <c r="L1113" s="164">
        <f>-SUMIF(TArticle[تاریخ],TDays[[#This Row],[تاریخ]],TArticle[پرداخت بدهی])</f>
        <v>0</v>
      </c>
      <c r="M1113" s="164">
        <f>SUMIF(TArticle[تاریخ],TDays[[#This Row],[تاریخ]],TArticle[افزایش بدهی])</f>
        <v>0</v>
      </c>
      <c r="N1113" s="164">
        <f>-SUMIF(TArticle[تاریخ],TDays[[#This Row],[تاریخ]],TArticle[افزایش سرمایه])</f>
        <v>0</v>
      </c>
      <c r="O1113" s="164">
        <f>SUMIF(TArticle[تاریخ],TDays[[#This Row],[تاریخ]],TArticle[تعداد تراکنش انجام شده])</f>
        <v>0</v>
      </c>
      <c r="P1113" s="164">
        <f>INT(((TDays[[#This Row],[ماه]]-1)*31+TDays[[#This Row],[روز]]+1)/7)+1</f>
        <v>3</v>
      </c>
      <c r="Q1113" s="164">
        <f>SUMIF(TArticle[تاریخ],TDays[[#This Row],[تاریخ]],TArticle[تراکنش برنامه ریزی شده])</f>
        <v>0</v>
      </c>
    </row>
    <row r="1114" spans="1:17" x14ac:dyDescent="0.25">
      <c r="A1114" s="3" t="s">
        <v>1706</v>
      </c>
      <c r="B1114" s="164" t="str">
        <f>RIGHT(TDays[[#This Row],[تاریخ]],2)</f>
        <v>17</v>
      </c>
      <c r="C1114" s="164" t="str">
        <f>RIGHT(LEFT(TDays[[#This Row],[تاریخ]],7),2)</f>
        <v>01</v>
      </c>
      <c r="D1114" s="164" t="str">
        <f>LEFT(TDays[[#This Row],[تاریخ]],4)</f>
        <v>1404</v>
      </c>
      <c r="E1114" s="164" t="str">
        <f>LEFT(TDays[[#This Row],[تاریخ]],7)</f>
        <v>1404-01</v>
      </c>
      <c r="F1114">
        <v>1</v>
      </c>
      <c r="G1114" s="165" t="str">
        <f>VLOOKUP(TDays[[#This Row],[کد روز هفته]],TDaysOfTheWeek[],2,FALSE)</f>
        <v>یکشنبه</v>
      </c>
      <c r="H1114" s="165">
        <f>IFERROR(IF(E1113&lt;&gt;E1114,1,INT(H1113)+IF(TDays[[#This Row],[کد روز هفته]]=0,1,0)),1)</f>
        <v>4</v>
      </c>
      <c r="I1114" s="164">
        <f>-SUMIF(TArticle[تاریخ],TDays[[#This Row],[تاریخ]],TArticle[هزینه])</f>
        <v>0</v>
      </c>
      <c r="J1114" s="164">
        <f>SUMIF(TArticle[تاریخ],TDays[[#This Row],[تاریخ]],TArticle[درآمد تتا])</f>
        <v>0</v>
      </c>
      <c r="K1114" s="164">
        <f>SUMIF(TArticle[تاریخ],TDays[[#This Row],[تاریخ]],TArticle[اسنپ])</f>
        <v>0</v>
      </c>
      <c r="L1114" s="164">
        <f>-SUMIF(TArticle[تاریخ],TDays[[#This Row],[تاریخ]],TArticle[پرداخت بدهی])</f>
        <v>0</v>
      </c>
      <c r="M1114" s="164">
        <f>SUMIF(TArticle[تاریخ],TDays[[#This Row],[تاریخ]],TArticle[افزایش بدهی])</f>
        <v>0</v>
      </c>
      <c r="N1114" s="164">
        <f>-SUMIF(TArticle[تاریخ],TDays[[#This Row],[تاریخ]],TArticle[افزایش سرمایه])</f>
        <v>0</v>
      </c>
      <c r="O1114" s="164">
        <f>SUMIF(TArticle[تاریخ],TDays[[#This Row],[تاریخ]],TArticle[تعداد تراکنش انجام شده])</f>
        <v>0</v>
      </c>
      <c r="P1114" s="164">
        <f>INT(((TDays[[#This Row],[ماه]]-1)*31+TDays[[#This Row],[روز]]+1)/7)+1</f>
        <v>3</v>
      </c>
      <c r="Q1114" s="164">
        <f>SUMIF(TArticle[تاریخ],TDays[[#This Row],[تاریخ]],TArticle[تراکنش برنامه ریزی شده])</f>
        <v>0</v>
      </c>
    </row>
    <row r="1115" spans="1:17" x14ac:dyDescent="0.25">
      <c r="A1115" s="3" t="s">
        <v>1707</v>
      </c>
      <c r="B1115" s="164" t="str">
        <f>RIGHT(TDays[[#This Row],[تاریخ]],2)</f>
        <v>18</v>
      </c>
      <c r="C1115" s="164" t="str">
        <f>RIGHT(LEFT(TDays[[#This Row],[تاریخ]],7),2)</f>
        <v>01</v>
      </c>
      <c r="D1115" s="164" t="str">
        <f>LEFT(TDays[[#This Row],[تاریخ]],4)</f>
        <v>1404</v>
      </c>
      <c r="E1115" s="164" t="str">
        <f>LEFT(TDays[[#This Row],[تاریخ]],7)</f>
        <v>1404-01</v>
      </c>
      <c r="F1115">
        <v>2</v>
      </c>
      <c r="G1115" s="165" t="str">
        <f>VLOOKUP(TDays[[#This Row],[کد روز هفته]],TDaysOfTheWeek[],2,FALSE)</f>
        <v>دوشنبه</v>
      </c>
      <c r="H1115" s="165">
        <f>IFERROR(IF(E1114&lt;&gt;E1115,1,INT(H1114)+IF(TDays[[#This Row],[کد روز هفته]]=0,1,0)),1)</f>
        <v>4</v>
      </c>
      <c r="I1115" s="164">
        <f>-SUMIF(TArticle[تاریخ],TDays[[#This Row],[تاریخ]],TArticle[هزینه])</f>
        <v>0</v>
      </c>
      <c r="J1115" s="164">
        <f>SUMIF(TArticle[تاریخ],TDays[[#This Row],[تاریخ]],TArticle[درآمد تتا])</f>
        <v>0</v>
      </c>
      <c r="K1115" s="164">
        <f>SUMIF(TArticle[تاریخ],TDays[[#This Row],[تاریخ]],TArticle[اسنپ])</f>
        <v>0</v>
      </c>
      <c r="L1115" s="164">
        <f>-SUMIF(TArticle[تاریخ],TDays[[#This Row],[تاریخ]],TArticle[پرداخت بدهی])</f>
        <v>0</v>
      </c>
      <c r="M1115" s="164">
        <f>SUMIF(TArticle[تاریخ],TDays[[#This Row],[تاریخ]],TArticle[افزایش بدهی])</f>
        <v>0</v>
      </c>
      <c r="N1115" s="164">
        <f>-SUMIF(TArticle[تاریخ],TDays[[#This Row],[تاریخ]],TArticle[افزایش سرمایه])</f>
        <v>0</v>
      </c>
      <c r="O1115" s="164">
        <f>SUMIF(TArticle[تاریخ],TDays[[#This Row],[تاریخ]],TArticle[تعداد تراکنش انجام شده])</f>
        <v>0</v>
      </c>
      <c r="P1115" s="164">
        <f>INT(((TDays[[#This Row],[ماه]]-1)*31+TDays[[#This Row],[روز]]+1)/7)+1</f>
        <v>3</v>
      </c>
      <c r="Q1115" s="164">
        <f>SUMIF(TArticle[تاریخ],TDays[[#This Row],[تاریخ]],TArticle[تراکنش برنامه ریزی شده])</f>
        <v>0</v>
      </c>
    </row>
    <row r="1116" spans="1:17" x14ac:dyDescent="0.25">
      <c r="A1116" s="3" t="s">
        <v>1708</v>
      </c>
      <c r="B1116" s="164" t="str">
        <f>RIGHT(TDays[[#This Row],[تاریخ]],2)</f>
        <v>19</v>
      </c>
      <c r="C1116" s="164" t="str">
        <f>RIGHT(LEFT(TDays[[#This Row],[تاریخ]],7),2)</f>
        <v>01</v>
      </c>
      <c r="D1116" s="164" t="str">
        <f>LEFT(TDays[[#This Row],[تاریخ]],4)</f>
        <v>1404</v>
      </c>
      <c r="E1116" s="164" t="str">
        <f>LEFT(TDays[[#This Row],[تاریخ]],7)</f>
        <v>1404-01</v>
      </c>
      <c r="F1116">
        <v>3</v>
      </c>
      <c r="G1116" s="165" t="str">
        <f>VLOOKUP(TDays[[#This Row],[کد روز هفته]],TDaysOfTheWeek[],2,FALSE)</f>
        <v>سه شنبه</v>
      </c>
      <c r="H1116" s="165">
        <f>IFERROR(IF(E1115&lt;&gt;E1116,1,INT(H1115)+IF(TDays[[#This Row],[کد روز هفته]]=0,1,0)),1)</f>
        <v>4</v>
      </c>
      <c r="I1116" s="164">
        <f>-SUMIF(TArticle[تاریخ],TDays[[#This Row],[تاریخ]],TArticle[هزینه])</f>
        <v>0</v>
      </c>
      <c r="J1116" s="164">
        <f>SUMIF(TArticle[تاریخ],TDays[[#This Row],[تاریخ]],TArticle[درآمد تتا])</f>
        <v>0</v>
      </c>
      <c r="K1116" s="164">
        <f>SUMIF(TArticle[تاریخ],TDays[[#This Row],[تاریخ]],TArticle[اسنپ])</f>
        <v>0</v>
      </c>
      <c r="L1116" s="164">
        <f>-SUMIF(TArticle[تاریخ],TDays[[#This Row],[تاریخ]],TArticle[پرداخت بدهی])</f>
        <v>0</v>
      </c>
      <c r="M1116" s="164">
        <f>SUMIF(TArticle[تاریخ],TDays[[#This Row],[تاریخ]],TArticle[افزایش بدهی])</f>
        <v>0</v>
      </c>
      <c r="N1116" s="164">
        <f>-SUMIF(TArticle[تاریخ],TDays[[#This Row],[تاریخ]],TArticle[افزایش سرمایه])</f>
        <v>0</v>
      </c>
      <c r="O1116" s="164">
        <f>SUMIF(TArticle[تاریخ],TDays[[#This Row],[تاریخ]],TArticle[تعداد تراکنش انجام شده])</f>
        <v>0</v>
      </c>
      <c r="P1116" s="164">
        <f>INT(((TDays[[#This Row],[ماه]]-1)*31+TDays[[#This Row],[روز]]+1)/7)+1</f>
        <v>3</v>
      </c>
      <c r="Q1116" s="164">
        <f>SUMIF(TArticle[تاریخ],TDays[[#This Row],[تاریخ]],TArticle[تراکنش برنامه ریزی شده])</f>
        <v>0</v>
      </c>
    </row>
    <row r="1117" spans="1:17" x14ac:dyDescent="0.25">
      <c r="A1117" s="3" t="s">
        <v>1709</v>
      </c>
      <c r="B1117" s="164" t="str">
        <f>RIGHT(TDays[[#This Row],[تاریخ]],2)</f>
        <v>20</v>
      </c>
      <c r="C1117" s="164" t="str">
        <f>RIGHT(LEFT(TDays[[#This Row],[تاریخ]],7),2)</f>
        <v>01</v>
      </c>
      <c r="D1117" s="164" t="str">
        <f>LEFT(TDays[[#This Row],[تاریخ]],4)</f>
        <v>1404</v>
      </c>
      <c r="E1117" s="164" t="str">
        <f>LEFT(TDays[[#This Row],[تاریخ]],7)</f>
        <v>1404-01</v>
      </c>
      <c r="F1117">
        <v>4</v>
      </c>
      <c r="G1117" s="165" t="str">
        <f>VLOOKUP(TDays[[#This Row],[کد روز هفته]],TDaysOfTheWeek[],2,FALSE)</f>
        <v>چهارشنبه</v>
      </c>
      <c r="H1117" s="165">
        <f>IFERROR(IF(E1116&lt;&gt;E1117,1,INT(H1116)+IF(TDays[[#This Row],[کد روز هفته]]=0,1,0)),1)</f>
        <v>4</v>
      </c>
      <c r="I1117" s="164">
        <f>-SUMIF(TArticle[تاریخ],TDays[[#This Row],[تاریخ]],TArticle[هزینه])</f>
        <v>0</v>
      </c>
      <c r="J1117" s="164">
        <f>SUMIF(TArticle[تاریخ],TDays[[#This Row],[تاریخ]],TArticle[درآمد تتا])</f>
        <v>0</v>
      </c>
      <c r="K1117" s="164">
        <f>SUMIF(TArticle[تاریخ],TDays[[#This Row],[تاریخ]],TArticle[اسنپ])</f>
        <v>0</v>
      </c>
      <c r="L1117" s="164">
        <f>-SUMIF(TArticle[تاریخ],TDays[[#This Row],[تاریخ]],TArticle[پرداخت بدهی])</f>
        <v>0</v>
      </c>
      <c r="M1117" s="164">
        <f>SUMIF(TArticle[تاریخ],TDays[[#This Row],[تاریخ]],TArticle[افزایش بدهی])</f>
        <v>0</v>
      </c>
      <c r="N1117" s="164">
        <f>-SUMIF(TArticle[تاریخ],TDays[[#This Row],[تاریخ]],TArticle[افزایش سرمایه])</f>
        <v>0</v>
      </c>
      <c r="O1117" s="164">
        <f>SUMIF(TArticle[تاریخ],TDays[[#This Row],[تاریخ]],TArticle[تعداد تراکنش انجام شده])</f>
        <v>0</v>
      </c>
      <c r="P1117" s="164">
        <f>INT(((TDays[[#This Row],[ماه]]-1)*31+TDays[[#This Row],[روز]]+1)/7)+1</f>
        <v>4</v>
      </c>
      <c r="Q1117" s="164">
        <f>SUMIF(TArticle[تاریخ],TDays[[#This Row],[تاریخ]],TArticle[تراکنش برنامه ریزی شده])</f>
        <v>1</v>
      </c>
    </row>
    <row r="1118" spans="1:17" x14ac:dyDescent="0.25">
      <c r="A1118" s="3" t="s">
        <v>1710</v>
      </c>
      <c r="B1118" s="164" t="str">
        <f>RIGHT(TDays[[#This Row],[تاریخ]],2)</f>
        <v>21</v>
      </c>
      <c r="C1118" s="164" t="str">
        <f>RIGHT(LEFT(TDays[[#This Row],[تاریخ]],7),2)</f>
        <v>01</v>
      </c>
      <c r="D1118" s="164" t="str">
        <f>LEFT(TDays[[#This Row],[تاریخ]],4)</f>
        <v>1404</v>
      </c>
      <c r="E1118" s="164" t="str">
        <f>LEFT(TDays[[#This Row],[تاریخ]],7)</f>
        <v>1404-01</v>
      </c>
      <c r="F1118">
        <v>5</v>
      </c>
      <c r="G1118" s="165" t="str">
        <f>VLOOKUP(TDays[[#This Row],[کد روز هفته]],TDaysOfTheWeek[],2,FALSE)</f>
        <v>پنجشنبه</v>
      </c>
      <c r="H1118" s="165">
        <f>IFERROR(IF(E1117&lt;&gt;E1118,1,INT(H1117)+IF(TDays[[#This Row],[کد روز هفته]]=0,1,0)),1)</f>
        <v>4</v>
      </c>
      <c r="I1118" s="164">
        <f>-SUMIF(TArticle[تاریخ],TDays[[#This Row],[تاریخ]],TArticle[هزینه])</f>
        <v>0</v>
      </c>
      <c r="J1118" s="164">
        <f>SUMIF(TArticle[تاریخ],TDays[[#This Row],[تاریخ]],TArticle[درآمد تتا])</f>
        <v>0</v>
      </c>
      <c r="K1118" s="164">
        <f>SUMIF(TArticle[تاریخ],TDays[[#This Row],[تاریخ]],TArticle[اسنپ])</f>
        <v>0</v>
      </c>
      <c r="L1118" s="164">
        <f>-SUMIF(TArticle[تاریخ],TDays[[#This Row],[تاریخ]],TArticle[پرداخت بدهی])</f>
        <v>0</v>
      </c>
      <c r="M1118" s="164">
        <f>SUMIF(TArticle[تاریخ],TDays[[#This Row],[تاریخ]],TArticle[افزایش بدهی])</f>
        <v>0</v>
      </c>
      <c r="N1118" s="164">
        <f>-SUMIF(TArticle[تاریخ],TDays[[#This Row],[تاریخ]],TArticle[افزایش سرمایه])</f>
        <v>0</v>
      </c>
      <c r="O1118" s="164">
        <f>SUMIF(TArticle[تاریخ],TDays[[#This Row],[تاریخ]],TArticle[تعداد تراکنش انجام شده])</f>
        <v>0</v>
      </c>
      <c r="P1118" s="164">
        <f>INT(((TDays[[#This Row],[ماه]]-1)*31+TDays[[#This Row],[روز]]+1)/7)+1</f>
        <v>4</v>
      </c>
      <c r="Q1118" s="164">
        <f>SUMIF(TArticle[تاریخ],TDays[[#This Row],[تاریخ]],TArticle[تراکنش برنامه ریزی شده])</f>
        <v>0</v>
      </c>
    </row>
    <row r="1119" spans="1:17" x14ac:dyDescent="0.25">
      <c r="A1119" s="3" t="s">
        <v>1711</v>
      </c>
      <c r="B1119" s="164" t="str">
        <f>RIGHT(TDays[[#This Row],[تاریخ]],2)</f>
        <v>22</v>
      </c>
      <c r="C1119" s="164" t="str">
        <f>RIGHT(LEFT(TDays[[#This Row],[تاریخ]],7),2)</f>
        <v>01</v>
      </c>
      <c r="D1119" s="164" t="str">
        <f>LEFT(TDays[[#This Row],[تاریخ]],4)</f>
        <v>1404</v>
      </c>
      <c r="E1119" s="164" t="str">
        <f>LEFT(TDays[[#This Row],[تاریخ]],7)</f>
        <v>1404-01</v>
      </c>
      <c r="F1119">
        <v>6</v>
      </c>
      <c r="G1119" s="165" t="str">
        <f>VLOOKUP(TDays[[#This Row],[کد روز هفته]],TDaysOfTheWeek[],2,FALSE)</f>
        <v>جمعه</v>
      </c>
      <c r="H1119" s="165">
        <f>IFERROR(IF(E1118&lt;&gt;E1119,1,INT(H1118)+IF(TDays[[#This Row],[کد روز هفته]]=0,1,0)),1)</f>
        <v>4</v>
      </c>
      <c r="I1119" s="164">
        <f>-SUMIF(TArticle[تاریخ],TDays[[#This Row],[تاریخ]],TArticle[هزینه])</f>
        <v>0</v>
      </c>
      <c r="J1119" s="164">
        <f>SUMIF(TArticle[تاریخ],TDays[[#This Row],[تاریخ]],TArticle[درآمد تتا])</f>
        <v>0</v>
      </c>
      <c r="K1119" s="164">
        <f>SUMIF(TArticle[تاریخ],TDays[[#This Row],[تاریخ]],TArticle[اسنپ])</f>
        <v>0</v>
      </c>
      <c r="L1119" s="164">
        <f>-SUMIF(TArticle[تاریخ],TDays[[#This Row],[تاریخ]],TArticle[پرداخت بدهی])</f>
        <v>0</v>
      </c>
      <c r="M1119" s="164">
        <f>SUMIF(TArticle[تاریخ],TDays[[#This Row],[تاریخ]],TArticle[افزایش بدهی])</f>
        <v>0</v>
      </c>
      <c r="N1119" s="164">
        <f>-SUMIF(TArticle[تاریخ],TDays[[#This Row],[تاریخ]],TArticle[افزایش سرمایه])</f>
        <v>0</v>
      </c>
      <c r="O1119" s="164">
        <f>SUMIF(TArticle[تاریخ],TDays[[#This Row],[تاریخ]],TArticle[تعداد تراکنش انجام شده])</f>
        <v>0</v>
      </c>
      <c r="P1119" s="164">
        <f>INT(((TDays[[#This Row],[ماه]]-1)*31+TDays[[#This Row],[روز]]+1)/7)+1</f>
        <v>4</v>
      </c>
      <c r="Q1119" s="164">
        <f>SUMIF(TArticle[تاریخ],TDays[[#This Row],[تاریخ]],TArticle[تراکنش برنامه ریزی شده])</f>
        <v>0</v>
      </c>
    </row>
    <row r="1120" spans="1:17" x14ac:dyDescent="0.25">
      <c r="A1120" s="3" t="s">
        <v>1712</v>
      </c>
      <c r="B1120" s="164" t="str">
        <f>RIGHT(TDays[[#This Row],[تاریخ]],2)</f>
        <v>23</v>
      </c>
      <c r="C1120" s="164" t="str">
        <f>RIGHT(LEFT(TDays[[#This Row],[تاریخ]],7),2)</f>
        <v>01</v>
      </c>
      <c r="D1120" s="164" t="str">
        <f>LEFT(TDays[[#This Row],[تاریخ]],4)</f>
        <v>1404</v>
      </c>
      <c r="E1120" s="164" t="str">
        <f>LEFT(TDays[[#This Row],[تاریخ]],7)</f>
        <v>1404-01</v>
      </c>
      <c r="F1120">
        <v>0</v>
      </c>
      <c r="G1120" s="165" t="str">
        <f>VLOOKUP(TDays[[#This Row],[کد روز هفته]],TDaysOfTheWeek[],2,FALSE)</f>
        <v>شنبه</v>
      </c>
      <c r="H1120" s="165">
        <f>IFERROR(IF(E1119&lt;&gt;E1120,1,INT(H1119)+IF(TDays[[#This Row],[کد روز هفته]]=0,1,0)),1)</f>
        <v>5</v>
      </c>
      <c r="I1120" s="164">
        <f>-SUMIF(TArticle[تاریخ],TDays[[#This Row],[تاریخ]],TArticle[هزینه])</f>
        <v>0</v>
      </c>
      <c r="J1120" s="164">
        <f>SUMIF(TArticle[تاریخ],TDays[[#This Row],[تاریخ]],TArticle[درآمد تتا])</f>
        <v>0</v>
      </c>
      <c r="K1120" s="164">
        <f>SUMIF(TArticle[تاریخ],TDays[[#This Row],[تاریخ]],TArticle[اسنپ])</f>
        <v>0</v>
      </c>
      <c r="L1120" s="164">
        <f>-SUMIF(TArticle[تاریخ],TDays[[#This Row],[تاریخ]],TArticle[پرداخت بدهی])</f>
        <v>0</v>
      </c>
      <c r="M1120" s="164">
        <f>SUMIF(TArticle[تاریخ],TDays[[#This Row],[تاریخ]],TArticle[افزایش بدهی])</f>
        <v>0</v>
      </c>
      <c r="N1120" s="164">
        <f>-SUMIF(TArticle[تاریخ],TDays[[#This Row],[تاریخ]],TArticle[افزایش سرمایه])</f>
        <v>0</v>
      </c>
      <c r="O1120" s="164">
        <f>SUMIF(TArticle[تاریخ],TDays[[#This Row],[تاریخ]],TArticle[تعداد تراکنش انجام شده])</f>
        <v>0</v>
      </c>
      <c r="P1120" s="164">
        <f>INT(((TDays[[#This Row],[ماه]]-1)*31+TDays[[#This Row],[روز]]+1)/7)+1</f>
        <v>4</v>
      </c>
      <c r="Q1120" s="164">
        <f>SUMIF(TArticle[تاریخ],TDays[[#This Row],[تاریخ]],TArticle[تراکنش برنامه ریزی شده])</f>
        <v>0</v>
      </c>
    </row>
    <row r="1121" spans="1:17" x14ac:dyDescent="0.25">
      <c r="A1121" s="3" t="s">
        <v>1713</v>
      </c>
      <c r="B1121" s="164" t="str">
        <f>RIGHT(TDays[[#This Row],[تاریخ]],2)</f>
        <v>24</v>
      </c>
      <c r="C1121" s="164" t="str">
        <f>RIGHT(LEFT(TDays[[#This Row],[تاریخ]],7),2)</f>
        <v>01</v>
      </c>
      <c r="D1121" s="164" t="str">
        <f>LEFT(TDays[[#This Row],[تاریخ]],4)</f>
        <v>1404</v>
      </c>
      <c r="E1121" s="164" t="str">
        <f>LEFT(TDays[[#This Row],[تاریخ]],7)</f>
        <v>1404-01</v>
      </c>
      <c r="F1121">
        <v>1</v>
      </c>
      <c r="G1121" s="165" t="str">
        <f>VLOOKUP(TDays[[#This Row],[کد روز هفته]],TDaysOfTheWeek[],2,FALSE)</f>
        <v>یکشنبه</v>
      </c>
      <c r="H1121" s="165">
        <f>IFERROR(IF(E1120&lt;&gt;E1121,1,INT(H1120)+IF(TDays[[#This Row],[کد روز هفته]]=0,1,0)),1)</f>
        <v>5</v>
      </c>
      <c r="I1121" s="164">
        <f>-SUMIF(TArticle[تاریخ],TDays[[#This Row],[تاریخ]],TArticle[هزینه])</f>
        <v>0</v>
      </c>
      <c r="J1121" s="164">
        <f>SUMIF(TArticle[تاریخ],TDays[[#This Row],[تاریخ]],TArticle[درآمد تتا])</f>
        <v>0</v>
      </c>
      <c r="K1121" s="164">
        <f>SUMIF(TArticle[تاریخ],TDays[[#This Row],[تاریخ]],TArticle[اسنپ])</f>
        <v>0</v>
      </c>
      <c r="L1121" s="164">
        <f>-SUMIF(TArticle[تاریخ],TDays[[#This Row],[تاریخ]],TArticle[پرداخت بدهی])</f>
        <v>0</v>
      </c>
      <c r="M1121" s="164">
        <f>SUMIF(TArticle[تاریخ],TDays[[#This Row],[تاریخ]],TArticle[افزایش بدهی])</f>
        <v>0</v>
      </c>
      <c r="N1121" s="164">
        <f>-SUMIF(TArticle[تاریخ],TDays[[#This Row],[تاریخ]],TArticle[افزایش سرمایه])</f>
        <v>0</v>
      </c>
      <c r="O1121" s="164">
        <f>SUMIF(TArticle[تاریخ],TDays[[#This Row],[تاریخ]],TArticle[تعداد تراکنش انجام شده])</f>
        <v>0</v>
      </c>
      <c r="P1121" s="164">
        <f>INT(((TDays[[#This Row],[ماه]]-1)*31+TDays[[#This Row],[روز]]+1)/7)+1</f>
        <v>4</v>
      </c>
      <c r="Q1121" s="164">
        <f>SUMIF(TArticle[تاریخ],TDays[[#This Row],[تاریخ]],TArticle[تراکنش برنامه ریزی شده])</f>
        <v>0</v>
      </c>
    </row>
    <row r="1122" spans="1:17" x14ac:dyDescent="0.25">
      <c r="A1122" s="3" t="s">
        <v>1714</v>
      </c>
      <c r="B1122" s="164" t="str">
        <f>RIGHT(TDays[[#This Row],[تاریخ]],2)</f>
        <v>25</v>
      </c>
      <c r="C1122" s="164" t="str">
        <f>RIGHT(LEFT(TDays[[#This Row],[تاریخ]],7),2)</f>
        <v>01</v>
      </c>
      <c r="D1122" s="164" t="str">
        <f>LEFT(TDays[[#This Row],[تاریخ]],4)</f>
        <v>1404</v>
      </c>
      <c r="E1122" s="164" t="str">
        <f>LEFT(TDays[[#This Row],[تاریخ]],7)</f>
        <v>1404-01</v>
      </c>
      <c r="F1122">
        <v>2</v>
      </c>
      <c r="G1122" s="165" t="str">
        <f>VLOOKUP(TDays[[#This Row],[کد روز هفته]],TDaysOfTheWeek[],2,FALSE)</f>
        <v>دوشنبه</v>
      </c>
      <c r="H1122" s="165">
        <f>IFERROR(IF(E1121&lt;&gt;E1122,1,INT(H1121)+IF(TDays[[#This Row],[کد روز هفته]]=0,1,0)),1)</f>
        <v>5</v>
      </c>
      <c r="I1122" s="164">
        <f>-SUMIF(TArticle[تاریخ],TDays[[#This Row],[تاریخ]],TArticle[هزینه])</f>
        <v>0</v>
      </c>
      <c r="J1122" s="164">
        <f>SUMIF(TArticle[تاریخ],TDays[[#This Row],[تاریخ]],TArticle[درآمد تتا])</f>
        <v>0</v>
      </c>
      <c r="K1122" s="164">
        <f>SUMIF(TArticle[تاریخ],TDays[[#This Row],[تاریخ]],TArticle[اسنپ])</f>
        <v>0</v>
      </c>
      <c r="L1122" s="164">
        <f>-SUMIF(TArticle[تاریخ],TDays[[#This Row],[تاریخ]],TArticle[پرداخت بدهی])</f>
        <v>0</v>
      </c>
      <c r="M1122" s="164">
        <f>SUMIF(TArticle[تاریخ],TDays[[#This Row],[تاریخ]],TArticle[افزایش بدهی])</f>
        <v>0</v>
      </c>
      <c r="N1122" s="164">
        <f>-SUMIF(TArticle[تاریخ],TDays[[#This Row],[تاریخ]],TArticle[افزایش سرمایه])</f>
        <v>0</v>
      </c>
      <c r="O1122" s="164">
        <f>SUMIF(TArticle[تاریخ],TDays[[#This Row],[تاریخ]],TArticle[تعداد تراکنش انجام شده])</f>
        <v>0</v>
      </c>
      <c r="P1122" s="164">
        <f>INT(((TDays[[#This Row],[ماه]]-1)*31+TDays[[#This Row],[روز]]+1)/7)+1</f>
        <v>4</v>
      </c>
      <c r="Q1122" s="164">
        <f>SUMIF(TArticle[تاریخ],TDays[[#This Row],[تاریخ]],TArticle[تراکنش برنامه ریزی شده])</f>
        <v>0</v>
      </c>
    </row>
    <row r="1123" spans="1:17" x14ac:dyDescent="0.25">
      <c r="A1123" s="3" t="s">
        <v>1715</v>
      </c>
      <c r="B1123" s="164" t="str">
        <f>RIGHT(TDays[[#This Row],[تاریخ]],2)</f>
        <v>26</v>
      </c>
      <c r="C1123" s="164" t="str">
        <f>RIGHT(LEFT(TDays[[#This Row],[تاریخ]],7),2)</f>
        <v>01</v>
      </c>
      <c r="D1123" s="164" t="str">
        <f>LEFT(TDays[[#This Row],[تاریخ]],4)</f>
        <v>1404</v>
      </c>
      <c r="E1123" s="164" t="str">
        <f>LEFT(TDays[[#This Row],[تاریخ]],7)</f>
        <v>1404-01</v>
      </c>
      <c r="F1123">
        <v>3</v>
      </c>
      <c r="G1123" s="165" t="str">
        <f>VLOOKUP(TDays[[#This Row],[کد روز هفته]],TDaysOfTheWeek[],2,FALSE)</f>
        <v>سه شنبه</v>
      </c>
      <c r="H1123" s="165">
        <f>IFERROR(IF(E1122&lt;&gt;E1123,1,INT(H1122)+IF(TDays[[#This Row],[کد روز هفته]]=0,1,0)),1)</f>
        <v>5</v>
      </c>
      <c r="I1123" s="164">
        <f>-SUMIF(TArticle[تاریخ],TDays[[#This Row],[تاریخ]],TArticle[هزینه])</f>
        <v>0</v>
      </c>
      <c r="J1123" s="164">
        <f>SUMIF(TArticle[تاریخ],TDays[[#This Row],[تاریخ]],TArticle[درآمد تتا])</f>
        <v>0</v>
      </c>
      <c r="K1123" s="164">
        <f>SUMIF(TArticle[تاریخ],TDays[[#This Row],[تاریخ]],TArticle[اسنپ])</f>
        <v>0</v>
      </c>
      <c r="L1123" s="164">
        <f>-SUMIF(TArticle[تاریخ],TDays[[#This Row],[تاریخ]],TArticle[پرداخت بدهی])</f>
        <v>0</v>
      </c>
      <c r="M1123" s="164">
        <f>SUMIF(TArticle[تاریخ],TDays[[#This Row],[تاریخ]],TArticle[افزایش بدهی])</f>
        <v>0</v>
      </c>
      <c r="N1123" s="164">
        <f>-SUMIF(TArticle[تاریخ],TDays[[#This Row],[تاریخ]],TArticle[افزایش سرمایه])</f>
        <v>0</v>
      </c>
      <c r="O1123" s="164">
        <f>SUMIF(TArticle[تاریخ],TDays[[#This Row],[تاریخ]],TArticle[تعداد تراکنش انجام شده])</f>
        <v>0</v>
      </c>
      <c r="P1123" s="164">
        <f>INT(((TDays[[#This Row],[ماه]]-1)*31+TDays[[#This Row],[روز]]+1)/7)+1</f>
        <v>4</v>
      </c>
      <c r="Q1123" s="164">
        <f>SUMIF(TArticle[تاریخ],TDays[[#This Row],[تاریخ]],TArticle[تراکنش برنامه ریزی شده])</f>
        <v>0</v>
      </c>
    </row>
    <row r="1124" spans="1:17" x14ac:dyDescent="0.25">
      <c r="A1124" s="3" t="s">
        <v>1716</v>
      </c>
      <c r="B1124" s="164" t="str">
        <f>RIGHT(TDays[[#This Row],[تاریخ]],2)</f>
        <v>27</v>
      </c>
      <c r="C1124" s="164" t="str">
        <f>RIGHT(LEFT(TDays[[#This Row],[تاریخ]],7),2)</f>
        <v>01</v>
      </c>
      <c r="D1124" s="164" t="str">
        <f>LEFT(TDays[[#This Row],[تاریخ]],4)</f>
        <v>1404</v>
      </c>
      <c r="E1124" s="164" t="str">
        <f>LEFT(TDays[[#This Row],[تاریخ]],7)</f>
        <v>1404-01</v>
      </c>
      <c r="F1124">
        <v>4</v>
      </c>
      <c r="G1124" s="165" t="str">
        <f>VLOOKUP(TDays[[#This Row],[کد روز هفته]],TDaysOfTheWeek[],2,FALSE)</f>
        <v>چهارشنبه</v>
      </c>
      <c r="H1124" s="165">
        <f>IFERROR(IF(E1123&lt;&gt;E1124,1,INT(H1123)+IF(TDays[[#This Row],[کد روز هفته]]=0,1,0)),1)</f>
        <v>5</v>
      </c>
      <c r="I1124" s="164">
        <f>-SUMIF(TArticle[تاریخ],TDays[[#This Row],[تاریخ]],TArticle[هزینه])</f>
        <v>0</v>
      </c>
      <c r="J1124" s="164">
        <f>SUMIF(TArticle[تاریخ],TDays[[#This Row],[تاریخ]],TArticle[درآمد تتا])</f>
        <v>0</v>
      </c>
      <c r="K1124" s="164">
        <f>SUMIF(TArticle[تاریخ],TDays[[#This Row],[تاریخ]],TArticle[اسنپ])</f>
        <v>0</v>
      </c>
      <c r="L1124" s="164">
        <f>-SUMIF(TArticle[تاریخ],TDays[[#This Row],[تاریخ]],TArticle[پرداخت بدهی])</f>
        <v>0</v>
      </c>
      <c r="M1124" s="164">
        <f>SUMIF(TArticle[تاریخ],TDays[[#This Row],[تاریخ]],TArticle[افزایش بدهی])</f>
        <v>0</v>
      </c>
      <c r="N1124" s="164">
        <f>-SUMIF(TArticle[تاریخ],TDays[[#This Row],[تاریخ]],TArticle[افزایش سرمایه])</f>
        <v>0</v>
      </c>
      <c r="O1124" s="164">
        <f>SUMIF(TArticle[تاریخ],TDays[[#This Row],[تاریخ]],TArticle[تعداد تراکنش انجام شده])</f>
        <v>0</v>
      </c>
      <c r="P1124" s="164">
        <f>INT(((TDays[[#This Row],[ماه]]-1)*31+TDays[[#This Row],[روز]]+1)/7)+1</f>
        <v>5</v>
      </c>
      <c r="Q1124" s="164">
        <f>SUMIF(TArticle[تاریخ],TDays[[#This Row],[تاریخ]],TArticle[تراکنش برنامه ریزی شده])</f>
        <v>0</v>
      </c>
    </row>
    <row r="1125" spans="1:17" x14ac:dyDescent="0.25">
      <c r="A1125" s="3" t="s">
        <v>1717</v>
      </c>
      <c r="B1125" s="164" t="str">
        <f>RIGHT(TDays[[#This Row],[تاریخ]],2)</f>
        <v>28</v>
      </c>
      <c r="C1125" s="164" t="str">
        <f>RIGHT(LEFT(TDays[[#This Row],[تاریخ]],7),2)</f>
        <v>01</v>
      </c>
      <c r="D1125" s="164" t="str">
        <f>LEFT(TDays[[#This Row],[تاریخ]],4)</f>
        <v>1404</v>
      </c>
      <c r="E1125" s="164" t="str">
        <f>LEFT(TDays[[#This Row],[تاریخ]],7)</f>
        <v>1404-01</v>
      </c>
      <c r="F1125">
        <v>5</v>
      </c>
      <c r="G1125" s="165" t="str">
        <f>VLOOKUP(TDays[[#This Row],[کد روز هفته]],TDaysOfTheWeek[],2,FALSE)</f>
        <v>پنجشنبه</v>
      </c>
      <c r="H1125" s="165">
        <f>IFERROR(IF(E1124&lt;&gt;E1125,1,INT(H1124)+IF(TDays[[#This Row],[کد روز هفته]]=0,1,0)),1)</f>
        <v>5</v>
      </c>
      <c r="I1125" s="164">
        <f>-SUMIF(TArticle[تاریخ],TDays[[#This Row],[تاریخ]],TArticle[هزینه])</f>
        <v>0</v>
      </c>
      <c r="J1125" s="164">
        <f>SUMIF(TArticle[تاریخ],TDays[[#This Row],[تاریخ]],TArticle[درآمد تتا])</f>
        <v>0</v>
      </c>
      <c r="K1125" s="164">
        <f>SUMIF(TArticle[تاریخ],TDays[[#This Row],[تاریخ]],TArticle[اسنپ])</f>
        <v>0</v>
      </c>
      <c r="L1125" s="164">
        <f>-SUMIF(TArticle[تاریخ],TDays[[#This Row],[تاریخ]],TArticle[پرداخت بدهی])</f>
        <v>0</v>
      </c>
      <c r="M1125" s="164">
        <f>SUMIF(TArticle[تاریخ],TDays[[#This Row],[تاریخ]],TArticle[افزایش بدهی])</f>
        <v>0</v>
      </c>
      <c r="N1125" s="164">
        <f>-SUMIF(TArticle[تاریخ],TDays[[#This Row],[تاریخ]],TArticle[افزایش سرمایه])</f>
        <v>0</v>
      </c>
      <c r="O1125" s="164">
        <f>SUMIF(TArticle[تاریخ],TDays[[#This Row],[تاریخ]],TArticle[تعداد تراکنش انجام شده])</f>
        <v>0</v>
      </c>
      <c r="P1125" s="164">
        <f>INT(((TDays[[#This Row],[ماه]]-1)*31+TDays[[#This Row],[روز]]+1)/7)+1</f>
        <v>5</v>
      </c>
      <c r="Q1125" s="164">
        <f>SUMIF(TArticle[تاریخ],TDays[[#This Row],[تاریخ]],TArticle[تراکنش برنامه ریزی شده])</f>
        <v>0</v>
      </c>
    </row>
    <row r="1126" spans="1:17" x14ac:dyDescent="0.25">
      <c r="A1126" s="3" t="s">
        <v>1718</v>
      </c>
      <c r="B1126" s="164" t="str">
        <f>RIGHT(TDays[[#This Row],[تاریخ]],2)</f>
        <v>29</v>
      </c>
      <c r="C1126" s="164" t="str">
        <f>RIGHT(LEFT(TDays[[#This Row],[تاریخ]],7),2)</f>
        <v>01</v>
      </c>
      <c r="D1126" s="164" t="str">
        <f>LEFT(TDays[[#This Row],[تاریخ]],4)</f>
        <v>1404</v>
      </c>
      <c r="E1126" s="164" t="str">
        <f>LEFT(TDays[[#This Row],[تاریخ]],7)</f>
        <v>1404-01</v>
      </c>
      <c r="F1126">
        <v>6</v>
      </c>
      <c r="G1126" s="165" t="str">
        <f>VLOOKUP(TDays[[#This Row],[کد روز هفته]],TDaysOfTheWeek[],2,FALSE)</f>
        <v>جمعه</v>
      </c>
      <c r="H1126" s="165">
        <f>IFERROR(IF(E1125&lt;&gt;E1126,1,INT(H1125)+IF(TDays[[#This Row],[کد روز هفته]]=0,1,0)),1)</f>
        <v>5</v>
      </c>
      <c r="I1126" s="164">
        <f>-SUMIF(TArticle[تاریخ],TDays[[#This Row],[تاریخ]],TArticle[هزینه])</f>
        <v>0</v>
      </c>
      <c r="J1126" s="164">
        <f>SUMIF(TArticle[تاریخ],TDays[[#This Row],[تاریخ]],TArticle[درآمد تتا])</f>
        <v>0</v>
      </c>
      <c r="K1126" s="164">
        <f>SUMIF(TArticle[تاریخ],TDays[[#This Row],[تاریخ]],TArticle[اسنپ])</f>
        <v>0</v>
      </c>
      <c r="L1126" s="164">
        <f>-SUMIF(TArticle[تاریخ],TDays[[#This Row],[تاریخ]],TArticle[پرداخت بدهی])</f>
        <v>0</v>
      </c>
      <c r="M1126" s="164">
        <f>SUMIF(TArticle[تاریخ],TDays[[#This Row],[تاریخ]],TArticle[افزایش بدهی])</f>
        <v>0</v>
      </c>
      <c r="N1126" s="164">
        <f>-SUMIF(TArticle[تاریخ],TDays[[#This Row],[تاریخ]],TArticle[افزایش سرمایه])</f>
        <v>0</v>
      </c>
      <c r="O1126" s="164">
        <f>SUMIF(TArticle[تاریخ],TDays[[#This Row],[تاریخ]],TArticle[تعداد تراکنش انجام شده])</f>
        <v>0</v>
      </c>
      <c r="P1126" s="164">
        <f>INT(((TDays[[#This Row],[ماه]]-1)*31+TDays[[#This Row],[روز]]+1)/7)+1</f>
        <v>5</v>
      </c>
      <c r="Q1126" s="164">
        <f>SUMIF(TArticle[تاریخ],TDays[[#This Row],[تاریخ]],TArticle[تراکنش برنامه ریزی شده])</f>
        <v>0</v>
      </c>
    </row>
    <row r="1127" spans="1:17" x14ac:dyDescent="0.25">
      <c r="A1127" s="3" t="s">
        <v>1719</v>
      </c>
      <c r="B1127" s="164" t="str">
        <f>RIGHT(TDays[[#This Row],[تاریخ]],2)</f>
        <v>30</v>
      </c>
      <c r="C1127" s="164" t="str">
        <f>RIGHT(LEFT(TDays[[#This Row],[تاریخ]],7),2)</f>
        <v>01</v>
      </c>
      <c r="D1127" s="164" t="str">
        <f>LEFT(TDays[[#This Row],[تاریخ]],4)</f>
        <v>1404</v>
      </c>
      <c r="E1127" s="164" t="str">
        <f>LEFT(TDays[[#This Row],[تاریخ]],7)</f>
        <v>1404-01</v>
      </c>
      <c r="F1127">
        <v>0</v>
      </c>
      <c r="G1127" s="165" t="str">
        <f>VLOOKUP(TDays[[#This Row],[کد روز هفته]],TDaysOfTheWeek[],2,FALSE)</f>
        <v>شنبه</v>
      </c>
      <c r="H1127" s="165">
        <f>IFERROR(IF(E1126&lt;&gt;E1127,1,INT(H1126)+IF(TDays[[#This Row],[کد روز هفته]]=0,1,0)),1)</f>
        <v>6</v>
      </c>
      <c r="I1127" s="164">
        <f>-SUMIF(TArticle[تاریخ],TDays[[#This Row],[تاریخ]],TArticle[هزینه])</f>
        <v>0</v>
      </c>
      <c r="J1127" s="164">
        <f>SUMIF(TArticle[تاریخ],TDays[[#This Row],[تاریخ]],TArticle[درآمد تتا])</f>
        <v>0</v>
      </c>
      <c r="K1127" s="164">
        <f>SUMIF(TArticle[تاریخ],TDays[[#This Row],[تاریخ]],TArticle[اسنپ])</f>
        <v>0</v>
      </c>
      <c r="L1127" s="164">
        <f>-SUMIF(TArticle[تاریخ],TDays[[#This Row],[تاریخ]],TArticle[پرداخت بدهی])</f>
        <v>0</v>
      </c>
      <c r="M1127" s="164">
        <f>SUMIF(TArticle[تاریخ],TDays[[#This Row],[تاریخ]],TArticle[افزایش بدهی])</f>
        <v>0</v>
      </c>
      <c r="N1127" s="164">
        <f>-SUMIF(TArticle[تاریخ],TDays[[#This Row],[تاریخ]],TArticle[افزایش سرمایه])</f>
        <v>0</v>
      </c>
      <c r="O1127" s="164">
        <f>SUMIF(TArticle[تاریخ],TDays[[#This Row],[تاریخ]],TArticle[تعداد تراکنش انجام شده])</f>
        <v>0</v>
      </c>
      <c r="P1127" s="164">
        <f>INT(((TDays[[#This Row],[ماه]]-1)*31+TDays[[#This Row],[روز]]+1)/7)+1</f>
        <v>5</v>
      </c>
      <c r="Q1127" s="164">
        <f>SUMIF(TArticle[تاریخ],TDays[[#This Row],[تاریخ]],TArticle[تراکنش برنامه ریزی شده])</f>
        <v>0</v>
      </c>
    </row>
    <row r="1128" spans="1:17" x14ac:dyDescent="0.25">
      <c r="A1128" s="3" t="s">
        <v>1720</v>
      </c>
      <c r="B1128" s="164" t="str">
        <f>RIGHT(TDays[[#This Row],[تاریخ]],2)</f>
        <v>31</v>
      </c>
      <c r="C1128" s="164" t="str">
        <f>RIGHT(LEFT(TDays[[#This Row],[تاریخ]],7),2)</f>
        <v>01</v>
      </c>
      <c r="D1128" s="164" t="str">
        <f>LEFT(TDays[[#This Row],[تاریخ]],4)</f>
        <v>1404</v>
      </c>
      <c r="E1128" s="164" t="str">
        <f>LEFT(TDays[[#This Row],[تاریخ]],7)</f>
        <v>1404-01</v>
      </c>
      <c r="F1128">
        <v>1</v>
      </c>
      <c r="G1128" s="165" t="str">
        <f>VLOOKUP(TDays[[#This Row],[کد روز هفته]],TDaysOfTheWeek[],2,FALSE)</f>
        <v>یکشنبه</v>
      </c>
      <c r="H1128" s="165">
        <f>IFERROR(IF(E1127&lt;&gt;E1128,1,INT(H1127)+IF(TDays[[#This Row],[کد روز هفته]]=0,1,0)),1)</f>
        <v>6</v>
      </c>
      <c r="I1128" s="164">
        <f>-SUMIF(TArticle[تاریخ],TDays[[#This Row],[تاریخ]],TArticle[هزینه])</f>
        <v>0</v>
      </c>
      <c r="J1128" s="164">
        <f>SUMIF(TArticle[تاریخ],TDays[[#This Row],[تاریخ]],TArticle[درآمد تتا])</f>
        <v>0</v>
      </c>
      <c r="K1128" s="164">
        <f>SUMIF(TArticle[تاریخ],TDays[[#This Row],[تاریخ]],TArticle[اسنپ])</f>
        <v>0</v>
      </c>
      <c r="L1128" s="164">
        <f>-SUMIF(TArticle[تاریخ],TDays[[#This Row],[تاریخ]],TArticle[پرداخت بدهی])</f>
        <v>0</v>
      </c>
      <c r="M1128" s="164">
        <f>SUMIF(TArticle[تاریخ],TDays[[#This Row],[تاریخ]],TArticle[افزایش بدهی])</f>
        <v>0</v>
      </c>
      <c r="N1128" s="164">
        <f>-SUMIF(TArticle[تاریخ],TDays[[#This Row],[تاریخ]],TArticle[افزایش سرمایه])</f>
        <v>0</v>
      </c>
      <c r="O1128" s="164">
        <f>SUMIF(TArticle[تاریخ],TDays[[#This Row],[تاریخ]],TArticle[تعداد تراکنش انجام شده])</f>
        <v>0</v>
      </c>
      <c r="P1128" s="164">
        <f>INT(((TDays[[#This Row],[ماه]]-1)*31+TDays[[#This Row],[روز]]+1)/7)+1</f>
        <v>5</v>
      </c>
      <c r="Q1128" s="164">
        <f>SUMIF(TArticle[تاریخ],TDays[[#This Row],[تاریخ]],TArticle[تراکنش برنامه ریزی شده])</f>
        <v>0</v>
      </c>
    </row>
    <row r="1129" spans="1:17" x14ac:dyDescent="0.25">
      <c r="A1129" s="3" t="s">
        <v>1721</v>
      </c>
      <c r="B1129" s="164" t="str">
        <f>RIGHT(TDays[[#This Row],[تاریخ]],2)</f>
        <v>01</v>
      </c>
      <c r="C1129" s="164" t="str">
        <f>RIGHT(LEFT(TDays[[#This Row],[تاریخ]],7),2)</f>
        <v>02</v>
      </c>
      <c r="D1129" s="164" t="str">
        <f>LEFT(TDays[[#This Row],[تاریخ]],4)</f>
        <v>1404</v>
      </c>
      <c r="E1129" s="164" t="str">
        <f>LEFT(TDays[[#This Row],[تاریخ]],7)</f>
        <v>1404-02</v>
      </c>
      <c r="F1129">
        <v>2</v>
      </c>
      <c r="G1129" s="165" t="str">
        <f>VLOOKUP(TDays[[#This Row],[کد روز هفته]],TDaysOfTheWeek[],2,FALSE)</f>
        <v>دوشنبه</v>
      </c>
      <c r="H1129" s="165">
        <f>IFERROR(IF(E1128&lt;&gt;E1129,1,INT(H1128)+IF(TDays[[#This Row],[کد روز هفته]]=0,1,0)),1)</f>
        <v>1</v>
      </c>
      <c r="I1129" s="164">
        <f>-SUMIF(TArticle[تاریخ],TDays[[#This Row],[تاریخ]],TArticle[هزینه])</f>
        <v>0</v>
      </c>
      <c r="J1129" s="164">
        <f>SUMIF(TArticle[تاریخ],TDays[[#This Row],[تاریخ]],TArticle[درآمد تتا])</f>
        <v>0</v>
      </c>
      <c r="K1129" s="164">
        <f>SUMIF(TArticle[تاریخ],TDays[[#This Row],[تاریخ]],TArticle[اسنپ])</f>
        <v>0</v>
      </c>
      <c r="L1129" s="164">
        <f>-SUMIF(TArticle[تاریخ],TDays[[#This Row],[تاریخ]],TArticle[پرداخت بدهی])</f>
        <v>0</v>
      </c>
      <c r="M1129" s="164">
        <f>SUMIF(TArticle[تاریخ],TDays[[#This Row],[تاریخ]],TArticle[افزایش بدهی])</f>
        <v>0</v>
      </c>
      <c r="N1129" s="164">
        <f>-SUMIF(TArticle[تاریخ],TDays[[#This Row],[تاریخ]],TArticle[افزایش سرمایه])</f>
        <v>0</v>
      </c>
      <c r="O1129" s="164">
        <f>SUMIF(TArticle[تاریخ],TDays[[#This Row],[تاریخ]],TArticle[تعداد تراکنش انجام شده])</f>
        <v>0</v>
      </c>
      <c r="P1129" s="164">
        <f>INT(((TDays[[#This Row],[ماه]]-1)*31+TDays[[#This Row],[روز]]+1)/7)+1</f>
        <v>5</v>
      </c>
      <c r="Q1129" s="164">
        <f>SUMIF(TArticle[تاریخ],TDays[[#This Row],[تاریخ]],TArticle[تراکنش برنامه ریزی شده])</f>
        <v>2</v>
      </c>
    </row>
    <row r="1130" spans="1:17" x14ac:dyDescent="0.25">
      <c r="A1130" s="3" t="s">
        <v>1722</v>
      </c>
      <c r="B1130" s="164" t="str">
        <f>RIGHT(TDays[[#This Row],[تاریخ]],2)</f>
        <v>02</v>
      </c>
      <c r="C1130" s="164" t="str">
        <f>RIGHT(LEFT(TDays[[#This Row],[تاریخ]],7),2)</f>
        <v>02</v>
      </c>
      <c r="D1130" s="164" t="str">
        <f>LEFT(TDays[[#This Row],[تاریخ]],4)</f>
        <v>1404</v>
      </c>
      <c r="E1130" s="164" t="str">
        <f>LEFT(TDays[[#This Row],[تاریخ]],7)</f>
        <v>1404-02</v>
      </c>
      <c r="F1130">
        <v>3</v>
      </c>
      <c r="G1130" s="165" t="str">
        <f>VLOOKUP(TDays[[#This Row],[کد روز هفته]],TDaysOfTheWeek[],2,FALSE)</f>
        <v>سه شنبه</v>
      </c>
      <c r="H1130" s="165">
        <f>IFERROR(IF(E1129&lt;&gt;E1130,1,INT(H1129)+IF(TDays[[#This Row],[کد روز هفته]]=0,1,0)),1)</f>
        <v>1</v>
      </c>
      <c r="I1130" s="164">
        <f>-SUMIF(TArticle[تاریخ],TDays[[#This Row],[تاریخ]],TArticle[هزینه])</f>
        <v>0</v>
      </c>
      <c r="J1130" s="164">
        <f>SUMIF(TArticle[تاریخ],TDays[[#This Row],[تاریخ]],TArticle[درآمد تتا])</f>
        <v>0</v>
      </c>
      <c r="K1130" s="164">
        <f>SUMIF(TArticle[تاریخ],TDays[[#This Row],[تاریخ]],TArticle[اسنپ])</f>
        <v>0</v>
      </c>
      <c r="L1130" s="164">
        <f>-SUMIF(TArticle[تاریخ],TDays[[#This Row],[تاریخ]],TArticle[پرداخت بدهی])</f>
        <v>0</v>
      </c>
      <c r="M1130" s="164">
        <f>SUMIF(TArticle[تاریخ],TDays[[#This Row],[تاریخ]],TArticle[افزایش بدهی])</f>
        <v>0</v>
      </c>
      <c r="N1130" s="164">
        <f>-SUMIF(TArticle[تاریخ],TDays[[#This Row],[تاریخ]],TArticle[افزایش سرمایه])</f>
        <v>0</v>
      </c>
      <c r="O1130" s="164">
        <f>SUMIF(TArticle[تاریخ],TDays[[#This Row],[تاریخ]],TArticle[تعداد تراکنش انجام شده])</f>
        <v>0</v>
      </c>
      <c r="P1130" s="164">
        <f>INT(((TDays[[#This Row],[ماه]]-1)*31+TDays[[#This Row],[روز]]+1)/7)+1</f>
        <v>5</v>
      </c>
      <c r="Q1130" s="164">
        <f>SUMIF(TArticle[تاریخ],TDays[[#This Row],[تاریخ]],TArticle[تراکنش برنامه ریزی شده])</f>
        <v>0</v>
      </c>
    </row>
    <row r="1131" spans="1:17" x14ac:dyDescent="0.25">
      <c r="A1131" s="3" t="s">
        <v>1723</v>
      </c>
      <c r="B1131" s="164" t="str">
        <f>RIGHT(TDays[[#This Row],[تاریخ]],2)</f>
        <v>03</v>
      </c>
      <c r="C1131" s="164" t="str">
        <f>RIGHT(LEFT(TDays[[#This Row],[تاریخ]],7),2)</f>
        <v>02</v>
      </c>
      <c r="D1131" s="164" t="str">
        <f>LEFT(TDays[[#This Row],[تاریخ]],4)</f>
        <v>1404</v>
      </c>
      <c r="E1131" s="164" t="str">
        <f>LEFT(TDays[[#This Row],[تاریخ]],7)</f>
        <v>1404-02</v>
      </c>
      <c r="F1131">
        <v>4</v>
      </c>
      <c r="G1131" s="165" t="str">
        <f>VLOOKUP(TDays[[#This Row],[کد روز هفته]],TDaysOfTheWeek[],2,FALSE)</f>
        <v>چهارشنبه</v>
      </c>
      <c r="H1131" s="165">
        <f>IFERROR(IF(E1130&lt;&gt;E1131,1,INT(H1130)+IF(TDays[[#This Row],[کد روز هفته]]=0,1,0)),1)</f>
        <v>1</v>
      </c>
      <c r="I1131" s="164">
        <f>-SUMIF(TArticle[تاریخ],TDays[[#This Row],[تاریخ]],TArticle[هزینه])</f>
        <v>0</v>
      </c>
      <c r="J1131" s="164">
        <f>SUMIF(TArticle[تاریخ],TDays[[#This Row],[تاریخ]],TArticle[درآمد تتا])</f>
        <v>0</v>
      </c>
      <c r="K1131" s="164">
        <f>SUMIF(TArticle[تاریخ],TDays[[#This Row],[تاریخ]],TArticle[اسنپ])</f>
        <v>0</v>
      </c>
      <c r="L1131" s="164">
        <f>-SUMIF(TArticle[تاریخ],TDays[[#This Row],[تاریخ]],TArticle[پرداخت بدهی])</f>
        <v>0</v>
      </c>
      <c r="M1131" s="164">
        <f>SUMIF(TArticle[تاریخ],TDays[[#This Row],[تاریخ]],TArticle[افزایش بدهی])</f>
        <v>0</v>
      </c>
      <c r="N1131" s="164">
        <f>-SUMIF(TArticle[تاریخ],TDays[[#This Row],[تاریخ]],TArticle[افزایش سرمایه])</f>
        <v>0</v>
      </c>
      <c r="O1131" s="164">
        <f>SUMIF(TArticle[تاریخ],TDays[[#This Row],[تاریخ]],TArticle[تعداد تراکنش انجام شده])</f>
        <v>0</v>
      </c>
      <c r="P1131" s="164">
        <f>INT(((TDays[[#This Row],[ماه]]-1)*31+TDays[[#This Row],[روز]]+1)/7)+1</f>
        <v>6</v>
      </c>
      <c r="Q1131" s="164">
        <f>SUMIF(TArticle[تاریخ],TDays[[#This Row],[تاریخ]],TArticle[تراکنش برنامه ریزی شده])</f>
        <v>1</v>
      </c>
    </row>
    <row r="1132" spans="1:17" x14ac:dyDescent="0.25">
      <c r="A1132" s="3" t="s">
        <v>1724</v>
      </c>
      <c r="B1132" s="164" t="str">
        <f>RIGHT(TDays[[#This Row],[تاریخ]],2)</f>
        <v>04</v>
      </c>
      <c r="C1132" s="164" t="str">
        <f>RIGHT(LEFT(TDays[[#This Row],[تاریخ]],7),2)</f>
        <v>02</v>
      </c>
      <c r="D1132" s="164" t="str">
        <f>LEFT(TDays[[#This Row],[تاریخ]],4)</f>
        <v>1404</v>
      </c>
      <c r="E1132" s="164" t="str">
        <f>LEFT(TDays[[#This Row],[تاریخ]],7)</f>
        <v>1404-02</v>
      </c>
      <c r="F1132">
        <v>5</v>
      </c>
      <c r="G1132" s="165" t="str">
        <f>VLOOKUP(TDays[[#This Row],[کد روز هفته]],TDaysOfTheWeek[],2,FALSE)</f>
        <v>پنجشنبه</v>
      </c>
      <c r="H1132" s="165">
        <f>IFERROR(IF(E1131&lt;&gt;E1132,1,INT(H1131)+IF(TDays[[#This Row],[کد روز هفته]]=0,1,0)),1)</f>
        <v>1</v>
      </c>
      <c r="I1132" s="164">
        <f>-SUMIF(TArticle[تاریخ],TDays[[#This Row],[تاریخ]],TArticle[هزینه])</f>
        <v>0</v>
      </c>
      <c r="J1132" s="164">
        <f>SUMIF(TArticle[تاریخ],TDays[[#This Row],[تاریخ]],TArticle[درآمد تتا])</f>
        <v>0</v>
      </c>
      <c r="K1132" s="164">
        <f>SUMIF(TArticle[تاریخ],TDays[[#This Row],[تاریخ]],TArticle[اسنپ])</f>
        <v>0</v>
      </c>
      <c r="L1132" s="164">
        <f>-SUMIF(TArticle[تاریخ],TDays[[#This Row],[تاریخ]],TArticle[پرداخت بدهی])</f>
        <v>0</v>
      </c>
      <c r="M1132" s="164">
        <f>SUMIF(TArticle[تاریخ],TDays[[#This Row],[تاریخ]],TArticle[افزایش بدهی])</f>
        <v>0</v>
      </c>
      <c r="N1132" s="164">
        <f>-SUMIF(TArticle[تاریخ],TDays[[#This Row],[تاریخ]],TArticle[افزایش سرمایه])</f>
        <v>0</v>
      </c>
      <c r="O1132" s="164">
        <f>SUMIF(TArticle[تاریخ],TDays[[#This Row],[تاریخ]],TArticle[تعداد تراکنش انجام شده])</f>
        <v>0</v>
      </c>
      <c r="P1132" s="164">
        <f>INT(((TDays[[#This Row],[ماه]]-1)*31+TDays[[#This Row],[روز]]+1)/7)+1</f>
        <v>6</v>
      </c>
      <c r="Q1132" s="164">
        <f>SUMIF(TArticle[تاریخ],TDays[[#This Row],[تاریخ]],TArticle[تراکنش برنامه ریزی شده])</f>
        <v>0</v>
      </c>
    </row>
    <row r="1133" spans="1:17" x14ac:dyDescent="0.25">
      <c r="A1133" s="3" t="s">
        <v>1681</v>
      </c>
      <c r="B1133" s="164" t="str">
        <f>RIGHT(TDays[[#This Row],[تاریخ]],2)</f>
        <v>05</v>
      </c>
      <c r="C1133" s="164" t="str">
        <f>RIGHT(LEFT(TDays[[#This Row],[تاریخ]],7),2)</f>
        <v>02</v>
      </c>
      <c r="D1133" s="164" t="str">
        <f>LEFT(TDays[[#This Row],[تاریخ]],4)</f>
        <v>1404</v>
      </c>
      <c r="E1133" s="164" t="str">
        <f>LEFT(TDays[[#This Row],[تاریخ]],7)</f>
        <v>1404-02</v>
      </c>
      <c r="F1133">
        <v>6</v>
      </c>
      <c r="G1133" s="165" t="str">
        <f>VLOOKUP(TDays[[#This Row],[کد روز هفته]],TDaysOfTheWeek[],2,FALSE)</f>
        <v>جمعه</v>
      </c>
      <c r="H1133" s="165">
        <f>IFERROR(IF(E1132&lt;&gt;E1133,1,INT(H1132)+IF(TDays[[#This Row],[کد روز هفته]]=0,1,0)),1)</f>
        <v>1</v>
      </c>
      <c r="I1133" s="164">
        <f>-SUMIF(TArticle[تاریخ],TDays[[#This Row],[تاریخ]],TArticle[هزینه])</f>
        <v>0</v>
      </c>
      <c r="J1133" s="164">
        <f>SUMIF(TArticle[تاریخ],TDays[[#This Row],[تاریخ]],TArticle[درآمد تتا])</f>
        <v>0</v>
      </c>
      <c r="K1133" s="164">
        <f>SUMIF(TArticle[تاریخ],TDays[[#This Row],[تاریخ]],TArticle[اسنپ])</f>
        <v>0</v>
      </c>
      <c r="L1133" s="164">
        <f>-SUMIF(TArticle[تاریخ],TDays[[#This Row],[تاریخ]],TArticle[پرداخت بدهی])</f>
        <v>0</v>
      </c>
      <c r="M1133" s="164">
        <f>SUMIF(TArticle[تاریخ],TDays[[#This Row],[تاریخ]],TArticle[افزایش بدهی])</f>
        <v>0</v>
      </c>
      <c r="N1133" s="164">
        <f>-SUMIF(TArticle[تاریخ],TDays[[#This Row],[تاریخ]],TArticle[افزایش سرمایه])</f>
        <v>0</v>
      </c>
      <c r="O1133" s="164">
        <f>SUMIF(TArticle[تاریخ],TDays[[#This Row],[تاریخ]],TArticle[تعداد تراکنش انجام شده])</f>
        <v>0</v>
      </c>
      <c r="P1133" s="164">
        <f>INT(((TDays[[#This Row],[ماه]]-1)*31+TDays[[#This Row],[روز]]+1)/7)+1</f>
        <v>6</v>
      </c>
      <c r="Q1133" s="164">
        <f>SUMIF(TArticle[تاریخ],TDays[[#This Row],[تاریخ]],TArticle[تراکنش برنامه ریزی شده])</f>
        <v>0</v>
      </c>
    </row>
    <row r="1134" spans="1:17" x14ac:dyDescent="0.25">
      <c r="A1134" s="3" t="s">
        <v>1725</v>
      </c>
      <c r="B1134" s="164" t="str">
        <f>RIGHT(TDays[[#This Row],[تاریخ]],2)</f>
        <v>06</v>
      </c>
      <c r="C1134" s="164" t="str">
        <f>RIGHT(LEFT(TDays[[#This Row],[تاریخ]],7),2)</f>
        <v>02</v>
      </c>
      <c r="D1134" s="164" t="str">
        <f>LEFT(TDays[[#This Row],[تاریخ]],4)</f>
        <v>1404</v>
      </c>
      <c r="E1134" s="164" t="str">
        <f>LEFT(TDays[[#This Row],[تاریخ]],7)</f>
        <v>1404-02</v>
      </c>
      <c r="F1134">
        <v>0</v>
      </c>
      <c r="G1134" s="165" t="str">
        <f>VLOOKUP(TDays[[#This Row],[کد روز هفته]],TDaysOfTheWeek[],2,FALSE)</f>
        <v>شنبه</v>
      </c>
      <c r="H1134" s="165">
        <f>IFERROR(IF(E1133&lt;&gt;E1134,1,INT(H1133)+IF(TDays[[#This Row],[کد روز هفته]]=0,1,0)),1)</f>
        <v>2</v>
      </c>
      <c r="I1134" s="164">
        <f>-SUMIF(TArticle[تاریخ],TDays[[#This Row],[تاریخ]],TArticle[هزینه])</f>
        <v>0</v>
      </c>
      <c r="J1134" s="164">
        <f>SUMIF(TArticle[تاریخ],TDays[[#This Row],[تاریخ]],TArticle[درآمد تتا])</f>
        <v>0</v>
      </c>
      <c r="K1134" s="164">
        <f>SUMIF(TArticle[تاریخ],TDays[[#This Row],[تاریخ]],TArticle[اسنپ])</f>
        <v>0</v>
      </c>
      <c r="L1134" s="164">
        <f>-SUMIF(TArticle[تاریخ],TDays[[#This Row],[تاریخ]],TArticle[پرداخت بدهی])</f>
        <v>0</v>
      </c>
      <c r="M1134" s="164">
        <f>SUMIF(TArticle[تاریخ],TDays[[#This Row],[تاریخ]],TArticle[افزایش بدهی])</f>
        <v>0</v>
      </c>
      <c r="N1134" s="164">
        <f>-SUMIF(TArticle[تاریخ],TDays[[#This Row],[تاریخ]],TArticle[افزایش سرمایه])</f>
        <v>0</v>
      </c>
      <c r="O1134" s="164">
        <f>SUMIF(TArticle[تاریخ],TDays[[#This Row],[تاریخ]],TArticle[تعداد تراکنش انجام شده])</f>
        <v>0</v>
      </c>
      <c r="P1134" s="164">
        <f>INT(((TDays[[#This Row],[ماه]]-1)*31+TDays[[#This Row],[روز]]+1)/7)+1</f>
        <v>6</v>
      </c>
      <c r="Q1134" s="164">
        <f>SUMIF(TArticle[تاریخ],TDays[[#This Row],[تاریخ]],TArticle[تراکنش برنامه ریزی شده])</f>
        <v>0</v>
      </c>
    </row>
    <row r="1135" spans="1:17" x14ac:dyDescent="0.25">
      <c r="A1135" s="3" t="s">
        <v>1726</v>
      </c>
      <c r="B1135" s="164" t="str">
        <f>RIGHT(TDays[[#This Row],[تاریخ]],2)</f>
        <v>07</v>
      </c>
      <c r="C1135" s="164" t="str">
        <f>RIGHT(LEFT(TDays[[#This Row],[تاریخ]],7),2)</f>
        <v>02</v>
      </c>
      <c r="D1135" s="164" t="str">
        <f>LEFT(TDays[[#This Row],[تاریخ]],4)</f>
        <v>1404</v>
      </c>
      <c r="E1135" s="164" t="str">
        <f>LEFT(TDays[[#This Row],[تاریخ]],7)</f>
        <v>1404-02</v>
      </c>
      <c r="F1135">
        <v>1</v>
      </c>
      <c r="G1135" s="165" t="str">
        <f>VLOOKUP(TDays[[#This Row],[کد روز هفته]],TDaysOfTheWeek[],2,FALSE)</f>
        <v>یکشنبه</v>
      </c>
      <c r="H1135" s="165">
        <f>IFERROR(IF(E1134&lt;&gt;E1135,1,INT(H1134)+IF(TDays[[#This Row],[کد روز هفته]]=0,1,0)),1)</f>
        <v>2</v>
      </c>
      <c r="I1135" s="164">
        <f>-SUMIF(TArticle[تاریخ],TDays[[#This Row],[تاریخ]],TArticle[هزینه])</f>
        <v>0</v>
      </c>
      <c r="J1135" s="164">
        <f>SUMIF(TArticle[تاریخ],TDays[[#This Row],[تاریخ]],TArticle[درآمد تتا])</f>
        <v>0</v>
      </c>
      <c r="K1135" s="164">
        <f>SUMIF(TArticle[تاریخ],TDays[[#This Row],[تاریخ]],TArticle[اسنپ])</f>
        <v>0</v>
      </c>
      <c r="L1135" s="164">
        <f>-SUMIF(TArticle[تاریخ],TDays[[#This Row],[تاریخ]],TArticle[پرداخت بدهی])</f>
        <v>0</v>
      </c>
      <c r="M1135" s="164">
        <f>SUMIF(TArticle[تاریخ],TDays[[#This Row],[تاریخ]],TArticle[افزایش بدهی])</f>
        <v>0</v>
      </c>
      <c r="N1135" s="164">
        <f>-SUMIF(TArticle[تاریخ],TDays[[#This Row],[تاریخ]],TArticle[افزایش سرمایه])</f>
        <v>0</v>
      </c>
      <c r="O1135" s="164">
        <f>SUMIF(TArticle[تاریخ],TDays[[#This Row],[تاریخ]],TArticle[تعداد تراکنش انجام شده])</f>
        <v>0</v>
      </c>
      <c r="P1135" s="164">
        <f>INT(((TDays[[#This Row],[ماه]]-1)*31+TDays[[#This Row],[روز]]+1)/7)+1</f>
        <v>6</v>
      </c>
      <c r="Q1135" s="164">
        <f>SUMIF(TArticle[تاریخ],TDays[[#This Row],[تاریخ]],TArticle[تراکنش برنامه ریزی شده])</f>
        <v>0</v>
      </c>
    </row>
    <row r="1136" spans="1:17" x14ac:dyDescent="0.25">
      <c r="A1136" s="3" t="s">
        <v>1727</v>
      </c>
      <c r="B1136" s="164" t="str">
        <f>RIGHT(TDays[[#This Row],[تاریخ]],2)</f>
        <v>08</v>
      </c>
      <c r="C1136" s="164" t="str">
        <f>RIGHT(LEFT(TDays[[#This Row],[تاریخ]],7),2)</f>
        <v>02</v>
      </c>
      <c r="D1136" s="164" t="str">
        <f>LEFT(TDays[[#This Row],[تاریخ]],4)</f>
        <v>1404</v>
      </c>
      <c r="E1136" s="164" t="str">
        <f>LEFT(TDays[[#This Row],[تاریخ]],7)</f>
        <v>1404-02</v>
      </c>
      <c r="F1136">
        <v>2</v>
      </c>
      <c r="G1136" s="165" t="str">
        <f>VLOOKUP(TDays[[#This Row],[کد روز هفته]],TDaysOfTheWeek[],2,FALSE)</f>
        <v>دوشنبه</v>
      </c>
      <c r="H1136" s="165">
        <f>IFERROR(IF(E1135&lt;&gt;E1136,1,INT(H1135)+IF(TDays[[#This Row],[کد روز هفته]]=0,1,0)),1)</f>
        <v>2</v>
      </c>
      <c r="I1136" s="164">
        <f>-SUMIF(TArticle[تاریخ],TDays[[#This Row],[تاریخ]],TArticle[هزینه])</f>
        <v>0</v>
      </c>
      <c r="J1136" s="164">
        <f>SUMIF(TArticle[تاریخ],TDays[[#This Row],[تاریخ]],TArticle[درآمد تتا])</f>
        <v>0</v>
      </c>
      <c r="K1136" s="164">
        <f>SUMIF(TArticle[تاریخ],TDays[[#This Row],[تاریخ]],TArticle[اسنپ])</f>
        <v>0</v>
      </c>
      <c r="L1136" s="164">
        <f>-SUMIF(TArticle[تاریخ],TDays[[#This Row],[تاریخ]],TArticle[پرداخت بدهی])</f>
        <v>0</v>
      </c>
      <c r="M1136" s="164">
        <f>SUMIF(TArticle[تاریخ],TDays[[#This Row],[تاریخ]],TArticle[افزایش بدهی])</f>
        <v>0</v>
      </c>
      <c r="N1136" s="164">
        <f>-SUMIF(TArticle[تاریخ],TDays[[#This Row],[تاریخ]],TArticle[افزایش سرمایه])</f>
        <v>0</v>
      </c>
      <c r="O1136" s="164">
        <f>SUMIF(TArticle[تاریخ],TDays[[#This Row],[تاریخ]],TArticle[تعداد تراکنش انجام شده])</f>
        <v>0</v>
      </c>
      <c r="P1136" s="164">
        <f>INT(((TDays[[#This Row],[ماه]]-1)*31+TDays[[#This Row],[روز]]+1)/7)+1</f>
        <v>6</v>
      </c>
      <c r="Q1136" s="164">
        <f>SUMIF(TArticle[تاریخ],TDays[[#This Row],[تاریخ]],TArticle[تراکنش برنامه ریزی شده])</f>
        <v>0</v>
      </c>
    </row>
    <row r="1137" spans="1:17" x14ac:dyDescent="0.25">
      <c r="A1137" s="3" t="s">
        <v>1728</v>
      </c>
      <c r="B1137" s="164" t="str">
        <f>RIGHT(TDays[[#This Row],[تاریخ]],2)</f>
        <v>09</v>
      </c>
      <c r="C1137" s="164" t="str">
        <f>RIGHT(LEFT(TDays[[#This Row],[تاریخ]],7),2)</f>
        <v>02</v>
      </c>
      <c r="D1137" s="164" t="str">
        <f>LEFT(TDays[[#This Row],[تاریخ]],4)</f>
        <v>1404</v>
      </c>
      <c r="E1137" s="164" t="str">
        <f>LEFT(TDays[[#This Row],[تاریخ]],7)</f>
        <v>1404-02</v>
      </c>
      <c r="F1137">
        <v>3</v>
      </c>
      <c r="G1137" s="165" t="str">
        <f>VLOOKUP(TDays[[#This Row],[کد روز هفته]],TDaysOfTheWeek[],2,FALSE)</f>
        <v>سه شنبه</v>
      </c>
      <c r="H1137" s="165">
        <f>IFERROR(IF(E1136&lt;&gt;E1137,1,INT(H1136)+IF(TDays[[#This Row],[کد روز هفته]]=0,1,0)),1)</f>
        <v>2</v>
      </c>
      <c r="I1137" s="164">
        <f>-SUMIF(TArticle[تاریخ],TDays[[#This Row],[تاریخ]],TArticle[هزینه])</f>
        <v>0</v>
      </c>
      <c r="J1137" s="164">
        <f>SUMIF(TArticle[تاریخ],TDays[[#This Row],[تاریخ]],TArticle[درآمد تتا])</f>
        <v>0</v>
      </c>
      <c r="K1137" s="164">
        <f>SUMIF(TArticle[تاریخ],TDays[[#This Row],[تاریخ]],TArticle[اسنپ])</f>
        <v>0</v>
      </c>
      <c r="L1137" s="164">
        <f>-SUMIF(TArticle[تاریخ],TDays[[#This Row],[تاریخ]],TArticle[پرداخت بدهی])</f>
        <v>0</v>
      </c>
      <c r="M1137" s="164">
        <f>SUMIF(TArticle[تاریخ],TDays[[#This Row],[تاریخ]],TArticle[افزایش بدهی])</f>
        <v>0</v>
      </c>
      <c r="N1137" s="164">
        <f>-SUMIF(TArticle[تاریخ],TDays[[#This Row],[تاریخ]],TArticle[افزایش سرمایه])</f>
        <v>0</v>
      </c>
      <c r="O1137" s="164">
        <f>SUMIF(TArticle[تاریخ],TDays[[#This Row],[تاریخ]],TArticle[تعداد تراکنش انجام شده])</f>
        <v>0</v>
      </c>
      <c r="P1137" s="164">
        <f>INT(((TDays[[#This Row],[ماه]]-1)*31+TDays[[#This Row],[روز]]+1)/7)+1</f>
        <v>6</v>
      </c>
      <c r="Q1137" s="164">
        <f>SUMIF(TArticle[تاریخ],TDays[[#This Row],[تاریخ]],TArticle[تراکنش برنامه ریزی شده])</f>
        <v>1</v>
      </c>
    </row>
    <row r="1138" spans="1:17" x14ac:dyDescent="0.25">
      <c r="A1138" s="3" t="s">
        <v>1729</v>
      </c>
      <c r="B1138" s="164" t="str">
        <f>RIGHT(TDays[[#This Row],[تاریخ]],2)</f>
        <v>10</v>
      </c>
      <c r="C1138" s="164" t="str">
        <f>RIGHT(LEFT(TDays[[#This Row],[تاریخ]],7),2)</f>
        <v>02</v>
      </c>
      <c r="D1138" s="164" t="str">
        <f>LEFT(TDays[[#This Row],[تاریخ]],4)</f>
        <v>1404</v>
      </c>
      <c r="E1138" s="164" t="str">
        <f>LEFT(TDays[[#This Row],[تاریخ]],7)</f>
        <v>1404-02</v>
      </c>
      <c r="F1138">
        <v>4</v>
      </c>
      <c r="G1138" s="165" t="str">
        <f>VLOOKUP(TDays[[#This Row],[کد روز هفته]],TDaysOfTheWeek[],2,FALSE)</f>
        <v>چهارشنبه</v>
      </c>
      <c r="H1138" s="165">
        <f>IFERROR(IF(E1137&lt;&gt;E1138,1,INT(H1137)+IF(TDays[[#This Row],[کد روز هفته]]=0,1,0)),1)</f>
        <v>2</v>
      </c>
      <c r="I1138" s="164">
        <f>-SUMIF(TArticle[تاریخ],TDays[[#This Row],[تاریخ]],TArticle[هزینه])</f>
        <v>0</v>
      </c>
      <c r="J1138" s="164">
        <f>SUMIF(TArticle[تاریخ],TDays[[#This Row],[تاریخ]],TArticle[درآمد تتا])</f>
        <v>0</v>
      </c>
      <c r="K1138" s="164">
        <f>SUMIF(TArticle[تاریخ],TDays[[#This Row],[تاریخ]],TArticle[اسنپ])</f>
        <v>0</v>
      </c>
      <c r="L1138" s="164">
        <f>-SUMIF(TArticle[تاریخ],TDays[[#This Row],[تاریخ]],TArticle[پرداخت بدهی])</f>
        <v>0</v>
      </c>
      <c r="M1138" s="164">
        <f>SUMIF(TArticle[تاریخ],TDays[[#This Row],[تاریخ]],TArticle[افزایش بدهی])</f>
        <v>0</v>
      </c>
      <c r="N1138" s="164">
        <f>-SUMIF(TArticle[تاریخ],TDays[[#This Row],[تاریخ]],TArticle[افزایش سرمایه])</f>
        <v>0</v>
      </c>
      <c r="O1138" s="164">
        <f>SUMIF(TArticle[تاریخ],TDays[[#This Row],[تاریخ]],TArticle[تعداد تراکنش انجام شده])</f>
        <v>0</v>
      </c>
      <c r="P1138" s="164">
        <f>INT(((TDays[[#This Row],[ماه]]-1)*31+TDays[[#This Row],[روز]]+1)/7)+1</f>
        <v>7</v>
      </c>
      <c r="Q1138" s="164">
        <f>SUMIF(TArticle[تاریخ],TDays[[#This Row],[تاریخ]],TArticle[تراکنش برنامه ریزی شده])</f>
        <v>0</v>
      </c>
    </row>
    <row r="1139" spans="1:17" x14ac:dyDescent="0.25">
      <c r="A1139" s="3" t="s">
        <v>1730</v>
      </c>
      <c r="B1139" s="164" t="str">
        <f>RIGHT(TDays[[#This Row],[تاریخ]],2)</f>
        <v>11</v>
      </c>
      <c r="C1139" s="164" t="str">
        <f>RIGHT(LEFT(TDays[[#This Row],[تاریخ]],7),2)</f>
        <v>02</v>
      </c>
      <c r="D1139" s="164" t="str">
        <f>LEFT(TDays[[#This Row],[تاریخ]],4)</f>
        <v>1404</v>
      </c>
      <c r="E1139" s="164" t="str">
        <f>LEFT(TDays[[#This Row],[تاریخ]],7)</f>
        <v>1404-02</v>
      </c>
      <c r="F1139">
        <v>5</v>
      </c>
      <c r="G1139" s="165" t="str">
        <f>VLOOKUP(TDays[[#This Row],[کد روز هفته]],TDaysOfTheWeek[],2,FALSE)</f>
        <v>پنجشنبه</v>
      </c>
      <c r="H1139" s="165">
        <f>IFERROR(IF(E1138&lt;&gt;E1139,1,INT(H1138)+IF(TDays[[#This Row],[کد روز هفته]]=0,1,0)),1)</f>
        <v>2</v>
      </c>
      <c r="I1139" s="164">
        <f>-SUMIF(TArticle[تاریخ],TDays[[#This Row],[تاریخ]],TArticle[هزینه])</f>
        <v>0</v>
      </c>
      <c r="J1139" s="164">
        <f>SUMIF(TArticle[تاریخ],TDays[[#This Row],[تاریخ]],TArticle[درآمد تتا])</f>
        <v>0</v>
      </c>
      <c r="K1139" s="164">
        <f>SUMIF(TArticle[تاریخ],TDays[[#This Row],[تاریخ]],TArticle[اسنپ])</f>
        <v>0</v>
      </c>
      <c r="L1139" s="164">
        <f>-SUMIF(TArticle[تاریخ],TDays[[#This Row],[تاریخ]],TArticle[پرداخت بدهی])</f>
        <v>0</v>
      </c>
      <c r="M1139" s="164">
        <f>SUMIF(TArticle[تاریخ],TDays[[#This Row],[تاریخ]],TArticle[افزایش بدهی])</f>
        <v>0</v>
      </c>
      <c r="N1139" s="164">
        <f>-SUMIF(TArticle[تاریخ],TDays[[#This Row],[تاریخ]],TArticle[افزایش سرمایه])</f>
        <v>0</v>
      </c>
      <c r="O1139" s="164">
        <f>SUMIF(TArticle[تاریخ],TDays[[#This Row],[تاریخ]],TArticle[تعداد تراکنش انجام شده])</f>
        <v>0</v>
      </c>
      <c r="P1139" s="164">
        <f>INT(((TDays[[#This Row],[ماه]]-1)*31+TDays[[#This Row],[روز]]+1)/7)+1</f>
        <v>7</v>
      </c>
      <c r="Q1139" s="164">
        <f>SUMIF(TArticle[تاریخ],TDays[[#This Row],[تاریخ]],TArticle[تراکنش برنامه ریزی شده])</f>
        <v>0</v>
      </c>
    </row>
    <row r="1140" spans="1:17" x14ac:dyDescent="0.25">
      <c r="A1140" s="3" t="s">
        <v>1731</v>
      </c>
      <c r="B1140" s="164" t="str">
        <f>RIGHT(TDays[[#This Row],[تاریخ]],2)</f>
        <v>12</v>
      </c>
      <c r="C1140" s="164" t="str">
        <f>RIGHT(LEFT(TDays[[#This Row],[تاریخ]],7),2)</f>
        <v>02</v>
      </c>
      <c r="D1140" s="164" t="str">
        <f>LEFT(TDays[[#This Row],[تاریخ]],4)</f>
        <v>1404</v>
      </c>
      <c r="E1140" s="164" t="str">
        <f>LEFT(TDays[[#This Row],[تاریخ]],7)</f>
        <v>1404-02</v>
      </c>
      <c r="F1140">
        <v>6</v>
      </c>
      <c r="G1140" s="165" t="str">
        <f>VLOOKUP(TDays[[#This Row],[کد روز هفته]],TDaysOfTheWeek[],2,FALSE)</f>
        <v>جمعه</v>
      </c>
      <c r="H1140" s="165">
        <f>IFERROR(IF(E1139&lt;&gt;E1140,1,INT(H1139)+IF(TDays[[#This Row],[کد روز هفته]]=0,1,0)),1)</f>
        <v>2</v>
      </c>
      <c r="I1140" s="164">
        <f>-SUMIF(TArticle[تاریخ],TDays[[#This Row],[تاریخ]],TArticle[هزینه])</f>
        <v>0</v>
      </c>
      <c r="J1140" s="164">
        <f>SUMIF(TArticle[تاریخ],TDays[[#This Row],[تاریخ]],TArticle[درآمد تتا])</f>
        <v>0</v>
      </c>
      <c r="K1140" s="164">
        <f>SUMIF(TArticle[تاریخ],TDays[[#This Row],[تاریخ]],TArticle[اسنپ])</f>
        <v>0</v>
      </c>
      <c r="L1140" s="164">
        <f>-SUMIF(TArticle[تاریخ],TDays[[#This Row],[تاریخ]],TArticle[پرداخت بدهی])</f>
        <v>0</v>
      </c>
      <c r="M1140" s="164">
        <f>SUMIF(TArticle[تاریخ],TDays[[#This Row],[تاریخ]],TArticle[افزایش بدهی])</f>
        <v>0</v>
      </c>
      <c r="N1140" s="164">
        <f>-SUMIF(TArticle[تاریخ],TDays[[#This Row],[تاریخ]],TArticle[افزایش سرمایه])</f>
        <v>0</v>
      </c>
      <c r="O1140" s="164">
        <f>SUMIF(TArticle[تاریخ],TDays[[#This Row],[تاریخ]],TArticle[تعداد تراکنش انجام شده])</f>
        <v>0</v>
      </c>
      <c r="P1140" s="164">
        <f>INT(((TDays[[#This Row],[ماه]]-1)*31+TDays[[#This Row],[روز]]+1)/7)+1</f>
        <v>7</v>
      </c>
      <c r="Q1140" s="164">
        <f>SUMIF(TArticle[تاریخ],TDays[[#This Row],[تاریخ]],TArticle[تراکنش برنامه ریزی شده])</f>
        <v>0</v>
      </c>
    </row>
    <row r="1141" spans="1:17" x14ac:dyDescent="0.25">
      <c r="A1141" s="3" t="s">
        <v>1732</v>
      </c>
      <c r="B1141" s="164" t="str">
        <f>RIGHT(TDays[[#This Row],[تاریخ]],2)</f>
        <v>13</v>
      </c>
      <c r="C1141" s="164" t="str">
        <f>RIGHT(LEFT(TDays[[#This Row],[تاریخ]],7),2)</f>
        <v>02</v>
      </c>
      <c r="D1141" s="164" t="str">
        <f>LEFT(TDays[[#This Row],[تاریخ]],4)</f>
        <v>1404</v>
      </c>
      <c r="E1141" s="164" t="str">
        <f>LEFT(TDays[[#This Row],[تاریخ]],7)</f>
        <v>1404-02</v>
      </c>
      <c r="F1141">
        <v>0</v>
      </c>
      <c r="G1141" s="165" t="str">
        <f>VLOOKUP(TDays[[#This Row],[کد روز هفته]],TDaysOfTheWeek[],2,FALSE)</f>
        <v>شنبه</v>
      </c>
      <c r="H1141" s="165">
        <f>IFERROR(IF(E1140&lt;&gt;E1141,1,INT(H1140)+IF(TDays[[#This Row],[کد روز هفته]]=0,1,0)),1)</f>
        <v>3</v>
      </c>
      <c r="I1141" s="164">
        <f>-SUMIF(TArticle[تاریخ],TDays[[#This Row],[تاریخ]],TArticle[هزینه])</f>
        <v>0</v>
      </c>
      <c r="J1141" s="164">
        <f>SUMIF(TArticle[تاریخ],TDays[[#This Row],[تاریخ]],TArticle[درآمد تتا])</f>
        <v>0</v>
      </c>
      <c r="K1141" s="164">
        <f>SUMIF(TArticle[تاریخ],TDays[[#This Row],[تاریخ]],TArticle[اسنپ])</f>
        <v>0</v>
      </c>
      <c r="L1141" s="164">
        <f>-SUMIF(TArticle[تاریخ],TDays[[#This Row],[تاریخ]],TArticle[پرداخت بدهی])</f>
        <v>0</v>
      </c>
      <c r="M1141" s="164">
        <f>SUMIF(TArticle[تاریخ],TDays[[#This Row],[تاریخ]],TArticle[افزایش بدهی])</f>
        <v>0</v>
      </c>
      <c r="N1141" s="164">
        <f>-SUMIF(TArticle[تاریخ],TDays[[#This Row],[تاریخ]],TArticle[افزایش سرمایه])</f>
        <v>0</v>
      </c>
      <c r="O1141" s="164">
        <f>SUMIF(TArticle[تاریخ],TDays[[#This Row],[تاریخ]],TArticle[تعداد تراکنش انجام شده])</f>
        <v>0</v>
      </c>
      <c r="P1141" s="164">
        <f>INT(((TDays[[#This Row],[ماه]]-1)*31+TDays[[#This Row],[روز]]+1)/7)+1</f>
        <v>7</v>
      </c>
      <c r="Q1141" s="164">
        <f>SUMIF(TArticle[تاریخ],TDays[[#This Row],[تاریخ]],TArticle[تراکنش برنامه ریزی شده])</f>
        <v>0</v>
      </c>
    </row>
    <row r="1142" spans="1:17" x14ac:dyDescent="0.25">
      <c r="A1142" s="3" t="s">
        <v>1733</v>
      </c>
      <c r="B1142" s="164" t="str">
        <f>RIGHT(TDays[[#This Row],[تاریخ]],2)</f>
        <v>14</v>
      </c>
      <c r="C1142" s="164" t="str">
        <f>RIGHT(LEFT(TDays[[#This Row],[تاریخ]],7),2)</f>
        <v>02</v>
      </c>
      <c r="D1142" s="164" t="str">
        <f>LEFT(TDays[[#This Row],[تاریخ]],4)</f>
        <v>1404</v>
      </c>
      <c r="E1142" s="164" t="str">
        <f>LEFT(TDays[[#This Row],[تاریخ]],7)</f>
        <v>1404-02</v>
      </c>
      <c r="F1142">
        <v>1</v>
      </c>
      <c r="G1142" s="165" t="str">
        <f>VLOOKUP(TDays[[#This Row],[کد روز هفته]],TDaysOfTheWeek[],2,FALSE)</f>
        <v>یکشنبه</v>
      </c>
      <c r="H1142" s="165">
        <f>IFERROR(IF(E1141&lt;&gt;E1142,1,INT(H1141)+IF(TDays[[#This Row],[کد روز هفته]]=0,1,0)),1)</f>
        <v>3</v>
      </c>
      <c r="I1142" s="164">
        <f>-SUMIF(TArticle[تاریخ],TDays[[#This Row],[تاریخ]],TArticle[هزینه])</f>
        <v>0</v>
      </c>
      <c r="J1142" s="164">
        <f>SUMIF(TArticle[تاریخ],TDays[[#This Row],[تاریخ]],TArticle[درآمد تتا])</f>
        <v>0</v>
      </c>
      <c r="K1142" s="164">
        <f>SUMIF(TArticle[تاریخ],TDays[[#This Row],[تاریخ]],TArticle[اسنپ])</f>
        <v>0</v>
      </c>
      <c r="L1142" s="164">
        <f>-SUMIF(TArticle[تاریخ],TDays[[#This Row],[تاریخ]],TArticle[پرداخت بدهی])</f>
        <v>0</v>
      </c>
      <c r="M1142" s="164">
        <f>SUMIF(TArticle[تاریخ],TDays[[#This Row],[تاریخ]],TArticle[افزایش بدهی])</f>
        <v>0</v>
      </c>
      <c r="N1142" s="164">
        <f>-SUMIF(TArticle[تاریخ],TDays[[#This Row],[تاریخ]],TArticle[افزایش سرمایه])</f>
        <v>0</v>
      </c>
      <c r="O1142" s="164">
        <f>SUMIF(TArticle[تاریخ],TDays[[#This Row],[تاریخ]],TArticle[تعداد تراکنش انجام شده])</f>
        <v>0</v>
      </c>
      <c r="P1142" s="164">
        <f>INT(((TDays[[#This Row],[ماه]]-1)*31+TDays[[#This Row],[روز]]+1)/7)+1</f>
        <v>7</v>
      </c>
      <c r="Q1142" s="164">
        <f>SUMIF(TArticle[تاریخ],TDays[[#This Row],[تاریخ]],TArticle[تراکنش برنامه ریزی شده])</f>
        <v>0</v>
      </c>
    </row>
    <row r="1143" spans="1:17" x14ac:dyDescent="0.25">
      <c r="A1143" s="3" t="s">
        <v>1734</v>
      </c>
      <c r="B1143" s="164" t="str">
        <f>RIGHT(TDays[[#This Row],[تاریخ]],2)</f>
        <v>15</v>
      </c>
      <c r="C1143" s="164" t="str">
        <f>RIGHT(LEFT(TDays[[#This Row],[تاریخ]],7),2)</f>
        <v>02</v>
      </c>
      <c r="D1143" s="164" t="str">
        <f>LEFT(TDays[[#This Row],[تاریخ]],4)</f>
        <v>1404</v>
      </c>
      <c r="E1143" s="164" t="str">
        <f>LEFT(TDays[[#This Row],[تاریخ]],7)</f>
        <v>1404-02</v>
      </c>
      <c r="F1143">
        <v>2</v>
      </c>
      <c r="G1143" s="165" t="str">
        <f>VLOOKUP(TDays[[#This Row],[کد روز هفته]],TDaysOfTheWeek[],2,FALSE)</f>
        <v>دوشنبه</v>
      </c>
      <c r="H1143" s="165">
        <f>IFERROR(IF(E1142&lt;&gt;E1143,1,INT(H1142)+IF(TDays[[#This Row],[کد روز هفته]]=0,1,0)),1)</f>
        <v>3</v>
      </c>
      <c r="I1143" s="164">
        <f>-SUMIF(TArticle[تاریخ],TDays[[#This Row],[تاریخ]],TArticle[هزینه])</f>
        <v>0</v>
      </c>
      <c r="J1143" s="164">
        <f>SUMIF(TArticle[تاریخ],TDays[[#This Row],[تاریخ]],TArticle[درآمد تتا])</f>
        <v>0</v>
      </c>
      <c r="K1143" s="164">
        <f>SUMIF(TArticle[تاریخ],TDays[[#This Row],[تاریخ]],TArticle[اسنپ])</f>
        <v>0</v>
      </c>
      <c r="L1143" s="164">
        <f>-SUMIF(TArticle[تاریخ],TDays[[#This Row],[تاریخ]],TArticle[پرداخت بدهی])</f>
        <v>0</v>
      </c>
      <c r="M1143" s="164">
        <f>SUMIF(TArticle[تاریخ],TDays[[#This Row],[تاریخ]],TArticle[افزایش بدهی])</f>
        <v>0</v>
      </c>
      <c r="N1143" s="164">
        <f>-SUMIF(TArticle[تاریخ],TDays[[#This Row],[تاریخ]],TArticle[افزایش سرمایه])</f>
        <v>0</v>
      </c>
      <c r="O1143" s="164">
        <f>SUMIF(TArticle[تاریخ],TDays[[#This Row],[تاریخ]],TArticle[تعداد تراکنش انجام شده])</f>
        <v>0</v>
      </c>
      <c r="P1143" s="164">
        <f>INT(((TDays[[#This Row],[ماه]]-1)*31+TDays[[#This Row],[روز]]+1)/7)+1</f>
        <v>7</v>
      </c>
      <c r="Q1143" s="164">
        <f>SUMIF(TArticle[تاریخ],TDays[[#This Row],[تاریخ]],TArticle[تراکنش برنامه ریزی شده])</f>
        <v>0</v>
      </c>
    </row>
    <row r="1144" spans="1:17" x14ac:dyDescent="0.25">
      <c r="A1144" s="3" t="s">
        <v>1735</v>
      </c>
      <c r="B1144" s="164" t="str">
        <f>RIGHT(TDays[[#This Row],[تاریخ]],2)</f>
        <v>16</v>
      </c>
      <c r="C1144" s="164" t="str">
        <f>RIGHT(LEFT(TDays[[#This Row],[تاریخ]],7),2)</f>
        <v>02</v>
      </c>
      <c r="D1144" s="164" t="str">
        <f>LEFT(TDays[[#This Row],[تاریخ]],4)</f>
        <v>1404</v>
      </c>
      <c r="E1144" s="164" t="str">
        <f>LEFT(TDays[[#This Row],[تاریخ]],7)</f>
        <v>1404-02</v>
      </c>
      <c r="F1144">
        <v>3</v>
      </c>
      <c r="G1144" s="165" t="str">
        <f>VLOOKUP(TDays[[#This Row],[کد روز هفته]],TDaysOfTheWeek[],2,FALSE)</f>
        <v>سه شنبه</v>
      </c>
      <c r="H1144" s="165">
        <f>IFERROR(IF(E1143&lt;&gt;E1144,1,INT(H1143)+IF(TDays[[#This Row],[کد روز هفته]]=0,1,0)),1)</f>
        <v>3</v>
      </c>
      <c r="I1144" s="164">
        <f>-SUMIF(TArticle[تاریخ],TDays[[#This Row],[تاریخ]],TArticle[هزینه])</f>
        <v>0</v>
      </c>
      <c r="J1144" s="164">
        <f>SUMIF(TArticle[تاریخ],TDays[[#This Row],[تاریخ]],TArticle[درآمد تتا])</f>
        <v>0</v>
      </c>
      <c r="K1144" s="164">
        <f>SUMIF(TArticle[تاریخ],TDays[[#This Row],[تاریخ]],TArticle[اسنپ])</f>
        <v>0</v>
      </c>
      <c r="L1144" s="164">
        <f>-SUMIF(TArticle[تاریخ],TDays[[#This Row],[تاریخ]],TArticle[پرداخت بدهی])</f>
        <v>0</v>
      </c>
      <c r="M1144" s="164">
        <f>SUMIF(TArticle[تاریخ],TDays[[#This Row],[تاریخ]],TArticle[افزایش بدهی])</f>
        <v>0</v>
      </c>
      <c r="N1144" s="164">
        <f>-SUMIF(TArticle[تاریخ],TDays[[#This Row],[تاریخ]],TArticle[افزایش سرمایه])</f>
        <v>0</v>
      </c>
      <c r="O1144" s="164">
        <f>SUMIF(TArticle[تاریخ],TDays[[#This Row],[تاریخ]],TArticle[تعداد تراکنش انجام شده])</f>
        <v>0</v>
      </c>
      <c r="P1144" s="164">
        <f>INT(((TDays[[#This Row],[ماه]]-1)*31+TDays[[#This Row],[روز]]+1)/7)+1</f>
        <v>7</v>
      </c>
      <c r="Q1144" s="164">
        <f>SUMIF(TArticle[تاریخ],TDays[[#This Row],[تاریخ]],TArticle[تراکنش برنامه ریزی شده])</f>
        <v>0</v>
      </c>
    </row>
    <row r="1145" spans="1:17" x14ac:dyDescent="0.25">
      <c r="A1145" s="3" t="s">
        <v>1736</v>
      </c>
      <c r="B1145" s="164" t="str">
        <f>RIGHT(TDays[[#This Row],[تاریخ]],2)</f>
        <v>17</v>
      </c>
      <c r="C1145" s="164" t="str">
        <f>RIGHT(LEFT(TDays[[#This Row],[تاریخ]],7),2)</f>
        <v>02</v>
      </c>
      <c r="D1145" s="164" t="str">
        <f>LEFT(TDays[[#This Row],[تاریخ]],4)</f>
        <v>1404</v>
      </c>
      <c r="E1145" s="164" t="str">
        <f>LEFT(TDays[[#This Row],[تاریخ]],7)</f>
        <v>1404-02</v>
      </c>
      <c r="F1145">
        <v>4</v>
      </c>
      <c r="G1145" s="165" t="str">
        <f>VLOOKUP(TDays[[#This Row],[کد روز هفته]],TDaysOfTheWeek[],2,FALSE)</f>
        <v>چهارشنبه</v>
      </c>
      <c r="H1145" s="165">
        <f>IFERROR(IF(E1144&lt;&gt;E1145,1,INT(H1144)+IF(TDays[[#This Row],[کد روز هفته]]=0,1,0)),1)</f>
        <v>3</v>
      </c>
      <c r="I1145" s="164">
        <f>-SUMIF(TArticle[تاریخ],TDays[[#This Row],[تاریخ]],TArticle[هزینه])</f>
        <v>0</v>
      </c>
      <c r="J1145" s="164">
        <f>SUMIF(TArticle[تاریخ],TDays[[#This Row],[تاریخ]],TArticle[درآمد تتا])</f>
        <v>0</v>
      </c>
      <c r="K1145" s="164">
        <f>SUMIF(TArticle[تاریخ],TDays[[#This Row],[تاریخ]],TArticle[اسنپ])</f>
        <v>0</v>
      </c>
      <c r="L1145" s="164">
        <f>-SUMIF(TArticle[تاریخ],TDays[[#This Row],[تاریخ]],TArticle[پرداخت بدهی])</f>
        <v>0</v>
      </c>
      <c r="M1145" s="164">
        <f>SUMIF(TArticle[تاریخ],TDays[[#This Row],[تاریخ]],TArticle[افزایش بدهی])</f>
        <v>0</v>
      </c>
      <c r="N1145" s="164">
        <f>-SUMIF(TArticle[تاریخ],TDays[[#This Row],[تاریخ]],TArticle[افزایش سرمایه])</f>
        <v>0</v>
      </c>
      <c r="O1145" s="164">
        <f>SUMIF(TArticle[تاریخ],TDays[[#This Row],[تاریخ]],TArticle[تعداد تراکنش انجام شده])</f>
        <v>0</v>
      </c>
      <c r="P1145" s="164">
        <f>INT(((TDays[[#This Row],[ماه]]-1)*31+TDays[[#This Row],[روز]]+1)/7)+1</f>
        <v>8</v>
      </c>
      <c r="Q1145" s="164">
        <f>SUMIF(TArticle[تاریخ],TDays[[#This Row],[تاریخ]],TArticle[تراکنش برنامه ریزی شده])</f>
        <v>0</v>
      </c>
    </row>
    <row r="1146" spans="1:17" x14ac:dyDescent="0.25">
      <c r="A1146" s="3" t="s">
        <v>1737</v>
      </c>
      <c r="B1146" s="164" t="str">
        <f>RIGHT(TDays[[#This Row],[تاریخ]],2)</f>
        <v>18</v>
      </c>
      <c r="C1146" s="164" t="str">
        <f>RIGHT(LEFT(TDays[[#This Row],[تاریخ]],7),2)</f>
        <v>02</v>
      </c>
      <c r="D1146" s="164" t="str">
        <f>LEFT(TDays[[#This Row],[تاریخ]],4)</f>
        <v>1404</v>
      </c>
      <c r="E1146" s="164" t="str">
        <f>LEFT(TDays[[#This Row],[تاریخ]],7)</f>
        <v>1404-02</v>
      </c>
      <c r="F1146">
        <v>5</v>
      </c>
      <c r="G1146" s="165" t="str">
        <f>VLOOKUP(TDays[[#This Row],[کد روز هفته]],TDaysOfTheWeek[],2,FALSE)</f>
        <v>پنجشنبه</v>
      </c>
      <c r="H1146" s="165">
        <f>IFERROR(IF(E1145&lt;&gt;E1146,1,INT(H1145)+IF(TDays[[#This Row],[کد روز هفته]]=0,1,0)),1)</f>
        <v>3</v>
      </c>
      <c r="I1146" s="164">
        <f>-SUMIF(TArticle[تاریخ],TDays[[#This Row],[تاریخ]],TArticle[هزینه])</f>
        <v>0</v>
      </c>
      <c r="J1146" s="164">
        <f>SUMIF(TArticle[تاریخ],TDays[[#This Row],[تاریخ]],TArticle[درآمد تتا])</f>
        <v>0</v>
      </c>
      <c r="K1146" s="164">
        <f>SUMIF(TArticle[تاریخ],TDays[[#This Row],[تاریخ]],TArticle[اسنپ])</f>
        <v>0</v>
      </c>
      <c r="L1146" s="164">
        <f>-SUMIF(TArticle[تاریخ],TDays[[#This Row],[تاریخ]],TArticle[پرداخت بدهی])</f>
        <v>0</v>
      </c>
      <c r="M1146" s="164">
        <f>SUMIF(TArticle[تاریخ],TDays[[#This Row],[تاریخ]],TArticle[افزایش بدهی])</f>
        <v>0</v>
      </c>
      <c r="N1146" s="164">
        <f>-SUMIF(TArticle[تاریخ],TDays[[#This Row],[تاریخ]],TArticle[افزایش سرمایه])</f>
        <v>0</v>
      </c>
      <c r="O1146" s="164">
        <f>SUMIF(TArticle[تاریخ],TDays[[#This Row],[تاریخ]],TArticle[تعداد تراکنش انجام شده])</f>
        <v>0</v>
      </c>
      <c r="P1146" s="164">
        <f>INT(((TDays[[#This Row],[ماه]]-1)*31+TDays[[#This Row],[روز]]+1)/7)+1</f>
        <v>8</v>
      </c>
      <c r="Q1146" s="164">
        <f>SUMIF(TArticle[تاریخ],TDays[[#This Row],[تاریخ]],TArticle[تراکنش برنامه ریزی شده])</f>
        <v>0</v>
      </c>
    </row>
    <row r="1147" spans="1:17" x14ac:dyDescent="0.25">
      <c r="A1147" s="3" t="s">
        <v>1738</v>
      </c>
      <c r="B1147" s="164" t="str">
        <f>RIGHT(TDays[[#This Row],[تاریخ]],2)</f>
        <v>19</v>
      </c>
      <c r="C1147" s="164" t="str">
        <f>RIGHT(LEFT(TDays[[#This Row],[تاریخ]],7),2)</f>
        <v>02</v>
      </c>
      <c r="D1147" s="164" t="str">
        <f>LEFT(TDays[[#This Row],[تاریخ]],4)</f>
        <v>1404</v>
      </c>
      <c r="E1147" s="164" t="str">
        <f>LEFT(TDays[[#This Row],[تاریخ]],7)</f>
        <v>1404-02</v>
      </c>
      <c r="F1147">
        <v>6</v>
      </c>
      <c r="G1147" s="165" t="str">
        <f>VLOOKUP(TDays[[#This Row],[کد روز هفته]],TDaysOfTheWeek[],2,FALSE)</f>
        <v>جمعه</v>
      </c>
      <c r="H1147" s="165">
        <f>IFERROR(IF(E1146&lt;&gt;E1147,1,INT(H1146)+IF(TDays[[#This Row],[کد روز هفته]]=0,1,0)),1)</f>
        <v>3</v>
      </c>
      <c r="I1147" s="164">
        <f>-SUMIF(TArticle[تاریخ],TDays[[#This Row],[تاریخ]],TArticle[هزینه])</f>
        <v>0</v>
      </c>
      <c r="J1147" s="164">
        <f>SUMIF(TArticle[تاریخ],TDays[[#This Row],[تاریخ]],TArticle[درآمد تتا])</f>
        <v>0</v>
      </c>
      <c r="K1147" s="164">
        <f>SUMIF(TArticle[تاریخ],TDays[[#This Row],[تاریخ]],TArticle[اسنپ])</f>
        <v>0</v>
      </c>
      <c r="L1147" s="164">
        <f>-SUMIF(TArticle[تاریخ],TDays[[#This Row],[تاریخ]],TArticle[پرداخت بدهی])</f>
        <v>0</v>
      </c>
      <c r="M1147" s="164">
        <f>SUMIF(TArticle[تاریخ],TDays[[#This Row],[تاریخ]],TArticle[افزایش بدهی])</f>
        <v>0</v>
      </c>
      <c r="N1147" s="164">
        <f>-SUMIF(TArticle[تاریخ],TDays[[#This Row],[تاریخ]],TArticle[افزایش سرمایه])</f>
        <v>0</v>
      </c>
      <c r="O1147" s="164">
        <f>SUMIF(TArticle[تاریخ],TDays[[#This Row],[تاریخ]],TArticle[تعداد تراکنش انجام شده])</f>
        <v>0</v>
      </c>
      <c r="P1147" s="164">
        <f>INT(((TDays[[#This Row],[ماه]]-1)*31+TDays[[#This Row],[روز]]+1)/7)+1</f>
        <v>8</v>
      </c>
      <c r="Q1147" s="164">
        <f>SUMIF(TArticle[تاریخ],TDays[[#This Row],[تاریخ]],TArticle[تراکنش برنامه ریزی شده])</f>
        <v>0</v>
      </c>
    </row>
    <row r="1148" spans="1:17" x14ac:dyDescent="0.25">
      <c r="A1148" s="3" t="s">
        <v>1739</v>
      </c>
      <c r="B1148" s="164" t="str">
        <f>RIGHT(TDays[[#This Row],[تاریخ]],2)</f>
        <v>20</v>
      </c>
      <c r="C1148" s="164" t="str">
        <f>RIGHT(LEFT(TDays[[#This Row],[تاریخ]],7),2)</f>
        <v>02</v>
      </c>
      <c r="D1148" s="164" t="str">
        <f>LEFT(TDays[[#This Row],[تاریخ]],4)</f>
        <v>1404</v>
      </c>
      <c r="E1148" s="164" t="str">
        <f>LEFT(TDays[[#This Row],[تاریخ]],7)</f>
        <v>1404-02</v>
      </c>
      <c r="F1148">
        <v>0</v>
      </c>
      <c r="G1148" s="165" t="str">
        <f>VLOOKUP(TDays[[#This Row],[کد روز هفته]],TDaysOfTheWeek[],2,FALSE)</f>
        <v>شنبه</v>
      </c>
      <c r="H1148" s="165">
        <f>IFERROR(IF(E1147&lt;&gt;E1148,1,INT(H1147)+IF(TDays[[#This Row],[کد روز هفته]]=0,1,0)),1)</f>
        <v>4</v>
      </c>
      <c r="I1148" s="164">
        <f>-SUMIF(TArticle[تاریخ],TDays[[#This Row],[تاریخ]],TArticle[هزینه])</f>
        <v>0</v>
      </c>
      <c r="J1148" s="164">
        <f>SUMIF(TArticle[تاریخ],TDays[[#This Row],[تاریخ]],TArticle[درآمد تتا])</f>
        <v>0</v>
      </c>
      <c r="K1148" s="164">
        <f>SUMIF(TArticle[تاریخ],TDays[[#This Row],[تاریخ]],TArticle[اسنپ])</f>
        <v>0</v>
      </c>
      <c r="L1148" s="164">
        <f>-SUMIF(TArticle[تاریخ],TDays[[#This Row],[تاریخ]],TArticle[پرداخت بدهی])</f>
        <v>0</v>
      </c>
      <c r="M1148" s="164">
        <f>SUMIF(TArticle[تاریخ],TDays[[#This Row],[تاریخ]],TArticle[افزایش بدهی])</f>
        <v>0</v>
      </c>
      <c r="N1148" s="164">
        <f>-SUMIF(TArticle[تاریخ],TDays[[#This Row],[تاریخ]],TArticle[افزایش سرمایه])</f>
        <v>0</v>
      </c>
      <c r="O1148" s="164">
        <f>SUMIF(TArticle[تاریخ],TDays[[#This Row],[تاریخ]],TArticle[تعداد تراکنش انجام شده])</f>
        <v>0</v>
      </c>
      <c r="P1148" s="164">
        <f>INT(((TDays[[#This Row],[ماه]]-1)*31+TDays[[#This Row],[روز]]+1)/7)+1</f>
        <v>8</v>
      </c>
      <c r="Q1148" s="164">
        <f>SUMIF(TArticle[تاریخ],TDays[[#This Row],[تاریخ]],TArticle[تراکنش برنامه ریزی شده])</f>
        <v>1</v>
      </c>
    </row>
    <row r="1149" spans="1:17" x14ac:dyDescent="0.25">
      <c r="A1149" s="3" t="s">
        <v>1740</v>
      </c>
      <c r="B1149" s="164" t="str">
        <f>RIGHT(TDays[[#This Row],[تاریخ]],2)</f>
        <v>21</v>
      </c>
      <c r="C1149" s="164" t="str">
        <f>RIGHT(LEFT(TDays[[#This Row],[تاریخ]],7),2)</f>
        <v>02</v>
      </c>
      <c r="D1149" s="164" t="str">
        <f>LEFT(TDays[[#This Row],[تاریخ]],4)</f>
        <v>1404</v>
      </c>
      <c r="E1149" s="164" t="str">
        <f>LEFT(TDays[[#This Row],[تاریخ]],7)</f>
        <v>1404-02</v>
      </c>
      <c r="F1149">
        <v>1</v>
      </c>
      <c r="G1149" s="165" t="str">
        <f>VLOOKUP(TDays[[#This Row],[کد روز هفته]],TDaysOfTheWeek[],2,FALSE)</f>
        <v>یکشنبه</v>
      </c>
      <c r="H1149" s="165">
        <f>IFERROR(IF(E1148&lt;&gt;E1149,1,INT(H1148)+IF(TDays[[#This Row],[کد روز هفته]]=0,1,0)),1)</f>
        <v>4</v>
      </c>
      <c r="I1149" s="164">
        <f>-SUMIF(TArticle[تاریخ],TDays[[#This Row],[تاریخ]],TArticle[هزینه])</f>
        <v>0</v>
      </c>
      <c r="J1149" s="164">
        <f>SUMIF(TArticle[تاریخ],TDays[[#This Row],[تاریخ]],TArticle[درآمد تتا])</f>
        <v>0</v>
      </c>
      <c r="K1149" s="164">
        <f>SUMIF(TArticle[تاریخ],TDays[[#This Row],[تاریخ]],TArticle[اسنپ])</f>
        <v>0</v>
      </c>
      <c r="L1149" s="164">
        <f>-SUMIF(TArticle[تاریخ],TDays[[#This Row],[تاریخ]],TArticle[پرداخت بدهی])</f>
        <v>0</v>
      </c>
      <c r="M1149" s="164">
        <f>SUMIF(TArticle[تاریخ],TDays[[#This Row],[تاریخ]],TArticle[افزایش بدهی])</f>
        <v>0</v>
      </c>
      <c r="N1149" s="164">
        <f>-SUMIF(TArticle[تاریخ],TDays[[#This Row],[تاریخ]],TArticle[افزایش سرمایه])</f>
        <v>0</v>
      </c>
      <c r="O1149" s="164">
        <f>SUMIF(TArticle[تاریخ],TDays[[#This Row],[تاریخ]],TArticle[تعداد تراکنش انجام شده])</f>
        <v>0</v>
      </c>
      <c r="P1149" s="164">
        <f>INT(((TDays[[#This Row],[ماه]]-1)*31+TDays[[#This Row],[روز]]+1)/7)+1</f>
        <v>8</v>
      </c>
      <c r="Q1149" s="164">
        <f>SUMIF(TArticle[تاریخ],TDays[[#This Row],[تاریخ]],TArticle[تراکنش برنامه ریزی شده])</f>
        <v>0</v>
      </c>
    </row>
    <row r="1150" spans="1:17" x14ac:dyDescent="0.25">
      <c r="A1150" s="3" t="s">
        <v>1741</v>
      </c>
      <c r="B1150" s="164" t="str">
        <f>RIGHT(TDays[[#This Row],[تاریخ]],2)</f>
        <v>22</v>
      </c>
      <c r="C1150" s="164" t="str">
        <f>RIGHT(LEFT(TDays[[#This Row],[تاریخ]],7),2)</f>
        <v>02</v>
      </c>
      <c r="D1150" s="164" t="str">
        <f>LEFT(TDays[[#This Row],[تاریخ]],4)</f>
        <v>1404</v>
      </c>
      <c r="E1150" s="164" t="str">
        <f>LEFT(TDays[[#This Row],[تاریخ]],7)</f>
        <v>1404-02</v>
      </c>
      <c r="F1150">
        <v>2</v>
      </c>
      <c r="G1150" s="165" t="str">
        <f>VLOOKUP(TDays[[#This Row],[کد روز هفته]],TDaysOfTheWeek[],2,FALSE)</f>
        <v>دوشنبه</v>
      </c>
      <c r="H1150" s="165">
        <f>IFERROR(IF(E1149&lt;&gt;E1150,1,INT(H1149)+IF(TDays[[#This Row],[کد روز هفته]]=0,1,0)),1)</f>
        <v>4</v>
      </c>
      <c r="I1150" s="164">
        <f>-SUMIF(TArticle[تاریخ],TDays[[#This Row],[تاریخ]],TArticle[هزینه])</f>
        <v>0</v>
      </c>
      <c r="J1150" s="164">
        <f>SUMIF(TArticle[تاریخ],TDays[[#This Row],[تاریخ]],TArticle[درآمد تتا])</f>
        <v>0</v>
      </c>
      <c r="K1150" s="164">
        <f>SUMIF(TArticle[تاریخ],TDays[[#This Row],[تاریخ]],TArticle[اسنپ])</f>
        <v>0</v>
      </c>
      <c r="L1150" s="164">
        <f>-SUMIF(TArticle[تاریخ],TDays[[#This Row],[تاریخ]],TArticle[پرداخت بدهی])</f>
        <v>0</v>
      </c>
      <c r="M1150" s="164">
        <f>SUMIF(TArticle[تاریخ],TDays[[#This Row],[تاریخ]],TArticle[افزایش بدهی])</f>
        <v>0</v>
      </c>
      <c r="N1150" s="164">
        <f>-SUMIF(TArticle[تاریخ],TDays[[#This Row],[تاریخ]],TArticle[افزایش سرمایه])</f>
        <v>0</v>
      </c>
      <c r="O1150" s="164">
        <f>SUMIF(TArticle[تاریخ],TDays[[#This Row],[تاریخ]],TArticle[تعداد تراکنش انجام شده])</f>
        <v>0</v>
      </c>
      <c r="P1150" s="164">
        <f>INT(((TDays[[#This Row],[ماه]]-1)*31+TDays[[#This Row],[روز]]+1)/7)+1</f>
        <v>8</v>
      </c>
      <c r="Q1150" s="164">
        <f>SUMIF(TArticle[تاریخ],TDays[[#This Row],[تاریخ]],TArticle[تراکنش برنامه ریزی شده])</f>
        <v>0</v>
      </c>
    </row>
    <row r="1151" spans="1:17" x14ac:dyDescent="0.25">
      <c r="A1151" s="3" t="s">
        <v>1742</v>
      </c>
      <c r="B1151" s="164" t="str">
        <f>RIGHT(TDays[[#This Row],[تاریخ]],2)</f>
        <v>23</v>
      </c>
      <c r="C1151" s="164" t="str">
        <f>RIGHT(LEFT(TDays[[#This Row],[تاریخ]],7),2)</f>
        <v>02</v>
      </c>
      <c r="D1151" s="164" t="str">
        <f>LEFT(TDays[[#This Row],[تاریخ]],4)</f>
        <v>1404</v>
      </c>
      <c r="E1151" s="164" t="str">
        <f>LEFT(TDays[[#This Row],[تاریخ]],7)</f>
        <v>1404-02</v>
      </c>
      <c r="F1151">
        <v>3</v>
      </c>
      <c r="G1151" s="165" t="str">
        <f>VLOOKUP(TDays[[#This Row],[کد روز هفته]],TDaysOfTheWeek[],2,FALSE)</f>
        <v>سه شنبه</v>
      </c>
      <c r="H1151" s="165">
        <f>IFERROR(IF(E1150&lt;&gt;E1151,1,INT(H1150)+IF(TDays[[#This Row],[کد روز هفته]]=0,1,0)),1)</f>
        <v>4</v>
      </c>
      <c r="I1151" s="164">
        <f>-SUMIF(TArticle[تاریخ],TDays[[#This Row],[تاریخ]],TArticle[هزینه])</f>
        <v>0</v>
      </c>
      <c r="J1151" s="164">
        <f>SUMIF(TArticle[تاریخ],TDays[[#This Row],[تاریخ]],TArticle[درآمد تتا])</f>
        <v>0</v>
      </c>
      <c r="K1151" s="164">
        <f>SUMIF(TArticle[تاریخ],TDays[[#This Row],[تاریخ]],TArticle[اسنپ])</f>
        <v>0</v>
      </c>
      <c r="L1151" s="164">
        <f>-SUMIF(TArticle[تاریخ],TDays[[#This Row],[تاریخ]],TArticle[پرداخت بدهی])</f>
        <v>0</v>
      </c>
      <c r="M1151" s="164">
        <f>SUMIF(TArticle[تاریخ],TDays[[#This Row],[تاریخ]],TArticle[افزایش بدهی])</f>
        <v>0</v>
      </c>
      <c r="N1151" s="164">
        <f>-SUMIF(TArticle[تاریخ],TDays[[#This Row],[تاریخ]],TArticle[افزایش سرمایه])</f>
        <v>0</v>
      </c>
      <c r="O1151" s="164">
        <f>SUMIF(TArticle[تاریخ],TDays[[#This Row],[تاریخ]],TArticle[تعداد تراکنش انجام شده])</f>
        <v>0</v>
      </c>
      <c r="P1151" s="164">
        <f>INT(((TDays[[#This Row],[ماه]]-1)*31+TDays[[#This Row],[روز]]+1)/7)+1</f>
        <v>8</v>
      </c>
      <c r="Q1151" s="164">
        <f>SUMIF(TArticle[تاریخ],TDays[[#This Row],[تاریخ]],TArticle[تراکنش برنامه ریزی شده])</f>
        <v>0</v>
      </c>
    </row>
    <row r="1152" spans="1:17" x14ac:dyDescent="0.25">
      <c r="A1152" s="3" t="s">
        <v>1743</v>
      </c>
      <c r="B1152" s="164" t="str">
        <f>RIGHT(TDays[[#This Row],[تاریخ]],2)</f>
        <v>24</v>
      </c>
      <c r="C1152" s="164" t="str">
        <f>RIGHT(LEFT(TDays[[#This Row],[تاریخ]],7),2)</f>
        <v>02</v>
      </c>
      <c r="D1152" s="164" t="str">
        <f>LEFT(TDays[[#This Row],[تاریخ]],4)</f>
        <v>1404</v>
      </c>
      <c r="E1152" s="164" t="str">
        <f>LEFT(TDays[[#This Row],[تاریخ]],7)</f>
        <v>1404-02</v>
      </c>
      <c r="F1152">
        <v>4</v>
      </c>
      <c r="G1152" s="165" t="str">
        <f>VLOOKUP(TDays[[#This Row],[کد روز هفته]],TDaysOfTheWeek[],2,FALSE)</f>
        <v>چهارشنبه</v>
      </c>
      <c r="H1152" s="165">
        <f>IFERROR(IF(E1151&lt;&gt;E1152,1,INT(H1151)+IF(TDays[[#This Row],[کد روز هفته]]=0,1,0)),1)</f>
        <v>4</v>
      </c>
      <c r="I1152" s="164">
        <f>-SUMIF(TArticle[تاریخ],TDays[[#This Row],[تاریخ]],TArticle[هزینه])</f>
        <v>0</v>
      </c>
      <c r="J1152" s="164">
        <f>SUMIF(TArticle[تاریخ],TDays[[#This Row],[تاریخ]],TArticle[درآمد تتا])</f>
        <v>0</v>
      </c>
      <c r="K1152" s="164">
        <f>SUMIF(TArticle[تاریخ],TDays[[#This Row],[تاریخ]],TArticle[اسنپ])</f>
        <v>0</v>
      </c>
      <c r="L1152" s="164">
        <f>-SUMIF(TArticle[تاریخ],TDays[[#This Row],[تاریخ]],TArticle[پرداخت بدهی])</f>
        <v>0</v>
      </c>
      <c r="M1152" s="164">
        <f>SUMIF(TArticle[تاریخ],TDays[[#This Row],[تاریخ]],TArticle[افزایش بدهی])</f>
        <v>0</v>
      </c>
      <c r="N1152" s="164">
        <f>-SUMIF(TArticle[تاریخ],TDays[[#This Row],[تاریخ]],TArticle[افزایش سرمایه])</f>
        <v>0</v>
      </c>
      <c r="O1152" s="164">
        <f>SUMIF(TArticle[تاریخ],TDays[[#This Row],[تاریخ]],TArticle[تعداد تراکنش انجام شده])</f>
        <v>0</v>
      </c>
      <c r="P1152" s="164">
        <f>INT(((TDays[[#This Row],[ماه]]-1)*31+TDays[[#This Row],[روز]]+1)/7)+1</f>
        <v>9</v>
      </c>
      <c r="Q1152" s="164">
        <f>SUMIF(TArticle[تاریخ],TDays[[#This Row],[تاریخ]],TArticle[تراکنش برنامه ریزی شده])</f>
        <v>0</v>
      </c>
    </row>
    <row r="1153" spans="1:17" x14ac:dyDescent="0.25">
      <c r="A1153" s="3" t="s">
        <v>1744</v>
      </c>
      <c r="B1153" s="164" t="str">
        <f>RIGHT(TDays[[#This Row],[تاریخ]],2)</f>
        <v>25</v>
      </c>
      <c r="C1153" s="164" t="str">
        <f>RIGHT(LEFT(TDays[[#This Row],[تاریخ]],7),2)</f>
        <v>02</v>
      </c>
      <c r="D1153" s="164" t="str">
        <f>LEFT(TDays[[#This Row],[تاریخ]],4)</f>
        <v>1404</v>
      </c>
      <c r="E1153" s="164" t="str">
        <f>LEFT(TDays[[#This Row],[تاریخ]],7)</f>
        <v>1404-02</v>
      </c>
      <c r="F1153">
        <v>5</v>
      </c>
      <c r="G1153" s="165" t="str">
        <f>VLOOKUP(TDays[[#This Row],[کد روز هفته]],TDaysOfTheWeek[],2,FALSE)</f>
        <v>پنجشنبه</v>
      </c>
      <c r="H1153" s="165">
        <f>IFERROR(IF(E1152&lt;&gt;E1153,1,INT(H1152)+IF(TDays[[#This Row],[کد روز هفته]]=0,1,0)),1)</f>
        <v>4</v>
      </c>
      <c r="I1153" s="164">
        <f>-SUMIF(TArticle[تاریخ],TDays[[#This Row],[تاریخ]],TArticle[هزینه])</f>
        <v>0</v>
      </c>
      <c r="J1153" s="164">
        <f>SUMIF(TArticle[تاریخ],TDays[[#This Row],[تاریخ]],TArticle[درآمد تتا])</f>
        <v>0</v>
      </c>
      <c r="K1153" s="164">
        <f>SUMIF(TArticle[تاریخ],TDays[[#This Row],[تاریخ]],TArticle[اسنپ])</f>
        <v>0</v>
      </c>
      <c r="L1153" s="164">
        <f>-SUMIF(TArticle[تاریخ],TDays[[#This Row],[تاریخ]],TArticle[پرداخت بدهی])</f>
        <v>0</v>
      </c>
      <c r="M1153" s="164">
        <f>SUMIF(TArticle[تاریخ],TDays[[#This Row],[تاریخ]],TArticle[افزایش بدهی])</f>
        <v>0</v>
      </c>
      <c r="N1153" s="164">
        <f>-SUMIF(TArticle[تاریخ],TDays[[#This Row],[تاریخ]],TArticle[افزایش سرمایه])</f>
        <v>0</v>
      </c>
      <c r="O1153" s="164">
        <f>SUMIF(TArticle[تاریخ],TDays[[#This Row],[تاریخ]],TArticle[تعداد تراکنش انجام شده])</f>
        <v>0</v>
      </c>
      <c r="P1153" s="164">
        <f>INT(((TDays[[#This Row],[ماه]]-1)*31+TDays[[#This Row],[روز]]+1)/7)+1</f>
        <v>9</v>
      </c>
      <c r="Q1153" s="164">
        <f>SUMIF(TArticle[تاریخ],TDays[[#This Row],[تاریخ]],TArticle[تراکنش برنامه ریزی شده])</f>
        <v>0</v>
      </c>
    </row>
    <row r="1154" spans="1:17" x14ac:dyDescent="0.25">
      <c r="A1154" s="3" t="s">
        <v>1745</v>
      </c>
      <c r="B1154" s="164" t="str">
        <f>RIGHT(TDays[[#This Row],[تاریخ]],2)</f>
        <v>26</v>
      </c>
      <c r="C1154" s="164" t="str">
        <f>RIGHT(LEFT(TDays[[#This Row],[تاریخ]],7),2)</f>
        <v>02</v>
      </c>
      <c r="D1154" s="164" t="str">
        <f>LEFT(TDays[[#This Row],[تاریخ]],4)</f>
        <v>1404</v>
      </c>
      <c r="E1154" s="164" t="str">
        <f>LEFT(TDays[[#This Row],[تاریخ]],7)</f>
        <v>1404-02</v>
      </c>
      <c r="F1154">
        <v>6</v>
      </c>
      <c r="G1154" s="165" t="str">
        <f>VLOOKUP(TDays[[#This Row],[کد روز هفته]],TDaysOfTheWeek[],2,FALSE)</f>
        <v>جمعه</v>
      </c>
      <c r="H1154" s="165">
        <f>IFERROR(IF(E1153&lt;&gt;E1154,1,INT(H1153)+IF(TDays[[#This Row],[کد روز هفته]]=0,1,0)),1)</f>
        <v>4</v>
      </c>
      <c r="I1154" s="164">
        <f>-SUMIF(TArticle[تاریخ],TDays[[#This Row],[تاریخ]],TArticle[هزینه])</f>
        <v>0</v>
      </c>
      <c r="J1154" s="164">
        <f>SUMIF(TArticle[تاریخ],TDays[[#This Row],[تاریخ]],TArticle[درآمد تتا])</f>
        <v>0</v>
      </c>
      <c r="K1154" s="164">
        <f>SUMIF(TArticle[تاریخ],TDays[[#This Row],[تاریخ]],TArticle[اسنپ])</f>
        <v>0</v>
      </c>
      <c r="L1154" s="164">
        <f>-SUMIF(TArticle[تاریخ],TDays[[#This Row],[تاریخ]],TArticle[پرداخت بدهی])</f>
        <v>0</v>
      </c>
      <c r="M1154" s="164">
        <f>SUMIF(TArticle[تاریخ],TDays[[#This Row],[تاریخ]],TArticle[افزایش بدهی])</f>
        <v>0</v>
      </c>
      <c r="N1154" s="164">
        <f>-SUMIF(TArticle[تاریخ],TDays[[#This Row],[تاریخ]],TArticle[افزایش سرمایه])</f>
        <v>0</v>
      </c>
      <c r="O1154" s="164">
        <f>SUMIF(TArticle[تاریخ],TDays[[#This Row],[تاریخ]],TArticle[تعداد تراکنش انجام شده])</f>
        <v>0</v>
      </c>
      <c r="P1154" s="164">
        <f>INT(((TDays[[#This Row],[ماه]]-1)*31+TDays[[#This Row],[روز]]+1)/7)+1</f>
        <v>9</v>
      </c>
      <c r="Q1154" s="164">
        <f>SUMIF(TArticle[تاریخ],TDays[[#This Row],[تاریخ]],TArticle[تراکنش برنامه ریزی شده])</f>
        <v>0</v>
      </c>
    </row>
    <row r="1155" spans="1:17" x14ac:dyDescent="0.25">
      <c r="A1155" s="3" t="s">
        <v>1746</v>
      </c>
      <c r="B1155" s="164" t="str">
        <f>RIGHT(TDays[[#This Row],[تاریخ]],2)</f>
        <v>27</v>
      </c>
      <c r="C1155" s="164" t="str">
        <f>RIGHT(LEFT(TDays[[#This Row],[تاریخ]],7),2)</f>
        <v>02</v>
      </c>
      <c r="D1155" s="164" t="str">
        <f>LEFT(TDays[[#This Row],[تاریخ]],4)</f>
        <v>1404</v>
      </c>
      <c r="E1155" s="164" t="str">
        <f>LEFT(TDays[[#This Row],[تاریخ]],7)</f>
        <v>1404-02</v>
      </c>
      <c r="F1155">
        <v>0</v>
      </c>
      <c r="G1155" s="165" t="str">
        <f>VLOOKUP(TDays[[#This Row],[کد روز هفته]],TDaysOfTheWeek[],2,FALSE)</f>
        <v>شنبه</v>
      </c>
      <c r="H1155" s="165">
        <f>IFERROR(IF(E1154&lt;&gt;E1155,1,INT(H1154)+IF(TDays[[#This Row],[کد روز هفته]]=0,1,0)),1)</f>
        <v>5</v>
      </c>
      <c r="I1155" s="164">
        <f>-SUMIF(TArticle[تاریخ],TDays[[#This Row],[تاریخ]],TArticle[هزینه])</f>
        <v>0</v>
      </c>
      <c r="J1155" s="164">
        <f>SUMIF(TArticle[تاریخ],TDays[[#This Row],[تاریخ]],TArticle[درآمد تتا])</f>
        <v>0</v>
      </c>
      <c r="K1155" s="164">
        <f>SUMIF(TArticle[تاریخ],TDays[[#This Row],[تاریخ]],TArticle[اسنپ])</f>
        <v>0</v>
      </c>
      <c r="L1155" s="164">
        <f>-SUMIF(TArticle[تاریخ],TDays[[#This Row],[تاریخ]],TArticle[پرداخت بدهی])</f>
        <v>0</v>
      </c>
      <c r="M1155" s="164">
        <f>SUMIF(TArticle[تاریخ],TDays[[#This Row],[تاریخ]],TArticle[افزایش بدهی])</f>
        <v>0</v>
      </c>
      <c r="N1155" s="164">
        <f>-SUMIF(TArticle[تاریخ],TDays[[#This Row],[تاریخ]],TArticle[افزایش سرمایه])</f>
        <v>0</v>
      </c>
      <c r="O1155" s="164">
        <f>SUMIF(TArticle[تاریخ],TDays[[#This Row],[تاریخ]],TArticle[تعداد تراکنش انجام شده])</f>
        <v>0</v>
      </c>
      <c r="P1155" s="164">
        <f>INT(((TDays[[#This Row],[ماه]]-1)*31+TDays[[#This Row],[روز]]+1)/7)+1</f>
        <v>9</v>
      </c>
      <c r="Q1155" s="164">
        <f>SUMIF(TArticle[تاریخ],TDays[[#This Row],[تاریخ]],TArticle[تراکنش برنامه ریزی شده])</f>
        <v>0</v>
      </c>
    </row>
    <row r="1156" spans="1:17" x14ac:dyDescent="0.25">
      <c r="A1156" s="3" t="s">
        <v>1747</v>
      </c>
      <c r="B1156" s="164" t="str">
        <f>RIGHT(TDays[[#This Row],[تاریخ]],2)</f>
        <v>28</v>
      </c>
      <c r="C1156" s="164" t="str">
        <f>RIGHT(LEFT(TDays[[#This Row],[تاریخ]],7),2)</f>
        <v>02</v>
      </c>
      <c r="D1156" s="164" t="str">
        <f>LEFT(TDays[[#This Row],[تاریخ]],4)</f>
        <v>1404</v>
      </c>
      <c r="E1156" s="164" t="str">
        <f>LEFT(TDays[[#This Row],[تاریخ]],7)</f>
        <v>1404-02</v>
      </c>
      <c r="F1156">
        <v>1</v>
      </c>
      <c r="G1156" s="165" t="str">
        <f>VLOOKUP(TDays[[#This Row],[کد روز هفته]],TDaysOfTheWeek[],2,FALSE)</f>
        <v>یکشنبه</v>
      </c>
      <c r="H1156" s="165">
        <f>IFERROR(IF(E1155&lt;&gt;E1156,1,INT(H1155)+IF(TDays[[#This Row],[کد روز هفته]]=0,1,0)),1)</f>
        <v>5</v>
      </c>
      <c r="I1156" s="164">
        <f>-SUMIF(TArticle[تاریخ],TDays[[#This Row],[تاریخ]],TArticle[هزینه])</f>
        <v>0</v>
      </c>
      <c r="J1156" s="164">
        <f>SUMIF(TArticle[تاریخ],TDays[[#This Row],[تاریخ]],TArticle[درآمد تتا])</f>
        <v>0</v>
      </c>
      <c r="K1156" s="164">
        <f>SUMIF(TArticle[تاریخ],TDays[[#This Row],[تاریخ]],TArticle[اسنپ])</f>
        <v>0</v>
      </c>
      <c r="L1156" s="164">
        <f>-SUMIF(TArticle[تاریخ],TDays[[#This Row],[تاریخ]],TArticle[پرداخت بدهی])</f>
        <v>0</v>
      </c>
      <c r="M1156" s="164">
        <f>SUMIF(TArticle[تاریخ],TDays[[#This Row],[تاریخ]],TArticle[افزایش بدهی])</f>
        <v>0</v>
      </c>
      <c r="N1156" s="164">
        <f>-SUMIF(TArticle[تاریخ],TDays[[#This Row],[تاریخ]],TArticle[افزایش سرمایه])</f>
        <v>0</v>
      </c>
      <c r="O1156" s="164">
        <f>SUMIF(TArticle[تاریخ],TDays[[#This Row],[تاریخ]],TArticle[تعداد تراکنش انجام شده])</f>
        <v>0</v>
      </c>
      <c r="P1156" s="164">
        <f>INT(((TDays[[#This Row],[ماه]]-1)*31+TDays[[#This Row],[روز]]+1)/7)+1</f>
        <v>9</v>
      </c>
      <c r="Q1156" s="164">
        <f>SUMIF(TArticle[تاریخ],TDays[[#This Row],[تاریخ]],TArticle[تراکنش برنامه ریزی شده])</f>
        <v>0</v>
      </c>
    </row>
    <row r="1157" spans="1:17" x14ac:dyDescent="0.25">
      <c r="A1157" s="3" t="s">
        <v>1748</v>
      </c>
      <c r="B1157" s="164" t="str">
        <f>RIGHT(TDays[[#This Row],[تاریخ]],2)</f>
        <v>29</v>
      </c>
      <c r="C1157" s="164" t="str">
        <f>RIGHT(LEFT(TDays[[#This Row],[تاریخ]],7),2)</f>
        <v>02</v>
      </c>
      <c r="D1157" s="164" t="str">
        <f>LEFT(TDays[[#This Row],[تاریخ]],4)</f>
        <v>1404</v>
      </c>
      <c r="E1157" s="164" t="str">
        <f>LEFT(TDays[[#This Row],[تاریخ]],7)</f>
        <v>1404-02</v>
      </c>
      <c r="F1157">
        <v>2</v>
      </c>
      <c r="G1157" s="165" t="str">
        <f>VLOOKUP(TDays[[#This Row],[کد روز هفته]],TDaysOfTheWeek[],2,FALSE)</f>
        <v>دوشنبه</v>
      </c>
      <c r="H1157" s="165">
        <f>IFERROR(IF(E1156&lt;&gt;E1157,1,INT(H1156)+IF(TDays[[#This Row],[کد روز هفته]]=0,1,0)),1)</f>
        <v>5</v>
      </c>
      <c r="I1157" s="164">
        <f>-SUMIF(TArticle[تاریخ],TDays[[#This Row],[تاریخ]],TArticle[هزینه])</f>
        <v>0</v>
      </c>
      <c r="J1157" s="164">
        <f>SUMIF(TArticle[تاریخ],TDays[[#This Row],[تاریخ]],TArticle[درآمد تتا])</f>
        <v>0</v>
      </c>
      <c r="K1157" s="164">
        <f>SUMIF(TArticle[تاریخ],TDays[[#This Row],[تاریخ]],TArticle[اسنپ])</f>
        <v>0</v>
      </c>
      <c r="L1157" s="164">
        <f>-SUMIF(TArticle[تاریخ],TDays[[#This Row],[تاریخ]],TArticle[پرداخت بدهی])</f>
        <v>0</v>
      </c>
      <c r="M1157" s="164">
        <f>SUMIF(TArticle[تاریخ],TDays[[#This Row],[تاریخ]],TArticle[افزایش بدهی])</f>
        <v>0</v>
      </c>
      <c r="N1157" s="164">
        <f>-SUMIF(TArticle[تاریخ],TDays[[#This Row],[تاریخ]],TArticle[افزایش سرمایه])</f>
        <v>0</v>
      </c>
      <c r="O1157" s="164">
        <f>SUMIF(TArticle[تاریخ],TDays[[#This Row],[تاریخ]],TArticle[تعداد تراکنش انجام شده])</f>
        <v>0</v>
      </c>
      <c r="P1157" s="164">
        <f>INT(((TDays[[#This Row],[ماه]]-1)*31+TDays[[#This Row],[روز]]+1)/7)+1</f>
        <v>9</v>
      </c>
      <c r="Q1157" s="164">
        <f>SUMIF(TArticle[تاریخ],TDays[[#This Row],[تاریخ]],TArticle[تراکنش برنامه ریزی شده])</f>
        <v>0</v>
      </c>
    </row>
    <row r="1158" spans="1:17" x14ac:dyDescent="0.25">
      <c r="A1158" s="3" t="s">
        <v>1749</v>
      </c>
      <c r="B1158" s="164" t="str">
        <f>RIGHT(TDays[[#This Row],[تاریخ]],2)</f>
        <v>30</v>
      </c>
      <c r="C1158" s="164" t="str">
        <f>RIGHT(LEFT(TDays[[#This Row],[تاریخ]],7),2)</f>
        <v>02</v>
      </c>
      <c r="D1158" s="164" t="str">
        <f>LEFT(TDays[[#This Row],[تاریخ]],4)</f>
        <v>1404</v>
      </c>
      <c r="E1158" s="164" t="str">
        <f>LEFT(TDays[[#This Row],[تاریخ]],7)</f>
        <v>1404-02</v>
      </c>
      <c r="F1158">
        <v>3</v>
      </c>
      <c r="G1158" s="165" t="str">
        <f>VLOOKUP(TDays[[#This Row],[کد روز هفته]],TDaysOfTheWeek[],2,FALSE)</f>
        <v>سه شنبه</v>
      </c>
      <c r="H1158" s="165">
        <f>IFERROR(IF(E1157&lt;&gt;E1158,1,INT(H1157)+IF(TDays[[#This Row],[کد روز هفته]]=0,1,0)),1)</f>
        <v>5</v>
      </c>
      <c r="I1158" s="164">
        <f>-SUMIF(TArticle[تاریخ],TDays[[#This Row],[تاریخ]],TArticle[هزینه])</f>
        <v>0</v>
      </c>
      <c r="J1158" s="164">
        <f>SUMIF(TArticle[تاریخ],TDays[[#This Row],[تاریخ]],TArticle[درآمد تتا])</f>
        <v>0</v>
      </c>
      <c r="K1158" s="164">
        <f>SUMIF(TArticle[تاریخ],TDays[[#This Row],[تاریخ]],TArticle[اسنپ])</f>
        <v>0</v>
      </c>
      <c r="L1158" s="164">
        <f>-SUMIF(TArticle[تاریخ],TDays[[#This Row],[تاریخ]],TArticle[پرداخت بدهی])</f>
        <v>0</v>
      </c>
      <c r="M1158" s="164">
        <f>SUMIF(TArticle[تاریخ],TDays[[#This Row],[تاریخ]],TArticle[افزایش بدهی])</f>
        <v>0</v>
      </c>
      <c r="N1158" s="164">
        <f>-SUMIF(TArticle[تاریخ],TDays[[#This Row],[تاریخ]],TArticle[افزایش سرمایه])</f>
        <v>0</v>
      </c>
      <c r="O1158" s="164">
        <f>SUMIF(TArticle[تاریخ],TDays[[#This Row],[تاریخ]],TArticle[تعداد تراکنش انجام شده])</f>
        <v>0</v>
      </c>
      <c r="P1158" s="164">
        <f>INT(((TDays[[#This Row],[ماه]]-1)*31+TDays[[#This Row],[روز]]+1)/7)+1</f>
        <v>9</v>
      </c>
      <c r="Q1158" s="164">
        <f>SUMIF(TArticle[تاریخ],TDays[[#This Row],[تاریخ]],TArticle[تراکنش برنامه ریزی شده])</f>
        <v>0</v>
      </c>
    </row>
    <row r="1159" spans="1:17" x14ac:dyDescent="0.25">
      <c r="A1159" s="3" t="s">
        <v>1750</v>
      </c>
      <c r="B1159" s="164" t="str">
        <f>RIGHT(TDays[[#This Row],[تاریخ]],2)</f>
        <v>31</v>
      </c>
      <c r="C1159" s="164" t="str">
        <f>RIGHT(LEFT(TDays[[#This Row],[تاریخ]],7),2)</f>
        <v>02</v>
      </c>
      <c r="D1159" s="164" t="str">
        <f>LEFT(TDays[[#This Row],[تاریخ]],4)</f>
        <v>1404</v>
      </c>
      <c r="E1159" s="164" t="str">
        <f>LEFT(TDays[[#This Row],[تاریخ]],7)</f>
        <v>1404-02</v>
      </c>
      <c r="F1159">
        <v>4</v>
      </c>
      <c r="G1159" s="165" t="str">
        <f>VLOOKUP(TDays[[#This Row],[کد روز هفته]],TDaysOfTheWeek[],2,FALSE)</f>
        <v>چهارشنبه</v>
      </c>
      <c r="H1159" s="165">
        <f>IFERROR(IF(E1158&lt;&gt;E1159,1,INT(H1158)+IF(TDays[[#This Row],[کد روز هفته]]=0,1,0)),1)</f>
        <v>5</v>
      </c>
      <c r="I1159" s="164">
        <f>-SUMIF(TArticle[تاریخ],TDays[[#This Row],[تاریخ]],TArticle[هزینه])</f>
        <v>0</v>
      </c>
      <c r="J1159" s="164">
        <f>SUMIF(TArticle[تاریخ],TDays[[#This Row],[تاریخ]],TArticle[درآمد تتا])</f>
        <v>0</v>
      </c>
      <c r="K1159" s="164">
        <f>SUMIF(TArticle[تاریخ],TDays[[#This Row],[تاریخ]],TArticle[اسنپ])</f>
        <v>0</v>
      </c>
      <c r="L1159" s="164">
        <f>-SUMIF(TArticle[تاریخ],TDays[[#This Row],[تاریخ]],TArticle[پرداخت بدهی])</f>
        <v>0</v>
      </c>
      <c r="M1159" s="164">
        <f>SUMIF(TArticle[تاریخ],TDays[[#This Row],[تاریخ]],TArticle[افزایش بدهی])</f>
        <v>0</v>
      </c>
      <c r="N1159" s="164">
        <f>-SUMIF(TArticle[تاریخ],TDays[[#This Row],[تاریخ]],TArticle[افزایش سرمایه])</f>
        <v>0</v>
      </c>
      <c r="O1159" s="164">
        <f>SUMIF(TArticle[تاریخ],TDays[[#This Row],[تاریخ]],TArticle[تعداد تراکنش انجام شده])</f>
        <v>0</v>
      </c>
      <c r="P1159" s="164">
        <f>INT(((TDays[[#This Row],[ماه]]-1)*31+TDays[[#This Row],[روز]]+1)/7)+1</f>
        <v>10</v>
      </c>
      <c r="Q1159" s="164">
        <f>SUMIF(TArticle[تاریخ],TDays[[#This Row],[تاریخ]],TArticle[تراکنش برنامه ریزی شده])</f>
        <v>0</v>
      </c>
    </row>
    <row r="1160" spans="1:17" x14ac:dyDescent="0.25">
      <c r="A1160" s="3" t="s">
        <v>1751</v>
      </c>
      <c r="B1160" s="164" t="str">
        <f>RIGHT(TDays[[#This Row],[تاریخ]],2)</f>
        <v>01</v>
      </c>
      <c r="C1160" s="164" t="str">
        <f>RIGHT(LEFT(TDays[[#This Row],[تاریخ]],7),2)</f>
        <v>03</v>
      </c>
      <c r="D1160" s="164" t="str">
        <f>LEFT(TDays[[#This Row],[تاریخ]],4)</f>
        <v>1404</v>
      </c>
      <c r="E1160" s="164" t="str">
        <f>LEFT(TDays[[#This Row],[تاریخ]],7)</f>
        <v>1404-03</v>
      </c>
      <c r="F1160">
        <v>5</v>
      </c>
      <c r="G1160" s="165" t="str">
        <f>VLOOKUP(TDays[[#This Row],[کد روز هفته]],TDaysOfTheWeek[],2,FALSE)</f>
        <v>پنجشنبه</v>
      </c>
      <c r="H1160" s="165">
        <f>IFERROR(IF(E1159&lt;&gt;E1160,1,INT(H1159)+IF(TDays[[#This Row],[کد روز هفته]]=0,1,0)),1)</f>
        <v>1</v>
      </c>
      <c r="I1160" s="164">
        <f>-SUMIF(TArticle[تاریخ],TDays[[#This Row],[تاریخ]],TArticle[هزینه])</f>
        <v>0</v>
      </c>
      <c r="J1160" s="164">
        <f>SUMIF(TArticle[تاریخ],TDays[[#This Row],[تاریخ]],TArticle[درآمد تتا])</f>
        <v>0</v>
      </c>
      <c r="K1160" s="164">
        <f>SUMIF(TArticle[تاریخ],TDays[[#This Row],[تاریخ]],TArticle[اسنپ])</f>
        <v>0</v>
      </c>
      <c r="L1160" s="164">
        <f>-SUMIF(TArticle[تاریخ],TDays[[#This Row],[تاریخ]],TArticle[پرداخت بدهی])</f>
        <v>0</v>
      </c>
      <c r="M1160" s="164">
        <f>SUMIF(TArticle[تاریخ],TDays[[#This Row],[تاریخ]],TArticle[افزایش بدهی])</f>
        <v>0</v>
      </c>
      <c r="N1160" s="164">
        <f>-SUMIF(TArticle[تاریخ],TDays[[#This Row],[تاریخ]],TArticle[افزایش سرمایه])</f>
        <v>0</v>
      </c>
      <c r="O1160" s="164">
        <f>SUMIF(TArticle[تاریخ],TDays[[#This Row],[تاریخ]],TArticle[تعداد تراکنش انجام شده])</f>
        <v>0</v>
      </c>
      <c r="P1160" s="164">
        <f>INT(((TDays[[#This Row],[ماه]]-1)*31+TDays[[#This Row],[روز]]+1)/7)+1</f>
        <v>10</v>
      </c>
      <c r="Q1160" s="164">
        <f>SUMIF(TArticle[تاریخ],TDays[[#This Row],[تاریخ]],TArticle[تراکنش برنامه ریزی شده])</f>
        <v>2</v>
      </c>
    </row>
    <row r="1161" spans="1:17" x14ac:dyDescent="0.25">
      <c r="A1161" s="3" t="s">
        <v>1752</v>
      </c>
      <c r="B1161" s="164" t="str">
        <f>RIGHT(TDays[[#This Row],[تاریخ]],2)</f>
        <v>02</v>
      </c>
      <c r="C1161" s="164" t="str">
        <f>RIGHT(LEFT(TDays[[#This Row],[تاریخ]],7),2)</f>
        <v>03</v>
      </c>
      <c r="D1161" s="164" t="str">
        <f>LEFT(TDays[[#This Row],[تاریخ]],4)</f>
        <v>1404</v>
      </c>
      <c r="E1161" s="164" t="str">
        <f>LEFT(TDays[[#This Row],[تاریخ]],7)</f>
        <v>1404-03</v>
      </c>
      <c r="F1161">
        <v>6</v>
      </c>
      <c r="G1161" s="165" t="str">
        <f>VLOOKUP(TDays[[#This Row],[کد روز هفته]],TDaysOfTheWeek[],2,FALSE)</f>
        <v>جمعه</v>
      </c>
      <c r="H1161" s="165">
        <f>IFERROR(IF(E1160&lt;&gt;E1161,1,INT(H1160)+IF(TDays[[#This Row],[کد روز هفته]]=0,1,0)),1)</f>
        <v>1</v>
      </c>
      <c r="I1161" s="164">
        <f>-SUMIF(TArticle[تاریخ],TDays[[#This Row],[تاریخ]],TArticle[هزینه])</f>
        <v>0</v>
      </c>
      <c r="J1161" s="164">
        <f>SUMIF(TArticle[تاریخ],TDays[[#This Row],[تاریخ]],TArticle[درآمد تتا])</f>
        <v>0</v>
      </c>
      <c r="K1161" s="164">
        <f>SUMIF(TArticle[تاریخ],TDays[[#This Row],[تاریخ]],TArticle[اسنپ])</f>
        <v>0</v>
      </c>
      <c r="L1161" s="164">
        <f>-SUMIF(TArticle[تاریخ],TDays[[#This Row],[تاریخ]],TArticle[پرداخت بدهی])</f>
        <v>0</v>
      </c>
      <c r="M1161" s="164">
        <f>SUMIF(TArticle[تاریخ],TDays[[#This Row],[تاریخ]],TArticle[افزایش بدهی])</f>
        <v>0</v>
      </c>
      <c r="N1161" s="164">
        <f>-SUMIF(TArticle[تاریخ],TDays[[#This Row],[تاریخ]],TArticle[افزایش سرمایه])</f>
        <v>0</v>
      </c>
      <c r="O1161" s="164">
        <f>SUMIF(TArticle[تاریخ],TDays[[#This Row],[تاریخ]],TArticle[تعداد تراکنش انجام شده])</f>
        <v>0</v>
      </c>
      <c r="P1161" s="164">
        <f>INT(((TDays[[#This Row],[ماه]]-1)*31+TDays[[#This Row],[روز]]+1)/7)+1</f>
        <v>10</v>
      </c>
      <c r="Q1161" s="164">
        <f>SUMIF(TArticle[تاریخ],TDays[[#This Row],[تاریخ]],TArticle[تراکنش برنامه ریزی شده])</f>
        <v>0</v>
      </c>
    </row>
    <row r="1162" spans="1:17" x14ac:dyDescent="0.25">
      <c r="A1162" s="3" t="s">
        <v>1753</v>
      </c>
      <c r="B1162" s="164" t="str">
        <f>RIGHT(TDays[[#This Row],[تاریخ]],2)</f>
        <v>03</v>
      </c>
      <c r="C1162" s="164" t="str">
        <f>RIGHT(LEFT(TDays[[#This Row],[تاریخ]],7),2)</f>
        <v>03</v>
      </c>
      <c r="D1162" s="164" t="str">
        <f>LEFT(TDays[[#This Row],[تاریخ]],4)</f>
        <v>1404</v>
      </c>
      <c r="E1162" s="164" t="str">
        <f>LEFT(TDays[[#This Row],[تاریخ]],7)</f>
        <v>1404-03</v>
      </c>
      <c r="F1162">
        <v>0</v>
      </c>
      <c r="G1162" s="165" t="str">
        <f>VLOOKUP(TDays[[#This Row],[کد روز هفته]],TDaysOfTheWeek[],2,FALSE)</f>
        <v>شنبه</v>
      </c>
      <c r="H1162" s="165">
        <f>IFERROR(IF(E1161&lt;&gt;E1162,1,INT(H1161)+IF(TDays[[#This Row],[کد روز هفته]]=0,1,0)),1)</f>
        <v>2</v>
      </c>
      <c r="I1162" s="164">
        <f>-SUMIF(TArticle[تاریخ],TDays[[#This Row],[تاریخ]],TArticle[هزینه])</f>
        <v>0</v>
      </c>
      <c r="J1162" s="164">
        <f>SUMIF(TArticle[تاریخ],TDays[[#This Row],[تاریخ]],TArticle[درآمد تتا])</f>
        <v>0</v>
      </c>
      <c r="K1162" s="164">
        <f>SUMIF(TArticle[تاریخ],TDays[[#This Row],[تاریخ]],TArticle[اسنپ])</f>
        <v>0</v>
      </c>
      <c r="L1162" s="164">
        <f>-SUMIF(TArticle[تاریخ],TDays[[#This Row],[تاریخ]],TArticle[پرداخت بدهی])</f>
        <v>0</v>
      </c>
      <c r="M1162" s="164">
        <f>SUMIF(TArticle[تاریخ],TDays[[#This Row],[تاریخ]],TArticle[افزایش بدهی])</f>
        <v>0</v>
      </c>
      <c r="N1162" s="164">
        <f>-SUMIF(TArticle[تاریخ],TDays[[#This Row],[تاریخ]],TArticle[افزایش سرمایه])</f>
        <v>0</v>
      </c>
      <c r="O1162" s="164">
        <f>SUMIF(TArticle[تاریخ],TDays[[#This Row],[تاریخ]],TArticle[تعداد تراکنش انجام شده])</f>
        <v>0</v>
      </c>
      <c r="P1162" s="164">
        <f>INT(((TDays[[#This Row],[ماه]]-1)*31+TDays[[#This Row],[روز]]+1)/7)+1</f>
        <v>10</v>
      </c>
      <c r="Q1162" s="164">
        <f>SUMIF(TArticle[تاریخ],TDays[[#This Row],[تاریخ]],TArticle[تراکنش برنامه ریزی شده])</f>
        <v>1</v>
      </c>
    </row>
    <row r="1163" spans="1:17" x14ac:dyDescent="0.25">
      <c r="A1163" s="3" t="s">
        <v>1754</v>
      </c>
      <c r="B1163" s="164" t="str">
        <f>RIGHT(TDays[[#This Row],[تاریخ]],2)</f>
        <v>04</v>
      </c>
      <c r="C1163" s="164" t="str">
        <f>RIGHT(LEFT(TDays[[#This Row],[تاریخ]],7),2)</f>
        <v>03</v>
      </c>
      <c r="D1163" s="164" t="str">
        <f>LEFT(TDays[[#This Row],[تاریخ]],4)</f>
        <v>1404</v>
      </c>
      <c r="E1163" s="164" t="str">
        <f>LEFT(TDays[[#This Row],[تاریخ]],7)</f>
        <v>1404-03</v>
      </c>
      <c r="F1163">
        <v>1</v>
      </c>
      <c r="G1163" s="165" t="str">
        <f>VLOOKUP(TDays[[#This Row],[کد روز هفته]],TDaysOfTheWeek[],2,FALSE)</f>
        <v>یکشنبه</v>
      </c>
      <c r="H1163" s="165">
        <f>IFERROR(IF(E1162&lt;&gt;E1163,1,INT(H1162)+IF(TDays[[#This Row],[کد روز هفته]]=0,1,0)),1)</f>
        <v>2</v>
      </c>
      <c r="I1163" s="164">
        <f>-SUMIF(TArticle[تاریخ],TDays[[#This Row],[تاریخ]],TArticle[هزینه])</f>
        <v>0</v>
      </c>
      <c r="J1163" s="164">
        <f>SUMIF(TArticle[تاریخ],TDays[[#This Row],[تاریخ]],TArticle[درآمد تتا])</f>
        <v>0</v>
      </c>
      <c r="K1163" s="164">
        <f>SUMIF(TArticle[تاریخ],TDays[[#This Row],[تاریخ]],TArticle[اسنپ])</f>
        <v>0</v>
      </c>
      <c r="L1163" s="164">
        <f>-SUMIF(TArticle[تاریخ],TDays[[#This Row],[تاریخ]],TArticle[پرداخت بدهی])</f>
        <v>0</v>
      </c>
      <c r="M1163" s="164">
        <f>SUMIF(TArticle[تاریخ],TDays[[#This Row],[تاریخ]],TArticle[افزایش بدهی])</f>
        <v>0</v>
      </c>
      <c r="N1163" s="164">
        <f>-SUMIF(TArticle[تاریخ],TDays[[#This Row],[تاریخ]],TArticle[افزایش سرمایه])</f>
        <v>0</v>
      </c>
      <c r="O1163" s="164">
        <f>SUMIF(TArticle[تاریخ],TDays[[#This Row],[تاریخ]],TArticle[تعداد تراکنش انجام شده])</f>
        <v>0</v>
      </c>
      <c r="P1163" s="164">
        <f>INT(((TDays[[#This Row],[ماه]]-1)*31+TDays[[#This Row],[روز]]+1)/7)+1</f>
        <v>10</v>
      </c>
      <c r="Q1163" s="164">
        <f>SUMIF(TArticle[تاریخ],TDays[[#This Row],[تاریخ]],TArticle[تراکنش برنامه ریزی شده])</f>
        <v>0</v>
      </c>
    </row>
    <row r="1164" spans="1:17" x14ac:dyDescent="0.25">
      <c r="A1164" s="3" t="s">
        <v>1682</v>
      </c>
      <c r="B1164" s="164" t="str">
        <f>RIGHT(TDays[[#This Row],[تاریخ]],2)</f>
        <v>05</v>
      </c>
      <c r="C1164" s="164" t="str">
        <f>RIGHT(LEFT(TDays[[#This Row],[تاریخ]],7),2)</f>
        <v>03</v>
      </c>
      <c r="D1164" s="164" t="str">
        <f>LEFT(TDays[[#This Row],[تاریخ]],4)</f>
        <v>1404</v>
      </c>
      <c r="E1164" s="164" t="str">
        <f>LEFT(TDays[[#This Row],[تاریخ]],7)</f>
        <v>1404-03</v>
      </c>
      <c r="F1164">
        <v>2</v>
      </c>
      <c r="G1164" s="165" t="str">
        <f>VLOOKUP(TDays[[#This Row],[کد روز هفته]],TDaysOfTheWeek[],2,FALSE)</f>
        <v>دوشنبه</v>
      </c>
      <c r="H1164" s="165">
        <f>IFERROR(IF(E1163&lt;&gt;E1164,1,INT(H1163)+IF(TDays[[#This Row],[کد روز هفته]]=0,1,0)),1)</f>
        <v>2</v>
      </c>
      <c r="I1164" s="164">
        <f>-SUMIF(TArticle[تاریخ],TDays[[#This Row],[تاریخ]],TArticle[هزینه])</f>
        <v>0</v>
      </c>
      <c r="J1164" s="164">
        <f>SUMIF(TArticle[تاریخ],TDays[[#This Row],[تاریخ]],TArticle[درآمد تتا])</f>
        <v>0</v>
      </c>
      <c r="K1164" s="164">
        <f>SUMIF(TArticle[تاریخ],TDays[[#This Row],[تاریخ]],TArticle[اسنپ])</f>
        <v>0</v>
      </c>
      <c r="L1164" s="164">
        <f>-SUMIF(TArticle[تاریخ],TDays[[#This Row],[تاریخ]],TArticle[پرداخت بدهی])</f>
        <v>0</v>
      </c>
      <c r="M1164" s="164">
        <f>SUMIF(TArticle[تاریخ],TDays[[#This Row],[تاریخ]],TArticle[افزایش بدهی])</f>
        <v>0</v>
      </c>
      <c r="N1164" s="164">
        <f>-SUMIF(TArticle[تاریخ],TDays[[#This Row],[تاریخ]],TArticle[افزایش سرمایه])</f>
        <v>0</v>
      </c>
      <c r="O1164" s="164">
        <f>SUMIF(TArticle[تاریخ],TDays[[#This Row],[تاریخ]],TArticle[تعداد تراکنش انجام شده])</f>
        <v>0</v>
      </c>
      <c r="P1164" s="164">
        <f>INT(((TDays[[#This Row],[ماه]]-1)*31+TDays[[#This Row],[روز]]+1)/7)+1</f>
        <v>10</v>
      </c>
      <c r="Q1164" s="164">
        <f>SUMIF(TArticle[تاریخ],TDays[[#This Row],[تاریخ]],TArticle[تراکنش برنامه ریزی شده])</f>
        <v>0</v>
      </c>
    </row>
    <row r="1165" spans="1:17" x14ac:dyDescent="0.25">
      <c r="A1165" s="3" t="s">
        <v>1755</v>
      </c>
      <c r="B1165" s="164" t="str">
        <f>RIGHT(TDays[[#This Row],[تاریخ]],2)</f>
        <v>06</v>
      </c>
      <c r="C1165" s="164" t="str">
        <f>RIGHT(LEFT(TDays[[#This Row],[تاریخ]],7),2)</f>
        <v>03</v>
      </c>
      <c r="D1165" s="164" t="str">
        <f>LEFT(TDays[[#This Row],[تاریخ]],4)</f>
        <v>1404</v>
      </c>
      <c r="E1165" s="164" t="str">
        <f>LEFT(TDays[[#This Row],[تاریخ]],7)</f>
        <v>1404-03</v>
      </c>
      <c r="F1165">
        <v>3</v>
      </c>
      <c r="G1165" s="165" t="str">
        <f>VLOOKUP(TDays[[#This Row],[کد روز هفته]],TDaysOfTheWeek[],2,FALSE)</f>
        <v>سه شنبه</v>
      </c>
      <c r="H1165" s="165">
        <f>IFERROR(IF(E1164&lt;&gt;E1165,1,INT(H1164)+IF(TDays[[#This Row],[کد روز هفته]]=0,1,0)),1)</f>
        <v>2</v>
      </c>
      <c r="I1165" s="164">
        <f>-SUMIF(TArticle[تاریخ],TDays[[#This Row],[تاریخ]],TArticle[هزینه])</f>
        <v>0</v>
      </c>
      <c r="J1165" s="164">
        <f>SUMIF(TArticle[تاریخ],TDays[[#This Row],[تاریخ]],TArticle[درآمد تتا])</f>
        <v>0</v>
      </c>
      <c r="K1165" s="164">
        <f>SUMIF(TArticle[تاریخ],TDays[[#This Row],[تاریخ]],TArticle[اسنپ])</f>
        <v>0</v>
      </c>
      <c r="L1165" s="164">
        <f>-SUMIF(TArticle[تاریخ],TDays[[#This Row],[تاریخ]],TArticle[پرداخت بدهی])</f>
        <v>0</v>
      </c>
      <c r="M1165" s="164">
        <f>SUMIF(TArticle[تاریخ],TDays[[#This Row],[تاریخ]],TArticle[افزایش بدهی])</f>
        <v>0</v>
      </c>
      <c r="N1165" s="164">
        <f>-SUMIF(TArticle[تاریخ],TDays[[#This Row],[تاریخ]],TArticle[افزایش سرمایه])</f>
        <v>0</v>
      </c>
      <c r="O1165" s="164">
        <f>SUMIF(TArticle[تاریخ],TDays[[#This Row],[تاریخ]],TArticle[تعداد تراکنش انجام شده])</f>
        <v>0</v>
      </c>
      <c r="P1165" s="164">
        <f>INT(((TDays[[#This Row],[ماه]]-1)*31+TDays[[#This Row],[روز]]+1)/7)+1</f>
        <v>10</v>
      </c>
      <c r="Q1165" s="164">
        <f>SUMIF(TArticle[تاریخ],TDays[[#This Row],[تاریخ]],TArticle[تراکنش برنامه ریزی شده])</f>
        <v>0</v>
      </c>
    </row>
    <row r="1166" spans="1:17" x14ac:dyDescent="0.25">
      <c r="A1166" s="3" t="s">
        <v>1756</v>
      </c>
      <c r="B1166" s="164" t="str">
        <f>RIGHT(TDays[[#This Row],[تاریخ]],2)</f>
        <v>07</v>
      </c>
      <c r="C1166" s="164" t="str">
        <f>RIGHT(LEFT(TDays[[#This Row],[تاریخ]],7),2)</f>
        <v>03</v>
      </c>
      <c r="D1166" s="164" t="str">
        <f>LEFT(TDays[[#This Row],[تاریخ]],4)</f>
        <v>1404</v>
      </c>
      <c r="E1166" s="164" t="str">
        <f>LEFT(TDays[[#This Row],[تاریخ]],7)</f>
        <v>1404-03</v>
      </c>
      <c r="F1166">
        <v>4</v>
      </c>
      <c r="G1166" s="165" t="str">
        <f>VLOOKUP(TDays[[#This Row],[کد روز هفته]],TDaysOfTheWeek[],2,FALSE)</f>
        <v>چهارشنبه</v>
      </c>
      <c r="H1166" s="165">
        <f>IFERROR(IF(E1165&lt;&gt;E1166,1,INT(H1165)+IF(TDays[[#This Row],[کد روز هفته]]=0,1,0)),1)</f>
        <v>2</v>
      </c>
      <c r="I1166" s="164">
        <f>-SUMIF(TArticle[تاریخ],TDays[[#This Row],[تاریخ]],TArticle[هزینه])</f>
        <v>0</v>
      </c>
      <c r="J1166" s="164">
        <f>SUMIF(TArticle[تاریخ],TDays[[#This Row],[تاریخ]],TArticle[درآمد تتا])</f>
        <v>0</v>
      </c>
      <c r="K1166" s="164">
        <f>SUMIF(TArticle[تاریخ],TDays[[#This Row],[تاریخ]],TArticle[اسنپ])</f>
        <v>0</v>
      </c>
      <c r="L1166" s="164">
        <f>-SUMIF(TArticle[تاریخ],TDays[[#This Row],[تاریخ]],TArticle[پرداخت بدهی])</f>
        <v>0</v>
      </c>
      <c r="M1166" s="164">
        <f>SUMIF(TArticle[تاریخ],TDays[[#This Row],[تاریخ]],TArticle[افزایش بدهی])</f>
        <v>0</v>
      </c>
      <c r="N1166" s="164">
        <f>-SUMIF(TArticle[تاریخ],TDays[[#This Row],[تاریخ]],TArticle[افزایش سرمایه])</f>
        <v>0</v>
      </c>
      <c r="O1166" s="164">
        <f>SUMIF(TArticle[تاریخ],TDays[[#This Row],[تاریخ]],TArticle[تعداد تراکنش انجام شده])</f>
        <v>0</v>
      </c>
      <c r="P1166" s="164">
        <f>INT(((TDays[[#This Row],[ماه]]-1)*31+TDays[[#This Row],[روز]]+1)/7)+1</f>
        <v>11</v>
      </c>
      <c r="Q1166" s="164">
        <f>SUMIF(TArticle[تاریخ],TDays[[#This Row],[تاریخ]],TArticle[تراکنش برنامه ریزی شده])</f>
        <v>0</v>
      </c>
    </row>
    <row r="1167" spans="1:17" x14ac:dyDescent="0.25">
      <c r="A1167" s="3" t="s">
        <v>1757</v>
      </c>
      <c r="B1167" s="164" t="str">
        <f>RIGHT(TDays[[#This Row],[تاریخ]],2)</f>
        <v>08</v>
      </c>
      <c r="C1167" s="164" t="str">
        <f>RIGHT(LEFT(TDays[[#This Row],[تاریخ]],7),2)</f>
        <v>03</v>
      </c>
      <c r="D1167" s="164" t="str">
        <f>LEFT(TDays[[#This Row],[تاریخ]],4)</f>
        <v>1404</v>
      </c>
      <c r="E1167" s="164" t="str">
        <f>LEFT(TDays[[#This Row],[تاریخ]],7)</f>
        <v>1404-03</v>
      </c>
      <c r="F1167">
        <v>5</v>
      </c>
      <c r="G1167" s="165" t="str">
        <f>VLOOKUP(TDays[[#This Row],[کد روز هفته]],TDaysOfTheWeek[],2,FALSE)</f>
        <v>پنجشنبه</v>
      </c>
      <c r="H1167" s="165">
        <f>IFERROR(IF(E1166&lt;&gt;E1167,1,INT(H1166)+IF(TDays[[#This Row],[کد روز هفته]]=0,1,0)),1)</f>
        <v>2</v>
      </c>
      <c r="I1167" s="164">
        <f>-SUMIF(TArticle[تاریخ],TDays[[#This Row],[تاریخ]],TArticle[هزینه])</f>
        <v>0</v>
      </c>
      <c r="J1167" s="164">
        <f>SUMIF(TArticle[تاریخ],TDays[[#This Row],[تاریخ]],TArticle[درآمد تتا])</f>
        <v>0</v>
      </c>
      <c r="K1167" s="164">
        <f>SUMIF(TArticle[تاریخ],TDays[[#This Row],[تاریخ]],TArticle[اسنپ])</f>
        <v>0</v>
      </c>
      <c r="L1167" s="164">
        <f>-SUMIF(TArticle[تاریخ],TDays[[#This Row],[تاریخ]],TArticle[پرداخت بدهی])</f>
        <v>0</v>
      </c>
      <c r="M1167" s="164">
        <f>SUMIF(TArticle[تاریخ],TDays[[#This Row],[تاریخ]],TArticle[افزایش بدهی])</f>
        <v>0</v>
      </c>
      <c r="N1167" s="164">
        <f>-SUMIF(TArticle[تاریخ],TDays[[#This Row],[تاریخ]],TArticle[افزایش سرمایه])</f>
        <v>0</v>
      </c>
      <c r="O1167" s="164">
        <f>SUMIF(TArticle[تاریخ],TDays[[#This Row],[تاریخ]],TArticle[تعداد تراکنش انجام شده])</f>
        <v>0</v>
      </c>
      <c r="P1167" s="164">
        <f>INT(((TDays[[#This Row],[ماه]]-1)*31+TDays[[#This Row],[روز]]+1)/7)+1</f>
        <v>11</v>
      </c>
      <c r="Q1167" s="164">
        <f>SUMIF(TArticle[تاریخ],TDays[[#This Row],[تاریخ]],TArticle[تراکنش برنامه ریزی شده])</f>
        <v>0</v>
      </c>
    </row>
    <row r="1168" spans="1:17" x14ac:dyDescent="0.25">
      <c r="A1168" s="3" t="s">
        <v>1758</v>
      </c>
      <c r="B1168" s="164" t="str">
        <f>RIGHT(TDays[[#This Row],[تاریخ]],2)</f>
        <v>09</v>
      </c>
      <c r="C1168" s="164" t="str">
        <f>RIGHT(LEFT(TDays[[#This Row],[تاریخ]],7),2)</f>
        <v>03</v>
      </c>
      <c r="D1168" s="164" t="str">
        <f>LEFT(TDays[[#This Row],[تاریخ]],4)</f>
        <v>1404</v>
      </c>
      <c r="E1168" s="164" t="str">
        <f>LEFT(TDays[[#This Row],[تاریخ]],7)</f>
        <v>1404-03</v>
      </c>
      <c r="F1168">
        <v>6</v>
      </c>
      <c r="G1168" s="165" t="str">
        <f>VLOOKUP(TDays[[#This Row],[کد روز هفته]],TDaysOfTheWeek[],2,FALSE)</f>
        <v>جمعه</v>
      </c>
      <c r="H1168" s="165">
        <f>IFERROR(IF(E1167&lt;&gt;E1168,1,INT(H1167)+IF(TDays[[#This Row],[کد روز هفته]]=0,1,0)),1)</f>
        <v>2</v>
      </c>
      <c r="I1168" s="164">
        <f>-SUMIF(TArticle[تاریخ],TDays[[#This Row],[تاریخ]],TArticle[هزینه])</f>
        <v>0</v>
      </c>
      <c r="J1168" s="164">
        <f>SUMIF(TArticle[تاریخ],TDays[[#This Row],[تاریخ]],TArticle[درآمد تتا])</f>
        <v>0</v>
      </c>
      <c r="K1168" s="164">
        <f>SUMIF(TArticle[تاریخ],TDays[[#This Row],[تاریخ]],TArticle[اسنپ])</f>
        <v>0</v>
      </c>
      <c r="L1168" s="164">
        <f>-SUMIF(TArticle[تاریخ],TDays[[#This Row],[تاریخ]],TArticle[پرداخت بدهی])</f>
        <v>0</v>
      </c>
      <c r="M1168" s="164">
        <f>SUMIF(TArticle[تاریخ],TDays[[#This Row],[تاریخ]],TArticle[افزایش بدهی])</f>
        <v>0</v>
      </c>
      <c r="N1168" s="164">
        <f>-SUMIF(TArticle[تاریخ],TDays[[#This Row],[تاریخ]],TArticle[افزایش سرمایه])</f>
        <v>0</v>
      </c>
      <c r="O1168" s="164">
        <f>SUMIF(TArticle[تاریخ],TDays[[#This Row],[تاریخ]],TArticle[تعداد تراکنش انجام شده])</f>
        <v>0</v>
      </c>
      <c r="P1168" s="164">
        <f>INT(((TDays[[#This Row],[ماه]]-1)*31+TDays[[#This Row],[روز]]+1)/7)+1</f>
        <v>11</v>
      </c>
      <c r="Q1168" s="164">
        <f>SUMIF(TArticle[تاریخ],TDays[[#This Row],[تاریخ]],TArticle[تراکنش برنامه ریزی شده])</f>
        <v>1</v>
      </c>
    </row>
    <row r="1169" spans="1:17" x14ac:dyDescent="0.25">
      <c r="A1169" s="3" t="s">
        <v>1759</v>
      </c>
      <c r="B1169" s="164" t="str">
        <f>RIGHT(TDays[[#This Row],[تاریخ]],2)</f>
        <v>10</v>
      </c>
      <c r="C1169" s="164" t="str">
        <f>RIGHT(LEFT(TDays[[#This Row],[تاریخ]],7),2)</f>
        <v>03</v>
      </c>
      <c r="D1169" s="164" t="str">
        <f>LEFT(TDays[[#This Row],[تاریخ]],4)</f>
        <v>1404</v>
      </c>
      <c r="E1169" s="164" t="str">
        <f>LEFT(TDays[[#This Row],[تاریخ]],7)</f>
        <v>1404-03</v>
      </c>
      <c r="F1169">
        <v>0</v>
      </c>
      <c r="G1169" s="165" t="str">
        <f>VLOOKUP(TDays[[#This Row],[کد روز هفته]],TDaysOfTheWeek[],2,FALSE)</f>
        <v>شنبه</v>
      </c>
      <c r="H1169" s="165">
        <f>IFERROR(IF(E1168&lt;&gt;E1169,1,INT(H1168)+IF(TDays[[#This Row],[کد روز هفته]]=0,1,0)),1)</f>
        <v>3</v>
      </c>
      <c r="I1169" s="164">
        <f>-SUMIF(TArticle[تاریخ],TDays[[#This Row],[تاریخ]],TArticle[هزینه])</f>
        <v>0</v>
      </c>
      <c r="J1169" s="164">
        <f>SUMIF(TArticle[تاریخ],TDays[[#This Row],[تاریخ]],TArticle[درآمد تتا])</f>
        <v>0</v>
      </c>
      <c r="K1169" s="164">
        <f>SUMIF(TArticle[تاریخ],TDays[[#This Row],[تاریخ]],TArticle[اسنپ])</f>
        <v>0</v>
      </c>
      <c r="L1169" s="164">
        <f>-SUMIF(TArticle[تاریخ],TDays[[#This Row],[تاریخ]],TArticle[پرداخت بدهی])</f>
        <v>0</v>
      </c>
      <c r="M1169" s="164">
        <f>SUMIF(TArticle[تاریخ],TDays[[#This Row],[تاریخ]],TArticle[افزایش بدهی])</f>
        <v>0</v>
      </c>
      <c r="N1169" s="164">
        <f>-SUMIF(TArticle[تاریخ],TDays[[#This Row],[تاریخ]],TArticle[افزایش سرمایه])</f>
        <v>0</v>
      </c>
      <c r="O1169" s="164">
        <f>SUMIF(TArticle[تاریخ],TDays[[#This Row],[تاریخ]],TArticle[تعداد تراکنش انجام شده])</f>
        <v>0</v>
      </c>
      <c r="P1169" s="164">
        <f>INT(((TDays[[#This Row],[ماه]]-1)*31+TDays[[#This Row],[روز]]+1)/7)+1</f>
        <v>11</v>
      </c>
      <c r="Q1169" s="164">
        <f>SUMIF(TArticle[تاریخ],TDays[[#This Row],[تاریخ]],TArticle[تراکنش برنامه ریزی شده])</f>
        <v>0</v>
      </c>
    </row>
    <row r="1170" spans="1:17" x14ac:dyDescent="0.25">
      <c r="A1170" s="3" t="s">
        <v>1760</v>
      </c>
      <c r="B1170" s="164" t="str">
        <f>RIGHT(TDays[[#This Row],[تاریخ]],2)</f>
        <v>11</v>
      </c>
      <c r="C1170" s="164" t="str">
        <f>RIGHT(LEFT(TDays[[#This Row],[تاریخ]],7),2)</f>
        <v>03</v>
      </c>
      <c r="D1170" s="164" t="str">
        <f>LEFT(TDays[[#This Row],[تاریخ]],4)</f>
        <v>1404</v>
      </c>
      <c r="E1170" s="164" t="str">
        <f>LEFT(TDays[[#This Row],[تاریخ]],7)</f>
        <v>1404-03</v>
      </c>
      <c r="F1170">
        <v>1</v>
      </c>
      <c r="G1170" s="165" t="str">
        <f>VLOOKUP(TDays[[#This Row],[کد روز هفته]],TDaysOfTheWeek[],2,FALSE)</f>
        <v>یکشنبه</v>
      </c>
      <c r="H1170" s="165">
        <f>IFERROR(IF(E1169&lt;&gt;E1170,1,INT(H1169)+IF(TDays[[#This Row],[کد روز هفته]]=0,1,0)),1)</f>
        <v>3</v>
      </c>
      <c r="I1170" s="164">
        <f>-SUMIF(TArticle[تاریخ],TDays[[#This Row],[تاریخ]],TArticle[هزینه])</f>
        <v>0</v>
      </c>
      <c r="J1170" s="164">
        <f>SUMIF(TArticle[تاریخ],TDays[[#This Row],[تاریخ]],TArticle[درآمد تتا])</f>
        <v>0</v>
      </c>
      <c r="K1170" s="164">
        <f>SUMIF(TArticle[تاریخ],TDays[[#This Row],[تاریخ]],TArticle[اسنپ])</f>
        <v>0</v>
      </c>
      <c r="L1170" s="164">
        <f>-SUMIF(TArticle[تاریخ],TDays[[#This Row],[تاریخ]],TArticle[پرداخت بدهی])</f>
        <v>0</v>
      </c>
      <c r="M1170" s="164">
        <f>SUMIF(TArticle[تاریخ],TDays[[#This Row],[تاریخ]],TArticle[افزایش بدهی])</f>
        <v>0</v>
      </c>
      <c r="N1170" s="164">
        <f>-SUMIF(TArticle[تاریخ],TDays[[#This Row],[تاریخ]],TArticle[افزایش سرمایه])</f>
        <v>0</v>
      </c>
      <c r="O1170" s="164">
        <f>SUMIF(TArticle[تاریخ],TDays[[#This Row],[تاریخ]],TArticle[تعداد تراکنش انجام شده])</f>
        <v>0</v>
      </c>
      <c r="P1170" s="164">
        <f>INT(((TDays[[#This Row],[ماه]]-1)*31+TDays[[#This Row],[روز]]+1)/7)+1</f>
        <v>11</v>
      </c>
      <c r="Q1170" s="164">
        <f>SUMIF(TArticle[تاریخ],TDays[[#This Row],[تاریخ]],TArticle[تراکنش برنامه ریزی شده])</f>
        <v>0</v>
      </c>
    </row>
    <row r="1171" spans="1:17" x14ac:dyDescent="0.25">
      <c r="A1171" s="3" t="s">
        <v>1761</v>
      </c>
      <c r="B1171" s="164" t="str">
        <f>RIGHT(TDays[[#This Row],[تاریخ]],2)</f>
        <v>12</v>
      </c>
      <c r="C1171" s="164" t="str">
        <f>RIGHT(LEFT(TDays[[#This Row],[تاریخ]],7),2)</f>
        <v>03</v>
      </c>
      <c r="D1171" s="164" t="str">
        <f>LEFT(TDays[[#This Row],[تاریخ]],4)</f>
        <v>1404</v>
      </c>
      <c r="E1171" s="164" t="str">
        <f>LEFT(TDays[[#This Row],[تاریخ]],7)</f>
        <v>1404-03</v>
      </c>
      <c r="F1171">
        <v>2</v>
      </c>
      <c r="G1171" s="165" t="str">
        <f>VLOOKUP(TDays[[#This Row],[کد روز هفته]],TDaysOfTheWeek[],2,FALSE)</f>
        <v>دوشنبه</v>
      </c>
      <c r="H1171" s="165">
        <f>IFERROR(IF(E1170&lt;&gt;E1171,1,INT(H1170)+IF(TDays[[#This Row],[کد روز هفته]]=0,1,0)),1)</f>
        <v>3</v>
      </c>
      <c r="I1171" s="164">
        <f>-SUMIF(TArticle[تاریخ],TDays[[#This Row],[تاریخ]],TArticle[هزینه])</f>
        <v>0</v>
      </c>
      <c r="J1171" s="164">
        <f>SUMIF(TArticle[تاریخ],TDays[[#This Row],[تاریخ]],TArticle[درآمد تتا])</f>
        <v>0</v>
      </c>
      <c r="K1171" s="164">
        <f>SUMIF(TArticle[تاریخ],TDays[[#This Row],[تاریخ]],TArticle[اسنپ])</f>
        <v>0</v>
      </c>
      <c r="L1171" s="164">
        <f>-SUMIF(TArticle[تاریخ],TDays[[#This Row],[تاریخ]],TArticle[پرداخت بدهی])</f>
        <v>0</v>
      </c>
      <c r="M1171" s="164">
        <f>SUMIF(TArticle[تاریخ],TDays[[#This Row],[تاریخ]],TArticle[افزایش بدهی])</f>
        <v>0</v>
      </c>
      <c r="N1171" s="164">
        <f>-SUMIF(TArticle[تاریخ],TDays[[#This Row],[تاریخ]],TArticle[افزایش سرمایه])</f>
        <v>0</v>
      </c>
      <c r="O1171" s="164">
        <f>SUMIF(TArticle[تاریخ],TDays[[#This Row],[تاریخ]],TArticle[تعداد تراکنش انجام شده])</f>
        <v>0</v>
      </c>
      <c r="P1171" s="164">
        <f>INT(((TDays[[#This Row],[ماه]]-1)*31+TDays[[#This Row],[روز]]+1)/7)+1</f>
        <v>11</v>
      </c>
      <c r="Q1171" s="164">
        <f>SUMIF(TArticle[تاریخ],TDays[[#This Row],[تاریخ]],TArticle[تراکنش برنامه ریزی شده])</f>
        <v>0</v>
      </c>
    </row>
    <row r="1172" spans="1:17" x14ac:dyDescent="0.25">
      <c r="A1172" s="3" t="s">
        <v>1762</v>
      </c>
      <c r="B1172" s="164" t="str">
        <f>RIGHT(TDays[[#This Row],[تاریخ]],2)</f>
        <v>13</v>
      </c>
      <c r="C1172" s="164" t="str">
        <f>RIGHT(LEFT(TDays[[#This Row],[تاریخ]],7),2)</f>
        <v>03</v>
      </c>
      <c r="D1172" s="164" t="str">
        <f>LEFT(TDays[[#This Row],[تاریخ]],4)</f>
        <v>1404</v>
      </c>
      <c r="E1172" s="164" t="str">
        <f>LEFT(TDays[[#This Row],[تاریخ]],7)</f>
        <v>1404-03</v>
      </c>
      <c r="F1172">
        <v>3</v>
      </c>
      <c r="G1172" s="165" t="str">
        <f>VLOOKUP(TDays[[#This Row],[کد روز هفته]],TDaysOfTheWeek[],2,FALSE)</f>
        <v>سه شنبه</v>
      </c>
      <c r="H1172" s="165">
        <f>IFERROR(IF(E1171&lt;&gt;E1172,1,INT(H1171)+IF(TDays[[#This Row],[کد روز هفته]]=0,1,0)),1)</f>
        <v>3</v>
      </c>
      <c r="I1172" s="164">
        <f>-SUMIF(TArticle[تاریخ],TDays[[#This Row],[تاریخ]],TArticle[هزینه])</f>
        <v>0</v>
      </c>
      <c r="J1172" s="164">
        <f>SUMIF(TArticle[تاریخ],TDays[[#This Row],[تاریخ]],TArticle[درآمد تتا])</f>
        <v>0</v>
      </c>
      <c r="K1172" s="164">
        <f>SUMIF(TArticle[تاریخ],TDays[[#This Row],[تاریخ]],TArticle[اسنپ])</f>
        <v>0</v>
      </c>
      <c r="L1172" s="164">
        <f>-SUMIF(TArticle[تاریخ],TDays[[#This Row],[تاریخ]],TArticle[پرداخت بدهی])</f>
        <v>0</v>
      </c>
      <c r="M1172" s="164">
        <f>SUMIF(TArticle[تاریخ],TDays[[#This Row],[تاریخ]],TArticle[افزایش بدهی])</f>
        <v>0</v>
      </c>
      <c r="N1172" s="164">
        <f>-SUMIF(TArticle[تاریخ],TDays[[#This Row],[تاریخ]],TArticle[افزایش سرمایه])</f>
        <v>0</v>
      </c>
      <c r="O1172" s="164">
        <f>SUMIF(TArticle[تاریخ],TDays[[#This Row],[تاریخ]],TArticle[تعداد تراکنش انجام شده])</f>
        <v>0</v>
      </c>
      <c r="P1172" s="164">
        <f>INT(((TDays[[#This Row],[ماه]]-1)*31+TDays[[#This Row],[روز]]+1)/7)+1</f>
        <v>11</v>
      </c>
      <c r="Q1172" s="164">
        <f>SUMIF(TArticle[تاریخ],TDays[[#This Row],[تاریخ]],TArticle[تراکنش برنامه ریزی شده])</f>
        <v>0</v>
      </c>
    </row>
    <row r="1173" spans="1:17" x14ac:dyDescent="0.25">
      <c r="A1173" s="3" t="s">
        <v>1763</v>
      </c>
      <c r="B1173" s="164" t="str">
        <f>RIGHT(TDays[[#This Row],[تاریخ]],2)</f>
        <v>14</v>
      </c>
      <c r="C1173" s="164" t="str">
        <f>RIGHT(LEFT(TDays[[#This Row],[تاریخ]],7),2)</f>
        <v>03</v>
      </c>
      <c r="D1173" s="164" t="str">
        <f>LEFT(TDays[[#This Row],[تاریخ]],4)</f>
        <v>1404</v>
      </c>
      <c r="E1173" s="164" t="str">
        <f>LEFT(TDays[[#This Row],[تاریخ]],7)</f>
        <v>1404-03</v>
      </c>
      <c r="F1173">
        <v>4</v>
      </c>
      <c r="G1173" s="165" t="str">
        <f>VLOOKUP(TDays[[#This Row],[کد روز هفته]],TDaysOfTheWeek[],2,FALSE)</f>
        <v>چهارشنبه</v>
      </c>
      <c r="H1173" s="165">
        <f>IFERROR(IF(E1172&lt;&gt;E1173,1,INT(H1172)+IF(TDays[[#This Row],[کد روز هفته]]=0,1,0)),1)</f>
        <v>3</v>
      </c>
      <c r="I1173" s="164">
        <f>-SUMIF(TArticle[تاریخ],TDays[[#This Row],[تاریخ]],TArticle[هزینه])</f>
        <v>0</v>
      </c>
      <c r="J1173" s="164">
        <f>SUMIF(TArticle[تاریخ],TDays[[#This Row],[تاریخ]],TArticle[درآمد تتا])</f>
        <v>0</v>
      </c>
      <c r="K1173" s="164">
        <f>SUMIF(TArticle[تاریخ],TDays[[#This Row],[تاریخ]],TArticle[اسنپ])</f>
        <v>0</v>
      </c>
      <c r="L1173" s="164">
        <f>-SUMIF(TArticle[تاریخ],TDays[[#This Row],[تاریخ]],TArticle[پرداخت بدهی])</f>
        <v>0</v>
      </c>
      <c r="M1173" s="164">
        <f>SUMIF(TArticle[تاریخ],TDays[[#This Row],[تاریخ]],TArticle[افزایش بدهی])</f>
        <v>0</v>
      </c>
      <c r="N1173" s="164">
        <f>-SUMIF(TArticle[تاریخ],TDays[[#This Row],[تاریخ]],TArticle[افزایش سرمایه])</f>
        <v>0</v>
      </c>
      <c r="O1173" s="164">
        <f>SUMIF(TArticle[تاریخ],TDays[[#This Row],[تاریخ]],TArticle[تعداد تراکنش انجام شده])</f>
        <v>0</v>
      </c>
      <c r="P1173" s="164">
        <f>INT(((TDays[[#This Row],[ماه]]-1)*31+TDays[[#This Row],[روز]]+1)/7)+1</f>
        <v>12</v>
      </c>
      <c r="Q1173" s="164">
        <f>SUMIF(TArticle[تاریخ],TDays[[#This Row],[تاریخ]],TArticle[تراکنش برنامه ریزی شده])</f>
        <v>0</v>
      </c>
    </row>
    <row r="1174" spans="1:17" x14ac:dyDescent="0.25">
      <c r="A1174" s="3" t="s">
        <v>1764</v>
      </c>
      <c r="B1174" s="164" t="str">
        <f>RIGHT(TDays[[#This Row],[تاریخ]],2)</f>
        <v>15</v>
      </c>
      <c r="C1174" s="164" t="str">
        <f>RIGHT(LEFT(TDays[[#This Row],[تاریخ]],7),2)</f>
        <v>03</v>
      </c>
      <c r="D1174" s="164" t="str">
        <f>LEFT(TDays[[#This Row],[تاریخ]],4)</f>
        <v>1404</v>
      </c>
      <c r="E1174" s="164" t="str">
        <f>LEFT(TDays[[#This Row],[تاریخ]],7)</f>
        <v>1404-03</v>
      </c>
      <c r="F1174">
        <v>5</v>
      </c>
      <c r="G1174" s="165" t="str">
        <f>VLOOKUP(TDays[[#This Row],[کد روز هفته]],TDaysOfTheWeek[],2,FALSE)</f>
        <v>پنجشنبه</v>
      </c>
      <c r="H1174" s="165">
        <f>IFERROR(IF(E1173&lt;&gt;E1174,1,INT(H1173)+IF(TDays[[#This Row],[کد روز هفته]]=0,1,0)),1)</f>
        <v>3</v>
      </c>
      <c r="I1174" s="164">
        <f>-SUMIF(TArticle[تاریخ],TDays[[#This Row],[تاریخ]],TArticle[هزینه])</f>
        <v>0</v>
      </c>
      <c r="J1174" s="164">
        <f>SUMIF(TArticle[تاریخ],TDays[[#This Row],[تاریخ]],TArticle[درآمد تتا])</f>
        <v>0</v>
      </c>
      <c r="K1174" s="164">
        <f>SUMIF(TArticle[تاریخ],TDays[[#This Row],[تاریخ]],TArticle[اسنپ])</f>
        <v>0</v>
      </c>
      <c r="L1174" s="164">
        <f>-SUMIF(TArticle[تاریخ],TDays[[#This Row],[تاریخ]],TArticle[پرداخت بدهی])</f>
        <v>0</v>
      </c>
      <c r="M1174" s="164">
        <f>SUMIF(TArticle[تاریخ],TDays[[#This Row],[تاریخ]],TArticle[افزایش بدهی])</f>
        <v>0</v>
      </c>
      <c r="N1174" s="164">
        <f>-SUMIF(TArticle[تاریخ],TDays[[#This Row],[تاریخ]],TArticle[افزایش سرمایه])</f>
        <v>0</v>
      </c>
      <c r="O1174" s="164">
        <f>SUMIF(TArticle[تاریخ],TDays[[#This Row],[تاریخ]],TArticle[تعداد تراکنش انجام شده])</f>
        <v>0</v>
      </c>
      <c r="P1174" s="164">
        <f>INT(((TDays[[#This Row],[ماه]]-1)*31+TDays[[#This Row],[روز]]+1)/7)+1</f>
        <v>12</v>
      </c>
      <c r="Q1174" s="164">
        <f>SUMIF(TArticle[تاریخ],TDays[[#This Row],[تاریخ]],TArticle[تراکنش برنامه ریزی شده])</f>
        <v>0</v>
      </c>
    </row>
    <row r="1175" spans="1:17" x14ac:dyDescent="0.25">
      <c r="A1175" s="3" t="s">
        <v>1765</v>
      </c>
      <c r="B1175" s="164" t="str">
        <f>RIGHT(TDays[[#This Row],[تاریخ]],2)</f>
        <v>16</v>
      </c>
      <c r="C1175" s="164" t="str">
        <f>RIGHT(LEFT(TDays[[#This Row],[تاریخ]],7),2)</f>
        <v>03</v>
      </c>
      <c r="D1175" s="164" t="str">
        <f>LEFT(TDays[[#This Row],[تاریخ]],4)</f>
        <v>1404</v>
      </c>
      <c r="E1175" s="164" t="str">
        <f>LEFT(TDays[[#This Row],[تاریخ]],7)</f>
        <v>1404-03</v>
      </c>
      <c r="F1175">
        <v>6</v>
      </c>
      <c r="G1175" s="165" t="str">
        <f>VLOOKUP(TDays[[#This Row],[کد روز هفته]],TDaysOfTheWeek[],2,FALSE)</f>
        <v>جمعه</v>
      </c>
      <c r="H1175" s="165">
        <f>IFERROR(IF(E1174&lt;&gt;E1175,1,INT(H1174)+IF(TDays[[#This Row],[کد روز هفته]]=0,1,0)),1)</f>
        <v>3</v>
      </c>
      <c r="I1175" s="164">
        <f>-SUMIF(TArticle[تاریخ],TDays[[#This Row],[تاریخ]],TArticle[هزینه])</f>
        <v>0</v>
      </c>
      <c r="J1175" s="164">
        <f>SUMIF(TArticle[تاریخ],TDays[[#This Row],[تاریخ]],TArticle[درآمد تتا])</f>
        <v>0</v>
      </c>
      <c r="K1175" s="164">
        <f>SUMIF(TArticle[تاریخ],TDays[[#This Row],[تاریخ]],TArticle[اسنپ])</f>
        <v>0</v>
      </c>
      <c r="L1175" s="164">
        <f>-SUMIF(TArticle[تاریخ],TDays[[#This Row],[تاریخ]],TArticle[پرداخت بدهی])</f>
        <v>0</v>
      </c>
      <c r="M1175" s="164">
        <f>SUMIF(TArticle[تاریخ],TDays[[#This Row],[تاریخ]],TArticle[افزایش بدهی])</f>
        <v>0</v>
      </c>
      <c r="N1175" s="164">
        <f>-SUMIF(TArticle[تاریخ],TDays[[#This Row],[تاریخ]],TArticle[افزایش سرمایه])</f>
        <v>0</v>
      </c>
      <c r="O1175" s="164">
        <f>SUMIF(TArticle[تاریخ],TDays[[#This Row],[تاریخ]],TArticle[تعداد تراکنش انجام شده])</f>
        <v>0</v>
      </c>
      <c r="P1175" s="164">
        <f>INT(((TDays[[#This Row],[ماه]]-1)*31+TDays[[#This Row],[روز]]+1)/7)+1</f>
        <v>12</v>
      </c>
      <c r="Q1175" s="164">
        <f>SUMIF(TArticle[تاریخ],TDays[[#This Row],[تاریخ]],TArticle[تراکنش برنامه ریزی شده])</f>
        <v>0</v>
      </c>
    </row>
    <row r="1176" spans="1:17" x14ac:dyDescent="0.25">
      <c r="A1176" s="3" t="s">
        <v>1766</v>
      </c>
      <c r="B1176" s="164" t="str">
        <f>RIGHT(TDays[[#This Row],[تاریخ]],2)</f>
        <v>17</v>
      </c>
      <c r="C1176" s="164" t="str">
        <f>RIGHT(LEFT(TDays[[#This Row],[تاریخ]],7),2)</f>
        <v>03</v>
      </c>
      <c r="D1176" s="164" t="str">
        <f>LEFT(TDays[[#This Row],[تاریخ]],4)</f>
        <v>1404</v>
      </c>
      <c r="E1176" s="164" t="str">
        <f>LEFT(TDays[[#This Row],[تاریخ]],7)</f>
        <v>1404-03</v>
      </c>
      <c r="F1176">
        <v>0</v>
      </c>
      <c r="G1176" s="165" t="str">
        <f>VLOOKUP(TDays[[#This Row],[کد روز هفته]],TDaysOfTheWeek[],2,FALSE)</f>
        <v>شنبه</v>
      </c>
      <c r="H1176" s="165">
        <f>IFERROR(IF(E1175&lt;&gt;E1176,1,INT(H1175)+IF(TDays[[#This Row],[کد روز هفته]]=0,1,0)),1)</f>
        <v>4</v>
      </c>
      <c r="I1176" s="164">
        <f>-SUMIF(TArticle[تاریخ],TDays[[#This Row],[تاریخ]],TArticle[هزینه])</f>
        <v>0</v>
      </c>
      <c r="J1176" s="164">
        <f>SUMIF(TArticle[تاریخ],TDays[[#This Row],[تاریخ]],TArticle[درآمد تتا])</f>
        <v>0</v>
      </c>
      <c r="K1176" s="164">
        <f>SUMIF(TArticle[تاریخ],TDays[[#This Row],[تاریخ]],TArticle[اسنپ])</f>
        <v>0</v>
      </c>
      <c r="L1176" s="164">
        <f>-SUMIF(TArticle[تاریخ],TDays[[#This Row],[تاریخ]],TArticle[پرداخت بدهی])</f>
        <v>0</v>
      </c>
      <c r="M1176" s="164">
        <f>SUMIF(TArticle[تاریخ],TDays[[#This Row],[تاریخ]],TArticle[افزایش بدهی])</f>
        <v>0</v>
      </c>
      <c r="N1176" s="164">
        <f>-SUMIF(TArticle[تاریخ],TDays[[#This Row],[تاریخ]],TArticle[افزایش سرمایه])</f>
        <v>0</v>
      </c>
      <c r="O1176" s="164">
        <f>SUMIF(TArticle[تاریخ],TDays[[#This Row],[تاریخ]],TArticle[تعداد تراکنش انجام شده])</f>
        <v>0</v>
      </c>
      <c r="P1176" s="164">
        <f>INT(((TDays[[#This Row],[ماه]]-1)*31+TDays[[#This Row],[روز]]+1)/7)+1</f>
        <v>12</v>
      </c>
      <c r="Q1176" s="164">
        <f>SUMIF(TArticle[تاریخ],TDays[[#This Row],[تاریخ]],TArticle[تراکنش برنامه ریزی شده])</f>
        <v>0</v>
      </c>
    </row>
    <row r="1177" spans="1:17" x14ac:dyDescent="0.25">
      <c r="A1177" s="3" t="s">
        <v>1767</v>
      </c>
      <c r="B1177" s="164" t="str">
        <f>RIGHT(TDays[[#This Row],[تاریخ]],2)</f>
        <v>18</v>
      </c>
      <c r="C1177" s="164" t="str">
        <f>RIGHT(LEFT(TDays[[#This Row],[تاریخ]],7),2)</f>
        <v>03</v>
      </c>
      <c r="D1177" s="164" t="str">
        <f>LEFT(TDays[[#This Row],[تاریخ]],4)</f>
        <v>1404</v>
      </c>
      <c r="E1177" s="164" t="str">
        <f>LEFT(TDays[[#This Row],[تاریخ]],7)</f>
        <v>1404-03</v>
      </c>
      <c r="F1177">
        <v>1</v>
      </c>
      <c r="G1177" s="165" t="str">
        <f>VLOOKUP(TDays[[#This Row],[کد روز هفته]],TDaysOfTheWeek[],2,FALSE)</f>
        <v>یکشنبه</v>
      </c>
      <c r="H1177" s="165">
        <f>IFERROR(IF(E1176&lt;&gt;E1177,1,INT(H1176)+IF(TDays[[#This Row],[کد روز هفته]]=0,1,0)),1)</f>
        <v>4</v>
      </c>
      <c r="I1177" s="164">
        <f>-SUMIF(TArticle[تاریخ],TDays[[#This Row],[تاریخ]],TArticle[هزینه])</f>
        <v>0</v>
      </c>
      <c r="J1177" s="164">
        <f>SUMIF(TArticle[تاریخ],TDays[[#This Row],[تاریخ]],TArticle[درآمد تتا])</f>
        <v>0</v>
      </c>
      <c r="K1177" s="164">
        <f>SUMIF(TArticle[تاریخ],TDays[[#This Row],[تاریخ]],TArticle[اسنپ])</f>
        <v>0</v>
      </c>
      <c r="L1177" s="164">
        <f>-SUMIF(TArticle[تاریخ],TDays[[#This Row],[تاریخ]],TArticle[پرداخت بدهی])</f>
        <v>0</v>
      </c>
      <c r="M1177" s="164">
        <f>SUMIF(TArticle[تاریخ],TDays[[#This Row],[تاریخ]],TArticle[افزایش بدهی])</f>
        <v>0</v>
      </c>
      <c r="N1177" s="164">
        <f>-SUMIF(TArticle[تاریخ],TDays[[#This Row],[تاریخ]],TArticle[افزایش سرمایه])</f>
        <v>0</v>
      </c>
      <c r="O1177" s="164">
        <f>SUMIF(TArticle[تاریخ],TDays[[#This Row],[تاریخ]],TArticle[تعداد تراکنش انجام شده])</f>
        <v>0</v>
      </c>
      <c r="P1177" s="164">
        <f>INT(((TDays[[#This Row],[ماه]]-1)*31+TDays[[#This Row],[روز]]+1)/7)+1</f>
        <v>12</v>
      </c>
      <c r="Q1177" s="164">
        <f>SUMIF(TArticle[تاریخ],TDays[[#This Row],[تاریخ]],TArticle[تراکنش برنامه ریزی شده])</f>
        <v>0</v>
      </c>
    </row>
    <row r="1178" spans="1:17" x14ac:dyDescent="0.25">
      <c r="A1178" s="3" t="s">
        <v>1768</v>
      </c>
      <c r="B1178" s="164" t="str">
        <f>RIGHT(TDays[[#This Row],[تاریخ]],2)</f>
        <v>19</v>
      </c>
      <c r="C1178" s="164" t="str">
        <f>RIGHT(LEFT(TDays[[#This Row],[تاریخ]],7),2)</f>
        <v>03</v>
      </c>
      <c r="D1178" s="164" t="str">
        <f>LEFT(TDays[[#This Row],[تاریخ]],4)</f>
        <v>1404</v>
      </c>
      <c r="E1178" s="164" t="str">
        <f>LEFT(TDays[[#This Row],[تاریخ]],7)</f>
        <v>1404-03</v>
      </c>
      <c r="F1178">
        <v>2</v>
      </c>
      <c r="G1178" s="165" t="str">
        <f>VLOOKUP(TDays[[#This Row],[کد روز هفته]],TDaysOfTheWeek[],2,FALSE)</f>
        <v>دوشنبه</v>
      </c>
      <c r="H1178" s="165">
        <f>IFERROR(IF(E1177&lt;&gt;E1178,1,INT(H1177)+IF(TDays[[#This Row],[کد روز هفته]]=0,1,0)),1)</f>
        <v>4</v>
      </c>
      <c r="I1178" s="164">
        <f>-SUMIF(TArticle[تاریخ],TDays[[#This Row],[تاریخ]],TArticle[هزینه])</f>
        <v>0</v>
      </c>
      <c r="J1178" s="164">
        <f>SUMIF(TArticle[تاریخ],TDays[[#This Row],[تاریخ]],TArticle[درآمد تتا])</f>
        <v>0</v>
      </c>
      <c r="K1178" s="164">
        <f>SUMIF(TArticle[تاریخ],TDays[[#This Row],[تاریخ]],TArticle[اسنپ])</f>
        <v>0</v>
      </c>
      <c r="L1178" s="164">
        <f>-SUMIF(TArticle[تاریخ],TDays[[#This Row],[تاریخ]],TArticle[پرداخت بدهی])</f>
        <v>0</v>
      </c>
      <c r="M1178" s="164">
        <f>SUMIF(TArticle[تاریخ],TDays[[#This Row],[تاریخ]],TArticle[افزایش بدهی])</f>
        <v>0</v>
      </c>
      <c r="N1178" s="164">
        <f>-SUMIF(TArticle[تاریخ],TDays[[#This Row],[تاریخ]],TArticle[افزایش سرمایه])</f>
        <v>0</v>
      </c>
      <c r="O1178" s="164">
        <f>SUMIF(TArticle[تاریخ],TDays[[#This Row],[تاریخ]],TArticle[تعداد تراکنش انجام شده])</f>
        <v>0</v>
      </c>
      <c r="P1178" s="164">
        <f>INT(((TDays[[#This Row],[ماه]]-1)*31+TDays[[#This Row],[روز]]+1)/7)+1</f>
        <v>12</v>
      </c>
      <c r="Q1178" s="164">
        <f>SUMIF(TArticle[تاریخ],TDays[[#This Row],[تاریخ]],TArticle[تراکنش برنامه ریزی شده])</f>
        <v>0</v>
      </c>
    </row>
    <row r="1179" spans="1:17" x14ac:dyDescent="0.25">
      <c r="A1179" s="3" t="s">
        <v>1769</v>
      </c>
      <c r="B1179" s="164" t="str">
        <f>RIGHT(TDays[[#This Row],[تاریخ]],2)</f>
        <v>20</v>
      </c>
      <c r="C1179" s="164" t="str">
        <f>RIGHT(LEFT(TDays[[#This Row],[تاریخ]],7),2)</f>
        <v>03</v>
      </c>
      <c r="D1179" s="164" t="str">
        <f>LEFT(TDays[[#This Row],[تاریخ]],4)</f>
        <v>1404</v>
      </c>
      <c r="E1179" s="164" t="str">
        <f>LEFT(TDays[[#This Row],[تاریخ]],7)</f>
        <v>1404-03</v>
      </c>
      <c r="F1179">
        <v>3</v>
      </c>
      <c r="G1179" s="165" t="str">
        <f>VLOOKUP(TDays[[#This Row],[کد روز هفته]],TDaysOfTheWeek[],2,FALSE)</f>
        <v>سه شنبه</v>
      </c>
      <c r="H1179" s="165">
        <f>IFERROR(IF(E1178&lt;&gt;E1179,1,INT(H1178)+IF(TDays[[#This Row],[کد روز هفته]]=0,1,0)),1)</f>
        <v>4</v>
      </c>
      <c r="I1179" s="164">
        <f>-SUMIF(TArticle[تاریخ],TDays[[#This Row],[تاریخ]],TArticle[هزینه])</f>
        <v>0</v>
      </c>
      <c r="J1179" s="164">
        <f>SUMIF(TArticle[تاریخ],TDays[[#This Row],[تاریخ]],TArticle[درآمد تتا])</f>
        <v>0</v>
      </c>
      <c r="K1179" s="164">
        <f>SUMIF(TArticle[تاریخ],TDays[[#This Row],[تاریخ]],TArticle[اسنپ])</f>
        <v>0</v>
      </c>
      <c r="L1179" s="164">
        <f>-SUMIF(TArticle[تاریخ],TDays[[#This Row],[تاریخ]],TArticle[پرداخت بدهی])</f>
        <v>0</v>
      </c>
      <c r="M1179" s="164">
        <f>SUMIF(TArticle[تاریخ],TDays[[#This Row],[تاریخ]],TArticle[افزایش بدهی])</f>
        <v>0</v>
      </c>
      <c r="N1179" s="164">
        <f>-SUMIF(TArticle[تاریخ],TDays[[#This Row],[تاریخ]],TArticle[افزایش سرمایه])</f>
        <v>0</v>
      </c>
      <c r="O1179" s="164">
        <f>SUMIF(TArticle[تاریخ],TDays[[#This Row],[تاریخ]],TArticle[تعداد تراکنش انجام شده])</f>
        <v>0</v>
      </c>
      <c r="P1179" s="164">
        <f>INT(((TDays[[#This Row],[ماه]]-1)*31+TDays[[#This Row],[روز]]+1)/7)+1</f>
        <v>12</v>
      </c>
      <c r="Q1179" s="164">
        <f>SUMIF(TArticle[تاریخ],TDays[[#This Row],[تاریخ]],TArticle[تراکنش برنامه ریزی شده])</f>
        <v>1</v>
      </c>
    </row>
    <row r="1180" spans="1:17" x14ac:dyDescent="0.25">
      <c r="A1180" s="3" t="s">
        <v>1770</v>
      </c>
      <c r="B1180" s="164" t="str">
        <f>RIGHT(TDays[[#This Row],[تاریخ]],2)</f>
        <v>21</v>
      </c>
      <c r="C1180" s="164" t="str">
        <f>RIGHT(LEFT(TDays[[#This Row],[تاریخ]],7),2)</f>
        <v>03</v>
      </c>
      <c r="D1180" s="164" t="str">
        <f>LEFT(TDays[[#This Row],[تاریخ]],4)</f>
        <v>1404</v>
      </c>
      <c r="E1180" s="164" t="str">
        <f>LEFT(TDays[[#This Row],[تاریخ]],7)</f>
        <v>1404-03</v>
      </c>
      <c r="F1180">
        <v>4</v>
      </c>
      <c r="G1180" s="165" t="str">
        <f>VLOOKUP(TDays[[#This Row],[کد روز هفته]],TDaysOfTheWeek[],2,FALSE)</f>
        <v>چهارشنبه</v>
      </c>
      <c r="H1180" s="165">
        <f>IFERROR(IF(E1179&lt;&gt;E1180,1,INT(H1179)+IF(TDays[[#This Row],[کد روز هفته]]=0,1,0)),1)</f>
        <v>4</v>
      </c>
      <c r="I1180" s="164">
        <f>-SUMIF(TArticle[تاریخ],TDays[[#This Row],[تاریخ]],TArticle[هزینه])</f>
        <v>0</v>
      </c>
      <c r="J1180" s="164">
        <f>SUMIF(TArticle[تاریخ],TDays[[#This Row],[تاریخ]],TArticle[درآمد تتا])</f>
        <v>0</v>
      </c>
      <c r="K1180" s="164">
        <f>SUMIF(TArticle[تاریخ],TDays[[#This Row],[تاریخ]],TArticle[اسنپ])</f>
        <v>0</v>
      </c>
      <c r="L1180" s="164">
        <f>-SUMIF(TArticle[تاریخ],TDays[[#This Row],[تاریخ]],TArticle[پرداخت بدهی])</f>
        <v>0</v>
      </c>
      <c r="M1180" s="164">
        <f>SUMIF(TArticle[تاریخ],TDays[[#This Row],[تاریخ]],TArticle[افزایش بدهی])</f>
        <v>0</v>
      </c>
      <c r="N1180" s="164">
        <f>-SUMIF(TArticle[تاریخ],TDays[[#This Row],[تاریخ]],TArticle[افزایش سرمایه])</f>
        <v>0</v>
      </c>
      <c r="O1180" s="164">
        <f>SUMIF(TArticle[تاریخ],TDays[[#This Row],[تاریخ]],TArticle[تعداد تراکنش انجام شده])</f>
        <v>0</v>
      </c>
      <c r="P1180" s="164">
        <f>INT(((TDays[[#This Row],[ماه]]-1)*31+TDays[[#This Row],[روز]]+1)/7)+1</f>
        <v>13</v>
      </c>
      <c r="Q1180" s="164">
        <f>SUMIF(TArticle[تاریخ],TDays[[#This Row],[تاریخ]],TArticle[تراکنش برنامه ریزی شده])</f>
        <v>0</v>
      </c>
    </row>
    <row r="1181" spans="1:17" x14ac:dyDescent="0.25">
      <c r="A1181" s="3" t="s">
        <v>1771</v>
      </c>
      <c r="B1181" s="164" t="str">
        <f>RIGHT(TDays[[#This Row],[تاریخ]],2)</f>
        <v>22</v>
      </c>
      <c r="C1181" s="164" t="str">
        <f>RIGHT(LEFT(TDays[[#This Row],[تاریخ]],7),2)</f>
        <v>03</v>
      </c>
      <c r="D1181" s="164" t="str">
        <f>LEFT(TDays[[#This Row],[تاریخ]],4)</f>
        <v>1404</v>
      </c>
      <c r="E1181" s="164" t="str">
        <f>LEFT(TDays[[#This Row],[تاریخ]],7)</f>
        <v>1404-03</v>
      </c>
      <c r="F1181">
        <v>5</v>
      </c>
      <c r="G1181" s="165" t="str">
        <f>VLOOKUP(TDays[[#This Row],[کد روز هفته]],TDaysOfTheWeek[],2,FALSE)</f>
        <v>پنجشنبه</v>
      </c>
      <c r="H1181" s="165">
        <f>IFERROR(IF(E1180&lt;&gt;E1181,1,INT(H1180)+IF(TDays[[#This Row],[کد روز هفته]]=0,1,0)),1)</f>
        <v>4</v>
      </c>
      <c r="I1181" s="164">
        <f>-SUMIF(TArticle[تاریخ],TDays[[#This Row],[تاریخ]],TArticle[هزینه])</f>
        <v>0</v>
      </c>
      <c r="J1181" s="164">
        <f>SUMIF(TArticle[تاریخ],TDays[[#This Row],[تاریخ]],TArticle[درآمد تتا])</f>
        <v>0</v>
      </c>
      <c r="K1181" s="164">
        <f>SUMIF(TArticle[تاریخ],TDays[[#This Row],[تاریخ]],TArticle[اسنپ])</f>
        <v>0</v>
      </c>
      <c r="L1181" s="164">
        <f>-SUMIF(TArticle[تاریخ],TDays[[#This Row],[تاریخ]],TArticle[پرداخت بدهی])</f>
        <v>0</v>
      </c>
      <c r="M1181" s="164">
        <f>SUMIF(TArticle[تاریخ],TDays[[#This Row],[تاریخ]],TArticle[افزایش بدهی])</f>
        <v>0</v>
      </c>
      <c r="N1181" s="164">
        <f>-SUMIF(TArticle[تاریخ],TDays[[#This Row],[تاریخ]],TArticle[افزایش سرمایه])</f>
        <v>0</v>
      </c>
      <c r="O1181" s="164">
        <f>SUMIF(TArticle[تاریخ],TDays[[#This Row],[تاریخ]],TArticle[تعداد تراکنش انجام شده])</f>
        <v>0</v>
      </c>
      <c r="P1181" s="164">
        <f>INT(((TDays[[#This Row],[ماه]]-1)*31+TDays[[#This Row],[روز]]+1)/7)+1</f>
        <v>13</v>
      </c>
      <c r="Q1181" s="164">
        <f>SUMIF(TArticle[تاریخ],TDays[[#This Row],[تاریخ]],TArticle[تراکنش برنامه ریزی شده])</f>
        <v>0</v>
      </c>
    </row>
    <row r="1182" spans="1:17" x14ac:dyDescent="0.25">
      <c r="A1182" s="3" t="s">
        <v>1772</v>
      </c>
      <c r="B1182" s="164" t="str">
        <f>RIGHT(TDays[[#This Row],[تاریخ]],2)</f>
        <v>23</v>
      </c>
      <c r="C1182" s="164" t="str">
        <f>RIGHT(LEFT(TDays[[#This Row],[تاریخ]],7),2)</f>
        <v>03</v>
      </c>
      <c r="D1182" s="164" t="str">
        <f>LEFT(TDays[[#This Row],[تاریخ]],4)</f>
        <v>1404</v>
      </c>
      <c r="E1182" s="164" t="str">
        <f>LEFT(TDays[[#This Row],[تاریخ]],7)</f>
        <v>1404-03</v>
      </c>
      <c r="F1182">
        <v>6</v>
      </c>
      <c r="G1182" s="165" t="str">
        <f>VLOOKUP(TDays[[#This Row],[کد روز هفته]],TDaysOfTheWeek[],2,FALSE)</f>
        <v>جمعه</v>
      </c>
      <c r="H1182" s="165">
        <f>IFERROR(IF(E1181&lt;&gt;E1182,1,INT(H1181)+IF(TDays[[#This Row],[کد روز هفته]]=0,1,0)),1)</f>
        <v>4</v>
      </c>
      <c r="I1182" s="164">
        <f>-SUMIF(TArticle[تاریخ],TDays[[#This Row],[تاریخ]],TArticle[هزینه])</f>
        <v>0</v>
      </c>
      <c r="J1182" s="164">
        <f>SUMIF(TArticle[تاریخ],TDays[[#This Row],[تاریخ]],TArticle[درآمد تتا])</f>
        <v>0</v>
      </c>
      <c r="K1182" s="164">
        <f>SUMIF(TArticle[تاریخ],TDays[[#This Row],[تاریخ]],TArticle[اسنپ])</f>
        <v>0</v>
      </c>
      <c r="L1182" s="164">
        <f>-SUMIF(TArticle[تاریخ],TDays[[#This Row],[تاریخ]],TArticle[پرداخت بدهی])</f>
        <v>0</v>
      </c>
      <c r="M1182" s="164">
        <f>SUMIF(TArticle[تاریخ],TDays[[#This Row],[تاریخ]],TArticle[افزایش بدهی])</f>
        <v>0</v>
      </c>
      <c r="N1182" s="164">
        <f>-SUMIF(TArticle[تاریخ],TDays[[#This Row],[تاریخ]],TArticle[افزایش سرمایه])</f>
        <v>0</v>
      </c>
      <c r="O1182" s="164">
        <f>SUMIF(TArticle[تاریخ],TDays[[#This Row],[تاریخ]],TArticle[تعداد تراکنش انجام شده])</f>
        <v>0</v>
      </c>
      <c r="P1182" s="164">
        <f>INT(((TDays[[#This Row],[ماه]]-1)*31+TDays[[#This Row],[روز]]+1)/7)+1</f>
        <v>13</v>
      </c>
      <c r="Q1182" s="164">
        <f>SUMIF(TArticle[تاریخ],TDays[[#This Row],[تاریخ]],TArticle[تراکنش برنامه ریزی شده])</f>
        <v>0</v>
      </c>
    </row>
    <row r="1183" spans="1:17" x14ac:dyDescent="0.25">
      <c r="A1183" s="3" t="s">
        <v>1773</v>
      </c>
      <c r="B1183" s="164" t="str">
        <f>RIGHT(TDays[[#This Row],[تاریخ]],2)</f>
        <v>24</v>
      </c>
      <c r="C1183" s="164" t="str">
        <f>RIGHT(LEFT(TDays[[#This Row],[تاریخ]],7),2)</f>
        <v>03</v>
      </c>
      <c r="D1183" s="164" t="str">
        <f>LEFT(TDays[[#This Row],[تاریخ]],4)</f>
        <v>1404</v>
      </c>
      <c r="E1183" s="164" t="str">
        <f>LEFT(TDays[[#This Row],[تاریخ]],7)</f>
        <v>1404-03</v>
      </c>
      <c r="F1183">
        <v>0</v>
      </c>
      <c r="G1183" s="165" t="str">
        <f>VLOOKUP(TDays[[#This Row],[کد روز هفته]],TDaysOfTheWeek[],2,FALSE)</f>
        <v>شنبه</v>
      </c>
      <c r="H1183" s="165">
        <f>IFERROR(IF(E1182&lt;&gt;E1183,1,INT(H1182)+IF(TDays[[#This Row],[کد روز هفته]]=0,1,0)),1)</f>
        <v>5</v>
      </c>
      <c r="I1183" s="164">
        <f>-SUMIF(TArticle[تاریخ],TDays[[#This Row],[تاریخ]],TArticle[هزینه])</f>
        <v>0</v>
      </c>
      <c r="J1183" s="164">
        <f>SUMIF(TArticle[تاریخ],TDays[[#This Row],[تاریخ]],TArticle[درآمد تتا])</f>
        <v>0</v>
      </c>
      <c r="K1183" s="164">
        <f>SUMIF(TArticle[تاریخ],TDays[[#This Row],[تاریخ]],TArticle[اسنپ])</f>
        <v>0</v>
      </c>
      <c r="L1183" s="164">
        <f>-SUMIF(TArticle[تاریخ],TDays[[#This Row],[تاریخ]],TArticle[پرداخت بدهی])</f>
        <v>0</v>
      </c>
      <c r="M1183" s="164">
        <f>SUMIF(TArticle[تاریخ],TDays[[#This Row],[تاریخ]],TArticle[افزایش بدهی])</f>
        <v>0</v>
      </c>
      <c r="N1183" s="164">
        <f>-SUMIF(TArticle[تاریخ],TDays[[#This Row],[تاریخ]],TArticle[افزایش سرمایه])</f>
        <v>0</v>
      </c>
      <c r="O1183" s="164">
        <f>SUMIF(TArticle[تاریخ],TDays[[#This Row],[تاریخ]],TArticle[تعداد تراکنش انجام شده])</f>
        <v>0</v>
      </c>
      <c r="P1183" s="164">
        <f>INT(((TDays[[#This Row],[ماه]]-1)*31+TDays[[#This Row],[روز]]+1)/7)+1</f>
        <v>13</v>
      </c>
      <c r="Q1183" s="164">
        <f>SUMIF(TArticle[تاریخ],TDays[[#This Row],[تاریخ]],TArticle[تراکنش برنامه ریزی شده])</f>
        <v>0</v>
      </c>
    </row>
    <row r="1184" spans="1:17" x14ac:dyDescent="0.25">
      <c r="A1184" s="3" t="s">
        <v>1774</v>
      </c>
      <c r="B1184" s="164" t="str">
        <f>RIGHT(TDays[[#This Row],[تاریخ]],2)</f>
        <v>25</v>
      </c>
      <c r="C1184" s="164" t="str">
        <f>RIGHT(LEFT(TDays[[#This Row],[تاریخ]],7),2)</f>
        <v>03</v>
      </c>
      <c r="D1184" s="164" t="str">
        <f>LEFT(TDays[[#This Row],[تاریخ]],4)</f>
        <v>1404</v>
      </c>
      <c r="E1184" s="164" t="str">
        <f>LEFT(TDays[[#This Row],[تاریخ]],7)</f>
        <v>1404-03</v>
      </c>
      <c r="F1184">
        <v>1</v>
      </c>
      <c r="G1184" s="165" t="str">
        <f>VLOOKUP(TDays[[#This Row],[کد روز هفته]],TDaysOfTheWeek[],2,FALSE)</f>
        <v>یکشنبه</v>
      </c>
      <c r="H1184" s="165">
        <f>IFERROR(IF(E1183&lt;&gt;E1184,1,INT(H1183)+IF(TDays[[#This Row],[کد روز هفته]]=0,1,0)),1)</f>
        <v>5</v>
      </c>
      <c r="I1184" s="164">
        <f>-SUMIF(TArticle[تاریخ],TDays[[#This Row],[تاریخ]],TArticle[هزینه])</f>
        <v>0</v>
      </c>
      <c r="J1184" s="164">
        <f>SUMIF(TArticle[تاریخ],TDays[[#This Row],[تاریخ]],TArticle[درآمد تتا])</f>
        <v>0</v>
      </c>
      <c r="K1184" s="164">
        <f>SUMIF(TArticle[تاریخ],TDays[[#This Row],[تاریخ]],TArticle[اسنپ])</f>
        <v>0</v>
      </c>
      <c r="L1184" s="164">
        <f>-SUMIF(TArticle[تاریخ],TDays[[#This Row],[تاریخ]],TArticle[پرداخت بدهی])</f>
        <v>0</v>
      </c>
      <c r="M1184" s="164">
        <f>SUMIF(TArticle[تاریخ],TDays[[#This Row],[تاریخ]],TArticle[افزایش بدهی])</f>
        <v>0</v>
      </c>
      <c r="N1184" s="164">
        <f>-SUMIF(TArticle[تاریخ],TDays[[#This Row],[تاریخ]],TArticle[افزایش سرمایه])</f>
        <v>0</v>
      </c>
      <c r="O1184" s="164">
        <f>SUMIF(TArticle[تاریخ],TDays[[#This Row],[تاریخ]],TArticle[تعداد تراکنش انجام شده])</f>
        <v>0</v>
      </c>
      <c r="P1184" s="164">
        <f>INT(((TDays[[#This Row],[ماه]]-1)*31+TDays[[#This Row],[روز]]+1)/7)+1</f>
        <v>13</v>
      </c>
      <c r="Q1184" s="164">
        <f>SUMIF(TArticle[تاریخ],TDays[[#This Row],[تاریخ]],TArticle[تراکنش برنامه ریزی شده])</f>
        <v>0</v>
      </c>
    </row>
    <row r="1185" spans="1:17" x14ac:dyDescent="0.25">
      <c r="A1185" s="3" t="s">
        <v>1775</v>
      </c>
      <c r="B1185" s="164" t="str">
        <f>RIGHT(TDays[[#This Row],[تاریخ]],2)</f>
        <v>26</v>
      </c>
      <c r="C1185" s="164" t="str">
        <f>RIGHT(LEFT(TDays[[#This Row],[تاریخ]],7),2)</f>
        <v>03</v>
      </c>
      <c r="D1185" s="164" t="str">
        <f>LEFT(TDays[[#This Row],[تاریخ]],4)</f>
        <v>1404</v>
      </c>
      <c r="E1185" s="164" t="str">
        <f>LEFT(TDays[[#This Row],[تاریخ]],7)</f>
        <v>1404-03</v>
      </c>
      <c r="F1185">
        <v>2</v>
      </c>
      <c r="G1185" s="165" t="str">
        <f>VLOOKUP(TDays[[#This Row],[کد روز هفته]],TDaysOfTheWeek[],2,FALSE)</f>
        <v>دوشنبه</v>
      </c>
      <c r="H1185" s="165">
        <f>IFERROR(IF(E1184&lt;&gt;E1185,1,INT(H1184)+IF(TDays[[#This Row],[کد روز هفته]]=0,1,0)),1)</f>
        <v>5</v>
      </c>
      <c r="I1185" s="164">
        <f>-SUMIF(TArticle[تاریخ],TDays[[#This Row],[تاریخ]],TArticle[هزینه])</f>
        <v>0</v>
      </c>
      <c r="J1185" s="164">
        <f>SUMIF(TArticle[تاریخ],TDays[[#This Row],[تاریخ]],TArticle[درآمد تتا])</f>
        <v>0</v>
      </c>
      <c r="K1185" s="164">
        <f>SUMIF(TArticle[تاریخ],TDays[[#This Row],[تاریخ]],TArticle[اسنپ])</f>
        <v>0</v>
      </c>
      <c r="L1185" s="164">
        <f>-SUMIF(TArticle[تاریخ],TDays[[#This Row],[تاریخ]],TArticle[پرداخت بدهی])</f>
        <v>0</v>
      </c>
      <c r="M1185" s="164">
        <f>SUMIF(TArticle[تاریخ],TDays[[#This Row],[تاریخ]],TArticle[افزایش بدهی])</f>
        <v>0</v>
      </c>
      <c r="N1185" s="164">
        <f>-SUMIF(TArticle[تاریخ],TDays[[#This Row],[تاریخ]],TArticle[افزایش سرمایه])</f>
        <v>0</v>
      </c>
      <c r="O1185" s="164">
        <f>SUMIF(TArticle[تاریخ],TDays[[#This Row],[تاریخ]],TArticle[تعداد تراکنش انجام شده])</f>
        <v>0</v>
      </c>
      <c r="P1185" s="164">
        <f>INT(((TDays[[#This Row],[ماه]]-1)*31+TDays[[#This Row],[روز]]+1)/7)+1</f>
        <v>13</v>
      </c>
      <c r="Q1185" s="164">
        <f>SUMIF(TArticle[تاریخ],TDays[[#This Row],[تاریخ]],TArticle[تراکنش برنامه ریزی شده])</f>
        <v>0</v>
      </c>
    </row>
    <row r="1186" spans="1:17" x14ac:dyDescent="0.25">
      <c r="A1186" s="3" t="s">
        <v>1776</v>
      </c>
      <c r="B1186" s="164" t="str">
        <f>RIGHT(TDays[[#This Row],[تاریخ]],2)</f>
        <v>27</v>
      </c>
      <c r="C1186" s="164" t="str">
        <f>RIGHT(LEFT(TDays[[#This Row],[تاریخ]],7),2)</f>
        <v>03</v>
      </c>
      <c r="D1186" s="164" t="str">
        <f>LEFT(TDays[[#This Row],[تاریخ]],4)</f>
        <v>1404</v>
      </c>
      <c r="E1186" s="164" t="str">
        <f>LEFT(TDays[[#This Row],[تاریخ]],7)</f>
        <v>1404-03</v>
      </c>
      <c r="F1186">
        <v>3</v>
      </c>
      <c r="G1186" s="165" t="str">
        <f>VLOOKUP(TDays[[#This Row],[کد روز هفته]],TDaysOfTheWeek[],2,FALSE)</f>
        <v>سه شنبه</v>
      </c>
      <c r="H1186" s="165">
        <f>IFERROR(IF(E1185&lt;&gt;E1186,1,INT(H1185)+IF(TDays[[#This Row],[کد روز هفته]]=0,1,0)),1)</f>
        <v>5</v>
      </c>
      <c r="I1186" s="164">
        <f>-SUMIF(TArticle[تاریخ],TDays[[#This Row],[تاریخ]],TArticle[هزینه])</f>
        <v>0</v>
      </c>
      <c r="J1186" s="164">
        <f>SUMIF(TArticle[تاریخ],TDays[[#This Row],[تاریخ]],TArticle[درآمد تتا])</f>
        <v>0</v>
      </c>
      <c r="K1186" s="164">
        <f>SUMIF(TArticle[تاریخ],TDays[[#This Row],[تاریخ]],TArticle[اسنپ])</f>
        <v>0</v>
      </c>
      <c r="L1186" s="164">
        <f>-SUMIF(TArticle[تاریخ],TDays[[#This Row],[تاریخ]],TArticle[پرداخت بدهی])</f>
        <v>0</v>
      </c>
      <c r="M1186" s="164">
        <f>SUMIF(TArticle[تاریخ],TDays[[#This Row],[تاریخ]],TArticle[افزایش بدهی])</f>
        <v>0</v>
      </c>
      <c r="N1186" s="164">
        <f>-SUMIF(TArticle[تاریخ],TDays[[#This Row],[تاریخ]],TArticle[افزایش سرمایه])</f>
        <v>0</v>
      </c>
      <c r="O1186" s="164">
        <f>SUMIF(TArticle[تاریخ],TDays[[#This Row],[تاریخ]],TArticle[تعداد تراکنش انجام شده])</f>
        <v>0</v>
      </c>
      <c r="P1186" s="164">
        <f>INT(((TDays[[#This Row],[ماه]]-1)*31+TDays[[#This Row],[روز]]+1)/7)+1</f>
        <v>13</v>
      </c>
      <c r="Q1186" s="164">
        <f>SUMIF(TArticle[تاریخ],TDays[[#This Row],[تاریخ]],TArticle[تراکنش برنامه ریزی شده])</f>
        <v>0</v>
      </c>
    </row>
    <row r="1187" spans="1:17" x14ac:dyDescent="0.25">
      <c r="A1187" s="3" t="s">
        <v>1777</v>
      </c>
      <c r="B1187" s="164" t="str">
        <f>RIGHT(TDays[[#This Row],[تاریخ]],2)</f>
        <v>28</v>
      </c>
      <c r="C1187" s="164" t="str">
        <f>RIGHT(LEFT(TDays[[#This Row],[تاریخ]],7),2)</f>
        <v>03</v>
      </c>
      <c r="D1187" s="164" t="str">
        <f>LEFT(TDays[[#This Row],[تاریخ]],4)</f>
        <v>1404</v>
      </c>
      <c r="E1187" s="164" t="str">
        <f>LEFT(TDays[[#This Row],[تاریخ]],7)</f>
        <v>1404-03</v>
      </c>
      <c r="F1187">
        <v>4</v>
      </c>
      <c r="G1187" s="165" t="str">
        <f>VLOOKUP(TDays[[#This Row],[کد روز هفته]],TDaysOfTheWeek[],2,FALSE)</f>
        <v>چهارشنبه</v>
      </c>
      <c r="H1187" s="165">
        <f>IFERROR(IF(E1186&lt;&gt;E1187,1,INT(H1186)+IF(TDays[[#This Row],[کد روز هفته]]=0,1,0)),1)</f>
        <v>5</v>
      </c>
      <c r="I1187" s="164">
        <f>-SUMIF(TArticle[تاریخ],TDays[[#This Row],[تاریخ]],TArticle[هزینه])</f>
        <v>0</v>
      </c>
      <c r="J1187" s="164">
        <f>SUMIF(TArticle[تاریخ],TDays[[#This Row],[تاریخ]],TArticle[درآمد تتا])</f>
        <v>0</v>
      </c>
      <c r="K1187" s="164">
        <f>SUMIF(TArticle[تاریخ],TDays[[#This Row],[تاریخ]],TArticle[اسنپ])</f>
        <v>0</v>
      </c>
      <c r="L1187" s="164">
        <f>-SUMIF(TArticle[تاریخ],TDays[[#This Row],[تاریخ]],TArticle[پرداخت بدهی])</f>
        <v>0</v>
      </c>
      <c r="M1187" s="164">
        <f>SUMIF(TArticle[تاریخ],TDays[[#This Row],[تاریخ]],TArticle[افزایش بدهی])</f>
        <v>0</v>
      </c>
      <c r="N1187" s="164">
        <f>-SUMIF(TArticle[تاریخ],TDays[[#This Row],[تاریخ]],TArticle[افزایش سرمایه])</f>
        <v>0</v>
      </c>
      <c r="O1187" s="164">
        <f>SUMIF(TArticle[تاریخ],TDays[[#This Row],[تاریخ]],TArticle[تعداد تراکنش انجام شده])</f>
        <v>0</v>
      </c>
      <c r="P1187" s="164">
        <f>INT(((TDays[[#This Row],[ماه]]-1)*31+TDays[[#This Row],[روز]]+1)/7)+1</f>
        <v>14</v>
      </c>
      <c r="Q1187" s="164">
        <f>SUMIF(TArticle[تاریخ],TDays[[#This Row],[تاریخ]],TArticle[تراکنش برنامه ریزی شده])</f>
        <v>0</v>
      </c>
    </row>
    <row r="1188" spans="1:17" x14ac:dyDescent="0.25">
      <c r="A1188" s="3" t="s">
        <v>1778</v>
      </c>
      <c r="B1188" s="164" t="str">
        <f>RIGHT(TDays[[#This Row],[تاریخ]],2)</f>
        <v>29</v>
      </c>
      <c r="C1188" s="164" t="str">
        <f>RIGHT(LEFT(TDays[[#This Row],[تاریخ]],7),2)</f>
        <v>03</v>
      </c>
      <c r="D1188" s="164" t="str">
        <f>LEFT(TDays[[#This Row],[تاریخ]],4)</f>
        <v>1404</v>
      </c>
      <c r="E1188" s="164" t="str">
        <f>LEFT(TDays[[#This Row],[تاریخ]],7)</f>
        <v>1404-03</v>
      </c>
      <c r="F1188">
        <v>5</v>
      </c>
      <c r="G1188" s="165" t="str">
        <f>VLOOKUP(TDays[[#This Row],[کد روز هفته]],TDaysOfTheWeek[],2,FALSE)</f>
        <v>پنجشنبه</v>
      </c>
      <c r="H1188" s="165">
        <f>IFERROR(IF(E1187&lt;&gt;E1188,1,INT(H1187)+IF(TDays[[#This Row],[کد روز هفته]]=0,1,0)),1)</f>
        <v>5</v>
      </c>
      <c r="I1188" s="164">
        <f>-SUMIF(TArticle[تاریخ],TDays[[#This Row],[تاریخ]],TArticle[هزینه])</f>
        <v>0</v>
      </c>
      <c r="J1188" s="164">
        <f>SUMIF(TArticle[تاریخ],TDays[[#This Row],[تاریخ]],TArticle[درآمد تتا])</f>
        <v>0</v>
      </c>
      <c r="K1188" s="164">
        <f>SUMIF(TArticle[تاریخ],TDays[[#This Row],[تاریخ]],TArticle[اسنپ])</f>
        <v>0</v>
      </c>
      <c r="L1188" s="164">
        <f>-SUMIF(TArticle[تاریخ],TDays[[#This Row],[تاریخ]],TArticle[پرداخت بدهی])</f>
        <v>0</v>
      </c>
      <c r="M1188" s="164">
        <f>SUMIF(TArticle[تاریخ],TDays[[#This Row],[تاریخ]],TArticle[افزایش بدهی])</f>
        <v>0</v>
      </c>
      <c r="N1188" s="164">
        <f>-SUMIF(TArticle[تاریخ],TDays[[#This Row],[تاریخ]],TArticle[افزایش سرمایه])</f>
        <v>0</v>
      </c>
      <c r="O1188" s="164">
        <f>SUMIF(TArticle[تاریخ],TDays[[#This Row],[تاریخ]],TArticle[تعداد تراکنش انجام شده])</f>
        <v>0</v>
      </c>
      <c r="P1188" s="164">
        <f>INT(((TDays[[#This Row],[ماه]]-1)*31+TDays[[#This Row],[روز]]+1)/7)+1</f>
        <v>14</v>
      </c>
      <c r="Q1188" s="164">
        <f>SUMIF(TArticle[تاریخ],TDays[[#This Row],[تاریخ]],TArticle[تراکنش برنامه ریزی شده])</f>
        <v>0</v>
      </c>
    </row>
    <row r="1189" spans="1:17" x14ac:dyDescent="0.25">
      <c r="A1189" s="3" t="s">
        <v>1779</v>
      </c>
      <c r="B1189" s="164" t="str">
        <f>RIGHT(TDays[[#This Row],[تاریخ]],2)</f>
        <v>30</v>
      </c>
      <c r="C1189" s="164" t="str">
        <f>RIGHT(LEFT(TDays[[#This Row],[تاریخ]],7),2)</f>
        <v>03</v>
      </c>
      <c r="D1189" s="164" t="str">
        <f>LEFT(TDays[[#This Row],[تاریخ]],4)</f>
        <v>1404</v>
      </c>
      <c r="E1189" s="164" t="str">
        <f>LEFT(TDays[[#This Row],[تاریخ]],7)</f>
        <v>1404-03</v>
      </c>
      <c r="F1189">
        <v>6</v>
      </c>
      <c r="G1189" s="165" t="str">
        <f>VLOOKUP(TDays[[#This Row],[کد روز هفته]],TDaysOfTheWeek[],2,FALSE)</f>
        <v>جمعه</v>
      </c>
      <c r="H1189" s="165">
        <f>IFERROR(IF(E1188&lt;&gt;E1189,1,INT(H1188)+IF(TDays[[#This Row],[کد روز هفته]]=0,1,0)),1)</f>
        <v>5</v>
      </c>
      <c r="I1189" s="164">
        <f>-SUMIF(TArticle[تاریخ],TDays[[#This Row],[تاریخ]],TArticle[هزینه])</f>
        <v>0</v>
      </c>
      <c r="J1189" s="164">
        <f>SUMIF(TArticle[تاریخ],TDays[[#This Row],[تاریخ]],TArticle[درآمد تتا])</f>
        <v>0</v>
      </c>
      <c r="K1189" s="164">
        <f>SUMIF(TArticle[تاریخ],TDays[[#This Row],[تاریخ]],TArticle[اسنپ])</f>
        <v>0</v>
      </c>
      <c r="L1189" s="164">
        <f>-SUMIF(TArticle[تاریخ],TDays[[#This Row],[تاریخ]],TArticle[پرداخت بدهی])</f>
        <v>0</v>
      </c>
      <c r="M1189" s="164">
        <f>SUMIF(TArticle[تاریخ],TDays[[#This Row],[تاریخ]],TArticle[افزایش بدهی])</f>
        <v>0</v>
      </c>
      <c r="N1189" s="164">
        <f>-SUMIF(TArticle[تاریخ],TDays[[#This Row],[تاریخ]],TArticle[افزایش سرمایه])</f>
        <v>0</v>
      </c>
      <c r="O1189" s="164">
        <f>SUMIF(TArticle[تاریخ],TDays[[#This Row],[تاریخ]],TArticle[تعداد تراکنش انجام شده])</f>
        <v>0</v>
      </c>
      <c r="P1189" s="164">
        <f>INT(((TDays[[#This Row],[ماه]]-1)*31+TDays[[#This Row],[روز]]+1)/7)+1</f>
        <v>14</v>
      </c>
      <c r="Q1189" s="164">
        <f>SUMIF(TArticle[تاریخ],TDays[[#This Row],[تاریخ]],TArticle[تراکنش برنامه ریزی شده])</f>
        <v>0</v>
      </c>
    </row>
    <row r="1190" spans="1:17" x14ac:dyDescent="0.25">
      <c r="A1190" s="3" t="s">
        <v>1780</v>
      </c>
      <c r="B1190" s="164" t="str">
        <f>RIGHT(TDays[[#This Row],[تاریخ]],2)</f>
        <v>31</v>
      </c>
      <c r="C1190" s="164" t="str">
        <f>RIGHT(LEFT(TDays[[#This Row],[تاریخ]],7),2)</f>
        <v>03</v>
      </c>
      <c r="D1190" s="164" t="str">
        <f>LEFT(TDays[[#This Row],[تاریخ]],4)</f>
        <v>1404</v>
      </c>
      <c r="E1190" s="164" t="str">
        <f>LEFT(TDays[[#This Row],[تاریخ]],7)</f>
        <v>1404-03</v>
      </c>
      <c r="F1190">
        <v>0</v>
      </c>
      <c r="G1190" s="165" t="str">
        <f>VLOOKUP(TDays[[#This Row],[کد روز هفته]],TDaysOfTheWeek[],2,FALSE)</f>
        <v>شنبه</v>
      </c>
      <c r="H1190" s="165">
        <f>IFERROR(IF(E1189&lt;&gt;E1190,1,INT(H1189)+IF(TDays[[#This Row],[کد روز هفته]]=0,1,0)),1)</f>
        <v>6</v>
      </c>
      <c r="I1190" s="164">
        <f>-SUMIF(TArticle[تاریخ],TDays[[#This Row],[تاریخ]],TArticle[هزینه])</f>
        <v>0</v>
      </c>
      <c r="J1190" s="164">
        <f>SUMIF(TArticle[تاریخ],TDays[[#This Row],[تاریخ]],TArticle[درآمد تتا])</f>
        <v>0</v>
      </c>
      <c r="K1190" s="164">
        <f>SUMIF(TArticle[تاریخ],TDays[[#This Row],[تاریخ]],TArticle[اسنپ])</f>
        <v>0</v>
      </c>
      <c r="L1190" s="164">
        <f>-SUMIF(TArticle[تاریخ],TDays[[#This Row],[تاریخ]],TArticle[پرداخت بدهی])</f>
        <v>0</v>
      </c>
      <c r="M1190" s="164">
        <f>SUMIF(TArticle[تاریخ],TDays[[#This Row],[تاریخ]],TArticle[افزایش بدهی])</f>
        <v>0</v>
      </c>
      <c r="N1190" s="164">
        <f>-SUMIF(TArticle[تاریخ],TDays[[#This Row],[تاریخ]],TArticle[افزایش سرمایه])</f>
        <v>0</v>
      </c>
      <c r="O1190" s="164">
        <f>SUMIF(TArticle[تاریخ],TDays[[#This Row],[تاریخ]],TArticle[تعداد تراکنش انجام شده])</f>
        <v>0</v>
      </c>
      <c r="P1190" s="164">
        <f>INT(((TDays[[#This Row],[ماه]]-1)*31+TDays[[#This Row],[روز]]+1)/7)+1</f>
        <v>14</v>
      </c>
      <c r="Q1190" s="164">
        <f>SUMIF(TArticle[تاریخ],TDays[[#This Row],[تاریخ]],TArticle[تراکنش برنامه ریزی شده])</f>
        <v>0</v>
      </c>
    </row>
    <row r="1191" spans="1:17" x14ac:dyDescent="0.25">
      <c r="A1191" s="3" t="s">
        <v>1781</v>
      </c>
      <c r="B1191" s="164" t="str">
        <f>RIGHT(TDays[[#This Row],[تاریخ]],2)</f>
        <v>01</v>
      </c>
      <c r="C1191" s="164" t="str">
        <f>RIGHT(LEFT(TDays[[#This Row],[تاریخ]],7),2)</f>
        <v>04</v>
      </c>
      <c r="D1191" s="164" t="str">
        <f>LEFT(TDays[[#This Row],[تاریخ]],4)</f>
        <v>1404</v>
      </c>
      <c r="E1191" s="164" t="str">
        <f>LEFT(TDays[[#This Row],[تاریخ]],7)</f>
        <v>1404-04</v>
      </c>
      <c r="F1191">
        <v>1</v>
      </c>
      <c r="G1191" s="165" t="str">
        <f>VLOOKUP(TDays[[#This Row],[کد روز هفته]],TDaysOfTheWeek[],2,FALSE)</f>
        <v>یکشنبه</v>
      </c>
      <c r="H1191" s="165">
        <f>IFERROR(IF(E1190&lt;&gt;E1191,1,INT(H1190)+IF(TDays[[#This Row],[کد روز هفته]]=0,1,0)),1)</f>
        <v>1</v>
      </c>
      <c r="I1191" s="164">
        <f>-SUMIF(TArticle[تاریخ],TDays[[#This Row],[تاریخ]],TArticle[هزینه])</f>
        <v>0</v>
      </c>
      <c r="J1191" s="164">
        <f>SUMIF(TArticle[تاریخ],TDays[[#This Row],[تاریخ]],TArticle[درآمد تتا])</f>
        <v>0</v>
      </c>
      <c r="K1191" s="164">
        <f>SUMIF(TArticle[تاریخ],TDays[[#This Row],[تاریخ]],TArticle[اسنپ])</f>
        <v>0</v>
      </c>
      <c r="L1191" s="164">
        <f>-SUMIF(TArticle[تاریخ],TDays[[#This Row],[تاریخ]],TArticle[پرداخت بدهی])</f>
        <v>0</v>
      </c>
      <c r="M1191" s="164">
        <f>SUMIF(TArticle[تاریخ],TDays[[#This Row],[تاریخ]],TArticle[افزایش بدهی])</f>
        <v>0</v>
      </c>
      <c r="N1191" s="164">
        <f>-SUMIF(TArticle[تاریخ],TDays[[#This Row],[تاریخ]],TArticle[افزایش سرمایه])</f>
        <v>0</v>
      </c>
      <c r="O1191" s="164">
        <f>SUMIF(TArticle[تاریخ],TDays[[#This Row],[تاریخ]],TArticle[تعداد تراکنش انجام شده])</f>
        <v>0</v>
      </c>
      <c r="P1191" s="164">
        <f>INT(((TDays[[#This Row],[ماه]]-1)*31+TDays[[#This Row],[روز]]+1)/7)+1</f>
        <v>14</v>
      </c>
      <c r="Q1191" s="164">
        <f>SUMIF(TArticle[تاریخ],TDays[[#This Row],[تاریخ]],TArticle[تراکنش برنامه ریزی شده])</f>
        <v>2</v>
      </c>
    </row>
    <row r="1192" spans="1:17" x14ac:dyDescent="0.25">
      <c r="A1192" s="3" t="s">
        <v>1782</v>
      </c>
      <c r="B1192" s="164" t="str">
        <f>RIGHT(TDays[[#This Row],[تاریخ]],2)</f>
        <v>02</v>
      </c>
      <c r="C1192" s="164" t="str">
        <f>RIGHT(LEFT(TDays[[#This Row],[تاریخ]],7),2)</f>
        <v>04</v>
      </c>
      <c r="D1192" s="164" t="str">
        <f>LEFT(TDays[[#This Row],[تاریخ]],4)</f>
        <v>1404</v>
      </c>
      <c r="E1192" s="164" t="str">
        <f>LEFT(TDays[[#This Row],[تاریخ]],7)</f>
        <v>1404-04</v>
      </c>
      <c r="F1192">
        <v>2</v>
      </c>
      <c r="G1192" s="165" t="str">
        <f>VLOOKUP(TDays[[#This Row],[کد روز هفته]],TDaysOfTheWeek[],2,FALSE)</f>
        <v>دوشنبه</v>
      </c>
      <c r="H1192" s="165">
        <f>IFERROR(IF(E1191&lt;&gt;E1192,1,INT(H1191)+IF(TDays[[#This Row],[کد روز هفته]]=0,1,0)),1)</f>
        <v>1</v>
      </c>
      <c r="I1192" s="164">
        <f>-SUMIF(TArticle[تاریخ],TDays[[#This Row],[تاریخ]],TArticle[هزینه])</f>
        <v>0</v>
      </c>
      <c r="J1192" s="164">
        <f>SUMIF(TArticle[تاریخ],TDays[[#This Row],[تاریخ]],TArticle[درآمد تتا])</f>
        <v>0</v>
      </c>
      <c r="K1192" s="164">
        <f>SUMIF(TArticle[تاریخ],TDays[[#This Row],[تاریخ]],TArticle[اسنپ])</f>
        <v>0</v>
      </c>
      <c r="L1192" s="164">
        <f>-SUMIF(TArticle[تاریخ],TDays[[#This Row],[تاریخ]],TArticle[پرداخت بدهی])</f>
        <v>0</v>
      </c>
      <c r="M1192" s="164">
        <f>SUMIF(TArticle[تاریخ],TDays[[#This Row],[تاریخ]],TArticle[افزایش بدهی])</f>
        <v>0</v>
      </c>
      <c r="N1192" s="164">
        <f>-SUMIF(TArticle[تاریخ],TDays[[#This Row],[تاریخ]],TArticle[افزایش سرمایه])</f>
        <v>0</v>
      </c>
      <c r="O1192" s="164">
        <f>SUMIF(TArticle[تاریخ],TDays[[#This Row],[تاریخ]],TArticle[تعداد تراکنش انجام شده])</f>
        <v>0</v>
      </c>
      <c r="P1192" s="164">
        <f>INT(((TDays[[#This Row],[ماه]]-1)*31+TDays[[#This Row],[روز]]+1)/7)+1</f>
        <v>14</v>
      </c>
      <c r="Q1192" s="164">
        <f>SUMIF(TArticle[تاریخ],TDays[[#This Row],[تاریخ]],TArticle[تراکنش برنامه ریزی شده])</f>
        <v>0</v>
      </c>
    </row>
    <row r="1193" spans="1:17" x14ac:dyDescent="0.25">
      <c r="A1193" s="3" t="s">
        <v>1783</v>
      </c>
      <c r="B1193" s="164" t="str">
        <f>RIGHT(TDays[[#This Row],[تاریخ]],2)</f>
        <v>03</v>
      </c>
      <c r="C1193" s="164" t="str">
        <f>RIGHT(LEFT(TDays[[#This Row],[تاریخ]],7),2)</f>
        <v>04</v>
      </c>
      <c r="D1193" s="164" t="str">
        <f>LEFT(TDays[[#This Row],[تاریخ]],4)</f>
        <v>1404</v>
      </c>
      <c r="E1193" s="164" t="str">
        <f>LEFT(TDays[[#This Row],[تاریخ]],7)</f>
        <v>1404-04</v>
      </c>
      <c r="F1193">
        <v>3</v>
      </c>
      <c r="G1193" s="165" t="str">
        <f>VLOOKUP(TDays[[#This Row],[کد روز هفته]],TDaysOfTheWeek[],2,FALSE)</f>
        <v>سه شنبه</v>
      </c>
      <c r="H1193" s="165">
        <f>IFERROR(IF(E1192&lt;&gt;E1193,1,INT(H1192)+IF(TDays[[#This Row],[کد روز هفته]]=0,1,0)),1)</f>
        <v>1</v>
      </c>
      <c r="I1193" s="164">
        <f>-SUMIF(TArticle[تاریخ],TDays[[#This Row],[تاریخ]],TArticle[هزینه])</f>
        <v>0</v>
      </c>
      <c r="J1193" s="164">
        <f>SUMIF(TArticle[تاریخ],TDays[[#This Row],[تاریخ]],TArticle[درآمد تتا])</f>
        <v>0</v>
      </c>
      <c r="K1193" s="164">
        <f>SUMIF(TArticle[تاریخ],TDays[[#This Row],[تاریخ]],TArticle[اسنپ])</f>
        <v>0</v>
      </c>
      <c r="L1193" s="164">
        <f>-SUMIF(TArticle[تاریخ],TDays[[#This Row],[تاریخ]],TArticle[پرداخت بدهی])</f>
        <v>0</v>
      </c>
      <c r="M1193" s="164">
        <f>SUMIF(TArticle[تاریخ],TDays[[#This Row],[تاریخ]],TArticle[افزایش بدهی])</f>
        <v>0</v>
      </c>
      <c r="N1193" s="164">
        <f>-SUMIF(TArticle[تاریخ],TDays[[#This Row],[تاریخ]],TArticle[افزایش سرمایه])</f>
        <v>0</v>
      </c>
      <c r="O1193" s="164">
        <f>SUMIF(TArticle[تاریخ],TDays[[#This Row],[تاریخ]],TArticle[تعداد تراکنش انجام شده])</f>
        <v>0</v>
      </c>
      <c r="P1193" s="164">
        <f>INT(((TDays[[#This Row],[ماه]]-1)*31+TDays[[#This Row],[روز]]+1)/7)+1</f>
        <v>14</v>
      </c>
      <c r="Q1193" s="164">
        <f>SUMIF(TArticle[تاریخ],TDays[[#This Row],[تاریخ]],TArticle[تراکنش برنامه ریزی شده])</f>
        <v>1</v>
      </c>
    </row>
    <row r="1194" spans="1:17" x14ac:dyDescent="0.25">
      <c r="A1194" s="3" t="s">
        <v>1784</v>
      </c>
      <c r="B1194" s="164" t="str">
        <f>RIGHT(TDays[[#This Row],[تاریخ]],2)</f>
        <v>04</v>
      </c>
      <c r="C1194" s="164" t="str">
        <f>RIGHT(LEFT(TDays[[#This Row],[تاریخ]],7),2)</f>
        <v>04</v>
      </c>
      <c r="D1194" s="164" t="str">
        <f>LEFT(TDays[[#This Row],[تاریخ]],4)</f>
        <v>1404</v>
      </c>
      <c r="E1194" s="164" t="str">
        <f>LEFT(TDays[[#This Row],[تاریخ]],7)</f>
        <v>1404-04</v>
      </c>
      <c r="F1194">
        <v>4</v>
      </c>
      <c r="G1194" s="165" t="str">
        <f>VLOOKUP(TDays[[#This Row],[کد روز هفته]],TDaysOfTheWeek[],2,FALSE)</f>
        <v>چهارشنبه</v>
      </c>
      <c r="H1194" s="165">
        <f>IFERROR(IF(E1193&lt;&gt;E1194,1,INT(H1193)+IF(TDays[[#This Row],[کد روز هفته]]=0,1,0)),1)</f>
        <v>1</v>
      </c>
      <c r="I1194" s="164">
        <f>-SUMIF(TArticle[تاریخ],TDays[[#This Row],[تاریخ]],TArticle[هزینه])</f>
        <v>0</v>
      </c>
      <c r="J1194" s="164">
        <f>SUMIF(TArticle[تاریخ],TDays[[#This Row],[تاریخ]],TArticle[درآمد تتا])</f>
        <v>0</v>
      </c>
      <c r="K1194" s="164">
        <f>SUMIF(TArticle[تاریخ],TDays[[#This Row],[تاریخ]],TArticle[اسنپ])</f>
        <v>0</v>
      </c>
      <c r="L1194" s="164">
        <f>-SUMIF(TArticle[تاریخ],TDays[[#This Row],[تاریخ]],TArticle[پرداخت بدهی])</f>
        <v>0</v>
      </c>
      <c r="M1194" s="164">
        <f>SUMIF(TArticle[تاریخ],TDays[[#This Row],[تاریخ]],TArticle[افزایش بدهی])</f>
        <v>0</v>
      </c>
      <c r="N1194" s="164">
        <f>-SUMIF(TArticle[تاریخ],TDays[[#This Row],[تاریخ]],TArticle[افزایش سرمایه])</f>
        <v>0</v>
      </c>
      <c r="O1194" s="164">
        <f>SUMIF(TArticle[تاریخ],TDays[[#This Row],[تاریخ]],TArticle[تعداد تراکنش انجام شده])</f>
        <v>0</v>
      </c>
      <c r="P1194" s="164">
        <f>INT(((TDays[[#This Row],[ماه]]-1)*31+TDays[[#This Row],[روز]]+1)/7)+1</f>
        <v>15</v>
      </c>
      <c r="Q1194" s="164">
        <f>SUMIF(TArticle[تاریخ],TDays[[#This Row],[تاریخ]],TArticle[تراکنش برنامه ریزی شده])</f>
        <v>0</v>
      </c>
    </row>
    <row r="1195" spans="1:17" x14ac:dyDescent="0.25">
      <c r="A1195" s="3" t="s">
        <v>1683</v>
      </c>
      <c r="B1195" s="164" t="str">
        <f>RIGHT(TDays[[#This Row],[تاریخ]],2)</f>
        <v>05</v>
      </c>
      <c r="C1195" s="164" t="str">
        <f>RIGHT(LEFT(TDays[[#This Row],[تاریخ]],7),2)</f>
        <v>04</v>
      </c>
      <c r="D1195" s="164" t="str">
        <f>LEFT(TDays[[#This Row],[تاریخ]],4)</f>
        <v>1404</v>
      </c>
      <c r="E1195" s="164" t="str">
        <f>LEFT(TDays[[#This Row],[تاریخ]],7)</f>
        <v>1404-04</v>
      </c>
      <c r="F1195">
        <v>5</v>
      </c>
      <c r="G1195" s="165" t="str">
        <f>VLOOKUP(TDays[[#This Row],[کد روز هفته]],TDaysOfTheWeek[],2,FALSE)</f>
        <v>پنجشنبه</v>
      </c>
      <c r="H1195" s="165">
        <f>IFERROR(IF(E1194&lt;&gt;E1195,1,INT(H1194)+IF(TDays[[#This Row],[کد روز هفته]]=0,1,0)),1)</f>
        <v>1</v>
      </c>
      <c r="I1195" s="164">
        <f>-SUMIF(TArticle[تاریخ],TDays[[#This Row],[تاریخ]],TArticle[هزینه])</f>
        <v>0</v>
      </c>
      <c r="J1195" s="164">
        <f>SUMIF(TArticle[تاریخ],TDays[[#This Row],[تاریخ]],TArticle[درآمد تتا])</f>
        <v>0</v>
      </c>
      <c r="K1195" s="164">
        <f>SUMIF(TArticle[تاریخ],TDays[[#This Row],[تاریخ]],TArticle[اسنپ])</f>
        <v>0</v>
      </c>
      <c r="L1195" s="164">
        <f>-SUMIF(TArticle[تاریخ],TDays[[#This Row],[تاریخ]],TArticle[پرداخت بدهی])</f>
        <v>0</v>
      </c>
      <c r="M1195" s="164">
        <f>SUMIF(TArticle[تاریخ],TDays[[#This Row],[تاریخ]],TArticle[افزایش بدهی])</f>
        <v>0</v>
      </c>
      <c r="N1195" s="164">
        <f>-SUMIF(TArticle[تاریخ],TDays[[#This Row],[تاریخ]],TArticle[افزایش سرمایه])</f>
        <v>0</v>
      </c>
      <c r="O1195" s="164">
        <f>SUMIF(TArticle[تاریخ],TDays[[#This Row],[تاریخ]],TArticle[تعداد تراکنش انجام شده])</f>
        <v>0</v>
      </c>
      <c r="P1195" s="164">
        <f>INT(((TDays[[#This Row],[ماه]]-1)*31+TDays[[#This Row],[روز]]+1)/7)+1</f>
        <v>15</v>
      </c>
      <c r="Q1195" s="164">
        <f>SUMIF(TArticle[تاریخ],TDays[[#This Row],[تاریخ]],TArticle[تراکنش برنامه ریزی شده])</f>
        <v>0</v>
      </c>
    </row>
    <row r="1196" spans="1:17" x14ac:dyDescent="0.25">
      <c r="A1196" s="3" t="s">
        <v>1785</v>
      </c>
      <c r="B1196" s="164" t="str">
        <f>RIGHT(TDays[[#This Row],[تاریخ]],2)</f>
        <v>06</v>
      </c>
      <c r="C1196" s="164" t="str">
        <f>RIGHT(LEFT(TDays[[#This Row],[تاریخ]],7),2)</f>
        <v>04</v>
      </c>
      <c r="D1196" s="164" t="str">
        <f>LEFT(TDays[[#This Row],[تاریخ]],4)</f>
        <v>1404</v>
      </c>
      <c r="E1196" s="164" t="str">
        <f>LEFT(TDays[[#This Row],[تاریخ]],7)</f>
        <v>1404-04</v>
      </c>
      <c r="F1196">
        <v>6</v>
      </c>
      <c r="G1196" s="165" t="str">
        <f>VLOOKUP(TDays[[#This Row],[کد روز هفته]],TDaysOfTheWeek[],2,FALSE)</f>
        <v>جمعه</v>
      </c>
      <c r="H1196" s="165">
        <f>IFERROR(IF(E1195&lt;&gt;E1196,1,INT(H1195)+IF(TDays[[#This Row],[کد روز هفته]]=0,1,0)),1)</f>
        <v>1</v>
      </c>
      <c r="I1196" s="164">
        <f>-SUMIF(TArticle[تاریخ],TDays[[#This Row],[تاریخ]],TArticle[هزینه])</f>
        <v>0</v>
      </c>
      <c r="J1196" s="164">
        <f>SUMIF(TArticle[تاریخ],TDays[[#This Row],[تاریخ]],TArticle[درآمد تتا])</f>
        <v>0</v>
      </c>
      <c r="K1196" s="164">
        <f>SUMIF(TArticle[تاریخ],TDays[[#This Row],[تاریخ]],TArticle[اسنپ])</f>
        <v>0</v>
      </c>
      <c r="L1196" s="164">
        <f>-SUMIF(TArticle[تاریخ],TDays[[#This Row],[تاریخ]],TArticle[پرداخت بدهی])</f>
        <v>0</v>
      </c>
      <c r="M1196" s="164">
        <f>SUMIF(TArticle[تاریخ],TDays[[#This Row],[تاریخ]],TArticle[افزایش بدهی])</f>
        <v>0</v>
      </c>
      <c r="N1196" s="164">
        <f>-SUMIF(TArticle[تاریخ],TDays[[#This Row],[تاریخ]],TArticle[افزایش سرمایه])</f>
        <v>0</v>
      </c>
      <c r="O1196" s="164">
        <f>SUMIF(TArticle[تاریخ],TDays[[#This Row],[تاریخ]],TArticle[تعداد تراکنش انجام شده])</f>
        <v>0</v>
      </c>
      <c r="P1196" s="164">
        <f>INT(((TDays[[#This Row],[ماه]]-1)*31+TDays[[#This Row],[روز]]+1)/7)+1</f>
        <v>15</v>
      </c>
      <c r="Q1196" s="164">
        <f>SUMIF(TArticle[تاریخ],TDays[[#This Row],[تاریخ]],TArticle[تراکنش برنامه ریزی شده])</f>
        <v>0</v>
      </c>
    </row>
    <row r="1197" spans="1:17" x14ac:dyDescent="0.25">
      <c r="A1197" s="3" t="s">
        <v>1786</v>
      </c>
      <c r="B1197" s="164" t="str">
        <f>RIGHT(TDays[[#This Row],[تاریخ]],2)</f>
        <v>07</v>
      </c>
      <c r="C1197" s="164" t="str">
        <f>RIGHT(LEFT(TDays[[#This Row],[تاریخ]],7),2)</f>
        <v>04</v>
      </c>
      <c r="D1197" s="164" t="str">
        <f>LEFT(TDays[[#This Row],[تاریخ]],4)</f>
        <v>1404</v>
      </c>
      <c r="E1197" s="164" t="str">
        <f>LEFT(TDays[[#This Row],[تاریخ]],7)</f>
        <v>1404-04</v>
      </c>
      <c r="F1197">
        <v>0</v>
      </c>
      <c r="G1197" s="165" t="str">
        <f>VLOOKUP(TDays[[#This Row],[کد روز هفته]],TDaysOfTheWeek[],2,FALSE)</f>
        <v>شنبه</v>
      </c>
      <c r="H1197" s="165">
        <f>IFERROR(IF(E1196&lt;&gt;E1197,1,INT(H1196)+IF(TDays[[#This Row],[کد روز هفته]]=0,1,0)),1)</f>
        <v>2</v>
      </c>
      <c r="I1197" s="164">
        <f>-SUMIF(TArticle[تاریخ],TDays[[#This Row],[تاریخ]],TArticle[هزینه])</f>
        <v>0</v>
      </c>
      <c r="J1197" s="164">
        <f>SUMIF(TArticle[تاریخ],TDays[[#This Row],[تاریخ]],TArticle[درآمد تتا])</f>
        <v>0</v>
      </c>
      <c r="K1197" s="164">
        <f>SUMIF(TArticle[تاریخ],TDays[[#This Row],[تاریخ]],TArticle[اسنپ])</f>
        <v>0</v>
      </c>
      <c r="L1197" s="164">
        <f>-SUMIF(TArticle[تاریخ],TDays[[#This Row],[تاریخ]],TArticle[پرداخت بدهی])</f>
        <v>0</v>
      </c>
      <c r="M1197" s="164">
        <f>SUMIF(TArticle[تاریخ],TDays[[#This Row],[تاریخ]],TArticle[افزایش بدهی])</f>
        <v>0</v>
      </c>
      <c r="N1197" s="164">
        <f>-SUMIF(TArticle[تاریخ],TDays[[#This Row],[تاریخ]],TArticle[افزایش سرمایه])</f>
        <v>0</v>
      </c>
      <c r="O1197" s="164">
        <f>SUMIF(TArticle[تاریخ],TDays[[#This Row],[تاریخ]],TArticle[تعداد تراکنش انجام شده])</f>
        <v>0</v>
      </c>
      <c r="P1197" s="164">
        <f>INT(((TDays[[#This Row],[ماه]]-1)*31+TDays[[#This Row],[روز]]+1)/7)+1</f>
        <v>15</v>
      </c>
      <c r="Q1197" s="164">
        <f>SUMIF(TArticle[تاریخ],TDays[[#This Row],[تاریخ]],TArticle[تراکنش برنامه ریزی شده])</f>
        <v>0</v>
      </c>
    </row>
    <row r="1198" spans="1:17" x14ac:dyDescent="0.25">
      <c r="A1198" s="3" t="s">
        <v>1787</v>
      </c>
      <c r="B1198" s="164" t="str">
        <f>RIGHT(TDays[[#This Row],[تاریخ]],2)</f>
        <v>08</v>
      </c>
      <c r="C1198" s="164" t="str">
        <f>RIGHT(LEFT(TDays[[#This Row],[تاریخ]],7),2)</f>
        <v>04</v>
      </c>
      <c r="D1198" s="164" t="str">
        <f>LEFT(TDays[[#This Row],[تاریخ]],4)</f>
        <v>1404</v>
      </c>
      <c r="E1198" s="164" t="str">
        <f>LEFT(TDays[[#This Row],[تاریخ]],7)</f>
        <v>1404-04</v>
      </c>
      <c r="F1198">
        <v>1</v>
      </c>
      <c r="G1198" s="165" t="str">
        <f>VLOOKUP(TDays[[#This Row],[کد روز هفته]],TDaysOfTheWeek[],2,FALSE)</f>
        <v>یکشنبه</v>
      </c>
      <c r="H1198" s="165">
        <f>IFERROR(IF(E1197&lt;&gt;E1198,1,INT(H1197)+IF(TDays[[#This Row],[کد روز هفته]]=0,1,0)),1)</f>
        <v>2</v>
      </c>
      <c r="I1198" s="164">
        <f>-SUMIF(TArticle[تاریخ],TDays[[#This Row],[تاریخ]],TArticle[هزینه])</f>
        <v>0</v>
      </c>
      <c r="J1198" s="164">
        <f>SUMIF(TArticle[تاریخ],TDays[[#This Row],[تاریخ]],TArticle[درآمد تتا])</f>
        <v>0</v>
      </c>
      <c r="K1198" s="164">
        <f>SUMIF(TArticle[تاریخ],TDays[[#This Row],[تاریخ]],TArticle[اسنپ])</f>
        <v>0</v>
      </c>
      <c r="L1198" s="164">
        <f>-SUMIF(TArticle[تاریخ],TDays[[#This Row],[تاریخ]],TArticle[پرداخت بدهی])</f>
        <v>0</v>
      </c>
      <c r="M1198" s="164">
        <f>SUMIF(TArticle[تاریخ],TDays[[#This Row],[تاریخ]],TArticle[افزایش بدهی])</f>
        <v>0</v>
      </c>
      <c r="N1198" s="164">
        <f>-SUMIF(TArticle[تاریخ],TDays[[#This Row],[تاریخ]],TArticle[افزایش سرمایه])</f>
        <v>0</v>
      </c>
      <c r="O1198" s="164">
        <f>SUMIF(TArticle[تاریخ],TDays[[#This Row],[تاریخ]],TArticle[تعداد تراکنش انجام شده])</f>
        <v>0</v>
      </c>
      <c r="P1198" s="164">
        <f>INT(((TDays[[#This Row],[ماه]]-1)*31+TDays[[#This Row],[روز]]+1)/7)+1</f>
        <v>15</v>
      </c>
      <c r="Q1198" s="164">
        <f>SUMIF(TArticle[تاریخ],TDays[[#This Row],[تاریخ]],TArticle[تراکنش برنامه ریزی شده])</f>
        <v>0</v>
      </c>
    </row>
    <row r="1199" spans="1:17" x14ac:dyDescent="0.25">
      <c r="A1199" s="3" t="s">
        <v>1788</v>
      </c>
      <c r="B1199" s="164" t="str">
        <f>RIGHT(TDays[[#This Row],[تاریخ]],2)</f>
        <v>09</v>
      </c>
      <c r="C1199" s="164" t="str">
        <f>RIGHT(LEFT(TDays[[#This Row],[تاریخ]],7),2)</f>
        <v>04</v>
      </c>
      <c r="D1199" s="164" t="str">
        <f>LEFT(TDays[[#This Row],[تاریخ]],4)</f>
        <v>1404</v>
      </c>
      <c r="E1199" s="164" t="str">
        <f>LEFT(TDays[[#This Row],[تاریخ]],7)</f>
        <v>1404-04</v>
      </c>
      <c r="F1199">
        <v>2</v>
      </c>
      <c r="G1199" s="165" t="str">
        <f>VLOOKUP(TDays[[#This Row],[کد روز هفته]],TDaysOfTheWeek[],2,FALSE)</f>
        <v>دوشنبه</v>
      </c>
      <c r="H1199" s="165">
        <f>IFERROR(IF(E1198&lt;&gt;E1199,1,INT(H1198)+IF(TDays[[#This Row],[کد روز هفته]]=0,1,0)),1)</f>
        <v>2</v>
      </c>
      <c r="I1199" s="164">
        <f>-SUMIF(TArticle[تاریخ],TDays[[#This Row],[تاریخ]],TArticle[هزینه])</f>
        <v>0</v>
      </c>
      <c r="J1199" s="164">
        <f>SUMIF(TArticle[تاریخ],TDays[[#This Row],[تاریخ]],TArticle[درآمد تتا])</f>
        <v>0</v>
      </c>
      <c r="K1199" s="164">
        <f>SUMIF(TArticle[تاریخ],TDays[[#This Row],[تاریخ]],TArticle[اسنپ])</f>
        <v>0</v>
      </c>
      <c r="L1199" s="164">
        <f>-SUMIF(TArticle[تاریخ],TDays[[#This Row],[تاریخ]],TArticle[پرداخت بدهی])</f>
        <v>0</v>
      </c>
      <c r="M1199" s="164">
        <f>SUMIF(TArticle[تاریخ],TDays[[#This Row],[تاریخ]],TArticle[افزایش بدهی])</f>
        <v>0</v>
      </c>
      <c r="N1199" s="164">
        <f>-SUMIF(TArticle[تاریخ],TDays[[#This Row],[تاریخ]],TArticle[افزایش سرمایه])</f>
        <v>0</v>
      </c>
      <c r="O1199" s="164">
        <f>SUMIF(TArticle[تاریخ],TDays[[#This Row],[تاریخ]],TArticle[تعداد تراکنش انجام شده])</f>
        <v>0</v>
      </c>
      <c r="P1199" s="164">
        <f>INT(((TDays[[#This Row],[ماه]]-1)*31+TDays[[#This Row],[روز]]+1)/7)+1</f>
        <v>15</v>
      </c>
      <c r="Q1199" s="164">
        <f>SUMIF(TArticle[تاریخ],TDays[[#This Row],[تاریخ]],TArticle[تراکنش برنامه ریزی شده])</f>
        <v>1</v>
      </c>
    </row>
    <row r="1200" spans="1:17" x14ac:dyDescent="0.25">
      <c r="A1200" s="3" t="s">
        <v>1789</v>
      </c>
      <c r="B1200" s="164" t="str">
        <f>RIGHT(TDays[[#This Row],[تاریخ]],2)</f>
        <v>10</v>
      </c>
      <c r="C1200" s="164" t="str">
        <f>RIGHT(LEFT(TDays[[#This Row],[تاریخ]],7),2)</f>
        <v>04</v>
      </c>
      <c r="D1200" s="164" t="str">
        <f>LEFT(TDays[[#This Row],[تاریخ]],4)</f>
        <v>1404</v>
      </c>
      <c r="E1200" s="164" t="str">
        <f>LEFT(TDays[[#This Row],[تاریخ]],7)</f>
        <v>1404-04</v>
      </c>
      <c r="F1200">
        <v>3</v>
      </c>
      <c r="G1200" s="165" t="str">
        <f>VLOOKUP(TDays[[#This Row],[کد روز هفته]],TDaysOfTheWeek[],2,FALSE)</f>
        <v>سه شنبه</v>
      </c>
      <c r="H1200" s="165">
        <f>IFERROR(IF(E1199&lt;&gt;E1200,1,INT(H1199)+IF(TDays[[#This Row],[کد روز هفته]]=0,1,0)),1)</f>
        <v>2</v>
      </c>
      <c r="I1200" s="164">
        <f>-SUMIF(TArticle[تاریخ],TDays[[#This Row],[تاریخ]],TArticle[هزینه])</f>
        <v>0</v>
      </c>
      <c r="J1200" s="164">
        <f>SUMIF(TArticle[تاریخ],TDays[[#This Row],[تاریخ]],TArticle[درآمد تتا])</f>
        <v>0</v>
      </c>
      <c r="K1200" s="164">
        <f>SUMIF(TArticle[تاریخ],TDays[[#This Row],[تاریخ]],TArticle[اسنپ])</f>
        <v>0</v>
      </c>
      <c r="L1200" s="164">
        <f>-SUMIF(TArticle[تاریخ],TDays[[#This Row],[تاریخ]],TArticle[پرداخت بدهی])</f>
        <v>0</v>
      </c>
      <c r="M1200" s="164">
        <f>SUMIF(TArticle[تاریخ],TDays[[#This Row],[تاریخ]],TArticle[افزایش بدهی])</f>
        <v>0</v>
      </c>
      <c r="N1200" s="164">
        <f>-SUMIF(TArticle[تاریخ],TDays[[#This Row],[تاریخ]],TArticle[افزایش سرمایه])</f>
        <v>0</v>
      </c>
      <c r="O1200" s="164">
        <f>SUMIF(TArticle[تاریخ],TDays[[#This Row],[تاریخ]],TArticle[تعداد تراکنش انجام شده])</f>
        <v>0</v>
      </c>
      <c r="P1200" s="164">
        <f>INT(((TDays[[#This Row],[ماه]]-1)*31+TDays[[#This Row],[روز]]+1)/7)+1</f>
        <v>15</v>
      </c>
      <c r="Q1200" s="164">
        <f>SUMIF(TArticle[تاریخ],TDays[[#This Row],[تاریخ]],TArticle[تراکنش برنامه ریزی شده])</f>
        <v>0</v>
      </c>
    </row>
    <row r="1201" spans="1:17" x14ac:dyDescent="0.25">
      <c r="A1201" s="3" t="s">
        <v>1790</v>
      </c>
      <c r="B1201" s="164" t="str">
        <f>RIGHT(TDays[[#This Row],[تاریخ]],2)</f>
        <v>11</v>
      </c>
      <c r="C1201" s="164" t="str">
        <f>RIGHT(LEFT(TDays[[#This Row],[تاریخ]],7),2)</f>
        <v>04</v>
      </c>
      <c r="D1201" s="164" t="str">
        <f>LEFT(TDays[[#This Row],[تاریخ]],4)</f>
        <v>1404</v>
      </c>
      <c r="E1201" s="164" t="str">
        <f>LEFT(TDays[[#This Row],[تاریخ]],7)</f>
        <v>1404-04</v>
      </c>
      <c r="F1201">
        <v>4</v>
      </c>
      <c r="G1201" s="165" t="str">
        <f>VLOOKUP(TDays[[#This Row],[کد روز هفته]],TDaysOfTheWeek[],2,FALSE)</f>
        <v>چهارشنبه</v>
      </c>
      <c r="H1201" s="165">
        <f>IFERROR(IF(E1200&lt;&gt;E1201,1,INT(H1200)+IF(TDays[[#This Row],[کد روز هفته]]=0,1,0)),1)</f>
        <v>2</v>
      </c>
      <c r="I1201" s="164">
        <f>-SUMIF(TArticle[تاریخ],TDays[[#This Row],[تاریخ]],TArticle[هزینه])</f>
        <v>0</v>
      </c>
      <c r="J1201" s="164">
        <f>SUMIF(TArticle[تاریخ],TDays[[#This Row],[تاریخ]],TArticle[درآمد تتا])</f>
        <v>0</v>
      </c>
      <c r="K1201" s="164">
        <f>SUMIF(TArticle[تاریخ],TDays[[#This Row],[تاریخ]],TArticle[اسنپ])</f>
        <v>0</v>
      </c>
      <c r="L1201" s="164">
        <f>-SUMIF(TArticle[تاریخ],TDays[[#This Row],[تاریخ]],TArticle[پرداخت بدهی])</f>
        <v>0</v>
      </c>
      <c r="M1201" s="164">
        <f>SUMIF(TArticle[تاریخ],TDays[[#This Row],[تاریخ]],TArticle[افزایش بدهی])</f>
        <v>0</v>
      </c>
      <c r="N1201" s="164">
        <f>-SUMIF(TArticle[تاریخ],TDays[[#This Row],[تاریخ]],TArticle[افزایش سرمایه])</f>
        <v>0</v>
      </c>
      <c r="O1201" s="164">
        <f>SUMIF(TArticle[تاریخ],TDays[[#This Row],[تاریخ]],TArticle[تعداد تراکنش انجام شده])</f>
        <v>0</v>
      </c>
      <c r="P1201" s="164">
        <f>INT(((TDays[[#This Row],[ماه]]-1)*31+TDays[[#This Row],[روز]]+1)/7)+1</f>
        <v>16</v>
      </c>
      <c r="Q1201" s="164">
        <f>SUMIF(TArticle[تاریخ],TDays[[#This Row],[تاریخ]],TArticle[تراکنش برنامه ریزی شده])</f>
        <v>0</v>
      </c>
    </row>
    <row r="1202" spans="1:17" x14ac:dyDescent="0.25">
      <c r="A1202" s="3" t="s">
        <v>1791</v>
      </c>
      <c r="B1202" s="164" t="str">
        <f>RIGHT(TDays[[#This Row],[تاریخ]],2)</f>
        <v>12</v>
      </c>
      <c r="C1202" s="164" t="str">
        <f>RIGHT(LEFT(TDays[[#This Row],[تاریخ]],7),2)</f>
        <v>04</v>
      </c>
      <c r="D1202" s="164" t="str">
        <f>LEFT(TDays[[#This Row],[تاریخ]],4)</f>
        <v>1404</v>
      </c>
      <c r="E1202" s="164" t="str">
        <f>LEFT(TDays[[#This Row],[تاریخ]],7)</f>
        <v>1404-04</v>
      </c>
      <c r="F1202">
        <v>5</v>
      </c>
      <c r="G1202" s="165" t="str">
        <f>VLOOKUP(TDays[[#This Row],[کد روز هفته]],TDaysOfTheWeek[],2,FALSE)</f>
        <v>پنجشنبه</v>
      </c>
      <c r="H1202" s="165">
        <f>IFERROR(IF(E1201&lt;&gt;E1202,1,INT(H1201)+IF(TDays[[#This Row],[کد روز هفته]]=0,1,0)),1)</f>
        <v>2</v>
      </c>
      <c r="I1202" s="164">
        <f>-SUMIF(TArticle[تاریخ],TDays[[#This Row],[تاریخ]],TArticle[هزینه])</f>
        <v>0</v>
      </c>
      <c r="J1202" s="164">
        <f>SUMIF(TArticle[تاریخ],TDays[[#This Row],[تاریخ]],TArticle[درآمد تتا])</f>
        <v>0</v>
      </c>
      <c r="K1202" s="164">
        <f>SUMIF(TArticle[تاریخ],TDays[[#This Row],[تاریخ]],TArticle[اسنپ])</f>
        <v>0</v>
      </c>
      <c r="L1202" s="164">
        <f>-SUMIF(TArticle[تاریخ],TDays[[#This Row],[تاریخ]],TArticle[پرداخت بدهی])</f>
        <v>0</v>
      </c>
      <c r="M1202" s="164">
        <f>SUMIF(TArticle[تاریخ],TDays[[#This Row],[تاریخ]],TArticle[افزایش بدهی])</f>
        <v>0</v>
      </c>
      <c r="N1202" s="164">
        <f>-SUMIF(TArticle[تاریخ],TDays[[#This Row],[تاریخ]],TArticle[افزایش سرمایه])</f>
        <v>0</v>
      </c>
      <c r="O1202" s="164">
        <f>SUMIF(TArticle[تاریخ],TDays[[#This Row],[تاریخ]],TArticle[تعداد تراکنش انجام شده])</f>
        <v>0</v>
      </c>
      <c r="P1202" s="164">
        <f>INT(((TDays[[#This Row],[ماه]]-1)*31+TDays[[#This Row],[روز]]+1)/7)+1</f>
        <v>16</v>
      </c>
      <c r="Q1202" s="164">
        <f>SUMIF(TArticle[تاریخ],TDays[[#This Row],[تاریخ]],TArticle[تراکنش برنامه ریزی شده])</f>
        <v>0</v>
      </c>
    </row>
    <row r="1203" spans="1:17" x14ac:dyDescent="0.25">
      <c r="A1203" s="3" t="s">
        <v>1792</v>
      </c>
      <c r="B1203" s="164" t="str">
        <f>RIGHT(TDays[[#This Row],[تاریخ]],2)</f>
        <v>13</v>
      </c>
      <c r="C1203" s="164" t="str">
        <f>RIGHT(LEFT(TDays[[#This Row],[تاریخ]],7),2)</f>
        <v>04</v>
      </c>
      <c r="D1203" s="164" t="str">
        <f>LEFT(TDays[[#This Row],[تاریخ]],4)</f>
        <v>1404</v>
      </c>
      <c r="E1203" s="164" t="str">
        <f>LEFT(TDays[[#This Row],[تاریخ]],7)</f>
        <v>1404-04</v>
      </c>
      <c r="F1203">
        <v>6</v>
      </c>
      <c r="G1203" s="165" t="str">
        <f>VLOOKUP(TDays[[#This Row],[کد روز هفته]],TDaysOfTheWeek[],2,FALSE)</f>
        <v>جمعه</v>
      </c>
      <c r="H1203" s="165">
        <f>IFERROR(IF(E1202&lt;&gt;E1203,1,INT(H1202)+IF(TDays[[#This Row],[کد روز هفته]]=0,1,0)),1)</f>
        <v>2</v>
      </c>
      <c r="I1203" s="164">
        <f>-SUMIF(TArticle[تاریخ],TDays[[#This Row],[تاریخ]],TArticle[هزینه])</f>
        <v>0</v>
      </c>
      <c r="J1203" s="164">
        <f>SUMIF(TArticle[تاریخ],TDays[[#This Row],[تاریخ]],TArticle[درآمد تتا])</f>
        <v>0</v>
      </c>
      <c r="K1203" s="164">
        <f>SUMIF(TArticle[تاریخ],TDays[[#This Row],[تاریخ]],TArticle[اسنپ])</f>
        <v>0</v>
      </c>
      <c r="L1203" s="164">
        <f>-SUMIF(TArticle[تاریخ],TDays[[#This Row],[تاریخ]],TArticle[پرداخت بدهی])</f>
        <v>0</v>
      </c>
      <c r="M1203" s="164">
        <f>SUMIF(TArticle[تاریخ],TDays[[#This Row],[تاریخ]],TArticle[افزایش بدهی])</f>
        <v>0</v>
      </c>
      <c r="N1203" s="164">
        <f>-SUMIF(TArticle[تاریخ],TDays[[#This Row],[تاریخ]],TArticle[افزایش سرمایه])</f>
        <v>0</v>
      </c>
      <c r="O1203" s="164">
        <f>SUMIF(TArticle[تاریخ],TDays[[#This Row],[تاریخ]],TArticle[تعداد تراکنش انجام شده])</f>
        <v>0</v>
      </c>
      <c r="P1203" s="164">
        <f>INT(((TDays[[#This Row],[ماه]]-1)*31+TDays[[#This Row],[روز]]+1)/7)+1</f>
        <v>16</v>
      </c>
      <c r="Q1203" s="164">
        <f>SUMIF(TArticle[تاریخ],TDays[[#This Row],[تاریخ]],TArticle[تراکنش برنامه ریزی شده])</f>
        <v>0</v>
      </c>
    </row>
    <row r="1204" spans="1:17" x14ac:dyDescent="0.25">
      <c r="A1204" s="3" t="s">
        <v>1793</v>
      </c>
      <c r="B1204" s="164" t="str">
        <f>RIGHT(TDays[[#This Row],[تاریخ]],2)</f>
        <v>14</v>
      </c>
      <c r="C1204" s="164" t="str">
        <f>RIGHT(LEFT(TDays[[#This Row],[تاریخ]],7),2)</f>
        <v>04</v>
      </c>
      <c r="D1204" s="164" t="str">
        <f>LEFT(TDays[[#This Row],[تاریخ]],4)</f>
        <v>1404</v>
      </c>
      <c r="E1204" s="164" t="str">
        <f>LEFT(TDays[[#This Row],[تاریخ]],7)</f>
        <v>1404-04</v>
      </c>
      <c r="F1204">
        <v>0</v>
      </c>
      <c r="G1204" s="165" t="str">
        <f>VLOOKUP(TDays[[#This Row],[کد روز هفته]],TDaysOfTheWeek[],2,FALSE)</f>
        <v>شنبه</v>
      </c>
      <c r="H1204" s="165">
        <f>IFERROR(IF(E1203&lt;&gt;E1204,1,INT(H1203)+IF(TDays[[#This Row],[کد روز هفته]]=0,1,0)),1)</f>
        <v>3</v>
      </c>
      <c r="I1204" s="164">
        <f>-SUMIF(TArticle[تاریخ],TDays[[#This Row],[تاریخ]],TArticle[هزینه])</f>
        <v>0</v>
      </c>
      <c r="J1204" s="164">
        <f>SUMIF(TArticle[تاریخ],TDays[[#This Row],[تاریخ]],TArticle[درآمد تتا])</f>
        <v>0</v>
      </c>
      <c r="K1204" s="164">
        <f>SUMIF(TArticle[تاریخ],TDays[[#This Row],[تاریخ]],TArticle[اسنپ])</f>
        <v>0</v>
      </c>
      <c r="L1204" s="164">
        <f>-SUMIF(TArticle[تاریخ],TDays[[#This Row],[تاریخ]],TArticle[پرداخت بدهی])</f>
        <v>0</v>
      </c>
      <c r="M1204" s="164">
        <f>SUMIF(TArticle[تاریخ],TDays[[#This Row],[تاریخ]],TArticle[افزایش بدهی])</f>
        <v>0</v>
      </c>
      <c r="N1204" s="164">
        <f>-SUMIF(TArticle[تاریخ],TDays[[#This Row],[تاریخ]],TArticle[افزایش سرمایه])</f>
        <v>0</v>
      </c>
      <c r="O1204" s="164">
        <f>SUMIF(TArticle[تاریخ],TDays[[#This Row],[تاریخ]],TArticle[تعداد تراکنش انجام شده])</f>
        <v>0</v>
      </c>
      <c r="P1204" s="164">
        <f>INT(((TDays[[#This Row],[ماه]]-1)*31+TDays[[#This Row],[روز]]+1)/7)+1</f>
        <v>16</v>
      </c>
      <c r="Q1204" s="164">
        <f>SUMIF(TArticle[تاریخ],TDays[[#This Row],[تاریخ]],TArticle[تراکنش برنامه ریزی شده])</f>
        <v>0</v>
      </c>
    </row>
    <row r="1205" spans="1:17" x14ac:dyDescent="0.25">
      <c r="A1205" s="3" t="s">
        <v>1794</v>
      </c>
      <c r="B1205" s="164" t="str">
        <f>RIGHT(TDays[[#This Row],[تاریخ]],2)</f>
        <v>15</v>
      </c>
      <c r="C1205" s="164" t="str">
        <f>RIGHT(LEFT(TDays[[#This Row],[تاریخ]],7),2)</f>
        <v>04</v>
      </c>
      <c r="D1205" s="164" t="str">
        <f>LEFT(TDays[[#This Row],[تاریخ]],4)</f>
        <v>1404</v>
      </c>
      <c r="E1205" s="164" t="str">
        <f>LEFT(TDays[[#This Row],[تاریخ]],7)</f>
        <v>1404-04</v>
      </c>
      <c r="F1205">
        <v>1</v>
      </c>
      <c r="G1205" s="165" t="str">
        <f>VLOOKUP(TDays[[#This Row],[کد روز هفته]],TDaysOfTheWeek[],2,FALSE)</f>
        <v>یکشنبه</v>
      </c>
      <c r="H1205" s="165">
        <f>IFERROR(IF(E1204&lt;&gt;E1205,1,INT(H1204)+IF(TDays[[#This Row],[کد روز هفته]]=0,1,0)),1)</f>
        <v>3</v>
      </c>
      <c r="I1205" s="164">
        <f>-SUMIF(TArticle[تاریخ],TDays[[#This Row],[تاریخ]],TArticle[هزینه])</f>
        <v>0</v>
      </c>
      <c r="J1205" s="164">
        <f>SUMIF(TArticle[تاریخ],TDays[[#This Row],[تاریخ]],TArticle[درآمد تتا])</f>
        <v>0</v>
      </c>
      <c r="K1205" s="164">
        <f>SUMIF(TArticle[تاریخ],TDays[[#This Row],[تاریخ]],TArticle[اسنپ])</f>
        <v>0</v>
      </c>
      <c r="L1205" s="164">
        <f>-SUMIF(TArticle[تاریخ],TDays[[#This Row],[تاریخ]],TArticle[پرداخت بدهی])</f>
        <v>0</v>
      </c>
      <c r="M1205" s="164">
        <f>SUMIF(TArticle[تاریخ],TDays[[#This Row],[تاریخ]],TArticle[افزایش بدهی])</f>
        <v>0</v>
      </c>
      <c r="N1205" s="164">
        <f>-SUMIF(TArticle[تاریخ],TDays[[#This Row],[تاریخ]],TArticle[افزایش سرمایه])</f>
        <v>0</v>
      </c>
      <c r="O1205" s="164">
        <f>SUMIF(TArticle[تاریخ],TDays[[#This Row],[تاریخ]],TArticle[تعداد تراکنش انجام شده])</f>
        <v>0</v>
      </c>
      <c r="P1205" s="164">
        <f>INT(((TDays[[#This Row],[ماه]]-1)*31+TDays[[#This Row],[روز]]+1)/7)+1</f>
        <v>16</v>
      </c>
      <c r="Q1205" s="164">
        <f>SUMIF(TArticle[تاریخ],TDays[[#This Row],[تاریخ]],TArticle[تراکنش برنامه ریزی شده])</f>
        <v>0</v>
      </c>
    </row>
    <row r="1206" spans="1:17" x14ac:dyDescent="0.25">
      <c r="A1206" s="3" t="s">
        <v>1795</v>
      </c>
      <c r="B1206" s="164" t="str">
        <f>RIGHT(TDays[[#This Row],[تاریخ]],2)</f>
        <v>16</v>
      </c>
      <c r="C1206" s="164" t="str">
        <f>RIGHT(LEFT(TDays[[#This Row],[تاریخ]],7),2)</f>
        <v>04</v>
      </c>
      <c r="D1206" s="164" t="str">
        <f>LEFT(TDays[[#This Row],[تاریخ]],4)</f>
        <v>1404</v>
      </c>
      <c r="E1206" s="164" t="str">
        <f>LEFT(TDays[[#This Row],[تاریخ]],7)</f>
        <v>1404-04</v>
      </c>
      <c r="F1206">
        <v>2</v>
      </c>
      <c r="G1206" s="165" t="str">
        <f>VLOOKUP(TDays[[#This Row],[کد روز هفته]],TDaysOfTheWeek[],2,FALSE)</f>
        <v>دوشنبه</v>
      </c>
      <c r="H1206" s="165">
        <f>IFERROR(IF(E1205&lt;&gt;E1206,1,INT(H1205)+IF(TDays[[#This Row],[کد روز هفته]]=0,1,0)),1)</f>
        <v>3</v>
      </c>
      <c r="I1206" s="164">
        <f>-SUMIF(TArticle[تاریخ],TDays[[#This Row],[تاریخ]],TArticle[هزینه])</f>
        <v>0</v>
      </c>
      <c r="J1206" s="164">
        <f>SUMIF(TArticle[تاریخ],TDays[[#This Row],[تاریخ]],TArticle[درآمد تتا])</f>
        <v>0</v>
      </c>
      <c r="K1206" s="164">
        <f>SUMIF(TArticle[تاریخ],TDays[[#This Row],[تاریخ]],TArticle[اسنپ])</f>
        <v>0</v>
      </c>
      <c r="L1206" s="164">
        <f>-SUMIF(TArticle[تاریخ],TDays[[#This Row],[تاریخ]],TArticle[پرداخت بدهی])</f>
        <v>0</v>
      </c>
      <c r="M1206" s="164">
        <f>SUMIF(TArticle[تاریخ],TDays[[#This Row],[تاریخ]],TArticle[افزایش بدهی])</f>
        <v>0</v>
      </c>
      <c r="N1206" s="164">
        <f>-SUMIF(TArticle[تاریخ],TDays[[#This Row],[تاریخ]],TArticle[افزایش سرمایه])</f>
        <v>0</v>
      </c>
      <c r="O1206" s="164">
        <f>SUMIF(TArticle[تاریخ],TDays[[#This Row],[تاریخ]],TArticle[تعداد تراکنش انجام شده])</f>
        <v>0</v>
      </c>
      <c r="P1206" s="164">
        <f>INT(((TDays[[#This Row],[ماه]]-1)*31+TDays[[#This Row],[روز]]+1)/7)+1</f>
        <v>16</v>
      </c>
      <c r="Q1206" s="164">
        <f>SUMIF(TArticle[تاریخ],TDays[[#This Row],[تاریخ]],TArticle[تراکنش برنامه ریزی شده])</f>
        <v>0</v>
      </c>
    </row>
    <row r="1207" spans="1:17" x14ac:dyDescent="0.25">
      <c r="A1207" s="3" t="s">
        <v>1796</v>
      </c>
      <c r="B1207" s="164" t="str">
        <f>RIGHT(TDays[[#This Row],[تاریخ]],2)</f>
        <v>17</v>
      </c>
      <c r="C1207" s="164" t="str">
        <f>RIGHT(LEFT(TDays[[#This Row],[تاریخ]],7),2)</f>
        <v>04</v>
      </c>
      <c r="D1207" s="164" t="str">
        <f>LEFT(TDays[[#This Row],[تاریخ]],4)</f>
        <v>1404</v>
      </c>
      <c r="E1207" s="164" t="str">
        <f>LEFT(TDays[[#This Row],[تاریخ]],7)</f>
        <v>1404-04</v>
      </c>
      <c r="F1207">
        <v>3</v>
      </c>
      <c r="G1207" s="165" t="str">
        <f>VLOOKUP(TDays[[#This Row],[کد روز هفته]],TDaysOfTheWeek[],2,FALSE)</f>
        <v>سه شنبه</v>
      </c>
      <c r="H1207" s="165">
        <f>IFERROR(IF(E1206&lt;&gt;E1207,1,INT(H1206)+IF(TDays[[#This Row],[کد روز هفته]]=0,1,0)),1)</f>
        <v>3</v>
      </c>
      <c r="I1207" s="164">
        <f>-SUMIF(TArticle[تاریخ],TDays[[#This Row],[تاریخ]],TArticle[هزینه])</f>
        <v>0</v>
      </c>
      <c r="J1207" s="164">
        <f>SUMIF(TArticle[تاریخ],TDays[[#This Row],[تاریخ]],TArticle[درآمد تتا])</f>
        <v>0</v>
      </c>
      <c r="K1207" s="164">
        <f>SUMIF(TArticle[تاریخ],TDays[[#This Row],[تاریخ]],TArticle[اسنپ])</f>
        <v>0</v>
      </c>
      <c r="L1207" s="164">
        <f>-SUMIF(TArticle[تاریخ],TDays[[#This Row],[تاریخ]],TArticle[پرداخت بدهی])</f>
        <v>0</v>
      </c>
      <c r="M1207" s="164">
        <f>SUMIF(TArticle[تاریخ],TDays[[#This Row],[تاریخ]],TArticle[افزایش بدهی])</f>
        <v>0</v>
      </c>
      <c r="N1207" s="164">
        <f>-SUMIF(TArticle[تاریخ],TDays[[#This Row],[تاریخ]],TArticle[افزایش سرمایه])</f>
        <v>0</v>
      </c>
      <c r="O1207" s="164">
        <f>SUMIF(TArticle[تاریخ],TDays[[#This Row],[تاریخ]],TArticle[تعداد تراکنش انجام شده])</f>
        <v>0</v>
      </c>
      <c r="P1207" s="164">
        <f>INT(((TDays[[#This Row],[ماه]]-1)*31+TDays[[#This Row],[روز]]+1)/7)+1</f>
        <v>16</v>
      </c>
      <c r="Q1207" s="164">
        <f>SUMIF(TArticle[تاریخ],TDays[[#This Row],[تاریخ]],TArticle[تراکنش برنامه ریزی شده])</f>
        <v>0</v>
      </c>
    </row>
    <row r="1208" spans="1:17" x14ac:dyDescent="0.25">
      <c r="A1208" s="3" t="s">
        <v>1797</v>
      </c>
      <c r="B1208" s="164" t="str">
        <f>RIGHT(TDays[[#This Row],[تاریخ]],2)</f>
        <v>18</v>
      </c>
      <c r="C1208" s="164" t="str">
        <f>RIGHT(LEFT(TDays[[#This Row],[تاریخ]],7),2)</f>
        <v>04</v>
      </c>
      <c r="D1208" s="164" t="str">
        <f>LEFT(TDays[[#This Row],[تاریخ]],4)</f>
        <v>1404</v>
      </c>
      <c r="E1208" s="164" t="str">
        <f>LEFT(TDays[[#This Row],[تاریخ]],7)</f>
        <v>1404-04</v>
      </c>
      <c r="F1208">
        <v>4</v>
      </c>
      <c r="G1208" s="165" t="str">
        <f>VLOOKUP(TDays[[#This Row],[کد روز هفته]],TDaysOfTheWeek[],2,FALSE)</f>
        <v>چهارشنبه</v>
      </c>
      <c r="H1208" s="165">
        <f>IFERROR(IF(E1207&lt;&gt;E1208,1,INT(H1207)+IF(TDays[[#This Row],[کد روز هفته]]=0,1,0)),1)</f>
        <v>3</v>
      </c>
      <c r="I1208" s="164">
        <f>-SUMIF(TArticle[تاریخ],TDays[[#This Row],[تاریخ]],TArticle[هزینه])</f>
        <v>0</v>
      </c>
      <c r="J1208" s="164">
        <f>SUMIF(TArticle[تاریخ],TDays[[#This Row],[تاریخ]],TArticle[درآمد تتا])</f>
        <v>0</v>
      </c>
      <c r="K1208" s="164">
        <f>SUMIF(TArticle[تاریخ],TDays[[#This Row],[تاریخ]],TArticle[اسنپ])</f>
        <v>0</v>
      </c>
      <c r="L1208" s="164">
        <f>-SUMIF(TArticle[تاریخ],TDays[[#This Row],[تاریخ]],TArticle[پرداخت بدهی])</f>
        <v>0</v>
      </c>
      <c r="M1208" s="164">
        <f>SUMIF(TArticle[تاریخ],TDays[[#This Row],[تاریخ]],TArticle[افزایش بدهی])</f>
        <v>0</v>
      </c>
      <c r="N1208" s="164">
        <f>-SUMIF(TArticle[تاریخ],TDays[[#This Row],[تاریخ]],TArticle[افزایش سرمایه])</f>
        <v>0</v>
      </c>
      <c r="O1208" s="164">
        <f>SUMIF(TArticle[تاریخ],TDays[[#This Row],[تاریخ]],TArticle[تعداد تراکنش انجام شده])</f>
        <v>0</v>
      </c>
      <c r="P1208" s="164">
        <f>INT(((TDays[[#This Row],[ماه]]-1)*31+TDays[[#This Row],[روز]]+1)/7)+1</f>
        <v>17</v>
      </c>
      <c r="Q1208" s="164">
        <f>SUMIF(TArticle[تاریخ],TDays[[#This Row],[تاریخ]],TArticle[تراکنش برنامه ریزی شده])</f>
        <v>0</v>
      </c>
    </row>
    <row r="1209" spans="1:17" x14ac:dyDescent="0.25">
      <c r="A1209" s="3" t="s">
        <v>1798</v>
      </c>
      <c r="B1209" s="164" t="str">
        <f>RIGHT(TDays[[#This Row],[تاریخ]],2)</f>
        <v>19</v>
      </c>
      <c r="C1209" s="164" t="str">
        <f>RIGHT(LEFT(TDays[[#This Row],[تاریخ]],7),2)</f>
        <v>04</v>
      </c>
      <c r="D1209" s="164" t="str">
        <f>LEFT(TDays[[#This Row],[تاریخ]],4)</f>
        <v>1404</v>
      </c>
      <c r="E1209" s="164" t="str">
        <f>LEFT(TDays[[#This Row],[تاریخ]],7)</f>
        <v>1404-04</v>
      </c>
      <c r="F1209">
        <v>5</v>
      </c>
      <c r="G1209" s="165" t="str">
        <f>VLOOKUP(TDays[[#This Row],[کد روز هفته]],TDaysOfTheWeek[],2,FALSE)</f>
        <v>پنجشنبه</v>
      </c>
      <c r="H1209" s="165">
        <f>IFERROR(IF(E1208&lt;&gt;E1209,1,INT(H1208)+IF(TDays[[#This Row],[کد روز هفته]]=0,1,0)),1)</f>
        <v>3</v>
      </c>
      <c r="I1209" s="164">
        <f>-SUMIF(TArticle[تاریخ],TDays[[#This Row],[تاریخ]],TArticle[هزینه])</f>
        <v>0</v>
      </c>
      <c r="J1209" s="164">
        <f>SUMIF(TArticle[تاریخ],TDays[[#This Row],[تاریخ]],TArticle[درآمد تتا])</f>
        <v>0</v>
      </c>
      <c r="K1209" s="164">
        <f>SUMIF(TArticle[تاریخ],TDays[[#This Row],[تاریخ]],TArticle[اسنپ])</f>
        <v>0</v>
      </c>
      <c r="L1209" s="164">
        <f>-SUMIF(TArticle[تاریخ],TDays[[#This Row],[تاریخ]],TArticle[پرداخت بدهی])</f>
        <v>0</v>
      </c>
      <c r="M1209" s="164">
        <f>SUMIF(TArticle[تاریخ],TDays[[#This Row],[تاریخ]],TArticle[افزایش بدهی])</f>
        <v>0</v>
      </c>
      <c r="N1209" s="164">
        <f>-SUMIF(TArticle[تاریخ],TDays[[#This Row],[تاریخ]],TArticle[افزایش سرمایه])</f>
        <v>0</v>
      </c>
      <c r="O1209" s="164">
        <f>SUMIF(TArticle[تاریخ],TDays[[#This Row],[تاریخ]],TArticle[تعداد تراکنش انجام شده])</f>
        <v>0</v>
      </c>
      <c r="P1209" s="164">
        <f>INT(((TDays[[#This Row],[ماه]]-1)*31+TDays[[#This Row],[روز]]+1)/7)+1</f>
        <v>17</v>
      </c>
      <c r="Q1209" s="164">
        <f>SUMIF(TArticle[تاریخ],TDays[[#This Row],[تاریخ]],TArticle[تراکنش برنامه ریزی شده])</f>
        <v>0</v>
      </c>
    </row>
    <row r="1210" spans="1:17" x14ac:dyDescent="0.25">
      <c r="A1210" s="3" t="s">
        <v>1799</v>
      </c>
      <c r="B1210" s="164" t="str">
        <f>RIGHT(TDays[[#This Row],[تاریخ]],2)</f>
        <v>20</v>
      </c>
      <c r="C1210" s="164" t="str">
        <f>RIGHT(LEFT(TDays[[#This Row],[تاریخ]],7),2)</f>
        <v>04</v>
      </c>
      <c r="D1210" s="164" t="str">
        <f>LEFT(TDays[[#This Row],[تاریخ]],4)</f>
        <v>1404</v>
      </c>
      <c r="E1210" s="164" t="str">
        <f>LEFT(TDays[[#This Row],[تاریخ]],7)</f>
        <v>1404-04</v>
      </c>
      <c r="F1210">
        <v>6</v>
      </c>
      <c r="G1210" s="165" t="str">
        <f>VLOOKUP(TDays[[#This Row],[کد روز هفته]],TDaysOfTheWeek[],2,FALSE)</f>
        <v>جمعه</v>
      </c>
      <c r="H1210" s="165">
        <f>IFERROR(IF(E1209&lt;&gt;E1210,1,INT(H1209)+IF(TDays[[#This Row],[کد روز هفته]]=0,1,0)),1)</f>
        <v>3</v>
      </c>
      <c r="I1210" s="164">
        <f>-SUMIF(TArticle[تاریخ],TDays[[#This Row],[تاریخ]],TArticle[هزینه])</f>
        <v>0</v>
      </c>
      <c r="J1210" s="164">
        <f>SUMIF(TArticle[تاریخ],TDays[[#This Row],[تاریخ]],TArticle[درآمد تتا])</f>
        <v>0</v>
      </c>
      <c r="K1210" s="164">
        <f>SUMIF(TArticle[تاریخ],TDays[[#This Row],[تاریخ]],TArticle[اسنپ])</f>
        <v>0</v>
      </c>
      <c r="L1210" s="164">
        <f>-SUMIF(TArticle[تاریخ],TDays[[#This Row],[تاریخ]],TArticle[پرداخت بدهی])</f>
        <v>0</v>
      </c>
      <c r="M1210" s="164">
        <f>SUMIF(TArticle[تاریخ],TDays[[#This Row],[تاریخ]],TArticle[افزایش بدهی])</f>
        <v>0</v>
      </c>
      <c r="N1210" s="164">
        <f>-SUMIF(TArticle[تاریخ],TDays[[#This Row],[تاریخ]],TArticle[افزایش سرمایه])</f>
        <v>0</v>
      </c>
      <c r="O1210" s="164">
        <f>SUMIF(TArticle[تاریخ],TDays[[#This Row],[تاریخ]],TArticle[تعداد تراکنش انجام شده])</f>
        <v>0</v>
      </c>
      <c r="P1210" s="164">
        <f>INT(((TDays[[#This Row],[ماه]]-1)*31+TDays[[#This Row],[روز]]+1)/7)+1</f>
        <v>17</v>
      </c>
      <c r="Q1210" s="164">
        <f>SUMIF(TArticle[تاریخ],TDays[[#This Row],[تاریخ]],TArticle[تراکنش برنامه ریزی شده])</f>
        <v>1</v>
      </c>
    </row>
    <row r="1211" spans="1:17" x14ac:dyDescent="0.25">
      <c r="A1211" s="3" t="s">
        <v>1800</v>
      </c>
      <c r="B1211" s="164" t="str">
        <f>RIGHT(TDays[[#This Row],[تاریخ]],2)</f>
        <v>21</v>
      </c>
      <c r="C1211" s="164" t="str">
        <f>RIGHT(LEFT(TDays[[#This Row],[تاریخ]],7),2)</f>
        <v>04</v>
      </c>
      <c r="D1211" s="164" t="str">
        <f>LEFT(TDays[[#This Row],[تاریخ]],4)</f>
        <v>1404</v>
      </c>
      <c r="E1211" s="164" t="str">
        <f>LEFT(TDays[[#This Row],[تاریخ]],7)</f>
        <v>1404-04</v>
      </c>
      <c r="F1211">
        <v>0</v>
      </c>
      <c r="G1211" s="165" t="str">
        <f>VLOOKUP(TDays[[#This Row],[کد روز هفته]],TDaysOfTheWeek[],2,FALSE)</f>
        <v>شنبه</v>
      </c>
      <c r="H1211" s="165">
        <f>IFERROR(IF(E1210&lt;&gt;E1211,1,INT(H1210)+IF(TDays[[#This Row],[کد روز هفته]]=0,1,0)),1)</f>
        <v>4</v>
      </c>
      <c r="I1211" s="164">
        <f>-SUMIF(TArticle[تاریخ],TDays[[#This Row],[تاریخ]],TArticle[هزینه])</f>
        <v>0</v>
      </c>
      <c r="J1211" s="164">
        <f>SUMIF(TArticle[تاریخ],TDays[[#This Row],[تاریخ]],TArticle[درآمد تتا])</f>
        <v>0</v>
      </c>
      <c r="K1211" s="164">
        <f>SUMIF(TArticle[تاریخ],TDays[[#This Row],[تاریخ]],TArticle[اسنپ])</f>
        <v>0</v>
      </c>
      <c r="L1211" s="164">
        <f>-SUMIF(TArticle[تاریخ],TDays[[#This Row],[تاریخ]],TArticle[پرداخت بدهی])</f>
        <v>0</v>
      </c>
      <c r="M1211" s="164">
        <f>SUMIF(TArticle[تاریخ],TDays[[#This Row],[تاریخ]],TArticle[افزایش بدهی])</f>
        <v>0</v>
      </c>
      <c r="N1211" s="164">
        <f>-SUMIF(TArticle[تاریخ],TDays[[#This Row],[تاریخ]],TArticle[افزایش سرمایه])</f>
        <v>0</v>
      </c>
      <c r="O1211" s="164">
        <f>SUMIF(TArticle[تاریخ],TDays[[#This Row],[تاریخ]],TArticle[تعداد تراکنش انجام شده])</f>
        <v>0</v>
      </c>
      <c r="P1211" s="164">
        <f>INT(((TDays[[#This Row],[ماه]]-1)*31+TDays[[#This Row],[روز]]+1)/7)+1</f>
        <v>17</v>
      </c>
      <c r="Q1211" s="164">
        <f>SUMIF(TArticle[تاریخ],TDays[[#This Row],[تاریخ]],TArticle[تراکنش برنامه ریزی شده])</f>
        <v>0</v>
      </c>
    </row>
    <row r="1212" spans="1:17" x14ac:dyDescent="0.25">
      <c r="A1212" s="3" t="s">
        <v>1801</v>
      </c>
      <c r="B1212" s="164" t="str">
        <f>RIGHT(TDays[[#This Row],[تاریخ]],2)</f>
        <v>22</v>
      </c>
      <c r="C1212" s="164" t="str">
        <f>RIGHT(LEFT(TDays[[#This Row],[تاریخ]],7),2)</f>
        <v>04</v>
      </c>
      <c r="D1212" s="164" t="str">
        <f>LEFT(TDays[[#This Row],[تاریخ]],4)</f>
        <v>1404</v>
      </c>
      <c r="E1212" s="164" t="str">
        <f>LEFT(TDays[[#This Row],[تاریخ]],7)</f>
        <v>1404-04</v>
      </c>
      <c r="F1212">
        <v>1</v>
      </c>
      <c r="G1212" s="165" t="str">
        <f>VLOOKUP(TDays[[#This Row],[کد روز هفته]],TDaysOfTheWeek[],2,FALSE)</f>
        <v>یکشنبه</v>
      </c>
      <c r="H1212" s="165">
        <f>IFERROR(IF(E1211&lt;&gt;E1212,1,INT(H1211)+IF(TDays[[#This Row],[کد روز هفته]]=0,1,0)),1)</f>
        <v>4</v>
      </c>
      <c r="I1212" s="164">
        <f>-SUMIF(TArticle[تاریخ],TDays[[#This Row],[تاریخ]],TArticle[هزینه])</f>
        <v>0</v>
      </c>
      <c r="J1212" s="164">
        <f>SUMIF(TArticle[تاریخ],TDays[[#This Row],[تاریخ]],TArticle[درآمد تتا])</f>
        <v>0</v>
      </c>
      <c r="K1212" s="164">
        <f>SUMIF(TArticle[تاریخ],TDays[[#This Row],[تاریخ]],TArticle[اسنپ])</f>
        <v>0</v>
      </c>
      <c r="L1212" s="164">
        <f>-SUMIF(TArticle[تاریخ],TDays[[#This Row],[تاریخ]],TArticle[پرداخت بدهی])</f>
        <v>0</v>
      </c>
      <c r="M1212" s="164">
        <f>SUMIF(TArticle[تاریخ],TDays[[#This Row],[تاریخ]],TArticle[افزایش بدهی])</f>
        <v>0</v>
      </c>
      <c r="N1212" s="164">
        <f>-SUMIF(TArticle[تاریخ],TDays[[#This Row],[تاریخ]],TArticle[افزایش سرمایه])</f>
        <v>0</v>
      </c>
      <c r="O1212" s="164">
        <f>SUMIF(TArticle[تاریخ],TDays[[#This Row],[تاریخ]],TArticle[تعداد تراکنش انجام شده])</f>
        <v>0</v>
      </c>
      <c r="P1212" s="164">
        <f>INT(((TDays[[#This Row],[ماه]]-1)*31+TDays[[#This Row],[روز]]+1)/7)+1</f>
        <v>17</v>
      </c>
      <c r="Q1212" s="164">
        <f>SUMIF(TArticle[تاریخ],TDays[[#This Row],[تاریخ]],TArticle[تراکنش برنامه ریزی شده])</f>
        <v>0</v>
      </c>
    </row>
    <row r="1213" spans="1:17" x14ac:dyDescent="0.25">
      <c r="A1213" s="3" t="s">
        <v>1802</v>
      </c>
      <c r="B1213" s="164" t="str">
        <f>RIGHT(TDays[[#This Row],[تاریخ]],2)</f>
        <v>23</v>
      </c>
      <c r="C1213" s="164" t="str">
        <f>RIGHT(LEFT(TDays[[#This Row],[تاریخ]],7),2)</f>
        <v>04</v>
      </c>
      <c r="D1213" s="164" t="str">
        <f>LEFT(TDays[[#This Row],[تاریخ]],4)</f>
        <v>1404</v>
      </c>
      <c r="E1213" s="164" t="str">
        <f>LEFT(TDays[[#This Row],[تاریخ]],7)</f>
        <v>1404-04</v>
      </c>
      <c r="F1213">
        <v>2</v>
      </c>
      <c r="G1213" s="165" t="str">
        <f>VLOOKUP(TDays[[#This Row],[کد روز هفته]],TDaysOfTheWeek[],2,FALSE)</f>
        <v>دوشنبه</v>
      </c>
      <c r="H1213" s="165">
        <f>IFERROR(IF(E1212&lt;&gt;E1213,1,INT(H1212)+IF(TDays[[#This Row],[کد روز هفته]]=0,1,0)),1)</f>
        <v>4</v>
      </c>
      <c r="I1213" s="164">
        <f>-SUMIF(TArticle[تاریخ],TDays[[#This Row],[تاریخ]],TArticle[هزینه])</f>
        <v>0</v>
      </c>
      <c r="J1213" s="164">
        <f>SUMIF(TArticle[تاریخ],TDays[[#This Row],[تاریخ]],TArticle[درآمد تتا])</f>
        <v>0</v>
      </c>
      <c r="K1213" s="164">
        <f>SUMIF(TArticle[تاریخ],TDays[[#This Row],[تاریخ]],TArticle[اسنپ])</f>
        <v>0</v>
      </c>
      <c r="L1213" s="164">
        <f>-SUMIF(TArticle[تاریخ],TDays[[#This Row],[تاریخ]],TArticle[پرداخت بدهی])</f>
        <v>0</v>
      </c>
      <c r="M1213" s="164">
        <f>SUMIF(TArticle[تاریخ],TDays[[#This Row],[تاریخ]],TArticle[افزایش بدهی])</f>
        <v>0</v>
      </c>
      <c r="N1213" s="164">
        <f>-SUMIF(TArticle[تاریخ],TDays[[#This Row],[تاریخ]],TArticle[افزایش سرمایه])</f>
        <v>0</v>
      </c>
      <c r="O1213" s="164">
        <f>SUMIF(TArticle[تاریخ],TDays[[#This Row],[تاریخ]],TArticle[تعداد تراکنش انجام شده])</f>
        <v>0</v>
      </c>
      <c r="P1213" s="164">
        <f>INT(((TDays[[#This Row],[ماه]]-1)*31+TDays[[#This Row],[روز]]+1)/7)+1</f>
        <v>17</v>
      </c>
      <c r="Q1213" s="164">
        <f>SUMIF(TArticle[تاریخ],TDays[[#This Row],[تاریخ]],TArticle[تراکنش برنامه ریزی شده])</f>
        <v>0</v>
      </c>
    </row>
    <row r="1214" spans="1:17" x14ac:dyDescent="0.25">
      <c r="A1214" s="3" t="s">
        <v>1803</v>
      </c>
      <c r="B1214" s="164" t="str">
        <f>RIGHT(TDays[[#This Row],[تاریخ]],2)</f>
        <v>24</v>
      </c>
      <c r="C1214" s="164" t="str">
        <f>RIGHT(LEFT(TDays[[#This Row],[تاریخ]],7),2)</f>
        <v>04</v>
      </c>
      <c r="D1214" s="164" t="str">
        <f>LEFT(TDays[[#This Row],[تاریخ]],4)</f>
        <v>1404</v>
      </c>
      <c r="E1214" s="164" t="str">
        <f>LEFT(TDays[[#This Row],[تاریخ]],7)</f>
        <v>1404-04</v>
      </c>
      <c r="F1214">
        <v>3</v>
      </c>
      <c r="G1214" s="165" t="str">
        <f>VLOOKUP(TDays[[#This Row],[کد روز هفته]],TDaysOfTheWeek[],2,FALSE)</f>
        <v>سه شنبه</v>
      </c>
      <c r="H1214" s="165">
        <f>IFERROR(IF(E1213&lt;&gt;E1214,1,INT(H1213)+IF(TDays[[#This Row],[کد روز هفته]]=0,1,0)),1)</f>
        <v>4</v>
      </c>
      <c r="I1214" s="164">
        <f>-SUMIF(TArticle[تاریخ],TDays[[#This Row],[تاریخ]],TArticle[هزینه])</f>
        <v>0</v>
      </c>
      <c r="J1214" s="164">
        <f>SUMIF(TArticle[تاریخ],TDays[[#This Row],[تاریخ]],TArticle[درآمد تتا])</f>
        <v>0</v>
      </c>
      <c r="K1214" s="164">
        <f>SUMIF(TArticle[تاریخ],TDays[[#This Row],[تاریخ]],TArticle[اسنپ])</f>
        <v>0</v>
      </c>
      <c r="L1214" s="164">
        <f>-SUMIF(TArticle[تاریخ],TDays[[#This Row],[تاریخ]],TArticle[پرداخت بدهی])</f>
        <v>0</v>
      </c>
      <c r="M1214" s="164">
        <f>SUMIF(TArticle[تاریخ],TDays[[#This Row],[تاریخ]],TArticle[افزایش بدهی])</f>
        <v>0</v>
      </c>
      <c r="N1214" s="164">
        <f>-SUMIF(TArticle[تاریخ],TDays[[#This Row],[تاریخ]],TArticle[افزایش سرمایه])</f>
        <v>0</v>
      </c>
      <c r="O1214" s="164">
        <f>SUMIF(TArticle[تاریخ],TDays[[#This Row],[تاریخ]],TArticle[تعداد تراکنش انجام شده])</f>
        <v>0</v>
      </c>
      <c r="P1214" s="164">
        <f>INT(((TDays[[#This Row],[ماه]]-1)*31+TDays[[#This Row],[روز]]+1)/7)+1</f>
        <v>17</v>
      </c>
      <c r="Q1214" s="164">
        <f>SUMIF(TArticle[تاریخ],TDays[[#This Row],[تاریخ]],TArticle[تراکنش برنامه ریزی شده])</f>
        <v>0</v>
      </c>
    </row>
    <row r="1215" spans="1:17" x14ac:dyDescent="0.25">
      <c r="A1215" s="3" t="s">
        <v>1804</v>
      </c>
      <c r="B1215" s="164" t="str">
        <f>RIGHT(TDays[[#This Row],[تاریخ]],2)</f>
        <v>25</v>
      </c>
      <c r="C1215" s="164" t="str">
        <f>RIGHT(LEFT(TDays[[#This Row],[تاریخ]],7),2)</f>
        <v>04</v>
      </c>
      <c r="D1215" s="164" t="str">
        <f>LEFT(TDays[[#This Row],[تاریخ]],4)</f>
        <v>1404</v>
      </c>
      <c r="E1215" s="164" t="str">
        <f>LEFT(TDays[[#This Row],[تاریخ]],7)</f>
        <v>1404-04</v>
      </c>
      <c r="F1215">
        <v>4</v>
      </c>
      <c r="G1215" s="165" t="str">
        <f>VLOOKUP(TDays[[#This Row],[کد روز هفته]],TDaysOfTheWeek[],2,FALSE)</f>
        <v>چهارشنبه</v>
      </c>
      <c r="H1215" s="165">
        <f>IFERROR(IF(E1214&lt;&gt;E1215,1,INT(H1214)+IF(TDays[[#This Row],[کد روز هفته]]=0,1,0)),1)</f>
        <v>4</v>
      </c>
      <c r="I1215" s="164">
        <f>-SUMIF(TArticle[تاریخ],TDays[[#This Row],[تاریخ]],TArticle[هزینه])</f>
        <v>0</v>
      </c>
      <c r="J1215" s="164">
        <f>SUMIF(TArticle[تاریخ],TDays[[#This Row],[تاریخ]],TArticle[درآمد تتا])</f>
        <v>0</v>
      </c>
      <c r="K1215" s="164">
        <f>SUMIF(TArticle[تاریخ],TDays[[#This Row],[تاریخ]],TArticle[اسنپ])</f>
        <v>0</v>
      </c>
      <c r="L1215" s="164">
        <f>-SUMIF(TArticle[تاریخ],TDays[[#This Row],[تاریخ]],TArticle[پرداخت بدهی])</f>
        <v>0</v>
      </c>
      <c r="M1215" s="164">
        <f>SUMIF(TArticle[تاریخ],TDays[[#This Row],[تاریخ]],TArticle[افزایش بدهی])</f>
        <v>0</v>
      </c>
      <c r="N1215" s="164">
        <f>-SUMIF(TArticle[تاریخ],TDays[[#This Row],[تاریخ]],TArticle[افزایش سرمایه])</f>
        <v>0</v>
      </c>
      <c r="O1215" s="164">
        <f>SUMIF(TArticle[تاریخ],TDays[[#This Row],[تاریخ]],TArticle[تعداد تراکنش انجام شده])</f>
        <v>0</v>
      </c>
      <c r="P1215" s="164">
        <f>INT(((TDays[[#This Row],[ماه]]-1)*31+TDays[[#This Row],[روز]]+1)/7)+1</f>
        <v>18</v>
      </c>
      <c r="Q1215" s="164">
        <f>SUMIF(TArticle[تاریخ],TDays[[#This Row],[تاریخ]],TArticle[تراکنش برنامه ریزی شده])</f>
        <v>0</v>
      </c>
    </row>
    <row r="1216" spans="1:17" x14ac:dyDescent="0.25">
      <c r="A1216" s="3" t="s">
        <v>1805</v>
      </c>
      <c r="B1216" s="164" t="str">
        <f>RIGHT(TDays[[#This Row],[تاریخ]],2)</f>
        <v>26</v>
      </c>
      <c r="C1216" s="164" t="str">
        <f>RIGHT(LEFT(TDays[[#This Row],[تاریخ]],7),2)</f>
        <v>04</v>
      </c>
      <c r="D1216" s="164" t="str">
        <f>LEFT(TDays[[#This Row],[تاریخ]],4)</f>
        <v>1404</v>
      </c>
      <c r="E1216" s="164" t="str">
        <f>LEFT(TDays[[#This Row],[تاریخ]],7)</f>
        <v>1404-04</v>
      </c>
      <c r="F1216">
        <v>5</v>
      </c>
      <c r="G1216" s="165" t="str">
        <f>VLOOKUP(TDays[[#This Row],[کد روز هفته]],TDaysOfTheWeek[],2,FALSE)</f>
        <v>پنجشنبه</v>
      </c>
      <c r="H1216" s="165">
        <f>IFERROR(IF(E1215&lt;&gt;E1216,1,INT(H1215)+IF(TDays[[#This Row],[کد روز هفته]]=0,1,0)),1)</f>
        <v>4</v>
      </c>
      <c r="I1216" s="164">
        <f>-SUMIF(TArticle[تاریخ],TDays[[#This Row],[تاریخ]],TArticle[هزینه])</f>
        <v>0</v>
      </c>
      <c r="J1216" s="164">
        <f>SUMIF(TArticle[تاریخ],TDays[[#This Row],[تاریخ]],TArticle[درآمد تتا])</f>
        <v>0</v>
      </c>
      <c r="K1216" s="164">
        <f>SUMIF(TArticle[تاریخ],TDays[[#This Row],[تاریخ]],TArticle[اسنپ])</f>
        <v>0</v>
      </c>
      <c r="L1216" s="164">
        <f>-SUMIF(TArticle[تاریخ],TDays[[#This Row],[تاریخ]],TArticle[پرداخت بدهی])</f>
        <v>0</v>
      </c>
      <c r="M1216" s="164">
        <f>SUMIF(TArticle[تاریخ],TDays[[#This Row],[تاریخ]],TArticle[افزایش بدهی])</f>
        <v>0</v>
      </c>
      <c r="N1216" s="164">
        <f>-SUMIF(TArticle[تاریخ],TDays[[#This Row],[تاریخ]],TArticle[افزایش سرمایه])</f>
        <v>0</v>
      </c>
      <c r="O1216" s="164">
        <f>SUMIF(TArticle[تاریخ],TDays[[#This Row],[تاریخ]],TArticle[تعداد تراکنش انجام شده])</f>
        <v>0</v>
      </c>
      <c r="P1216" s="164">
        <f>INT(((TDays[[#This Row],[ماه]]-1)*31+TDays[[#This Row],[روز]]+1)/7)+1</f>
        <v>18</v>
      </c>
      <c r="Q1216" s="164">
        <f>SUMIF(TArticle[تاریخ],TDays[[#This Row],[تاریخ]],TArticle[تراکنش برنامه ریزی شده])</f>
        <v>0</v>
      </c>
    </row>
    <row r="1217" spans="1:17" x14ac:dyDescent="0.25">
      <c r="A1217" s="3" t="s">
        <v>1806</v>
      </c>
      <c r="B1217" s="164" t="str">
        <f>RIGHT(TDays[[#This Row],[تاریخ]],2)</f>
        <v>27</v>
      </c>
      <c r="C1217" s="164" t="str">
        <f>RIGHT(LEFT(TDays[[#This Row],[تاریخ]],7),2)</f>
        <v>04</v>
      </c>
      <c r="D1217" s="164" t="str">
        <f>LEFT(TDays[[#This Row],[تاریخ]],4)</f>
        <v>1404</v>
      </c>
      <c r="E1217" s="164" t="str">
        <f>LEFT(TDays[[#This Row],[تاریخ]],7)</f>
        <v>1404-04</v>
      </c>
      <c r="F1217">
        <v>6</v>
      </c>
      <c r="G1217" s="165" t="str">
        <f>VLOOKUP(TDays[[#This Row],[کد روز هفته]],TDaysOfTheWeek[],2,FALSE)</f>
        <v>جمعه</v>
      </c>
      <c r="H1217" s="165">
        <f>IFERROR(IF(E1216&lt;&gt;E1217,1,INT(H1216)+IF(TDays[[#This Row],[کد روز هفته]]=0,1,0)),1)</f>
        <v>4</v>
      </c>
      <c r="I1217" s="164">
        <f>-SUMIF(TArticle[تاریخ],TDays[[#This Row],[تاریخ]],TArticle[هزینه])</f>
        <v>0</v>
      </c>
      <c r="J1217" s="164">
        <f>SUMIF(TArticle[تاریخ],TDays[[#This Row],[تاریخ]],TArticle[درآمد تتا])</f>
        <v>0</v>
      </c>
      <c r="K1217" s="164">
        <f>SUMIF(TArticle[تاریخ],TDays[[#This Row],[تاریخ]],TArticle[اسنپ])</f>
        <v>0</v>
      </c>
      <c r="L1217" s="164">
        <f>-SUMIF(TArticle[تاریخ],TDays[[#This Row],[تاریخ]],TArticle[پرداخت بدهی])</f>
        <v>0</v>
      </c>
      <c r="M1217" s="164">
        <f>SUMIF(TArticle[تاریخ],TDays[[#This Row],[تاریخ]],TArticle[افزایش بدهی])</f>
        <v>0</v>
      </c>
      <c r="N1217" s="164">
        <f>-SUMIF(TArticle[تاریخ],TDays[[#This Row],[تاریخ]],TArticle[افزایش سرمایه])</f>
        <v>0</v>
      </c>
      <c r="O1217" s="164">
        <f>SUMIF(TArticle[تاریخ],TDays[[#This Row],[تاریخ]],TArticle[تعداد تراکنش انجام شده])</f>
        <v>0</v>
      </c>
      <c r="P1217" s="164">
        <f>INT(((TDays[[#This Row],[ماه]]-1)*31+TDays[[#This Row],[روز]]+1)/7)+1</f>
        <v>18</v>
      </c>
      <c r="Q1217" s="164">
        <f>SUMIF(TArticle[تاریخ],TDays[[#This Row],[تاریخ]],TArticle[تراکنش برنامه ریزی شده])</f>
        <v>0</v>
      </c>
    </row>
    <row r="1218" spans="1:17" x14ac:dyDescent="0.25">
      <c r="A1218" s="3" t="s">
        <v>1807</v>
      </c>
      <c r="B1218" s="164" t="str">
        <f>RIGHT(TDays[[#This Row],[تاریخ]],2)</f>
        <v>28</v>
      </c>
      <c r="C1218" s="164" t="str">
        <f>RIGHT(LEFT(TDays[[#This Row],[تاریخ]],7),2)</f>
        <v>04</v>
      </c>
      <c r="D1218" s="164" t="str">
        <f>LEFT(TDays[[#This Row],[تاریخ]],4)</f>
        <v>1404</v>
      </c>
      <c r="E1218" s="164" t="str">
        <f>LEFT(TDays[[#This Row],[تاریخ]],7)</f>
        <v>1404-04</v>
      </c>
      <c r="F1218">
        <v>0</v>
      </c>
      <c r="G1218" s="165" t="str">
        <f>VLOOKUP(TDays[[#This Row],[کد روز هفته]],TDaysOfTheWeek[],2,FALSE)</f>
        <v>شنبه</v>
      </c>
      <c r="H1218" s="165">
        <f>IFERROR(IF(E1217&lt;&gt;E1218,1,INT(H1217)+IF(TDays[[#This Row],[کد روز هفته]]=0,1,0)),1)</f>
        <v>5</v>
      </c>
      <c r="I1218" s="164">
        <f>-SUMIF(TArticle[تاریخ],TDays[[#This Row],[تاریخ]],TArticle[هزینه])</f>
        <v>0</v>
      </c>
      <c r="J1218" s="164">
        <f>SUMIF(TArticle[تاریخ],TDays[[#This Row],[تاریخ]],TArticle[درآمد تتا])</f>
        <v>0</v>
      </c>
      <c r="K1218" s="164">
        <f>SUMIF(TArticle[تاریخ],TDays[[#This Row],[تاریخ]],TArticle[اسنپ])</f>
        <v>0</v>
      </c>
      <c r="L1218" s="164">
        <f>-SUMIF(TArticle[تاریخ],TDays[[#This Row],[تاریخ]],TArticle[پرداخت بدهی])</f>
        <v>0</v>
      </c>
      <c r="M1218" s="164">
        <f>SUMIF(TArticle[تاریخ],TDays[[#This Row],[تاریخ]],TArticle[افزایش بدهی])</f>
        <v>0</v>
      </c>
      <c r="N1218" s="164">
        <f>-SUMIF(TArticle[تاریخ],TDays[[#This Row],[تاریخ]],TArticle[افزایش سرمایه])</f>
        <v>0</v>
      </c>
      <c r="O1218" s="164">
        <f>SUMIF(TArticle[تاریخ],TDays[[#This Row],[تاریخ]],TArticle[تعداد تراکنش انجام شده])</f>
        <v>0</v>
      </c>
      <c r="P1218" s="164">
        <f>INT(((TDays[[#This Row],[ماه]]-1)*31+TDays[[#This Row],[روز]]+1)/7)+1</f>
        <v>18</v>
      </c>
      <c r="Q1218" s="164">
        <f>SUMIF(TArticle[تاریخ],TDays[[#This Row],[تاریخ]],TArticle[تراکنش برنامه ریزی شده])</f>
        <v>0</v>
      </c>
    </row>
    <row r="1219" spans="1:17" x14ac:dyDescent="0.25">
      <c r="A1219" s="3" t="s">
        <v>1808</v>
      </c>
      <c r="B1219" s="164" t="str">
        <f>RIGHT(TDays[[#This Row],[تاریخ]],2)</f>
        <v>29</v>
      </c>
      <c r="C1219" s="164" t="str">
        <f>RIGHT(LEFT(TDays[[#This Row],[تاریخ]],7),2)</f>
        <v>04</v>
      </c>
      <c r="D1219" s="164" t="str">
        <f>LEFT(TDays[[#This Row],[تاریخ]],4)</f>
        <v>1404</v>
      </c>
      <c r="E1219" s="164" t="str">
        <f>LEFT(TDays[[#This Row],[تاریخ]],7)</f>
        <v>1404-04</v>
      </c>
      <c r="F1219">
        <v>1</v>
      </c>
      <c r="G1219" s="165" t="str">
        <f>VLOOKUP(TDays[[#This Row],[کد روز هفته]],TDaysOfTheWeek[],2,FALSE)</f>
        <v>یکشنبه</v>
      </c>
      <c r="H1219" s="165">
        <f>IFERROR(IF(E1218&lt;&gt;E1219,1,INT(H1218)+IF(TDays[[#This Row],[کد روز هفته]]=0,1,0)),1)</f>
        <v>5</v>
      </c>
      <c r="I1219" s="164">
        <f>-SUMIF(TArticle[تاریخ],TDays[[#This Row],[تاریخ]],TArticle[هزینه])</f>
        <v>0</v>
      </c>
      <c r="J1219" s="164">
        <f>SUMIF(TArticle[تاریخ],TDays[[#This Row],[تاریخ]],TArticle[درآمد تتا])</f>
        <v>0</v>
      </c>
      <c r="K1219" s="164">
        <f>SUMIF(TArticle[تاریخ],TDays[[#This Row],[تاریخ]],TArticle[اسنپ])</f>
        <v>0</v>
      </c>
      <c r="L1219" s="164">
        <f>-SUMIF(TArticle[تاریخ],TDays[[#This Row],[تاریخ]],TArticle[پرداخت بدهی])</f>
        <v>0</v>
      </c>
      <c r="M1219" s="164">
        <f>SUMIF(TArticle[تاریخ],TDays[[#This Row],[تاریخ]],TArticle[افزایش بدهی])</f>
        <v>0</v>
      </c>
      <c r="N1219" s="164">
        <f>-SUMIF(TArticle[تاریخ],TDays[[#This Row],[تاریخ]],TArticle[افزایش سرمایه])</f>
        <v>0</v>
      </c>
      <c r="O1219" s="164">
        <f>SUMIF(TArticle[تاریخ],TDays[[#This Row],[تاریخ]],TArticle[تعداد تراکنش انجام شده])</f>
        <v>0</v>
      </c>
      <c r="P1219" s="164">
        <f>INT(((TDays[[#This Row],[ماه]]-1)*31+TDays[[#This Row],[روز]]+1)/7)+1</f>
        <v>18</v>
      </c>
      <c r="Q1219" s="164">
        <f>SUMIF(TArticle[تاریخ],TDays[[#This Row],[تاریخ]],TArticle[تراکنش برنامه ریزی شده])</f>
        <v>0</v>
      </c>
    </row>
    <row r="1220" spans="1:17" x14ac:dyDescent="0.25">
      <c r="A1220" s="3" t="s">
        <v>1809</v>
      </c>
      <c r="B1220" s="164" t="str">
        <f>RIGHT(TDays[[#This Row],[تاریخ]],2)</f>
        <v>30</v>
      </c>
      <c r="C1220" s="164" t="str">
        <f>RIGHT(LEFT(TDays[[#This Row],[تاریخ]],7),2)</f>
        <v>04</v>
      </c>
      <c r="D1220" s="164" t="str">
        <f>LEFT(TDays[[#This Row],[تاریخ]],4)</f>
        <v>1404</v>
      </c>
      <c r="E1220" s="164" t="str">
        <f>LEFT(TDays[[#This Row],[تاریخ]],7)</f>
        <v>1404-04</v>
      </c>
      <c r="F1220">
        <v>2</v>
      </c>
      <c r="G1220" s="165" t="str">
        <f>VLOOKUP(TDays[[#This Row],[کد روز هفته]],TDaysOfTheWeek[],2,FALSE)</f>
        <v>دوشنبه</v>
      </c>
      <c r="H1220" s="165">
        <f>IFERROR(IF(E1219&lt;&gt;E1220,1,INT(H1219)+IF(TDays[[#This Row],[کد روز هفته]]=0,1,0)),1)</f>
        <v>5</v>
      </c>
      <c r="I1220" s="164">
        <f>-SUMIF(TArticle[تاریخ],TDays[[#This Row],[تاریخ]],TArticle[هزینه])</f>
        <v>0</v>
      </c>
      <c r="J1220" s="164">
        <f>SUMIF(TArticle[تاریخ],TDays[[#This Row],[تاریخ]],TArticle[درآمد تتا])</f>
        <v>0</v>
      </c>
      <c r="K1220" s="164">
        <f>SUMIF(TArticle[تاریخ],TDays[[#This Row],[تاریخ]],TArticle[اسنپ])</f>
        <v>0</v>
      </c>
      <c r="L1220" s="164">
        <f>-SUMIF(TArticle[تاریخ],TDays[[#This Row],[تاریخ]],TArticle[پرداخت بدهی])</f>
        <v>0</v>
      </c>
      <c r="M1220" s="164">
        <f>SUMIF(TArticle[تاریخ],TDays[[#This Row],[تاریخ]],TArticle[افزایش بدهی])</f>
        <v>0</v>
      </c>
      <c r="N1220" s="164">
        <f>-SUMIF(TArticle[تاریخ],TDays[[#This Row],[تاریخ]],TArticle[افزایش سرمایه])</f>
        <v>0</v>
      </c>
      <c r="O1220" s="164">
        <f>SUMIF(TArticle[تاریخ],TDays[[#This Row],[تاریخ]],TArticle[تعداد تراکنش انجام شده])</f>
        <v>0</v>
      </c>
      <c r="P1220" s="164">
        <f>INT(((TDays[[#This Row],[ماه]]-1)*31+TDays[[#This Row],[روز]]+1)/7)+1</f>
        <v>18</v>
      </c>
      <c r="Q1220" s="164">
        <f>SUMIF(TArticle[تاریخ],TDays[[#This Row],[تاریخ]],TArticle[تراکنش برنامه ریزی شده])</f>
        <v>0</v>
      </c>
    </row>
    <row r="1221" spans="1:17" x14ac:dyDescent="0.25">
      <c r="A1221" s="3" t="s">
        <v>1810</v>
      </c>
      <c r="B1221" s="164" t="str">
        <f>RIGHT(TDays[[#This Row],[تاریخ]],2)</f>
        <v>31</v>
      </c>
      <c r="C1221" s="164" t="str">
        <f>RIGHT(LEFT(TDays[[#This Row],[تاریخ]],7),2)</f>
        <v>04</v>
      </c>
      <c r="D1221" s="164" t="str">
        <f>LEFT(TDays[[#This Row],[تاریخ]],4)</f>
        <v>1404</v>
      </c>
      <c r="E1221" s="164" t="str">
        <f>LEFT(TDays[[#This Row],[تاریخ]],7)</f>
        <v>1404-04</v>
      </c>
      <c r="F1221">
        <v>3</v>
      </c>
      <c r="G1221" s="165" t="str">
        <f>VLOOKUP(TDays[[#This Row],[کد روز هفته]],TDaysOfTheWeek[],2,FALSE)</f>
        <v>سه شنبه</v>
      </c>
      <c r="H1221" s="165">
        <f>IFERROR(IF(E1220&lt;&gt;E1221,1,INT(H1220)+IF(TDays[[#This Row],[کد روز هفته]]=0,1,0)),1)</f>
        <v>5</v>
      </c>
      <c r="I1221" s="164">
        <f>-SUMIF(TArticle[تاریخ],TDays[[#This Row],[تاریخ]],TArticle[هزینه])</f>
        <v>0</v>
      </c>
      <c r="J1221" s="164">
        <f>SUMIF(TArticle[تاریخ],TDays[[#This Row],[تاریخ]],TArticle[درآمد تتا])</f>
        <v>0</v>
      </c>
      <c r="K1221" s="164">
        <f>SUMIF(TArticle[تاریخ],TDays[[#This Row],[تاریخ]],TArticle[اسنپ])</f>
        <v>0</v>
      </c>
      <c r="L1221" s="164">
        <f>-SUMIF(TArticle[تاریخ],TDays[[#This Row],[تاریخ]],TArticle[پرداخت بدهی])</f>
        <v>0</v>
      </c>
      <c r="M1221" s="164">
        <f>SUMIF(TArticle[تاریخ],TDays[[#This Row],[تاریخ]],TArticle[افزایش بدهی])</f>
        <v>0</v>
      </c>
      <c r="N1221" s="164">
        <f>-SUMIF(TArticle[تاریخ],TDays[[#This Row],[تاریخ]],TArticle[افزایش سرمایه])</f>
        <v>0</v>
      </c>
      <c r="O1221" s="164">
        <f>SUMIF(TArticle[تاریخ],TDays[[#This Row],[تاریخ]],TArticle[تعداد تراکنش انجام شده])</f>
        <v>0</v>
      </c>
      <c r="P1221" s="164">
        <f>INT(((TDays[[#This Row],[ماه]]-1)*31+TDays[[#This Row],[روز]]+1)/7)+1</f>
        <v>18</v>
      </c>
      <c r="Q1221" s="164">
        <f>SUMIF(TArticle[تاریخ],TDays[[#This Row],[تاریخ]],TArticle[تراکنش برنامه ریزی شده])</f>
        <v>0</v>
      </c>
    </row>
    <row r="1222" spans="1:17" x14ac:dyDescent="0.25">
      <c r="A1222" s="3" t="s">
        <v>1811</v>
      </c>
      <c r="B1222" s="164" t="str">
        <f>RIGHT(TDays[[#This Row],[تاریخ]],2)</f>
        <v>01</v>
      </c>
      <c r="C1222" s="164" t="str">
        <f>RIGHT(LEFT(TDays[[#This Row],[تاریخ]],7),2)</f>
        <v>05</v>
      </c>
      <c r="D1222" s="164" t="str">
        <f>LEFT(TDays[[#This Row],[تاریخ]],4)</f>
        <v>1404</v>
      </c>
      <c r="E1222" s="164" t="str">
        <f>LEFT(TDays[[#This Row],[تاریخ]],7)</f>
        <v>1404-05</v>
      </c>
      <c r="F1222">
        <v>4</v>
      </c>
      <c r="G1222" s="165" t="str">
        <f>VLOOKUP(TDays[[#This Row],[کد روز هفته]],TDaysOfTheWeek[],2,FALSE)</f>
        <v>چهارشنبه</v>
      </c>
      <c r="H1222" s="165">
        <f>IFERROR(IF(E1221&lt;&gt;E1222,1,INT(H1221)+IF(TDays[[#This Row],[کد روز هفته]]=0,1,0)),1)</f>
        <v>1</v>
      </c>
      <c r="I1222" s="164">
        <f>-SUMIF(TArticle[تاریخ],TDays[[#This Row],[تاریخ]],TArticle[هزینه])</f>
        <v>0</v>
      </c>
      <c r="J1222" s="164">
        <f>SUMIF(TArticle[تاریخ],TDays[[#This Row],[تاریخ]],TArticle[درآمد تتا])</f>
        <v>0</v>
      </c>
      <c r="K1222" s="164">
        <f>SUMIF(TArticle[تاریخ],TDays[[#This Row],[تاریخ]],TArticle[اسنپ])</f>
        <v>0</v>
      </c>
      <c r="L1222" s="164">
        <f>-SUMIF(TArticle[تاریخ],TDays[[#This Row],[تاریخ]],TArticle[پرداخت بدهی])</f>
        <v>0</v>
      </c>
      <c r="M1222" s="164">
        <f>SUMIF(TArticle[تاریخ],TDays[[#This Row],[تاریخ]],TArticle[افزایش بدهی])</f>
        <v>0</v>
      </c>
      <c r="N1222" s="164">
        <f>-SUMIF(TArticle[تاریخ],TDays[[#This Row],[تاریخ]],TArticle[افزایش سرمایه])</f>
        <v>0</v>
      </c>
      <c r="O1222" s="164">
        <f>SUMIF(TArticle[تاریخ],TDays[[#This Row],[تاریخ]],TArticle[تعداد تراکنش انجام شده])</f>
        <v>0</v>
      </c>
      <c r="P1222" s="164">
        <f>INT(((TDays[[#This Row],[ماه]]-1)*31+TDays[[#This Row],[روز]]+1)/7)+1</f>
        <v>19</v>
      </c>
      <c r="Q1222" s="164">
        <f>SUMIF(TArticle[تاریخ],TDays[[#This Row],[تاریخ]],TArticle[تراکنش برنامه ریزی شده])</f>
        <v>2</v>
      </c>
    </row>
    <row r="1223" spans="1:17" x14ac:dyDescent="0.25">
      <c r="A1223" s="3" t="s">
        <v>1812</v>
      </c>
      <c r="B1223" s="164" t="str">
        <f>RIGHT(TDays[[#This Row],[تاریخ]],2)</f>
        <v>02</v>
      </c>
      <c r="C1223" s="164" t="str">
        <f>RIGHT(LEFT(TDays[[#This Row],[تاریخ]],7),2)</f>
        <v>05</v>
      </c>
      <c r="D1223" s="164" t="str">
        <f>LEFT(TDays[[#This Row],[تاریخ]],4)</f>
        <v>1404</v>
      </c>
      <c r="E1223" s="164" t="str">
        <f>LEFT(TDays[[#This Row],[تاریخ]],7)</f>
        <v>1404-05</v>
      </c>
      <c r="F1223">
        <v>5</v>
      </c>
      <c r="G1223" s="165" t="str">
        <f>VLOOKUP(TDays[[#This Row],[کد روز هفته]],TDaysOfTheWeek[],2,FALSE)</f>
        <v>پنجشنبه</v>
      </c>
      <c r="H1223" s="165">
        <f>IFERROR(IF(E1222&lt;&gt;E1223,1,INT(H1222)+IF(TDays[[#This Row],[کد روز هفته]]=0,1,0)),1)</f>
        <v>1</v>
      </c>
      <c r="I1223" s="164">
        <f>-SUMIF(TArticle[تاریخ],TDays[[#This Row],[تاریخ]],TArticle[هزینه])</f>
        <v>0</v>
      </c>
      <c r="J1223" s="164">
        <f>SUMIF(TArticle[تاریخ],TDays[[#This Row],[تاریخ]],TArticle[درآمد تتا])</f>
        <v>0</v>
      </c>
      <c r="K1223" s="164">
        <f>SUMIF(TArticle[تاریخ],TDays[[#This Row],[تاریخ]],TArticle[اسنپ])</f>
        <v>0</v>
      </c>
      <c r="L1223" s="164">
        <f>-SUMIF(TArticle[تاریخ],TDays[[#This Row],[تاریخ]],TArticle[پرداخت بدهی])</f>
        <v>0</v>
      </c>
      <c r="M1223" s="164">
        <f>SUMIF(TArticle[تاریخ],TDays[[#This Row],[تاریخ]],TArticle[افزایش بدهی])</f>
        <v>0</v>
      </c>
      <c r="N1223" s="164">
        <f>-SUMIF(TArticle[تاریخ],TDays[[#This Row],[تاریخ]],TArticle[افزایش سرمایه])</f>
        <v>0</v>
      </c>
      <c r="O1223" s="164">
        <f>SUMIF(TArticle[تاریخ],TDays[[#This Row],[تاریخ]],TArticle[تعداد تراکنش انجام شده])</f>
        <v>0</v>
      </c>
      <c r="P1223" s="164">
        <f>INT(((TDays[[#This Row],[ماه]]-1)*31+TDays[[#This Row],[روز]]+1)/7)+1</f>
        <v>19</v>
      </c>
      <c r="Q1223" s="164">
        <f>SUMIF(TArticle[تاریخ],TDays[[#This Row],[تاریخ]],TArticle[تراکنش برنامه ریزی شده])</f>
        <v>0</v>
      </c>
    </row>
    <row r="1224" spans="1:17" x14ac:dyDescent="0.25">
      <c r="A1224" s="3" t="s">
        <v>1813</v>
      </c>
      <c r="B1224" s="164" t="str">
        <f>RIGHT(TDays[[#This Row],[تاریخ]],2)</f>
        <v>03</v>
      </c>
      <c r="C1224" s="164" t="str">
        <f>RIGHT(LEFT(TDays[[#This Row],[تاریخ]],7),2)</f>
        <v>05</v>
      </c>
      <c r="D1224" s="164" t="str">
        <f>LEFT(TDays[[#This Row],[تاریخ]],4)</f>
        <v>1404</v>
      </c>
      <c r="E1224" s="164" t="str">
        <f>LEFT(TDays[[#This Row],[تاریخ]],7)</f>
        <v>1404-05</v>
      </c>
      <c r="F1224">
        <v>6</v>
      </c>
      <c r="G1224" s="165" t="str">
        <f>VLOOKUP(TDays[[#This Row],[کد روز هفته]],TDaysOfTheWeek[],2,FALSE)</f>
        <v>جمعه</v>
      </c>
      <c r="H1224" s="165">
        <f>IFERROR(IF(E1223&lt;&gt;E1224,1,INT(H1223)+IF(TDays[[#This Row],[کد روز هفته]]=0,1,0)),1)</f>
        <v>1</v>
      </c>
      <c r="I1224" s="164">
        <f>-SUMIF(TArticle[تاریخ],TDays[[#This Row],[تاریخ]],TArticle[هزینه])</f>
        <v>0</v>
      </c>
      <c r="J1224" s="164">
        <f>SUMIF(TArticle[تاریخ],TDays[[#This Row],[تاریخ]],TArticle[درآمد تتا])</f>
        <v>0</v>
      </c>
      <c r="K1224" s="164">
        <f>SUMIF(TArticle[تاریخ],TDays[[#This Row],[تاریخ]],TArticle[اسنپ])</f>
        <v>0</v>
      </c>
      <c r="L1224" s="164">
        <f>-SUMIF(TArticle[تاریخ],TDays[[#This Row],[تاریخ]],TArticle[پرداخت بدهی])</f>
        <v>0</v>
      </c>
      <c r="M1224" s="164">
        <f>SUMIF(TArticle[تاریخ],TDays[[#This Row],[تاریخ]],TArticle[افزایش بدهی])</f>
        <v>0</v>
      </c>
      <c r="N1224" s="164">
        <f>-SUMIF(TArticle[تاریخ],TDays[[#This Row],[تاریخ]],TArticle[افزایش سرمایه])</f>
        <v>0</v>
      </c>
      <c r="O1224" s="164">
        <f>SUMIF(TArticle[تاریخ],TDays[[#This Row],[تاریخ]],TArticle[تعداد تراکنش انجام شده])</f>
        <v>0</v>
      </c>
      <c r="P1224" s="164">
        <f>INT(((TDays[[#This Row],[ماه]]-1)*31+TDays[[#This Row],[روز]]+1)/7)+1</f>
        <v>19</v>
      </c>
      <c r="Q1224" s="164">
        <f>SUMIF(TArticle[تاریخ],TDays[[#This Row],[تاریخ]],TArticle[تراکنش برنامه ریزی شده])</f>
        <v>1</v>
      </c>
    </row>
    <row r="1225" spans="1:17" x14ac:dyDescent="0.25">
      <c r="A1225" s="3" t="s">
        <v>1814</v>
      </c>
      <c r="B1225" s="164" t="str">
        <f>RIGHT(TDays[[#This Row],[تاریخ]],2)</f>
        <v>04</v>
      </c>
      <c r="C1225" s="164" t="str">
        <f>RIGHT(LEFT(TDays[[#This Row],[تاریخ]],7),2)</f>
        <v>05</v>
      </c>
      <c r="D1225" s="164" t="str">
        <f>LEFT(TDays[[#This Row],[تاریخ]],4)</f>
        <v>1404</v>
      </c>
      <c r="E1225" s="164" t="str">
        <f>LEFT(TDays[[#This Row],[تاریخ]],7)</f>
        <v>1404-05</v>
      </c>
      <c r="F1225">
        <v>0</v>
      </c>
      <c r="G1225" s="165" t="str">
        <f>VLOOKUP(TDays[[#This Row],[کد روز هفته]],TDaysOfTheWeek[],2,FALSE)</f>
        <v>شنبه</v>
      </c>
      <c r="H1225" s="165">
        <f>IFERROR(IF(E1224&lt;&gt;E1225,1,INT(H1224)+IF(TDays[[#This Row],[کد روز هفته]]=0,1,0)),1)</f>
        <v>2</v>
      </c>
      <c r="I1225" s="164">
        <f>-SUMIF(TArticle[تاریخ],TDays[[#This Row],[تاریخ]],TArticle[هزینه])</f>
        <v>0</v>
      </c>
      <c r="J1225" s="164">
        <f>SUMIF(TArticle[تاریخ],TDays[[#This Row],[تاریخ]],TArticle[درآمد تتا])</f>
        <v>0</v>
      </c>
      <c r="K1225" s="164">
        <f>SUMIF(TArticle[تاریخ],TDays[[#This Row],[تاریخ]],TArticle[اسنپ])</f>
        <v>0</v>
      </c>
      <c r="L1225" s="164">
        <f>-SUMIF(TArticle[تاریخ],TDays[[#This Row],[تاریخ]],TArticle[پرداخت بدهی])</f>
        <v>0</v>
      </c>
      <c r="M1225" s="164">
        <f>SUMIF(TArticle[تاریخ],TDays[[#This Row],[تاریخ]],TArticle[افزایش بدهی])</f>
        <v>0</v>
      </c>
      <c r="N1225" s="164">
        <f>-SUMIF(TArticle[تاریخ],TDays[[#This Row],[تاریخ]],TArticle[افزایش سرمایه])</f>
        <v>0</v>
      </c>
      <c r="O1225" s="164">
        <f>SUMIF(TArticle[تاریخ],TDays[[#This Row],[تاریخ]],TArticle[تعداد تراکنش انجام شده])</f>
        <v>0</v>
      </c>
      <c r="P1225" s="164">
        <f>INT(((TDays[[#This Row],[ماه]]-1)*31+TDays[[#This Row],[روز]]+1)/7)+1</f>
        <v>19</v>
      </c>
      <c r="Q1225" s="164">
        <f>SUMIF(TArticle[تاریخ],TDays[[#This Row],[تاریخ]],TArticle[تراکنش برنامه ریزی شده])</f>
        <v>0</v>
      </c>
    </row>
    <row r="1226" spans="1:17" x14ac:dyDescent="0.25">
      <c r="A1226" s="3" t="s">
        <v>1684</v>
      </c>
      <c r="B1226" s="164" t="str">
        <f>RIGHT(TDays[[#This Row],[تاریخ]],2)</f>
        <v>05</v>
      </c>
      <c r="C1226" s="164" t="str">
        <f>RIGHT(LEFT(TDays[[#This Row],[تاریخ]],7),2)</f>
        <v>05</v>
      </c>
      <c r="D1226" s="164" t="str">
        <f>LEFT(TDays[[#This Row],[تاریخ]],4)</f>
        <v>1404</v>
      </c>
      <c r="E1226" s="164" t="str">
        <f>LEFT(TDays[[#This Row],[تاریخ]],7)</f>
        <v>1404-05</v>
      </c>
      <c r="F1226">
        <v>1</v>
      </c>
      <c r="G1226" s="165" t="str">
        <f>VLOOKUP(TDays[[#This Row],[کد روز هفته]],TDaysOfTheWeek[],2,FALSE)</f>
        <v>یکشنبه</v>
      </c>
      <c r="H1226" s="165">
        <f>IFERROR(IF(E1225&lt;&gt;E1226,1,INT(H1225)+IF(TDays[[#This Row],[کد روز هفته]]=0,1,0)),1)</f>
        <v>2</v>
      </c>
      <c r="I1226" s="164">
        <f>-SUMIF(TArticle[تاریخ],TDays[[#This Row],[تاریخ]],TArticle[هزینه])</f>
        <v>0</v>
      </c>
      <c r="J1226" s="164">
        <f>SUMIF(TArticle[تاریخ],TDays[[#This Row],[تاریخ]],TArticle[درآمد تتا])</f>
        <v>0</v>
      </c>
      <c r="K1226" s="164">
        <f>SUMIF(TArticle[تاریخ],TDays[[#This Row],[تاریخ]],TArticle[اسنپ])</f>
        <v>0</v>
      </c>
      <c r="L1226" s="164">
        <f>-SUMIF(TArticle[تاریخ],TDays[[#This Row],[تاریخ]],TArticle[پرداخت بدهی])</f>
        <v>0</v>
      </c>
      <c r="M1226" s="164">
        <f>SUMIF(TArticle[تاریخ],TDays[[#This Row],[تاریخ]],TArticle[افزایش بدهی])</f>
        <v>0</v>
      </c>
      <c r="N1226" s="164">
        <f>-SUMIF(TArticle[تاریخ],TDays[[#This Row],[تاریخ]],TArticle[افزایش سرمایه])</f>
        <v>0</v>
      </c>
      <c r="O1226" s="164">
        <f>SUMIF(TArticle[تاریخ],TDays[[#This Row],[تاریخ]],TArticle[تعداد تراکنش انجام شده])</f>
        <v>0</v>
      </c>
      <c r="P1226" s="164">
        <f>INT(((TDays[[#This Row],[ماه]]-1)*31+TDays[[#This Row],[روز]]+1)/7)+1</f>
        <v>19</v>
      </c>
      <c r="Q1226" s="164">
        <f>SUMIF(TArticle[تاریخ],TDays[[#This Row],[تاریخ]],TArticle[تراکنش برنامه ریزی شده])</f>
        <v>0</v>
      </c>
    </row>
    <row r="1227" spans="1:17" x14ac:dyDescent="0.25">
      <c r="A1227" s="3" t="s">
        <v>1815</v>
      </c>
      <c r="B1227" s="164" t="str">
        <f>RIGHT(TDays[[#This Row],[تاریخ]],2)</f>
        <v>06</v>
      </c>
      <c r="C1227" s="164" t="str">
        <f>RIGHT(LEFT(TDays[[#This Row],[تاریخ]],7),2)</f>
        <v>05</v>
      </c>
      <c r="D1227" s="164" t="str">
        <f>LEFT(TDays[[#This Row],[تاریخ]],4)</f>
        <v>1404</v>
      </c>
      <c r="E1227" s="164" t="str">
        <f>LEFT(TDays[[#This Row],[تاریخ]],7)</f>
        <v>1404-05</v>
      </c>
      <c r="F1227">
        <v>2</v>
      </c>
      <c r="G1227" s="165" t="str">
        <f>VLOOKUP(TDays[[#This Row],[کد روز هفته]],TDaysOfTheWeek[],2,FALSE)</f>
        <v>دوشنبه</v>
      </c>
      <c r="H1227" s="165">
        <f>IFERROR(IF(E1226&lt;&gt;E1227,1,INT(H1226)+IF(TDays[[#This Row],[کد روز هفته]]=0,1,0)),1)</f>
        <v>2</v>
      </c>
      <c r="I1227" s="164">
        <f>-SUMIF(TArticle[تاریخ],TDays[[#This Row],[تاریخ]],TArticle[هزینه])</f>
        <v>0</v>
      </c>
      <c r="J1227" s="164">
        <f>SUMIF(TArticle[تاریخ],TDays[[#This Row],[تاریخ]],TArticle[درآمد تتا])</f>
        <v>0</v>
      </c>
      <c r="K1227" s="164">
        <f>SUMIF(TArticle[تاریخ],TDays[[#This Row],[تاریخ]],TArticle[اسنپ])</f>
        <v>0</v>
      </c>
      <c r="L1227" s="164">
        <f>-SUMIF(TArticle[تاریخ],TDays[[#This Row],[تاریخ]],TArticle[پرداخت بدهی])</f>
        <v>0</v>
      </c>
      <c r="M1227" s="164">
        <f>SUMIF(TArticle[تاریخ],TDays[[#This Row],[تاریخ]],TArticle[افزایش بدهی])</f>
        <v>0</v>
      </c>
      <c r="N1227" s="164">
        <f>-SUMIF(TArticle[تاریخ],TDays[[#This Row],[تاریخ]],TArticle[افزایش سرمایه])</f>
        <v>0</v>
      </c>
      <c r="O1227" s="164">
        <f>SUMIF(TArticle[تاریخ],TDays[[#This Row],[تاریخ]],TArticle[تعداد تراکنش انجام شده])</f>
        <v>0</v>
      </c>
      <c r="P1227" s="164">
        <f>INT(((TDays[[#This Row],[ماه]]-1)*31+TDays[[#This Row],[روز]]+1)/7)+1</f>
        <v>19</v>
      </c>
      <c r="Q1227" s="164">
        <f>SUMIF(TArticle[تاریخ],TDays[[#This Row],[تاریخ]],TArticle[تراکنش برنامه ریزی شده])</f>
        <v>0</v>
      </c>
    </row>
    <row r="1228" spans="1:17" x14ac:dyDescent="0.25">
      <c r="A1228" s="3" t="s">
        <v>1816</v>
      </c>
      <c r="B1228" s="164" t="str">
        <f>RIGHT(TDays[[#This Row],[تاریخ]],2)</f>
        <v>07</v>
      </c>
      <c r="C1228" s="164" t="str">
        <f>RIGHT(LEFT(TDays[[#This Row],[تاریخ]],7),2)</f>
        <v>05</v>
      </c>
      <c r="D1228" s="164" t="str">
        <f>LEFT(TDays[[#This Row],[تاریخ]],4)</f>
        <v>1404</v>
      </c>
      <c r="E1228" s="164" t="str">
        <f>LEFT(TDays[[#This Row],[تاریخ]],7)</f>
        <v>1404-05</v>
      </c>
      <c r="F1228">
        <v>3</v>
      </c>
      <c r="G1228" s="165" t="str">
        <f>VLOOKUP(TDays[[#This Row],[کد روز هفته]],TDaysOfTheWeek[],2,FALSE)</f>
        <v>سه شنبه</v>
      </c>
      <c r="H1228" s="165">
        <f>IFERROR(IF(E1227&lt;&gt;E1228,1,INT(H1227)+IF(TDays[[#This Row],[کد روز هفته]]=0,1,0)),1)</f>
        <v>2</v>
      </c>
      <c r="I1228" s="164">
        <f>-SUMIF(TArticle[تاریخ],TDays[[#This Row],[تاریخ]],TArticle[هزینه])</f>
        <v>0</v>
      </c>
      <c r="J1228" s="164">
        <f>SUMIF(TArticle[تاریخ],TDays[[#This Row],[تاریخ]],TArticle[درآمد تتا])</f>
        <v>0</v>
      </c>
      <c r="K1228" s="164">
        <f>SUMIF(TArticle[تاریخ],TDays[[#This Row],[تاریخ]],TArticle[اسنپ])</f>
        <v>0</v>
      </c>
      <c r="L1228" s="164">
        <f>-SUMIF(TArticle[تاریخ],TDays[[#This Row],[تاریخ]],TArticle[پرداخت بدهی])</f>
        <v>0</v>
      </c>
      <c r="M1228" s="164">
        <f>SUMIF(TArticle[تاریخ],TDays[[#This Row],[تاریخ]],TArticle[افزایش بدهی])</f>
        <v>0</v>
      </c>
      <c r="N1228" s="164">
        <f>-SUMIF(TArticle[تاریخ],TDays[[#This Row],[تاریخ]],TArticle[افزایش سرمایه])</f>
        <v>0</v>
      </c>
      <c r="O1228" s="164">
        <f>SUMIF(TArticle[تاریخ],TDays[[#This Row],[تاریخ]],TArticle[تعداد تراکنش انجام شده])</f>
        <v>0</v>
      </c>
      <c r="P1228" s="164">
        <f>INT(((TDays[[#This Row],[ماه]]-1)*31+TDays[[#This Row],[روز]]+1)/7)+1</f>
        <v>19</v>
      </c>
      <c r="Q1228" s="164">
        <f>SUMIF(TArticle[تاریخ],TDays[[#This Row],[تاریخ]],TArticle[تراکنش برنامه ریزی شده])</f>
        <v>0</v>
      </c>
    </row>
    <row r="1229" spans="1:17" x14ac:dyDescent="0.25">
      <c r="A1229" s="3" t="s">
        <v>1817</v>
      </c>
      <c r="B1229" s="164" t="str">
        <f>RIGHT(TDays[[#This Row],[تاریخ]],2)</f>
        <v>08</v>
      </c>
      <c r="C1229" s="164" t="str">
        <f>RIGHT(LEFT(TDays[[#This Row],[تاریخ]],7),2)</f>
        <v>05</v>
      </c>
      <c r="D1229" s="164" t="str">
        <f>LEFT(TDays[[#This Row],[تاریخ]],4)</f>
        <v>1404</v>
      </c>
      <c r="E1229" s="164" t="str">
        <f>LEFT(TDays[[#This Row],[تاریخ]],7)</f>
        <v>1404-05</v>
      </c>
      <c r="F1229">
        <v>4</v>
      </c>
      <c r="G1229" s="165" t="str">
        <f>VLOOKUP(TDays[[#This Row],[کد روز هفته]],TDaysOfTheWeek[],2,FALSE)</f>
        <v>چهارشنبه</v>
      </c>
      <c r="H1229" s="165">
        <f>IFERROR(IF(E1228&lt;&gt;E1229,1,INT(H1228)+IF(TDays[[#This Row],[کد روز هفته]]=0,1,0)),1)</f>
        <v>2</v>
      </c>
      <c r="I1229" s="164">
        <f>-SUMIF(TArticle[تاریخ],TDays[[#This Row],[تاریخ]],TArticle[هزینه])</f>
        <v>0</v>
      </c>
      <c r="J1229" s="164">
        <f>SUMIF(TArticle[تاریخ],TDays[[#This Row],[تاریخ]],TArticle[درآمد تتا])</f>
        <v>0</v>
      </c>
      <c r="K1229" s="164">
        <f>SUMIF(TArticle[تاریخ],TDays[[#This Row],[تاریخ]],TArticle[اسنپ])</f>
        <v>0</v>
      </c>
      <c r="L1229" s="164">
        <f>-SUMIF(TArticle[تاریخ],TDays[[#This Row],[تاریخ]],TArticle[پرداخت بدهی])</f>
        <v>0</v>
      </c>
      <c r="M1229" s="164">
        <f>SUMIF(TArticle[تاریخ],TDays[[#This Row],[تاریخ]],TArticle[افزایش بدهی])</f>
        <v>0</v>
      </c>
      <c r="N1229" s="164">
        <f>-SUMIF(TArticle[تاریخ],TDays[[#This Row],[تاریخ]],TArticle[افزایش سرمایه])</f>
        <v>0</v>
      </c>
      <c r="O1229" s="164">
        <f>SUMIF(TArticle[تاریخ],TDays[[#This Row],[تاریخ]],TArticle[تعداد تراکنش انجام شده])</f>
        <v>0</v>
      </c>
      <c r="P1229" s="164">
        <f>INT(((TDays[[#This Row],[ماه]]-1)*31+TDays[[#This Row],[روز]]+1)/7)+1</f>
        <v>20</v>
      </c>
      <c r="Q1229" s="164">
        <f>SUMIF(TArticle[تاریخ],TDays[[#This Row],[تاریخ]],TArticle[تراکنش برنامه ریزی شده])</f>
        <v>0</v>
      </c>
    </row>
    <row r="1230" spans="1:17" x14ac:dyDescent="0.25">
      <c r="A1230" s="3" t="s">
        <v>1818</v>
      </c>
      <c r="B1230" s="164" t="str">
        <f>RIGHT(TDays[[#This Row],[تاریخ]],2)</f>
        <v>09</v>
      </c>
      <c r="C1230" s="164" t="str">
        <f>RIGHT(LEFT(TDays[[#This Row],[تاریخ]],7),2)</f>
        <v>05</v>
      </c>
      <c r="D1230" s="164" t="str">
        <f>LEFT(TDays[[#This Row],[تاریخ]],4)</f>
        <v>1404</v>
      </c>
      <c r="E1230" s="164" t="str">
        <f>LEFT(TDays[[#This Row],[تاریخ]],7)</f>
        <v>1404-05</v>
      </c>
      <c r="F1230">
        <v>5</v>
      </c>
      <c r="G1230" s="165" t="str">
        <f>VLOOKUP(TDays[[#This Row],[کد روز هفته]],TDaysOfTheWeek[],2,FALSE)</f>
        <v>پنجشنبه</v>
      </c>
      <c r="H1230" s="165">
        <f>IFERROR(IF(E1229&lt;&gt;E1230,1,INT(H1229)+IF(TDays[[#This Row],[کد روز هفته]]=0,1,0)),1)</f>
        <v>2</v>
      </c>
      <c r="I1230" s="164">
        <f>-SUMIF(TArticle[تاریخ],TDays[[#This Row],[تاریخ]],TArticle[هزینه])</f>
        <v>0</v>
      </c>
      <c r="J1230" s="164">
        <f>SUMIF(TArticle[تاریخ],TDays[[#This Row],[تاریخ]],TArticle[درآمد تتا])</f>
        <v>0</v>
      </c>
      <c r="K1230" s="164">
        <f>SUMIF(TArticle[تاریخ],TDays[[#This Row],[تاریخ]],TArticle[اسنپ])</f>
        <v>0</v>
      </c>
      <c r="L1230" s="164">
        <f>-SUMIF(TArticle[تاریخ],TDays[[#This Row],[تاریخ]],TArticle[پرداخت بدهی])</f>
        <v>0</v>
      </c>
      <c r="M1230" s="164">
        <f>SUMIF(TArticle[تاریخ],TDays[[#This Row],[تاریخ]],TArticle[افزایش بدهی])</f>
        <v>0</v>
      </c>
      <c r="N1230" s="164">
        <f>-SUMIF(TArticle[تاریخ],TDays[[#This Row],[تاریخ]],TArticle[افزایش سرمایه])</f>
        <v>0</v>
      </c>
      <c r="O1230" s="164">
        <f>SUMIF(TArticle[تاریخ],TDays[[#This Row],[تاریخ]],TArticle[تعداد تراکنش انجام شده])</f>
        <v>0</v>
      </c>
      <c r="P1230" s="164">
        <f>INT(((TDays[[#This Row],[ماه]]-1)*31+TDays[[#This Row],[روز]]+1)/7)+1</f>
        <v>20</v>
      </c>
      <c r="Q1230" s="164">
        <f>SUMIF(TArticle[تاریخ],TDays[[#This Row],[تاریخ]],TArticle[تراکنش برنامه ریزی شده])</f>
        <v>1</v>
      </c>
    </row>
    <row r="1231" spans="1:17" x14ac:dyDescent="0.25">
      <c r="A1231" s="3" t="s">
        <v>1819</v>
      </c>
      <c r="B1231" s="164" t="str">
        <f>RIGHT(TDays[[#This Row],[تاریخ]],2)</f>
        <v>10</v>
      </c>
      <c r="C1231" s="164" t="str">
        <f>RIGHT(LEFT(TDays[[#This Row],[تاریخ]],7),2)</f>
        <v>05</v>
      </c>
      <c r="D1231" s="164" t="str">
        <f>LEFT(TDays[[#This Row],[تاریخ]],4)</f>
        <v>1404</v>
      </c>
      <c r="E1231" s="164" t="str">
        <f>LEFT(TDays[[#This Row],[تاریخ]],7)</f>
        <v>1404-05</v>
      </c>
      <c r="F1231">
        <v>6</v>
      </c>
      <c r="G1231" s="165" t="str">
        <f>VLOOKUP(TDays[[#This Row],[کد روز هفته]],TDaysOfTheWeek[],2,FALSE)</f>
        <v>جمعه</v>
      </c>
      <c r="H1231" s="165">
        <f>IFERROR(IF(E1230&lt;&gt;E1231,1,INT(H1230)+IF(TDays[[#This Row],[کد روز هفته]]=0,1,0)),1)</f>
        <v>2</v>
      </c>
      <c r="I1231" s="164">
        <f>-SUMIF(TArticle[تاریخ],TDays[[#This Row],[تاریخ]],TArticle[هزینه])</f>
        <v>0</v>
      </c>
      <c r="J1231" s="164">
        <f>SUMIF(TArticle[تاریخ],TDays[[#This Row],[تاریخ]],TArticle[درآمد تتا])</f>
        <v>0</v>
      </c>
      <c r="K1231" s="164">
        <f>SUMIF(TArticle[تاریخ],TDays[[#This Row],[تاریخ]],TArticle[اسنپ])</f>
        <v>0</v>
      </c>
      <c r="L1231" s="164">
        <f>-SUMIF(TArticle[تاریخ],TDays[[#This Row],[تاریخ]],TArticle[پرداخت بدهی])</f>
        <v>0</v>
      </c>
      <c r="M1231" s="164">
        <f>SUMIF(TArticle[تاریخ],TDays[[#This Row],[تاریخ]],TArticle[افزایش بدهی])</f>
        <v>0</v>
      </c>
      <c r="N1231" s="164">
        <f>-SUMIF(TArticle[تاریخ],TDays[[#This Row],[تاریخ]],TArticle[افزایش سرمایه])</f>
        <v>0</v>
      </c>
      <c r="O1231" s="164">
        <f>SUMIF(TArticle[تاریخ],TDays[[#This Row],[تاریخ]],TArticle[تعداد تراکنش انجام شده])</f>
        <v>0</v>
      </c>
      <c r="P1231" s="164">
        <f>INT(((TDays[[#This Row],[ماه]]-1)*31+TDays[[#This Row],[روز]]+1)/7)+1</f>
        <v>20</v>
      </c>
      <c r="Q1231" s="164">
        <f>SUMIF(TArticle[تاریخ],TDays[[#This Row],[تاریخ]],TArticle[تراکنش برنامه ریزی شده])</f>
        <v>0</v>
      </c>
    </row>
    <row r="1232" spans="1:17" x14ac:dyDescent="0.25">
      <c r="A1232" s="3" t="s">
        <v>1820</v>
      </c>
      <c r="B1232" s="164" t="str">
        <f>RIGHT(TDays[[#This Row],[تاریخ]],2)</f>
        <v>11</v>
      </c>
      <c r="C1232" s="164" t="str">
        <f>RIGHT(LEFT(TDays[[#This Row],[تاریخ]],7),2)</f>
        <v>05</v>
      </c>
      <c r="D1232" s="164" t="str">
        <f>LEFT(TDays[[#This Row],[تاریخ]],4)</f>
        <v>1404</v>
      </c>
      <c r="E1232" s="164" t="str">
        <f>LEFT(TDays[[#This Row],[تاریخ]],7)</f>
        <v>1404-05</v>
      </c>
      <c r="F1232">
        <v>0</v>
      </c>
      <c r="G1232" s="165" t="str">
        <f>VLOOKUP(TDays[[#This Row],[کد روز هفته]],TDaysOfTheWeek[],2,FALSE)</f>
        <v>شنبه</v>
      </c>
      <c r="H1232" s="165">
        <f>IFERROR(IF(E1231&lt;&gt;E1232,1,INT(H1231)+IF(TDays[[#This Row],[کد روز هفته]]=0,1,0)),1)</f>
        <v>3</v>
      </c>
      <c r="I1232" s="164">
        <f>-SUMIF(TArticle[تاریخ],TDays[[#This Row],[تاریخ]],TArticle[هزینه])</f>
        <v>0</v>
      </c>
      <c r="J1232" s="164">
        <f>SUMIF(TArticle[تاریخ],TDays[[#This Row],[تاریخ]],TArticle[درآمد تتا])</f>
        <v>0</v>
      </c>
      <c r="K1232" s="164">
        <f>SUMIF(TArticle[تاریخ],TDays[[#This Row],[تاریخ]],TArticle[اسنپ])</f>
        <v>0</v>
      </c>
      <c r="L1232" s="164">
        <f>-SUMIF(TArticle[تاریخ],TDays[[#This Row],[تاریخ]],TArticle[پرداخت بدهی])</f>
        <v>0</v>
      </c>
      <c r="M1232" s="164">
        <f>SUMIF(TArticle[تاریخ],TDays[[#This Row],[تاریخ]],TArticle[افزایش بدهی])</f>
        <v>0</v>
      </c>
      <c r="N1232" s="164">
        <f>-SUMIF(TArticle[تاریخ],TDays[[#This Row],[تاریخ]],TArticle[افزایش سرمایه])</f>
        <v>0</v>
      </c>
      <c r="O1232" s="164">
        <f>SUMIF(TArticle[تاریخ],TDays[[#This Row],[تاریخ]],TArticle[تعداد تراکنش انجام شده])</f>
        <v>0</v>
      </c>
      <c r="P1232" s="164">
        <f>INT(((TDays[[#This Row],[ماه]]-1)*31+TDays[[#This Row],[روز]]+1)/7)+1</f>
        <v>20</v>
      </c>
      <c r="Q1232" s="164">
        <f>SUMIF(TArticle[تاریخ],TDays[[#This Row],[تاریخ]],TArticle[تراکنش برنامه ریزی شده])</f>
        <v>0</v>
      </c>
    </row>
    <row r="1233" spans="1:17" x14ac:dyDescent="0.25">
      <c r="A1233" s="3" t="s">
        <v>1821</v>
      </c>
      <c r="B1233" s="164" t="str">
        <f>RIGHT(TDays[[#This Row],[تاریخ]],2)</f>
        <v>12</v>
      </c>
      <c r="C1233" s="164" t="str">
        <f>RIGHT(LEFT(TDays[[#This Row],[تاریخ]],7),2)</f>
        <v>05</v>
      </c>
      <c r="D1233" s="164" t="str">
        <f>LEFT(TDays[[#This Row],[تاریخ]],4)</f>
        <v>1404</v>
      </c>
      <c r="E1233" s="164" t="str">
        <f>LEFT(TDays[[#This Row],[تاریخ]],7)</f>
        <v>1404-05</v>
      </c>
      <c r="F1233">
        <v>1</v>
      </c>
      <c r="G1233" s="165" t="str">
        <f>VLOOKUP(TDays[[#This Row],[کد روز هفته]],TDaysOfTheWeek[],2,FALSE)</f>
        <v>یکشنبه</v>
      </c>
      <c r="H1233" s="165">
        <f>IFERROR(IF(E1232&lt;&gt;E1233,1,INT(H1232)+IF(TDays[[#This Row],[کد روز هفته]]=0,1,0)),1)</f>
        <v>3</v>
      </c>
      <c r="I1233" s="164">
        <f>-SUMIF(TArticle[تاریخ],TDays[[#This Row],[تاریخ]],TArticle[هزینه])</f>
        <v>0</v>
      </c>
      <c r="J1233" s="164">
        <f>SUMIF(TArticle[تاریخ],TDays[[#This Row],[تاریخ]],TArticle[درآمد تتا])</f>
        <v>0</v>
      </c>
      <c r="K1233" s="164">
        <f>SUMIF(TArticle[تاریخ],TDays[[#This Row],[تاریخ]],TArticle[اسنپ])</f>
        <v>0</v>
      </c>
      <c r="L1233" s="164">
        <f>-SUMIF(TArticle[تاریخ],TDays[[#This Row],[تاریخ]],TArticle[پرداخت بدهی])</f>
        <v>0</v>
      </c>
      <c r="M1233" s="164">
        <f>SUMIF(TArticle[تاریخ],TDays[[#This Row],[تاریخ]],TArticle[افزایش بدهی])</f>
        <v>0</v>
      </c>
      <c r="N1233" s="164">
        <f>-SUMIF(TArticle[تاریخ],TDays[[#This Row],[تاریخ]],TArticle[افزایش سرمایه])</f>
        <v>0</v>
      </c>
      <c r="O1233" s="164">
        <f>SUMIF(TArticle[تاریخ],TDays[[#This Row],[تاریخ]],TArticle[تعداد تراکنش انجام شده])</f>
        <v>0</v>
      </c>
      <c r="P1233" s="164">
        <f>INT(((TDays[[#This Row],[ماه]]-1)*31+TDays[[#This Row],[روز]]+1)/7)+1</f>
        <v>20</v>
      </c>
      <c r="Q1233" s="164">
        <f>SUMIF(TArticle[تاریخ],TDays[[#This Row],[تاریخ]],TArticle[تراکنش برنامه ریزی شده])</f>
        <v>0</v>
      </c>
    </row>
    <row r="1234" spans="1:17" x14ac:dyDescent="0.25">
      <c r="A1234" s="3" t="s">
        <v>1822</v>
      </c>
      <c r="B1234" s="164" t="str">
        <f>RIGHT(TDays[[#This Row],[تاریخ]],2)</f>
        <v>13</v>
      </c>
      <c r="C1234" s="164" t="str">
        <f>RIGHT(LEFT(TDays[[#This Row],[تاریخ]],7),2)</f>
        <v>05</v>
      </c>
      <c r="D1234" s="164" t="str">
        <f>LEFT(TDays[[#This Row],[تاریخ]],4)</f>
        <v>1404</v>
      </c>
      <c r="E1234" s="164" t="str">
        <f>LEFT(TDays[[#This Row],[تاریخ]],7)</f>
        <v>1404-05</v>
      </c>
      <c r="F1234">
        <v>2</v>
      </c>
      <c r="G1234" s="165" t="str">
        <f>VLOOKUP(TDays[[#This Row],[کد روز هفته]],TDaysOfTheWeek[],2,FALSE)</f>
        <v>دوشنبه</v>
      </c>
      <c r="H1234" s="165">
        <f>IFERROR(IF(E1233&lt;&gt;E1234,1,INT(H1233)+IF(TDays[[#This Row],[کد روز هفته]]=0,1,0)),1)</f>
        <v>3</v>
      </c>
      <c r="I1234" s="164">
        <f>-SUMIF(TArticle[تاریخ],TDays[[#This Row],[تاریخ]],TArticle[هزینه])</f>
        <v>0</v>
      </c>
      <c r="J1234" s="164">
        <f>SUMIF(TArticle[تاریخ],TDays[[#This Row],[تاریخ]],TArticle[درآمد تتا])</f>
        <v>0</v>
      </c>
      <c r="K1234" s="164">
        <f>SUMIF(TArticle[تاریخ],TDays[[#This Row],[تاریخ]],TArticle[اسنپ])</f>
        <v>0</v>
      </c>
      <c r="L1234" s="164">
        <f>-SUMIF(TArticle[تاریخ],TDays[[#This Row],[تاریخ]],TArticle[پرداخت بدهی])</f>
        <v>0</v>
      </c>
      <c r="M1234" s="164">
        <f>SUMIF(TArticle[تاریخ],TDays[[#This Row],[تاریخ]],TArticle[افزایش بدهی])</f>
        <v>0</v>
      </c>
      <c r="N1234" s="164">
        <f>-SUMIF(TArticle[تاریخ],TDays[[#This Row],[تاریخ]],TArticle[افزایش سرمایه])</f>
        <v>0</v>
      </c>
      <c r="O1234" s="164">
        <f>SUMIF(TArticle[تاریخ],TDays[[#This Row],[تاریخ]],TArticle[تعداد تراکنش انجام شده])</f>
        <v>0</v>
      </c>
      <c r="P1234" s="164">
        <f>INT(((TDays[[#This Row],[ماه]]-1)*31+TDays[[#This Row],[روز]]+1)/7)+1</f>
        <v>20</v>
      </c>
      <c r="Q1234" s="164">
        <f>SUMIF(TArticle[تاریخ],TDays[[#This Row],[تاریخ]],TArticle[تراکنش برنامه ریزی شده])</f>
        <v>0</v>
      </c>
    </row>
    <row r="1235" spans="1:17" x14ac:dyDescent="0.25">
      <c r="A1235" s="3" t="s">
        <v>1823</v>
      </c>
      <c r="B1235" s="164" t="str">
        <f>RIGHT(TDays[[#This Row],[تاریخ]],2)</f>
        <v>14</v>
      </c>
      <c r="C1235" s="164" t="str">
        <f>RIGHT(LEFT(TDays[[#This Row],[تاریخ]],7),2)</f>
        <v>05</v>
      </c>
      <c r="D1235" s="164" t="str">
        <f>LEFT(TDays[[#This Row],[تاریخ]],4)</f>
        <v>1404</v>
      </c>
      <c r="E1235" s="164" t="str">
        <f>LEFT(TDays[[#This Row],[تاریخ]],7)</f>
        <v>1404-05</v>
      </c>
      <c r="F1235">
        <v>3</v>
      </c>
      <c r="G1235" s="165" t="str">
        <f>VLOOKUP(TDays[[#This Row],[کد روز هفته]],TDaysOfTheWeek[],2,FALSE)</f>
        <v>سه شنبه</v>
      </c>
      <c r="H1235" s="165">
        <f>IFERROR(IF(E1234&lt;&gt;E1235,1,INT(H1234)+IF(TDays[[#This Row],[کد روز هفته]]=0,1,0)),1)</f>
        <v>3</v>
      </c>
      <c r="I1235" s="164">
        <f>-SUMIF(TArticle[تاریخ],TDays[[#This Row],[تاریخ]],TArticle[هزینه])</f>
        <v>0</v>
      </c>
      <c r="J1235" s="164">
        <f>SUMIF(TArticle[تاریخ],TDays[[#This Row],[تاریخ]],TArticle[درآمد تتا])</f>
        <v>0</v>
      </c>
      <c r="K1235" s="164">
        <f>SUMIF(TArticle[تاریخ],TDays[[#This Row],[تاریخ]],TArticle[اسنپ])</f>
        <v>0</v>
      </c>
      <c r="L1235" s="164">
        <f>-SUMIF(TArticle[تاریخ],TDays[[#This Row],[تاریخ]],TArticle[پرداخت بدهی])</f>
        <v>0</v>
      </c>
      <c r="M1235" s="164">
        <f>SUMIF(TArticle[تاریخ],TDays[[#This Row],[تاریخ]],TArticle[افزایش بدهی])</f>
        <v>0</v>
      </c>
      <c r="N1235" s="164">
        <f>-SUMIF(TArticle[تاریخ],TDays[[#This Row],[تاریخ]],TArticle[افزایش سرمایه])</f>
        <v>0</v>
      </c>
      <c r="O1235" s="164">
        <f>SUMIF(TArticle[تاریخ],TDays[[#This Row],[تاریخ]],TArticle[تعداد تراکنش انجام شده])</f>
        <v>0</v>
      </c>
      <c r="P1235" s="164">
        <f>INT(((TDays[[#This Row],[ماه]]-1)*31+TDays[[#This Row],[روز]]+1)/7)+1</f>
        <v>20</v>
      </c>
      <c r="Q1235" s="164">
        <f>SUMIF(TArticle[تاریخ],TDays[[#This Row],[تاریخ]],TArticle[تراکنش برنامه ریزی شده])</f>
        <v>0</v>
      </c>
    </row>
    <row r="1236" spans="1:17" x14ac:dyDescent="0.25">
      <c r="A1236" s="3" t="s">
        <v>1824</v>
      </c>
      <c r="B1236" s="164" t="str">
        <f>RIGHT(TDays[[#This Row],[تاریخ]],2)</f>
        <v>15</v>
      </c>
      <c r="C1236" s="164" t="str">
        <f>RIGHT(LEFT(TDays[[#This Row],[تاریخ]],7),2)</f>
        <v>05</v>
      </c>
      <c r="D1236" s="164" t="str">
        <f>LEFT(TDays[[#This Row],[تاریخ]],4)</f>
        <v>1404</v>
      </c>
      <c r="E1236" s="164" t="str">
        <f>LEFT(TDays[[#This Row],[تاریخ]],7)</f>
        <v>1404-05</v>
      </c>
      <c r="F1236">
        <v>4</v>
      </c>
      <c r="G1236" s="165" t="str">
        <f>VLOOKUP(TDays[[#This Row],[کد روز هفته]],TDaysOfTheWeek[],2,FALSE)</f>
        <v>چهارشنبه</v>
      </c>
      <c r="H1236" s="165">
        <f>IFERROR(IF(E1235&lt;&gt;E1236,1,INT(H1235)+IF(TDays[[#This Row],[کد روز هفته]]=0,1,0)),1)</f>
        <v>3</v>
      </c>
      <c r="I1236" s="164">
        <f>-SUMIF(TArticle[تاریخ],TDays[[#This Row],[تاریخ]],TArticle[هزینه])</f>
        <v>0</v>
      </c>
      <c r="J1236" s="164">
        <f>SUMIF(TArticle[تاریخ],TDays[[#This Row],[تاریخ]],TArticle[درآمد تتا])</f>
        <v>0</v>
      </c>
      <c r="K1236" s="164">
        <f>SUMIF(TArticle[تاریخ],TDays[[#This Row],[تاریخ]],TArticle[اسنپ])</f>
        <v>0</v>
      </c>
      <c r="L1236" s="164">
        <f>-SUMIF(TArticle[تاریخ],TDays[[#This Row],[تاریخ]],TArticle[پرداخت بدهی])</f>
        <v>0</v>
      </c>
      <c r="M1236" s="164">
        <f>SUMIF(TArticle[تاریخ],TDays[[#This Row],[تاریخ]],TArticle[افزایش بدهی])</f>
        <v>0</v>
      </c>
      <c r="N1236" s="164">
        <f>-SUMIF(TArticle[تاریخ],TDays[[#This Row],[تاریخ]],TArticle[افزایش سرمایه])</f>
        <v>0</v>
      </c>
      <c r="O1236" s="164">
        <f>SUMIF(TArticle[تاریخ],TDays[[#This Row],[تاریخ]],TArticle[تعداد تراکنش انجام شده])</f>
        <v>0</v>
      </c>
      <c r="P1236" s="164">
        <f>INT(((TDays[[#This Row],[ماه]]-1)*31+TDays[[#This Row],[روز]]+1)/7)+1</f>
        <v>21</v>
      </c>
      <c r="Q1236" s="164">
        <f>SUMIF(TArticle[تاریخ],TDays[[#This Row],[تاریخ]],TArticle[تراکنش برنامه ریزی شده])</f>
        <v>0</v>
      </c>
    </row>
    <row r="1237" spans="1:17" x14ac:dyDescent="0.25">
      <c r="A1237" s="3" t="s">
        <v>1825</v>
      </c>
      <c r="B1237" s="164" t="str">
        <f>RIGHT(TDays[[#This Row],[تاریخ]],2)</f>
        <v>16</v>
      </c>
      <c r="C1237" s="164" t="str">
        <f>RIGHT(LEFT(TDays[[#This Row],[تاریخ]],7),2)</f>
        <v>05</v>
      </c>
      <c r="D1237" s="164" t="str">
        <f>LEFT(TDays[[#This Row],[تاریخ]],4)</f>
        <v>1404</v>
      </c>
      <c r="E1237" s="164" t="str">
        <f>LEFT(TDays[[#This Row],[تاریخ]],7)</f>
        <v>1404-05</v>
      </c>
      <c r="F1237">
        <v>5</v>
      </c>
      <c r="G1237" s="165" t="str">
        <f>VLOOKUP(TDays[[#This Row],[کد روز هفته]],TDaysOfTheWeek[],2,FALSE)</f>
        <v>پنجشنبه</v>
      </c>
      <c r="H1237" s="165">
        <f>IFERROR(IF(E1236&lt;&gt;E1237,1,INT(H1236)+IF(TDays[[#This Row],[کد روز هفته]]=0,1,0)),1)</f>
        <v>3</v>
      </c>
      <c r="I1237" s="164">
        <f>-SUMIF(TArticle[تاریخ],TDays[[#This Row],[تاریخ]],TArticle[هزینه])</f>
        <v>0</v>
      </c>
      <c r="J1237" s="164">
        <f>SUMIF(TArticle[تاریخ],TDays[[#This Row],[تاریخ]],TArticle[درآمد تتا])</f>
        <v>0</v>
      </c>
      <c r="K1237" s="164">
        <f>SUMIF(TArticle[تاریخ],TDays[[#This Row],[تاریخ]],TArticle[اسنپ])</f>
        <v>0</v>
      </c>
      <c r="L1237" s="164">
        <f>-SUMIF(TArticle[تاریخ],TDays[[#This Row],[تاریخ]],TArticle[پرداخت بدهی])</f>
        <v>0</v>
      </c>
      <c r="M1237" s="164">
        <f>SUMIF(TArticle[تاریخ],TDays[[#This Row],[تاریخ]],TArticle[افزایش بدهی])</f>
        <v>0</v>
      </c>
      <c r="N1237" s="164">
        <f>-SUMIF(TArticle[تاریخ],TDays[[#This Row],[تاریخ]],TArticle[افزایش سرمایه])</f>
        <v>0</v>
      </c>
      <c r="O1237" s="164">
        <f>SUMIF(TArticle[تاریخ],TDays[[#This Row],[تاریخ]],TArticle[تعداد تراکنش انجام شده])</f>
        <v>0</v>
      </c>
      <c r="P1237" s="164">
        <f>INT(((TDays[[#This Row],[ماه]]-1)*31+TDays[[#This Row],[روز]]+1)/7)+1</f>
        <v>21</v>
      </c>
      <c r="Q1237" s="164">
        <f>SUMIF(TArticle[تاریخ],TDays[[#This Row],[تاریخ]],TArticle[تراکنش برنامه ریزی شده])</f>
        <v>0</v>
      </c>
    </row>
    <row r="1238" spans="1:17" x14ac:dyDescent="0.25">
      <c r="A1238" s="3" t="s">
        <v>1826</v>
      </c>
      <c r="B1238" s="164" t="str">
        <f>RIGHT(TDays[[#This Row],[تاریخ]],2)</f>
        <v>17</v>
      </c>
      <c r="C1238" s="164" t="str">
        <f>RIGHT(LEFT(TDays[[#This Row],[تاریخ]],7),2)</f>
        <v>05</v>
      </c>
      <c r="D1238" s="164" t="str">
        <f>LEFT(TDays[[#This Row],[تاریخ]],4)</f>
        <v>1404</v>
      </c>
      <c r="E1238" s="164" t="str">
        <f>LEFT(TDays[[#This Row],[تاریخ]],7)</f>
        <v>1404-05</v>
      </c>
      <c r="F1238">
        <v>6</v>
      </c>
      <c r="G1238" s="165" t="str">
        <f>VLOOKUP(TDays[[#This Row],[کد روز هفته]],TDaysOfTheWeek[],2,FALSE)</f>
        <v>جمعه</v>
      </c>
      <c r="H1238" s="165">
        <f>IFERROR(IF(E1237&lt;&gt;E1238,1,INT(H1237)+IF(TDays[[#This Row],[کد روز هفته]]=0,1,0)),1)</f>
        <v>3</v>
      </c>
      <c r="I1238" s="164">
        <f>-SUMIF(TArticle[تاریخ],TDays[[#This Row],[تاریخ]],TArticle[هزینه])</f>
        <v>0</v>
      </c>
      <c r="J1238" s="164">
        <f>SUMIF(TArticle[تاریخ],TDays[[#This Row],[تاریخ]],TArticle[درآمد تتا])</f>
        <v>0</v>
      </c>
      <c r="K1238" s="164">
        <f>SUMIF(TArticle[تاریخ],TDays[[#This Row],[تاریخ]],TArticle[اسنپ])</f>
        <v>0</v>
      </c>
      <c r="L1238" s="164">
        <f>-SUMIF(TArticle[تاریخ],TDays[[#This Row],[تاریخ]],TArticle[پرداخت بدهی])</f>
        <v>0</v>
      </c>
      <c r="M1238" s="164">
        <f>SUMIF(TArticle[تاریخ],TDays[[#This Row],[تاریخ]],TArticle[افزایش بدهی])</f>
        <v>0</v>
      </c>
      <c r="N1238" s="164">
        <f>-SUMIF(TArticle[تاریخ],TDays[[#This Row],[تاریخ]],TArticle[افزایش سرمایه])</f>
        <v>0</v>
      </c>
      <c r="O1238" s="164">
        <f>SUMIF(TArticle[تاریخ],TDays[[#This Row],[تاریخ]],TArticle[تعداد تراکنش انجام شده])</f>
        <v>0</v>
      </c>
      <c r="P1238" s="164">
        <f>INT(((TDays[[#This Row],[ماه]]-1)*31+TDays[[#This Row],[روز]]+1)/7)+1</f>
        <v>21</v>
      </c>
      <c r="Q1238" s="164">
        <f>SUMIF(TArticle[تاریخ],TDays[[#This Row],[تاریخ]],TArticle[تراکنش برنامه ریزی شده])</f>
        <v>0</v>
      </c>
    </row>
    <row r="1239" spans="1:17" x14ac:dyDescent="0.25">
      <c r="A1239" s="3" t="s">
        <v>1827</v>
      </c>
      <c r="B1239" s="164" t="str">
        <f>RIGHT(TDays[[#This Row],[تاریخ]],2)</f>
        <v>18</v>
      </c>
      <c r="C1239" s="164" t="str">
        <f>RIGHT(LEFT(TDays[[#This Row],[تاریخ]],7),2)</f>
        <v>05</v>
      </c>
      <c r="D1239" s="164" t="str">
        <f>LEFT(TDays[[#This Row],[تاریخ]],4)</f>
        <v>1404</v>
      </c>
      <c r="E1239" s="164" t="str">
        <f>LEFT(TDays[[#This Row],[تاریخ]],7)</f>
        <v>1404-05</v>
      </c>
      <c r="F1239">
        <v>0</v>
      </c>
      <c r="G1239" s="165" t="str">
        <f>VLOOKUP(TDays[[#This Row],[کد روز هفته]],TDaysOfTheWeek[],2,FALSE)</f>
        <v>شنبه</v>
      </c>
      <c r="H1239" s="165">
        <f>IFERROR(IF(E1238&lt;&gt;E1239,1,INT(H1238)+IF(TDays[[#This Row],[کد روز هفته]]=0,1,0)),1)</f>
        <v>4</v>
      </c>
      <c r="I1239" s="164">
        <f>-SUMIF(TArticle[تاریخ],TDays[[#This Row],[تاریخ]],TArticle[هزینه])</f>
        <v>0</v>
      </c>
      <c r="J1239" s="164">
        <f>SUMIF(TArticle[تاریخ],TDays[[#This Row],[تاریخ]],TArticle[درآمد تتا])</f>
        <v>0</v>
      </c>
      <c r="K1239" s="164">
        <f>SUMIF(TArticle[تاریخ],TDays[[#This Row],[تاریخ]],TArticle[اسنپ])</f>
        <v>0</v>
      </c>
      <c r="L1239" s="164">
        <f>-SUMIF(TArticle[تاریخ],TDays[[#This Row],[تاریخ]],TArticle[پرداخت بدهی])</f>
        <v>0</v>
      </c>
      <c r="M1239" s="164">
        <f>SUMIF(TArticle[تاریخ],TDays[[#This Row],[تاریخ]],TArticle[افزایش بدهی])</f>
        <v>0</v>
      </c>
      <c r="N1239" s="164">
        <f>-SUMIF(TArticle[تاریخ],TDays[[#This Row],[تاریخ]],TArticle[افزایش سرمایه])</f>
        <v>0</v>
      </c>
      <c r="O1239" s="164">
        <f>SUMIF(TArticle[تاریخ],TDays[[#This Row],[تاریخ]],TArticle[تعداد تراکنش انجام شده])</f>
        <v>0</v>
      </c>
      <c r="P1239" s="164">
        <f>INT(((TDays[[#This Row],[ماه]]-1)*31+TDays[[#This Row],[روز]]+1)/7)+1</f>
        <v>21</v>
      </c>
      <c r="Q1239" s="164">
        <f>SUMIF(TArticle[تاریخ],TDays[[#This Row],[تاریخ]],TArticle[تراکنش برنامه ریزی شده])</f>
        <v>0</v>
      </c>
    </row>
    <row r="1240" spans="1:17" x14ac:dyDescent="0.25">
      <c r="A1240" s="3" t="s">
        <v>1828</v>
      </c>
      <c r="B1240" s="164" t="str">
        <f>RIGHT(TDays[[#This Row],[تاریخ]],2)</f>
        <v>19</v>
      </c>
      <c r="C1240" s="164" t="str">
        <f>RIGHT(LEFT(TDays[[#This Row],[تاریخ]],7),2)</f>
        <v>05</v>
      </c>
      <c r="D1240" s="164" t="str">
        <f>LEFT(TDays[[#This Row],[تاریخ]],4)</f>
        <v>1404</v>
      </c>
      <c r="E1240" s="164" t="str">
        <f>LEFT(TDays[[#This Row],[تاریخ]],7)</f>
        <v>1404-05</v>
      </c>
      <c r="F1240">
        <v>1</v>
      </c>
      <c r="G1240" s="165" t="str">
        <f>VLOOKUP(TDays[[#This Row],[کد روز هفته]],TDaysOfTheWeek[],2,FALSE)</f>
        <v>یکشنبه</v>
      </c>
      <c r="H1240" s="165">
        <f>IFERROR(IF(E1239&lt;&gt;E1240,1,INT(H1239)+IF(TDays[[#This Row],[کد روز هفته]]=0,1,0)),1)</f>
        <v>4</v>
      </c>
      <c r="I1240" s="164">
        <f>-SUMIF(TArticle[تاریخ],TDays[[#This Row],[تاریخ]],TArticle[هزینه])</f>
        <v>0</v>
      </c>
      <c r="J1240" s="164">
        <f>SUMIF(TArticle[تاریخ],TDays[[#This Row],[تاریخ]],TArticle[درآمد تتا])</f>
        <v>0</v>
      </c>
      <c r="K1240" s="164">
        <f>SUMIF(TArticle[تاریخ],TDays[[#This Row],[تاریخ]],TArticle[اسنپ])</f>
        <v>0</v>
      </c>
      <c r="L1240" s="164">
        <f>-SUMIF(TArticle[تاریخ],TDays[[#This Row],[تاریخ]],TArticle[پرداخت بدهی])</f>
        <v>0</v>
      </c>
      <c r="M1240" s="164">
        <f>SUMIF(TArticle[تاریخ],TDays[[#This Row],[تاریخ]],TArticle[افزایش بدهی])</f>
        <v>0</v>
      </c>
      <c r="N1240" s="164">
        <f>-SUMIF(TArticle[تاریخ],TDays[[#This Row],[تاریخ]],TArticle[افزایش سرمایه])</f>
        <v>0</v>
      </c>
      <c r="O1240" s="164">
        <f>SUMIF(TArticle[تاریخ],TDays[[#This Row],[تاریخ]],TArticle[تعداد تراکنش انجام شده])</f>
        <v>0</v>
      </c>
      <c r="P1240" s="164">
        <f>INT(((TDays[[#This Row],[ماه]]-1)*31+TDays[[#This Row],[روز]]+1)/7)+1</f>
        <v>21</v>
      </c>
      <c r="Q1240" s="164">
        <f>SUMIF(TArticle[تاریخ],TDays[[#This Row],[تاریخ]],TArticle[تراکنش برنامه ریزی شده])</f>
        <v>0</v>
      </c>
    </row>
    <row r="1241" spans="1:17" x14ac:dyDescent="0.25">
      <c r="A1241" s="3" t="s">
        <v>1829</v>
      </c>
      <c r="B1241" s="164" t="str">
        <f>RIGHT(TDays[[#This Row],[تاریخ]],2)</f>
        <v>20</v>
      </c>
      <c r="C1241" s="164" t="str">
        <f>RIGHT(LEFT(TDays[[#This Row],[تاریخ]],7),2)</f>
        <v>05</v>
      </c>
      <c r="D1241" s="164" t="str">
        <f>LEFT(TDays[[#This Row],[تاریخ]],4)</f>
        <v>1404</v>
      </c>
      <c r="E1241" s="164" t="str">
        <f>LEFT(TDays[[#This Row],[تاریخ]],7)</f>
        <v>1404-05</v>
      </c>
      <c r="F1241">
        <v>2</v>
      </c>
      <c r="G1241" s="165" t="str">
        <f>VLOOKUP(TDays[[#This Row],[کد روز هفته]],TDaysOfTheWeek[],2,FALSE)</f>
        <v>دوشنبه</v>
      </c>
      <c r="H1241" s="165">
        <f>IFERROR(IF(E1240&lt;&gt;E1241,1,INT(H1240)+IF(TDays[[#This Row],[کد روز هفته]]=0,1,0)),1)</f>
        <v>4</v>
      </c>
      <c r="I1241" s="164">
        <f>-SUMIF(TArticle[تاریخ],TDays[[#This Row],[تاریخ]],TArticle[هزینه])</f>
        <v>0</v>
      </c>
      <c r="J1241" s="164">
        <f>SUMIF(TArticle[تاریخ],TDays[[#This Row],[تاریخ]],TArticle[درآمد تتا])</f>
        <v>0</v>
      </c>
      <c r="K1241" s="164">
        <f>SUMIF(TArticle[تاریخ],TDays[[#This Row],[تاریخ]],TArticle[اسنپ])</f>
        <v>0</v>
      </c>
      <c r="L1241" s="164">
        <f>-SUMIF(TArticle[تاریخ],TDays[[#This Row],[تاریخ]],TArticle[پرداخت بدهی])</f>
        <v>0</v>
      </c>
      <c r="M1241" s="164">
        <f>SUMIF(TArticle[تاریخ],TDays[[#This Row],[تاریخ]],TArticle[افزایش بدهی])</f>
        <v>0</v>
      </c>
      <c r="N1241" s="164">
        <f>-SUMIF(TArticle[تاریخ],TDays[[#This Row],[تاریخ]],TArticle[افزایش سرمایه])</f>
        <v>0</v>
      </c>
      <c r="O1241" s="164">
        <f>SUMIF(TArticle[تاریخ],TDays[[#This Row],[تاریخ]],TArticle[تعداد تراکنش انجام شده])</f>
        <v>0</v>
      </c>
      <c r="P1241" s="164">
        <f>INT(((TDays[[#This Row],[ماه]]-1)*31+TDays[[#This Row],[روز]]+1)/7)+1</f>
        <v>21</v>
      </c>
      <c r="Q1241" s="164">
        <f>SUMIF(TArticle[تاریخ],TDays[[#This Row],[تاریخ]],TArticle[تراکنش برنامه ریزی شده])</f>
        <v>1</v>
      </c>
    </row>
    <row r="1242" spans="1:17" x14ac:dyDescent="0.25">
      <c r="A1242" s="3" t="s">
        <v>1830</v>
      </c>
      <c r="B1242" s="164" t="str">
        <f>RIGHT(TDays[[#This Row],[تاریخ]],2)</f>
        <v>21</v>
      </c>
      <c r="C1242" s="164" t="str">
        <f>RIGHT(LEFT(TDays[[#This Row],[تاریخ]],7),2)</f>
        <v>05</v>
      </c>
      <c r="D1242" s="164" t="str">
        <f>LEFT(TDays[[#This Row],[تاریخ]],4)</f>
        <v>1404</v>
      </c>
      <c r="E1242" s="164" t="str">
        <f>LEFT(TDays[[#This Row],[تاریخ]],7)</f>
        <v>1404-05</v>
      </c>
      <c r="F1242">
        <v>3</v>
      </c>
      <c r="G1242" s="165" t="str">
        <f>VLOOKUP(TDays[[#This Row],[کد روز هفته]],TDaysOfTheWeek[],2,FALSE)</f>
        <v>سه شنبه</v>
      </c>
      <c r="H1242" s="165">
        <f>IFERROR(IF(E1241&lt;&gt;E1242,1,INT(H1241)+IF(TDays[[#This Row],[کد روز هفته]]=0,1,0)),1)</f>
        <v>4</v>
      </c>
      <c r="I1242" s="164">
        <f>-SUMIF(TArticle[تاریخ],TDays[[#This Row],[تاریخ]],TArticle[هزینه])</f>
        <v>0</v>
      </c>
      <c r="J1242" s="164">
        <f>SUMIF(TArticle[تاریخ],TDays[[#This Row],[تاریخ]],TArticle[درآمد تتا])</f>
        <v>0</v>
      </c>
      <c r="K1242" s="164">
        <f>SUMIF(TArticle[تاریخ],TDays[[#This Row],[تاریخ]],TArticle[اسنپ])</f>
        <v>0</v>
      </c>
      <c r="L1242" s="164">
        <f>-SUMIF(TArticle[تاریخ],TDays[[#This Row],[تاریخ]],TArticle[پرداخت بدهی])</f>
        <v>0</v>
      </c>
      <c r="M1242" s="164">
        <f>SUMIF(TArticle[تاریخ],TDays[[#This Row],[تاریخ]],TArticle[افزایش بدهی])</f>
        <v>0</v>
      </c>
      <c r="N1242" s="164">
        <f>-SUMIF(TArticle[تاریخ],TDays[[#This Row],[تاریخ]],TArticle[افزایش سرمایه])</f>
        <v>0</v>
      </c>
      <c r="O1242" s="164">
        <f>SUMIF(TArticle[تاریخ],TDays[[#This Row],[تاریخ]],TArticle[تعداد تراکنش انجام شده])</f>
        <v>0</v>
      </c>
      <c r="P1242" s="164">
        <f>INT(((TDays[[#This Row],[ماه]]-1)*31+TDays[[#This Row],[روز]]+1)/7)+1</f>
        <v>21</v>
      </c>
      <c r="Q1242" s="164">
        <f>SUMIF(TArticle[تاریخ],TDays[[#This Row],[تاریخ]],TArticle[تراکنش برنامه ریزی شده])</f>
        <v>0</v>
      </c>
    </row>
    <row r="1243" spans="1:17" x14ac:dyDescent="0.25">
      <c r="A1243" s="3" t="s">
        <v>1831</v>
      </c>
      <c r="B1243" s="164" t="str">
        <f>RIGHT(TDays[[#This Row],[تاریخ]],2)</f>
        <v>22</v>
      </c>
      <c r="C1243" s="164" t="str">
        <f>RIGHT(LEFT(TDays[[#This Row],[تاریخ]],7),2)</f>
        <v>05</v>
      </c>
      <c r="D1243" s="164" t="str">
        <f>LEFT(TDays[[#This Row],[تاریخ]],4)</f>
        <v>1404</v>
      </c>
      <c r="E1243" s="164" t="str">
        <f>LEFT(TDays[[#This Row],[تاریخ]],7)</f>
        <v>1404-05</v>
      </c>
      <c r="F1243">
        <v>4</v>
      </c>
      <c r="G1243" s="165" t="str">
        <f>VLOOKUP(TDays[[#This Row],[کد روز هفته]],TDaysOfTheWeek[],2,FALSE)</f>
        <v>چهارشنبه</v>
      </c>
      <c r="H1243" s="165">
        <f>IFERROR(IF(E1242&lt;&gt;E1243,1,INT(H1242)+IF(TDays[[#This Row],[کد روز هفته]]=0,1,0)),1)</f>
        <v>4</v>
      </c>
      <c r="I1243" s="164">
        <f>-SUMIF(TArticle[تاریخ],TDays[[#This Row],[تاریخ]],TArticle[هزینه])</f>
        <v>0</v>
      </c>
      <c r="J1243" s="164">
        <f>SUMIF(TArticle[تاریخ],TDays[[#This Row],[تاریخ]],TArticle[درآمد تتا])</f>
        <v>0</v>
      </c>
      <c r="K1243" s="164">
        <f>SUMIF(TArticle[تاریخ],TDays[[#This Row],[تاریخ]],TArticle[اسنپ])</f>
        <v>0</v>
      </c>
      <c r="L1243" s="164">
        <f>-SUMIF(TArticle[تاریخ],TDays[[#This Row],[تاریخ]],TArticle[پرداخت بدهی])</f>
        <v>0</v>
      </c>
      <c r="M1243" s="164">
        <f>SUMIF(TArticle[تاریخ],TDays[[#This Row],[تاریخ]],TArticle[افزایش بدهی])</f>
        <v>0</v>
      </c>
      <c r="N1243" s="164">
        <f>-SUMIF(TArticle[تاریخ],TDays[[#This Row],[تاریخ]],TArticle[افزایش سرمایه])</f>
        <v>0</v>
      </c>
      <c r="O1243" s="164">
        <f>SUMIF(TArticle[تاریخ],TDays[[#This Row],[تاریخ]],TArticle[تعداد تراکنش انجام شده])</f>
        <v>0</v>
      </c>
      <c r="P1243" s="164">
        <f>INT(((TDays[[#This Row],[ماه]]-1)*31+TDays[[#This Row],[روز]]+1)/7)+1</f>
        <v>22</v>
      </c>
      <c r="Q1243" s="164">
        <f>SUMIF(TArticle[تاریخ],TDays[[#This Row],[تاریخ]],TArticle[تراکنش برنامه ریزی شده])</f>
        <v>0</v>
      </c>
    </row>
    <row r="1244" spans="1:17" x14ac:dyDescent="0.25">
      <c r="A1244" s="3" t="s">
        <v>1832</v>
      </c>
      <c r="B1244" s="164" t="str">
        <f>RIGHT(TDays[[#This Row],[تاریخ]],2)</f>
        <v>23</v>
      </c>
      <c r="C1244" s="164" t="str">
        <f>RIGHT(LEFT(TDays[[#This Row],[تاریخ]],7),2)</f>
        <v>05</v>
      </c>
      <c r="D1244" s="164" t="str">
        <f>LEFT(TDays[[#This Row],[تاریخ]],4)</f>
        <v>1404</v>
      </c>
      <c r="E1244" s="164" t="str">
        <f>LEFT(TDays[[#This Row],[تاریخ]],7)</f>
        <v>1404-05</v>
      </c>
      <c r="F1244">
        <v>5</v>
      </c>
      <c r="G1244" s="165" t="str">
        <f>VLOOKUP(TDays[[#This Row],[کد روز هفته]],TDaysOfTheWeek[],2,FALSE)</f>
        <v>پنجشنبه</v>
      </c>
      <c r="H1244" s="165">
        <f>IFERROR(IF(E1243&lt;&gt;E1244,1,INT(H1243)+IF(TDays[[#This Row],[کد روز هفته]]=0,1,0)),1)</f>
        <v>4</v>
      </c>
      <c r="I1244" s="164">
        <f>-SUMIF(TArticle[تاریخ],TDays[[#This Row],[تاریخ]],TArticle[هزینه])</f>
        <v>0</v>
      </c>
      <c r="J1244" s="164">
        <f>SUMIF(TArticle[تاریخ],TDays[[#This Row],[تاریخ]],TArticle[درآمد تتا])</f>
        <v>0</v>
      </c>
      <c r="K1244" s="164">
        <f>SUMIF(TArticle[تاریخ],TDays[[#This Row],[تاریخ]],TArticle[اسنپ])</f>
        <v>0</v>
      </c>
      <c r="L1244" s="164">
        <f>-SUMIF(TArticle[تاریخ],TDays[[#This Row],[تاریخ]],TArticle[پرداخت بدهی])</f>
        <v>0</v>
      </c>
      <c r="M1244" s="164">
        <f>SUMIF(TArticle[تاریخ],TDays[[#This Row],[تاریخ]],TArticle[افزایش بدهی])</f>
        <v>0</v>
      </c>
      <c r="N1244" s="164">
        <f>-SUMIF(TArticle[تاریخ],TDays[[#This Row],[تاریخ]],TArticle[افزایش سرمایه])</f>
        <v>0</v>
      </c>
      <c r="O1244" s="164">
        <f>SUMIF(TArticle[تاریخ],TDays[[#This Row],[تاریخ]],TArticle[تعداد تراکنش انجام شده])</f>
        <v>0</v>
      </c>
      <c r="P1244" s="164">
        <f>INT(((TDays[[#This Row],[ماه]]-1)*31+TDays[[#This Row],[روز]]+1)/7)+1</f>
        <v>22</v>
      </c>
      <c r="Q1244" s="164">
        <f>SUMIF(TArticle[تاریخ],TDays[[#This Row],[تاریخ]],TArticle[تراکنش برنامه ریزی شده])</f>
        <v>0</v>
      </c>
    </row>
    <row r="1245" spans="1:17" x14ac:dyDescent="0.25">
      <c r="A1245" s="3" t="s">
        <v>1833</v>
      </c>
      <c r="B1245" s="164" t="str">
        <f>RIGHT(TDays[[#This Row],[تاریخ]],2)</f>
        <v>24</v>
      </c>
      <c r="C1245" s="164" t="str">
        <f>RIGHT(LEFT(TDays[[#This Row],[تاریخ]],7),2)</f>
        <v>05</v>
      </c>
      <c r="D1245" s="164" t="str">
        <f>LEFT(TDays[[#This Row],[تاریخ]],4)</f>
        <v>1404</v>
      </c>
      <c r="E1245" s="164" t="str">
        <f>LEFT(TDays[[#This Row],[تاریخ]],7)</f>
        <v>1404-05</v>
      </c>
      <c r="F1245">
        <v>6</v>
      </c>
      <c r="G1245" s="165" t="str">
        <f>VLOOKUP(TDays[[#This Row],[کد روز هفته]],TDaysOfTheWeek[],2,FALSE)</f>
        <v>جمعه</v>
      </c>
      <c r="H1245" s="165">
        <f>IFERROR(IF(E1244&lt;&gt;E1245,1,INT(H1244)+IF(TDays[[#This Row],[کد روز هفته]]=0,1,0)),1)</f>
        <v>4</v>
      </c>
      <c r="I1245" s="164">
        <f>-SUMIF(TArticle[تاریخ],TDays[[#This Row],[تاریخ]],TArticle[هزینه])</f>
        <v>0</v>
      </c>
      <c r="J1245" s="164">
        <f>SUMIF(TArticle[تاریخ],TDays[[#This Row],[تاریخ]],TArticle[درآمد تتا])</f>
        <v>0</v>
      </c>
      <c r="K1245" s="164">
        <f>SUMIF(TArticle[تاریخ],TDays[[#This Row],[تاریخ]],TArticle[اسنپ])</f>
        <v>0</v>
      </c>
      <c r="L1245" s="164">
        <f>-SUMIF(TArticle[تاریخ],TDays[[#This Row],[تاریخ]],TArticle[پرداخت بدهی])</f>
        <v>0</v>
      </c>
      <c r="M1245" s="164">
        <f>SUMIF(TArticle[تاریخ],TDays[[#This Row],[تاریخ]],TArticle[افزایش بدهی])</f>
        <v>0</v>
      </c>
      <c r="N1245" s="164">
        <f>-SUMIF(TArticle[تاریخ],TDays[[#This Row],[تاریخ]],TArticle[افزایش سرمایه])</f>
        <v>0</v>
      </c>
      <c r="O1245" s="164">
        <f>SUMIF(TArticle[تاریخ],TDays[[#This Row],[تاریخ]],TArticle[تعداد تراکنش انجام شده])</f>
        <v>0</v>
      </c>
      <c r="P1245" s="164">
        <f>INT(((TDays[[#This Row],[ماه]]-1)*31+TDays[[#This Row],[روز]]+1)/7)+1</f>
        <v>22</v>
      </c>
      <c r="Q1245" s="164">
        <f>SUMIF(TArticle[تاریخ],TDays[[#This Row],[تاریخ]],TArticle[تراکنش برنامه ریزی شده])</f>
        <v>0</v>
      </c>
    </row>
    <row r="1246" spans="1:17" x14ac:dyDescent="0.25">
      <c r="A1246" s="3" t="s">
        <v>1834</v>
      </c>
      <c r="B1246" s="164" t="str">
        <f>RIGHT(TDays[[#This Row],[تاریخ]],2)</f>
        <v>25</v>
      </c>
      <c r="C1246" s="164" t="str">
        <f>RIGHT(LEFT(TDays[[#This Row],[تاریخ]],7),2)</f>
        <v>05</v>
      </c>
      <c r="D1246" s="164" t="str">
        <f>LEFT(TDays[[#This Row],[تاریخ]],4)</f>
        <v>1404</v>
      </c>
      <c r="E1246" s="164" t="str">
        <f>LEFT(TDays[[#This Row],[تاریخ]],7)</f>
        <v>1404-05</v>
      </c>
      <c r="F1246">
        <v>0</v>
      </c>
      <c r="G1246" s="165" t="str">
        <f>VLOOKUP(TDays[[#This Row],[کد روز هفته]],TDaysOfTheWeek[],2,FALSE)</f>
        <v>شنبه</v>
      </c>
      <c r="H1246" s="165">
        <f>IFERROR(IF(E1245&lt;&gt;E1246,1,INT(H1245)+IF(TDays[[#This Row],[کد روز هفته]]=0,1,0)),1)</f>
        <v>5</v>
      </c>
      <c r="I1246" s="164">
        <f>-SUMIF(TArticle[تاریخ],TDays[[#This Row],[تاریخ]],TArticle[هزینه])</f>
        <v>0</v>
      </c>
      <c r="J1246" s="164">
        <f>SUMIF(TArticle[تاریخ],TDays[[#This Row],[تاریخ]],TArticle[درآمد تتا])</f>
        <v>0</v>
      </c>
      <c r="K1246" s="164">
        <f>SUMIF(TArticle[تاریخ],TDays[[#This Row],[تاریخ]],TArticle[اسنپ])</f>
        <v>0</v>
      </c>
      <c r="L1246" s="164">
        <f>-SUMIF(TArticle[تاریخ],TDays[[#This Row],[تاریخ]],TArticle[پرداخت بدهی])</f>
        <v>0</v>
      </c>
      <c r="M1246" s="164">
        <f>SUMIF(TArticle[تاریخ],TDays[[#This Row],[تاریخ]],TArticle[افزایش بدهی])</f>
        <v>0</v>
      </c>
      <c r="N1246" s="164">
        <f>-SUMIF(TArticle[تاریخ],TDays[[#This Row],[تاریخ]],TArticle[افزایش سرمایه])</f>
        <v>0</v>
      </c>
      <c r="O1246" s="164">
        <f>SUMIF(TArticle[تاریخ],TDays[[#This Row],[تاریخ]],TArticle[تعداد تراکنش انجام شده])</f>
        <v>0</v>
      </c>
      <c r="P1246" s="164">
        <f>INT(((TDays[[#This Row],[ماه]]-1)*31+TDays[[#This Row],[روز]]+1)/7)+1</f>
        <v>22</v>
      </c>
      <c r="Q1246" s="164">
        <f>SUMIF(TArticle[تاریخ],TDays[[#This Row],[تاریخ]],TArticle[تراکنش برنامه ریزی شده])</f>
        <v>0</v>
      </c>
    </row>
    <row r="1247" spans="1:17" x14ac:dyDescent="0.25">
      <c r="A1247" s="3" t="s">
        <v>1835</v>
      </c>
      <c r="B1247" s="164" t="str">
        <f>RIGHT(TDays[[#This Row],[تاریخ]],2)</f>
        <v>26</v>
      </c>
      <c r="C1247" s="164" t="str">
        <f>RIGHT(LEFT(TDays[[#This Row],[تاریخ]],7),2)</f>
        <v>05</v>
      </c>
      <c r="D1247" s="164" t="str">
        <f>LEFT(TDays[[#This Row],[تاریخ]],4)</f>
        <v>1404</v>
      </c>
      <c r="E1247" s="164" t="str">
        <f>LEFT(TDays[[#This Row],[تاریخ]],7)</f>
        <v>1404-05</v>
      </c>
      <c r="F1247">
        <v>1</v>
      </c>
      <c r="G1247" s="165" t="str">
        <f>VLOOKUP(TDays[[#This Row],[کد روز هفته]],TDaysOfTheWeek[],2,FALSE)</f>
        <v>یکشنبه</v>
      </c>
      <c r="H1247" s="165">
        <f>IFERROR(IF(E1246&lt;&gt;E1247,1,INT(H1246)+IF(TDays[[#This Row],[کد روز هفته]]=0,1,0)),1)</f>
        <v>5</v>
      </c>
      <c r="I1247" s="164">
        <f>-SUMIF(TArticle[تاریخ],TDays[[#This Row],[تاریخ]],TArticle[هزینه])</f>
        <v>0</v>
      </c>
      <c r="J1247" s="164">
        <f>SUMIF(TArticle[تاریخ],TDays[[#This Row],[تاریخ]],TArticle[درآمد تتا])</f>
        <v>0</v>
      </c>
      <c r="K1247" s="164">
        <f>SUMIF(TArticle[تاریخ],TDays[[#This Row],[تاریخ]],TArticle[اسنپ])</f>
        <v>0</v>
      </c>
      <c r="L1247" s="164">
        <f>-SUMIF(TArticle[تاریخ],TDays[[#This Row],[تاریخ]],TArticle[پرداخت بدهی])</f>
        <v>0</v>
      </c>
      <c r="M1247" s="164">
        <f>SUMIF(TArticle[تاریخ],TDays[[#This Row],[تاریخ]],TArticle[افزایش بدهی])</f>
        <v>0</v>
      </c>
      <c r="N1247" s="164">
        <f>-SUMIF(TArticle[تاریخ],TDays[[#This Row],[تاریخ]],TArticle[افزایش سرمایه])</f>
        <v>0</v>
      </c>
      <c r="O1247" s="164">
        <f>SUMIF(TArticle[تاریخ],TDays[[#This Row],[تاریخ]],TArticle[تعداد تراکنش انجام شده])</f>
        <v>0</v>
      </c>
      <c r="P1247" s="164">
        <f>INT(((TDays[[#This Row],[ماه]]-1)*31+TDays[[#This Row],[روز]]+1)/7)+1</f>
        <v>22</v>
      </c>
      <c r="Q1247" s="164">
        <f>SUMIF(TArticle[تاریخ],TDays[[#This Row],[تاریخ]],TArticle[تراکنش برنامه ریزی شده])</f>
        <v>0</v>
      </c>
    </row>
    <row r="1248" spans="1:17" x14ac:dyDescent="0.25">
      <c r="A1248" s="3" t="s">
        <v>1836</v>
      </c>
      <c r="B1248" s="164" t="str">
        <f>RIGHT(TDays[[#This Row],[تاریخ]],2)</f>
        <v>27</v>
      </c>
      <c r="C1248" s="164" t="str">
        <f>RIGHT(LEFT(TDays[[#This Row],[تاریخ]],7),2)</f>
        <v>05</v>
      </c>
      <c r="D1248" s="164" t="str">
        <f>LEFT(TDays[[#This Row],[تاریخ]],4)</f>
        <v>1404</v>
      </c>
      <c r="E1248" s="164" t="str">
        <f>LEFT(TDays[[#This Row],[تاریخ]],7)</f>
        <v>1404-05</v>
      </c>
      <c r="F1248">
        <v>2</v>
      </c>
      <c r="G1248" s="165" t="str">
        <f>VLOOKUP(TDays[[#This Row],[کد روز هفته]],TDaysOfTheWeek[],2,FALSE)</f>
        <v>دوشنبه</v>
      </c>
      <c r="H1248" s="165">
        <f>IFERROR(IF(E1247&lt;&gt;E1248,1,INT(H1247)+IF(TDays[[#This Row],[کد روز هفته]]=0,1,0)),1)</f>
        <v>5</v>
      </c>
      <c r="I1248" s="164">
        <f>-SUMIF(TArticle[تاریخ],TDays[[#This Row],[تاریخ]],TArticle[هزینه])</f>
        <v>0</v>
      </c>
      <c r="J1248" s="164">
        <f>SUMIF(TArticle[تاریخ],TDays[[#This Row],[تاریخ]],TArticle[درآمد تتا])</f>
        <v>0</v>
      </c>
      <c r="K1248" s="164">
        <f>SUMIF(TArticle[تاریخ],TDays[[#This Row],[تاریخ]],TArticle[اسنپ])</f>
        <v>0</v>
      </c>
      <c r="L1248" s="164">
        <f>-SUMIF(TArticle[تاریخ],TDays[[#This Row],[تاریخ]],TArticle[پرداخت بدهی])</f>
        <v>0</v>
      </c>
      <c r="M1248" s="164">
        <f>SUMIF(TArticle[تاریخ],TDays[[#This Row],[تاریخ]],TArticle[افزایش بدهی])</f>
        <v>0</v>
      </c>
      <c r="N1248" s="164">
        <f>-SUMIF(TArticle[تاریخ],TDays[[#This Row],[تاریخ]],TArticle[افزایش سرمایه])</f>
        <v>0</v>
      </c>
      <c r="O1248" s="164">
        <f>SUMIF(TArticle[تاریخ],TDays[[#This Row],[تاریخ]],TArticle[تعداد تراکنش انجام شده])</f>
        <v>0</v>
      </c>
      <c r="P1248" s="164">
        <f>INT(((TDays[[#This Row],[ماه]]-1)*31+TDays[[#This Row],[روز]]+1)/7)+1</f>
        <v>22</v>
      </c>
      <c r="Q1248" s="164">
        <f>SUMIF(TArticle[تاریخ],TDays[[#This Row],[تاریخ]],TArticle[تراکنش برنامه ریزی شده])</f>
        <v>0</v>
      </c>
    </row>
    <row r="1249" spans="1:17" x14ac:dyDescent="0.25">
      <c r="A1249" s="3" t="s">
        <v>1837</v>
      </c>
      <c r="B1249" s="164" t="str">
        <f>RIGHT(TDays[[#This Row],[تاریخ]],2)</f>
        <v>28</v>
      </c>
      <c r="C1249" s="164" t="str">
        <f>RIGHT(LEFT(TDays[[#This Row],[تاریخ]],7),2)</f>
        <v>05</v>
      </c>
      <c r="D1249" s="164" t="str">
        <f>LEFT(TDays[[#This Row],[تاریخ]],4)</f>
        <v>1404</v>
      </c>
      <c r="E1249" s="164" t="str">
        <f>LEFT(TDays[[#This Row],[تاریخ]],7)</f>
        <v>1404-05</v>
      </c>
      <c r="F1249">
        <v>3</v>
      </c>
      <c r="G1249" s="165" t="str">
        <f>VLOOKUP(TDays[[#This Row],[کد روز هفته]],TDaysOfTheWeek[],2,FALSE)</f>
        <v>سه شنبه</v>
      </c>
      <c r="H1249" s="165">
        <f>IFERROR(IF(E1248&lt;&gt;E1249,1,INT(H1248)+IF(TDays[[#This Row],[کد روز هفته]]=0,1,0)),1)</f>
        <v>5</v>
      </c>
      <c r="I1249" s="164">
        <f>-SUMIF(TArticle[تاریخ],TDays[[#This Row],[تاریخ]],TArticle[هزینه])</f>
        <v>0</v>
      </c>
      <c r="J1249" s="164">
        <f>SUMIF(TArticle[تاریخ],TDays[[#This Row],[تاریخ]],TArticle[درآمد تتا])</f>
        <v>0</v>
      </c>
      <c r="K1249" s="164">
        <f>SUMIF(TArticle[تاریخ],TDays[[#This Row],[تاریخ]],TArticle[اسنپ])</f>
        <v>0</v>
      </c>
      <c r="L1249" s="164">
        <f>-SUMIF(TArticle[تاریخ],TDays[[#This Row],[تاریخ]],TArticle[پرداخت بدهی])</f>
        <v>0</v>
      </c>
      <c r="M1249" s="164">
        <f>SUMIF(TArticle[تاریخ],TDays[[#This Row],[تاریخ]],TArticle[افزایش بدهی])</f>
        <v>0</v>
      </c>
      <c r="N1249" s="164">
        <f>-SUMIF(TArticle[تاریخ],TDays[[#This Row],[تاریخ]],TArticle[افزایش سرمایه])</f>
        <v>0</v>
      </c>
      <c r="O1249" s="164">
        <f>SUMIF(TArticle[تاریخ],TDays[[#This Row],[تاریخ]],TArticle[تعداد تراکنش انجام شده])</f>
        <v>0</v>
      </c>
      <c r="P1249" s="164">
        <f>INT(((TDays[[#This Row],[ماه]]-1)*31+TDays[[#This Row],[روز]]+1)/7)+1</f>
        <v>22</v>
      </c>
      <c r="Q1249" s="164">
        <f>SUMIF(TArticle[تاریخ],TDays[[#This Row],[تاریخ]],TArticle[تراکنش برنامه ریزی شده])</f>
        <v>0</v>
      </c>
    </row>
    <row r="1250" spans="1:17" x14ac:dyDescent="0.25">
      <c r="A1250" s="3" t="s">
        <v>1838</v>
      </c>
      <c r="B1250" s="164" t="str">
        <f>RIGHT(TDays[[#This Row],[تاریخ]],2)</f>
        <v>29</v>
      </c>
      <c r="C1250" s="164" t="str">
        <f>RIGHT(LEFT(TDays[[#This Row],[تاریخ]],7),2)</f>
        <v>05</v>
      </c>
      <c r="D1250" s="164" t="str">
        <f>LEFT(TDays[[#This Row],[تاریخ]],4)</f>
        <v>1404</v>
      </c>
      <c r="E1250" s="164" t="str">
        <f>LEFT(TDays[[#This Row],[تاریخ]],7)</f>
        <v>1404-05</v>
      </c>
      <c r="F1250">
        <v>4</v>
      </c>
      <c r="G1250" s="165" t="str">
        <f>VLOOKUP(TDays[[#This Row],[کد روز هفته]],TDaysOfTheWeek[],2,FALSE)</f>
        <v>چهارشنبه</v>
      </c>
      <c r="H1250" s="165">
        <f>IFERROR(IF(E1249&lt;&gt;E1250,1,INT(H1249)+IF(TDays[[#This Row],[کد روز هفته]]=0,1,0)),1)</f>
        <v>5</v>
      </c>
      <c r="I1250" s="164">
        <f>-SUMIF(TArticle[تاریخ],TDays[[#This Row],[تاریخ]],TArticle[هزینه])</f>
        <v>0</v>
      </c>
      <c r="J1250" s="164">
        <f>SUMIF(TArticle[تاریخ],TDays[[#This Row],[تاریخ]],TArticle[درآمد تتا])</f>
        <v>0</v>
      </c>
      <c r="K1250" s="164">
        <f>SUMIF(TArticle[تاریخ],TDays[[#This Row],[تاریخ]],TArticle[اسنپ])</f>
        <v>0</v>
      </c>
      <c r="L1250" s="164">
        <f>-SUMIF(TArticle[تاریخ],TDays[[#This Row],[تاریخ]],TArticle[پرداخت بدهی])</f>
        <v>0</v>
      </c>
      <c r="M1250" s="164">
        <f>SUMIF(TArticle[تاریخ],TDays[[#This Row],[تاریخ]],TArticle[افزایش بدهی])</f>
        <v>0</v>
      </c>
      <c r="N1250" s="164">
        <f>-SUMIF(TArticle[تاریخ],TDays[[#This Row],[تاریخ]],TArticle[افزایش سرمایه])</f>
        <v>0</v>
      </c>
      <c r="O1250" s="164">
        <f>SUMIF(TArticle[تاریخ],TDays[[#This Row],[تاریخ]],TArticle[تعداد تراکنش انجام شده])</f>
        <v>0</v>
      </c>
      <c r="P1250" s="164">
        <f>INT(((TDays[[#This Row],[ماه]]-1)*31+TDays[[#This Row],[روز]]+1)/7)+1</f>
        <v>23</v>
      </c>
      <c r="Q1250" s="164">
        <f>SUMIF(TArticle[تاریخ],TDays[[#This Row],[تاریخ]],TArticle[تراکنش برنامه ریزی شده])</f>
        <v>0</v>
      </c>
    </row>
    <row r="1251" spans="1:17" x14ac:dyDescent="0.25">
      <c r="A1251" s="3" t="s">
        <v>1839</v>
      </c>
      <c r="B1251" s="164" t="str">
        <f>RIGHT(TDays[[#This Row],[تاریخ]],2)</f>
        <v>30</v>
      </c>
      <c r="C1251" s="164" t="str">
        <f>RIGHT(LEFT(TDays[[#This Row],[تاریخ]],7),2)</f>
        <v>05</v>
      </c>
      <c r="D1251" s="164" t="str">
        <f>LEFT(TDays[[#This Row],[تاریخ]],4)</f>
        <v>1404</v>
      </c>
      <c r="E1251" s="164" t="str">
        <f>LEFT(TDays[[#This Row],[تاریخ]],7)</f>
        <v>1404-05</v>
      </c>
      <c r="F1251">
        <v>5</v>
      </c>
      <c r="G1251" s="165" t="str">
        <f>VLOOKUP(TDays[[#This Row],[کد روز هفته]],TDaysOfTheWeek[],2,FALSE)</f>
        <v>پنجشنبه</v>
      </c>
      <c r="H1251" s="165">
        <f>IFERROR(IF(E1250&lt;&gt;E1251,1,INT(H1250)+IF(TDays[[#This Row],[کد روز هفته]]=0,1,0)),1)</f>
        <v>5</v>
      </c>
      <c r="I1251" s="164">
        <f>-SUMIF(TArticle[تاریخ],TDays[[#This Row],[تاریخ]],TArticle[هزینه])</f>
        <v>0</v>
      </c>
      <c r="J1251" s="164">
        <f>SUMIF(TArticle[تاریخ],TDays[[#This Row],[تاریخ]],TArticle[درآمد تتا])</f>
        <v>0</v>
      </c>
      <c r="K1251" s="164">
        <f>SUMIF(TArticle[تاریخ],TDays[[#This Row],[تاریخ]],TArticle[اسنپ])</f>
        <v>0</v>
      </c>
      <c r="L1251" s="164">
        <f>-SUMIF(TArticle[تاریخ],TDays[[#This Row],[تاریخ]],TArticle[پرداخت بدهی])</f>
        <v>0</v>
      </c>
      <c r="M1251" s="164">
        <f>SUMIF(TArticle[تاریخ],TDays[[#This Row],[تاریخ]],TArticle[افزایش بدهی])</f>
        <v>0</v>
      </c>
      <c r="N1251" s="164">
        <f>-SUMIF(TArticle[تاریخ],TDays[[#This Row],[تاریخ]],TArticle[افزایش سرمایه])</f>
        <v>0</v>
      </c>
      <c r="O1251" s="164">
        <f>SUMIF(TArticle[تاریخ],TDays[[#This Row],[تاریخ]],TArticle[تعداد تراکنش انجام شده])</f>
        <v>0</v>
      </c>
      <c r="P1251" s="164">
        <f>INT(((TDays[[#This Row],[ماه]]-1)*31+TDays[[#This Row],[روز]]+1)/7)+1</f>
        <v>23</v>
      </c>
      <c r="Q1251" s="164">
        <f>SUMIF(TArticle[تاریخ],TDays[[#This Row],[تاریخ]],TArticle[تراکنش برنامه ریزی شده])</f>
        <v>0</v>
      </c>
    </row>
    <row r="1252" spans="1:17" x14ac:dyDescent="0.25">
      <c r="A1252" s="3" t="s">
        <v>1840</v>
      </c>
      <c r="B1252" s="164" t="str">
        <f>RIGHT(TDays[[#This Row],[تاریخ]],2)</f>
        <v>31</v>
      </c>
      <c r="C1252" s="164" t="str">
        <f>RIGHT(LEFT(TDays[[#This Row],[تاریخ]],7),2)</f>
        <v>05</v>
      </c>
      <c r="D1252" s="164" t="str">
        <f>LEFT(TDays[[#This Row],[تاریخ]],4)</f>
        <v>1404</v>
      </c>
      <c r="E1252" s="164" t="str">
        <f>LEFT(TDays[[#This Row],[تاریخ]],7)</f>
        <v>1404-05</v>
      </c>
      <c r="F1252">
        <v>6</v>
      </c>
      <c r="G1252" s="165" t="str">
        <f>VLOOKUP(TDays[[#This Row],[کد روز هفته]],TDaysOfTheWeek[],2,FALSE)</f>
        <v>جمعه</v>
      </c>
      <c r="H1252" s="165">
        <f>IFERROR(IF(E1251&lt;&gt;E1252,1,INT(H1251)+IF(TDays[[#This Row],[کد روز هفته]]=0,1,0)),1)</f>
        <v>5</v>
      </c>
      <c r="I1252" s="164">
        <f>-SUMIF(TArticle[تاریخ],TDays[[#This Row],[تاریخ]],TArticle[هزینه])</f>
        <v>0</v>
      </c>
      <c r="J1252" s="164">
        <f>SUMIF(TArticle[تاریخ],TDays[[#This Row],[تاریخ]],TArticle[درآمد تتا])</f>
        <v>0</v>
      </c>
      <c r="K1252" s="164">
        <f>SUMIF(TArticle[تاریخ],TDays[[#This Row],[تاریخ]],TArticle[اسنپ])</f>
        <v>0</v>
      </c>
      <c r="L1252" s="164">
        <f>-SUMIF(TArticle[تاریخ],TDays[[#This Row],[تاریخ]],TArticle[پرداخت بدهی])</f>
        <v>0</v>
      </c>
      <c r="M1252" s="164">
        <f>SUMIF(TArticle[تاریخ],TDays[[#This Row],[تاریخ]],TArticle[افزایش بدهی])</f>
        <v>0</v>
      </c>
      <c r="N1252" s="164">
        <f>-SUMIF(TArticle[تاریخ],TDays[[#This Row],[تاریخ]],TArticle[افزایش سرمایه])</f>
        <v>0</v>
      </c>
      <c r="O1252" s="164">
        <f>SUMIF(TArticle[تاریخ],TDays[[#This Row],[تاریخ]],TArticle[تعداد تراکنش انجام شده])</f>
        <v>0</v>
      </c>
      <c r="P1252" s="164">
        <f>INT(((TDays[[#This Row],[ماه]]-1)*31+TDays[[#This Row],[روز]]+1)/7)+1</f>
        <v>23</v>
      </c>
      <c r="Q1252" s="164">
        <f>SUMIF(TArticle[تاریخ],TDays[[#This Row],[تاریخ]],TArticle[تراکنش برنامه ریزی شده])</f>
        <v>0</v>
      </c>
    </row>
    <row r="1253" spans="1:17" x14ac:dyDescent="0.25">
      <c r="A1253" s="3" t="s">
        <v>1841</v>
      </c>
      <c r="B1253" s="164" t="str">
        <f>RIGHT(TDays[[#This Row],[تاریخ]],2)</f>
        <v>01</v>
      </c>
      <c r="C1253" s="164" t="str">
        <f>RIGHT(LEFT(TDays[[#This Row],[تاریخ]],7),2)</f>
        <v>06</v>
      </c>
      <c r="D1253" s="164" t="str">
        <f>LEFT(TDays[[#This Row],[تاریخ]],4)</f>
        <v>1404</v>
      </c>
      <c r="E1253" s="164" t="str">
        <f>LEFT(TDays[[#This Row],[تاریخ]],7)</f>
        <v>1404-06</v>
      </c>
      <c r="F1253">
        <v>0</v>
      </c>
      <c r="G1253" s="165" t="str">
        <f>VLOOKUP(TDays[[#This Row],[کد روز هفته]],TDaysOfTheWeek[],2,FALSE)</f>
        <v>شنبه</v>
      </c>
      <c r="H1253" s="165">
        <f>IFERROR(IF(E1252&lt;&gt;E1253,1,INT(H1252)+IF(TDays[[#This Row],[کد روز هفته]]=0,1,0)),1)</f>
        <v>1</v>
      </c>
      <c r="I1253" s="164">
        <f>-SUMIF(TArticle[تاریخ],TDays[[#This Row],[تاریخ]],TArticle[هزینه])</f>
        <v>0</v>
      </c>
      <c r="J1253" s="164">
        <f>SUMIF(TArticle[تاریخ],TDays[[#This Row],[تاریخ]],TArticle[درآمد تتا])</f>
        <v>0</v>
      </c>
      <c r="K1253" s="164">
        <f>SUMIF(TArticle[تاریخ],TDays[[#This Row],[تاریخ]],TArticle[اسنپ])</f>
        <v>0</v>
      </c>
      <c r="L1253" s="164">
        <f>-SUMIF(TArticle[تاریخ],TDays[[#This Row],[تاریخ]],TArticle[پرداخت بدهی])</f>
        <v>0</v>
      </c>
      <c r="M1253" s="164">
        <f>SUMIF(TArticle[تاریخ],TDays[[#This Row],[تاریخ]],TArticle[افزایش بدهی])</f>
        <v>0</v>
      </c>
      <c r="N1253" s="164">
        <f>-SUMIF(TArticle[تاریخ],TDays[[#This Row],[تاریخ]],TArticle[افزایش سرمایه])</f>
        <v>0</v>
      </c>
      <c r="O1253" s="164">
        <f>SUMIF(TArticle[تاریخ],TDays[[#This Row],[تاریخ]],TArticle[تعداد تراکنش انجام شده])</f>
        <v>0</v>
      </c>
      <c r="P1253" s="164">
        <f>INT(((TDays[[#This Row],[ماه]]-1)*31+TDays[[#This Row],[روز]]+1)/7)+1</f>
        <v>23</v>
      </c>
      <c r="Q1253" s="164">
        <f>SUMIF(TArticle[تاریخ],TDays[[#This Row],[تاریخ]],TArticle[تراکنش برنامه ریزی شده])</f>
        <v>2</v>
      </c>
    </row>
    <row r="1254" spans="1:17" x14ac:dyDescent="0.25">
      <c r="A1254" s="3" t="s">
        <v>1842</v>
      </c>
      <c r="B1254" s="164" t="str">
        <f>RIGHT(TDays[[#This Row],[تاریخ]],2)</f>
        <v>02</v>
      </c>
      <c r="C1254" s="164" t="str">
        <f>RIGHT(LEFT(TDays[[#This Row],[تاریخ]],7),2)</f>
        <v>06</v>
      </c>
      <c r="D1254" s="164" t="str">
        <f>LEFT(TDays[[#This Row],[تاریخ]],4)</f>
        <v>1404</v>
      </c>
      <c r="E1254" s="164" t="str">
        <f>LEFT(TDays[[#This Row],[تاریخ]],7)</f>
        <v>1404-06</v>
      </c>
      <c r="F1254">
        <v>1</v>
      </c>
      <c r="G1254" s="165" t="str">
        <f>VLOOKUP(TDays[[#This Row],[کد روز هفته]],TDaysOfTheWeek[],2,FALSE)</f>
        <v>یکشنبه</v>
      </c>
      <c r="H1254" s="165">
        <f>IFERROR(IF(E1253&lt;&gt;E1254,1,INT(H1253)+IF(TDays[[#This Row],[کد روز هفته]]=0,1,0)),1)</f>
        <v>1</v>
      </c>
      <c r="I1254" s="164">
        <f>-SUMIF(TArticle[تاریخ],TDays[[#This Row],[تاریخ]],TArticle[هزینه])</f>
        <v>0</v>
      </c>
      <c r="J1254" s="164">
        <f>SUMIF(TArticle[تاریخ],TDays[[#This Row],[تاریخ]],TArticle[درآمد تتا])</f>
        <v>0</v>
      </c>
      <c r="K1254" s="164">
        <f>SUMIF(TArticle[تاریخ],TDays[[#This Row],[تاریخ]],TArticle[اسنپ])</f>
        <v>0</v>
      </c>
      <c r="L1254" s="164">
        <f>-SUMIF(TArticle[تاریخ],TDays[[#This Row],[تاریخ]],TArticle[پرداخت بدهی])</f>
        <v>0</v>
      </c>
      <c r="M1254" s="164">
        <f>SUMIF(TArticle[تاریخ],TDays[[#This Row],[تاریخ]],TArticle[افزایش بدهی])</f>
        <v>0</v>
      </c>
      <c r="N1254" s="164">
        <f>-SUMIF(TArticle[تاریخ],TDays[[#This Row],[تاریخ]],TArticle[افزایش سرمایه])</f>
        <v>0</v>
      </c>
      <c r="O1254" s="164">
        <f>SUMIF(TArticle[تاریخ],TDays[[#This Row],[تاریخ]],TArticle[تعداد تراکنش انجام شده])</f>
        <v>0</v>
      </c>
      <c r="P1254" s="164">
        <f>INT(((TDays[[#This Row],[ماه]]-1)*31+TDays[[#This Row],[روز]]+1)/7)+1</f>
        <v>23</v>
      </c>
      <c r="Q1254" s="164">
        <f>SUMIF(TArticle[تاریخ],TDays[[#This Row],[تاریخ]],TArticle[تراکنش برنامه ریزی شده])</f>
        <v>0</v>
      </c>
    </row>
    <row r="1255" spans="1:17" x14ac:dyDescent="0.25">
      <c r="A1255" s="3" t="s">
        <v>1843</v>
      </c>
      <c r="B1255" s="164" t="str">
        <f>RIGHT(TDays[[#This Row],[تاریخ]],2)</f>
        <v>03</v>
      </c>
      <c r="C1255" s="164" t="str">
        <f>RIGHT(LEFT(TDays[[#This Row],[تاریخ]],7),2)</f>
        <v>06</v>
      </c>
      <c r="D1255" s="164" t="str">
        <f>LEFT(TDays[[#This Row],[تاریخ]],4)</f>
        <v>1404</v>
      </c>
      <c r="E1255" s="164" t="str">
        <f>LEFT(TDays[[#This Row],[تاریخ]],7)</f>
        <v>1404-06</v>
      </c>
      <c r="F1255">
        <v>2</v>
      </c>
      <c r="G1255" s="165" t="str">
        <f>VLOOKUP(TDays[[#This Row],[کد روز هفته]],TDaysOfTheWeek[],2,FALSE)</f>
        <v>دوشنبه</v>
      </c>
      <c r="H1255" s="165">
        <f>IFERROR(IF(E1254&lt;&gt;E1255,1,INT(H1254)+IF(TDays[[#This Row],[کد روز هفته]]=0,1,0)),1)</f>
        <v>1</v>
      </c>
      <c r="I1255" s="164">
        <f>-SUMIF(TArticle[تاریخ],TDays[[#This Row],[تاریخ]],TArticle[هزینه])</f>
        <v>0</v>
      </c>
      <c r="J1255" s="164">
        <f>SUMIF(TArticle[تاریخ],TDays[[#This Row],[تاریخ]],TArticle[درآمد تتا])</f>
        <v>0</v>
      </c>
      <c r="K1255" s="164">
        <f>SUMIF(TArticle[تاریخ],TDays[[#This Row],[تاریخ]],TArticle[اسنپ])</f>
        <v>0</v>
      </c>
      <c r="L1255" s="164">
        <f>-SUMIF(TArticle[تاریخ],TDays[[#This Row],[تاریخ]],TArticle[پرداخت بدهی])</f>
        <v>0</v>
      </c>
      <c r="M1255" s="164">
        <f>SUMIF(TArticle[تاریخ],TDays[[#This Row],[تاریخ]],TArticle[افزایش بدهی])</f>
        <v>0</v>
      </c>
      <c r="N1255" s="164">
        <f>-SUMIF(TArticle[تاریخ],TDays[[#This Row],[تاریخ]],TArticle[افزایش سرمایه])</f>
        <v>0</v>
      </c>
      <c r="O1255" s="164">
        <f>SUMIF(TArticle[تاریخ],TDays[[#This Row],[تاریخ]],TArticle[تعداد تراکنش انجام شده])</f>
        <v>0</v>
      </c>
      <c r="P1255" s="164">
        <f>INT(((TDays[[#This Row],[ماه]]-1)*31+TDays[[#This Row],[روز]]+1)/7)+1</f>
        <v>23</v>
      </c>
      <c r="Q1255" s="164">
        <f>SUMIF(TArticle[تاریخ],TDays[[#This Row],[تاریخ]],TArticle[تراکنش برنامه ریزی شده])</f>
        <v>1</v>
      </c>
    </row>
    <row r="1256" spans="1:17" x14ac:dyDescent="0.25">
      <c r="A1256" s="3" t="s">
        <v>1844</v>
      </c>
      <c r="B1256" s="164" t="str">
        <f>RIGHT(TDays[[#This Row],[تاریخ]],2)</f>
        <v>04</v>
      </c>
      <c r="C1256" s="164" t="str">
        <f>RIGHT(LEFT(TDays[[#This Row],[تاریخ]],7),2)</f>
        <v>06</v>
      </c>
      <c r="D1256" s="164" t="str">
        <f>LEFT(TDays[[#This Row],[تاریخ]],4)</f>
        <v>1404</v>
      </c>
      <c r="E1256" s="164" t="str">
        <f>LEFT(TDays[[#This Row],[تاریخ]],7)</f>
        <v>1404-06</v>
      </c>
      <c r="F1256">
        <v>3</v>
      </c>
      <c r="G1256" s="165" t="str">
        <f>VLOOKUP(TDays[[#This Row],[کد روز هفته]],TDaysOfTheWeek[],2,FALSE)</f>
        <v>سه شنبه</v>
      </c>
      <c r="H1256" s="165">
        <f>IFERROR(IF(E1255&lt;&gt;E1256,1,INT(H1255)+IF(TDays[[#This Row],[کد روز هفته]]=0,1,0)),1)</f>
        <v>1</v>
      </c>
      <c r="I1256" s="164">
        <f>-SUMIF(TArticle[تاریخ],TDays[[#This Row],[تاریخ]],TArticle[هزینه])</f>
        <v>0</v>
      </c>
      <c r="J1256" s="164">
        <f>SUMIF(TArticle[تاریخ],TDays[[#This Row],[تاریخ]],TArticle[درآمد تتا])</f>
        <v>0</v>
      </c>
      <c r="K1256" s="164">
        <f>SUMIF(TArticle[تاریخ],TDays[[#This Row],[تاریخ]],TArticle[اسنپ])</f>
        <v>0</v>
      </c>
      <c r="L1256" s="164">
        <f>-SUMIF(TArticle[تاریخ],TDays[[#This Row],[تاریخ]],TArticle[پرداخت بدهی])</f>
        <v>0</v>
      </c>
      <c r="M1256" s="164">
        <f>SUMIF(TArticle[تاریخ],TDays[[#This Row],[تاریخ]],TArticle[افزایش بدهی])</f>
        <v>0</v>
      </c>
      <c r="N1256" s="164">
        <f>-SUMIF(TArticle[تاریخ],TDays[[#This Row],[تاریخ]],TArticle[افزایش سرمایه])</f>
        <v>0</v>
      </c>
      <c r="O1256" s="164">
        <f>SUMIF(TArticle[تاریخ],TDays[[#This Row],[تاریخ]],TArticle[تعداد تراکنش انجام شده])</f>
        <v>0</v>
      </c>
      <c r="P1256" s="164">
        <f>INT(((TDays[[#This Row],[ماه]]-1)*31+TDays[[#This Row],[روز]]+1)/7)+1</f>
        <v>23</v>
      </c>
      <c r="Q1256" s="164">
        <f>SUMIF(TArticle[تاریخ],TDays[[#This Row],[تاریخ]],TArticle[تراکنش برنامه ریزی شده])</f>
        <v>0</v>
      </c>
    </row>
    <row r="1257" spans="1:17" x14ac:dyDescent="0.25">
      <c r="A1257" s="3" t="s">
        <v>1685</v>
      </c>
      <c r="B1257" s="164" t="str">
        <f>RIGHT(TDays[[#This Row],[تاریخ]],2)</f>
        <v>05</v>
      </c>
      <c r="C1257" s="164" t="str">
        <f>RIGHT(LEFT(TDays[[#This Row],[تاریخ]],7),2)</f>
        <v>06</v>
      </c>
      <c r="D1257" s="164" t="str">
        <f>LEFT(TDays[[#This Row],[تاریخ]],4)</f>
        <v>1404</v>
      </c>
      <c r="E1257" s="164" t="str">
        <f>LEFT(TDays[[#This Row],[تاریخ]],7)</f>
        <v>1404-06</v>
      </c>
      <c r="F1257">
        <v>4</v>
      </c>
      <c r="G1257" s="165" t="str">
        <f>VLOOKUP(TDays[[#This Row],[کد روز هفته]],TDaysOfTheWeek[],2,FALSE)</f>
        <v>چهارشنبه</v>
      </c>
      <c r="H1257" s="165">
        <f>IFERROR(IF(E1256&lt;&gt;E1257,1,INT(H1256)+IF(TDays[[#This Row],[کد روز هفته]]=0,1,0)),1)</f>
        <v>1</v>
      </c>
      <c r="I1257" s="164">
        <f>-SUMIF(TArticle[تاریخ],TDays[[#This Row],[تاریخ]],TArticle[هزینه])</f>
        <v>0</v>
      </c>
      <c r="J1257" s="164">
        <f>SUMIF(TArticle[تاریخ],TDays[[#This Row],[تاریخ]],TArticle[درآمد تتا])</f>
        <v>0</v>
      </c>
      <c r="K1257" s="164">
        <f>SUMIF(TArticle[تاریخ],TDays[[#This Row],[تاریخ]],TArticle[اسنپ])</f>
        <v>0</v>
      </c>
      <c r="L1257" s="164">
        <f>-SUMIF(TArticle[تاریخ],TDays[[#This Row],[تاریخ]],TArticle[پرداخت بدهی])</f>
        <v>0</v>
      </c>
      <c r="M1257" s="164">
        <f>SUMIF(TArticle[تاریخ],TDays[[#This Row],[تاریخ]],TArticle[افزایش بدهی])</f>
        <v>0</v>
      </c>
      <c r="N1257" s="164">
        <f>-SUMIF(TArticle[تاریخ],TDays[[#This Row],[تاریخ]],TArticle[افزایش سرمایه])</f>
        <v>0</v>
      </c>
      <c r="O1257" s="164">
        <f>SUMIF(TArticle[تاریخ],TDays[[#This Row],[تاریخ]],TArticle[تعداد تراکنش انجام شده])</f>
        <v>0</v>
      </c>
      <c r="P1257" s="164">
        <f>INT(((TDays[[#This Row],[ماه]]-1)*31+TDays[[#This Row],[روز]]+1)/7)+1</f>
        <v>24</v>
      </c>
      <c r="Q1257" s="164">
        <f>SUMIF(TArticle[تاریخ],TDays[[#This Row],[تاریخ]],TArticle[تراکنش برنامه ریزی شده])</f>
        <v>0</v>
      </c>
    </row>
    <row r="1258" spans="1:17" x14ac:dyDescent="0.25">
      <c r="A1258" s="3" t="s">
        <v>1845</v>
      </c>
      <c r="B1258" s="164" t="str">
        <f>RIGHT(TDays[[#This Row],[تاریخ]],2)</f>
        <v>06</v>
      </c>
      <c r="C1258" s="164" t="str">
        <f>RIGHT(LEFT(TDays[[#This Row],[تاریخ]],7),2)</f>
        <v>06</v>
      </c>
      <c r="D1258" s="164" t="str">
        <f>LEFT(TDays[[#This Row],[تاریخ]],4)</f>
        <v>1404</v>
      </c>
      <c r="E1258" s="164" t="str">
        <f>LEFT(TDays[[#This Row],[تاریخ]],7)</f>
        <v>1404-06</v>
      </c>
      <c r="F1258">
        <v>5</v>
      </c>
      <c r="G1258" s="165" t="str">
        <f>VLOOKUP(TDays[[#This Row],[کد روز هفته]],TDaysOfTheWeek[],2,FALSE)</f>
        <v>پنجشنبه</v>
      </c>
      <c r="H1258" s="165">
        <f>IFERROR(IF(E1257&lt;&gt;E1258,1,INT(H1257)+IF(TDays[[#This Row],[کد روز هفته]]=0,1,0)),1)</f>
        <v>1</v>
      </c>
      <c r="I1258" s="164">
        <f>-SUMIF(TArticle[تاریخ],TDays[[#This Row],[تاریخ]],TArticle[هزینه])</f>
        <v>0</v>
      </c>
      <c r="J1258" s="164">
        <f>SUMIF(TArticle[تاریخ],TDays[[#This Row],[تاریخ]],TArticle[درآمد تتا])</f>
        <v>0</v>
      </c>
      <c r="K1258" s="164">
        <f>SUMIF(TArticle[تاریخ],TDays[[#This Row],[تاریخ]],TArticle[اسنپ])</f>
        <v>0</v>
      </c>
      <c r="L1258" s="164">
        <f>-SUMIF(TArticle[تاریخ],TDays[[#This Row],[تاریخ]],TArticle[پرداخت بدهی])</f>
        <v>0</v>
      </c>
      <c r="M1258" s="164">
        <f>SUMIF(TArticle[تاریخ],TDays[[#This Row],[تاریخ]],TArticle[افزایش بدهی])</f>
        <v>0</v>
      </c>
      <c r="N1258" s="164">
        <f>-SUMIF(TArticle[تاریخ],TDays[[#This Row],[تاریخ]],TArticle[افزایش سرمایه])</f>
        <v>0</v>
      </c>
      <c r="O1258" s="164">
        <f>SUMIF(TArticle[تاریخ],TDays[[#This Row],[تاریخ]],TArticle[تعداد تراکنش انجام شده])</f>
        <v>0</v>
      </c>
      <c r="P1258" s="164">
        <f>INT(((TDays[[#This Row],[ماه]]-1)*31+TDays[[#This Row],[روز]]+1)/7)+1</f>
        <v>24</v>
      </c>
      <c r="Q1258" s="164">
        <f>SUMIF(TArticle[تاریخ],TDays[[#This Row],[تاریخ]],TArticle[تراکنش برنامه ریزی شده])</f>
        <v>0</v>
      </c>
    </row>
    <row r="1259" spans="1:17" x14ac:dyDescent="0.25">
      <c r="A1259" s="3" t="s">
        <v>1846</v>
      </c>
      <c r="B1259" s="164" t="str">
        <f>RIGHT(TDays[[#This Row],[تاریخ]],2)</f>
        <v>07</v>
      </c>
      <c r="C1259" s="164" t="str">
        <f>RIGHT(LEFT(TDays[[#This Row],[تاریخ]],7),2)</f>
        <v>06</v>
      </c>
      <c r="D1259" s="164" t="str">
        <f>LEFT(TDays[[#This Row],[تاریخ]],4)</f>
        <v>1404</v>
      </c>
      <c r="E1259" s="164" t="str">
        <f>LEFT(TDays[[#This Row],[تاریخ]],7)</f>
        <v>1404-06</v>
      </c>
      <c r="F1259">
        <v>6</v>
      </c>
      <c r="G1259" s="165" t="str">
        <f>VLOOKUP(TDays[[#This Row],[کد روز هفته]],TDaysOfTheWeek[],2,FALSE)</f>
        <v>جمعه</v>
      </c>
      <c r="H1259" s="165">
        <f>IFERROR(IF(E1258&lt;&gt;E1259,1,INT(H1258)+IF(TDays[[#This Row],[کد روز هفته]]=0,1,0)),1)</f>
        <v>1</v>
      </c>
      <c r="I1259" s="164">
        <f>-SUMIF(TArticle[تاریخ],TDays[[#This Row],[تاریخ]],TArticle[هزینه])</f>
        <v>0</v>
      </c>
      <c r="J1259" s="164">
        <f>SUMIF(TArticle[تاریخ],TDays[[#This Row],[تاریخ]],TArticle[درآمد تتا])</f>
        <v>0</v>
      </c>
      <c r="K1259" s="164">
        <f>SUMIF(TArticle[تاریخ],TDays[[#This Row],[تاریخ]],TArticle[اسنپ])</f>
        <v>0</v>
      </c>
      <c r="L1259" s="164">
        <f>-SUMIF(TArticle[تاریخ],TDays[[#This Row],[تاریخ]],TArticle[پرداخت بدهی])</f>
        <v>0</v>
      </c>
      <c r="M1259" s="164">
        <f>SUMIF(TArticle[تاریخ],TDays[[#This Row],[تاریخ]],TArticle[افزایش بدهی])</f>
        <v>0</v>
      </c>
      <c r="N1259" s="164">
        <f>-SUMIF(TArticle[تاریخ],TDays[[#This Row],[تاریخ]],TArticle[افزایش سرمایه])</f>
        <v>0</v>
      </c>
      <c r="O1259" s="164">
        <f>SUMIF(TArticle[تاریخ],TDays[[#This Row],[تاریخ]],TArticle[تعداد تراکنش انجام شده])</f>
        <v>0</v>
      </c>
      <c r="P1259" s="164">
        <f>INT(((TDays[[#This Row],[ماه]]-1)*31+TDays[[#This Row],[روز]]+1)/7)+1</f>
        <v>24</v>
      </c>
      <c r="Q1259" s="164">
        <f>SUMIF(TArticle[تاریخ],TDays[[#This Row],[تاریخ]],TArticle[تراکنش برنامه ریزی شده])</f>
        <v>0</v>
      </c>
    </row>
    <row r="1260" spans="1:17" x14ac:dyDescent="0.25">
      <c r="A1260" s="3" t="s">
        <v>1847</v>
      </c>
      <c r="B1260" s="164" t="str">
        <f>RIGHT(TDays[[#This Row],[تاریخ]],2)</f>
        <v>08</v>
      </c>
      <c r="C1260" s="164" t="str">
        <f>RIGHT(LEFT(TDays[[#This Row],[تاریخ]],7),2)</f>
        <v>06</v>
      </c>
      <c r="D1260" s="164" t="str">
        <f>LEFT(TDays[[#This Row],[تاریخ]],4)</f>
        <v>1404</v>
      </c>
      <c r="E1260" s="164" t="str">
        <f>LEFT(TDays[[#This Row],[تاریخ]],7)</f>
        <v>1404-06</v>
      </c>
      <c r="F1260">
        <v>0</v>
      </c>
      <c r="G1260" s="165" t="str">
        <f>VLOOKUP(TDays[[#This Row],[کد روز هفته]],TDaysOfTheWeek[],2,FALSE)</f>
        <v>شنبه</v>
      </c>
      <c r="H1260" s="165">
        <f>IFERROR(IF(E1259&lt;&gt;E1260,1,INT(H1259)+IF(TDays[[#This Row],[کد روز هفته]]=0,1,0)),1)</f>
        <v>2</v>
      </c>
      <c r="I1260" s="164">
        <f>-SUMIF(TArticle[تاریخ],TDays[[#This Row],[تاریخ]],TArticle[هزینه])</f>
        <v>0</v>
      </c>
      <c r="J1260" s="164">
        <f>SUMIF(TArticle[تاریخ],TDays[[#This Row],[تاریخ]],TArticle[درآمد تتا])</f>
        <v>0</v>
      </c>
      <c r="K1260" s="164">
        <f>SUMIF(TArticle[تاریخ],TDays[[#This Row],[تاریخ]],TArticle[اسنپ])</f>
        <v>0</v>
      </c>
      <c r="L1260" s="164">
        <f>-SUMIF(TArticle[تاریخ],TDays[[#This Row],[تاریخ]],TArticle[پرداخت بدهی])</f>
        <v>0</v>
      </c>
      <c r="M1260" s="164">
        <f>SUMIF(TArticle[تاریخ],TDays[[#This Row],[تاریخ]],TArticle[افزایش بدهی])</f>
        <v>0</v>
      </c>
      <c r="N1260" s="164">
        <f>-SUMIF(TArticle[تاریخ],TDays[[#This Row],[تاریخ]],TArticle[افزایش سرمایه])</f>
        <v>0</v>
      </c>
      <c r="O1260" s="164">
        <f>SUMIF(TArticle[تاریخ],TDays[[#This Row],[تاریخ]],TArticle[تعداد تراکنش انجام شده])</f>
        <v>0</v>
      </c>
      <c r="P1260" s="164">
        <f>INT(((TDays[[#This Row],[ماه]]-1)*31+TDays[[#This Row],[روز]]+1)/7)+1</f>
        <v>24</v>
      </c>
      <c r="Q1260" s="164">
        <f>SUMIF(TArticle[تاریخ],TDays[[#This Row],[تاریخ]],TArticle[تراکنش برنامه ریزی شده])</f>
        <v>0</v>
      </c>
    </row>
    <row r="1261" spans="1:17" x14ac:dyDescent="0.25">
      <c r="A1261" s="3" t="s">
        <v>1848</v>
      </c>
      <c r="B1261" s="164" t="str">
        <f>RIGHT(TDays[[#This Row],[تاریخ]],2)</f>
        <v>09</v>
      </c>
      <c r="C1261" s="164" t="str">
        <f>RIGHT(LEFT(TDays[[#This Row],[تاریخ]],7),2)</f>
        <v>06</v>
      </c>
      <c r="D1261" s="164" t="str">
        <f>LEFT(TDays[[#This Row],[تاریخ]],4)</f>
        <v>1404</v>
      </c>
      <c r="E1261" s="164" t="str">
        <f>LEFT(TDays[[#This Row],[تاریخ]],7)</f>
        <v>1404-06</v>
      </c>
      <c r="F1261">
        <v>1</v>
      </c>
      <c r="G1261" s="165" t="str">
        <f>VLOOKUP(TDays[[#This Row],[کد روز هفته]],TDaysOfTheWeek[],2,FALSE)</f>
        <v>یکشنبه</v>
      </c>
      <c r="H1261" s="165">
        <f>IFERROR(IF(E1260&lt;&gt;E1261,1,INT(H1260)+IF(TDays[[#This Row],[کد روز هفته]]=0,1,0)),1)</f>
        <v>2</v>
      </c>
      <c r="I1261" s="164">
        <f>-SUMIF(TArticle[تاریخ],TDays[[#This Row],[تاریخ]],TArticle[هزینه])</f>
        <v>0</v>
      </c>
      <c r="J1261" s="164">
        <f>SUMIF(TArticle[تاریخ],TDays[[#This Row],[تاریخ]],TArticle[درآمد تتا])</f>
        <v>0</v>
      </c>
      <c r="K1261" s="164">
        <f>SUMIF(TArticle[تاریخ],TDays[[#This Row],[تاریخ]],TArticle[اسنپ])</f>
        <v>0</v>
      </c>
      <c r="L1261" s="164">
        <f>-SUMIF(TArticle[تاریخ],TDays[[#This Row],[تاریخ]],TArticle[پرداخت بدهی])</f>
        <v>0</v>
      </c>
      <c r="M1261" s="164">
        <f>SUMIF(TArticle[تاریخ],TDays[[#This Row],[تاریخ]],TArticle[افزایش بدهی])</f>
        <v>0</v>
      </c>
      <c r="N1261" s="164">
        <f>-SUMIF(TArticle[تاریخ],TDays[[#This Row],[تاریخ]],TArticle[افزایش سرمایه])</f>
        <v>0</v>
      </c>
      <c r="O1261" s="164">
        <f>SUMIF(TArticle[تاریخ],TDays[[#This Row],[تاریخ]],TArticle[تعداد تراکنش انجام شده])</f>
        <v>0</v>
      </c>
      <c r="P1261" s="164">
        <f>INT(((TDays[[#This Row],[ماه]]-1)*31+TDays[[#This Row],[روز]]+1)/7)+1</f>
        <v>24</v>
      </c>
      <c r="Q1261" s="164">
        <f>SUMIF(TArticle[تاریخ],TDays[[#This Row],[تاریخ]],TArticle[تراکنش برنامه ریزی شده])</f>
        <v>1</v>
      </c>
    </row>
    <row r="1262" spans="1:17" x14ac:dyDescent="0.25">
      <c r="A1262" s="3" t="s">
        <v>1849</v>
      </c>
      <c r="B1262" s="164" t="str">
        <f>RIGHT(TDays[[#This Row],[تاریخ]],2)</f>
        <v>10</v>
      </c>
      <c r="C1262" s="164" t="str">
        <f>RIGHT(LEFT(TDays[[#This Row],[تاریخ]],7),2)</f>
        <v>06</v>
      </c>
      <c r="D1262" s="164" t="str">
        <f>LEFT(TDays[[#This Row],[تاریخ]],4)</f>
        <v>1404</v>
      </c>
      <c r="E1262" s="164" t="str">
        <f>LEFT(TDays[[#This Row],[تاریخ]],7)</f>
        <v>1404-06</v>
      </c>
      <c r="F1262">
        <v>2</v>
      </c>
      <c r="G1262" s="165" t="str">
        <f>VLOOKUP(TDays[[#This Row],[کد روز هفته]],TDaysOfTheWeek[],2,FALSE)</f>
        <v>دوشنبه</v>
      </c>
      <c r="H1262" s="165">
        <f>IFERROR(IF(E1261&lt;&gt;E1262,1,INT(H1261)+IF(TDays[[#This Row],[کد روز هفته]]=0,1,0)),1)</f>
        <v>2</v>
      </c>
      <c r="I1262" s="164">
        <f>-SUMIF(TArticle[تاریخ],TDays[[#This Row],[تاریخ]],TArticle[هزینه])</f>
        <v>0</v>
      </c>
      <c r="J1262" s="164">
        <f>SUMIF(TArticle[تاریخ],TDays[[#This Row],[تاریخ]],TArticle[درآمد تتا])</f>
        <v>0</v>
      </c>
      <c r="K1262" s="164">
        <f>SUMIF(TArticle[تاریخ],TDays[[#This Row],[تاریخ]],TArticle[اسنپ])</f>
        <v>0</v>
      </c>
      <c r="L1262" s="164">
        <f>-SUMIF(TArticle[تاریخ],TDays[[#This Row],[تاریخ]],TArticle[پرداخت بدهی])</f>
        <v>0</v>
      </c>
      <c r="M1262" s="164">
        <f>SUMIF(TArticle[تاریخ],TDays[[#This Row],[تاریخ]],TArticle[افزایش بدهی])</f>
        <v>0</v>
      </c>
      <c r="N1262" s="164">
        <f>-SUMIF(TArticle[تاریخ],TDays[[#This Row],[تاریخ]],TArticle[افزایش سرمایه])</f>
        <v>0</v>
      </c>
      <c r="O1262" s="164">
        <f>SUMIF(TArticle[تاریخ],TDays[[#This Row],[تاریخ]],TArticle[تعداد تراکنش انجام شده])</f>
        <v>0</v>
      </c>
      <c r="P1262" s="164">
        <f>INT(((TDays[[#This Row],[ماه]]-1)*31+TDays[[#This Row],[روز]]+1)/7)+1</f>
        <v>24</v>
      </c>
      <c r="Q1262" s="164">
        <f>SUMIF(TArticle[تاریخ],TDays[[#This Row],[تاریخ]],TArticle[تراکنش برنامه ریزی شده])</f>
        <v>0</v>
      </c>
    </row>
    <row r="1263" spans="1:17" x14ac:dyDescent="0.25">
      <c r="A1263" s="3" t="s">
        <v>1850</v>
      </c>
      <c r="B1263" s="164" t="str">
        <f>RIGHT(TDays[[#This Row],[تاریخ]],2)</f>
        <v>11</v>
      </c>
      <c r="C1263" s="164" t="str">
        <f>RIGHT(LEFT(TDays[[#This Row],[تاریخ]],7),2)</f>
        <v>06</v>
      </c>
      <c r="D1263" s="164" t="str">
        <f>LEFT(TDays[[#This Row],[تاریخ]],4)</f>
        <v>1404</v>
      </c>
      <c r="E1263" s="164" t="str">
        <f>LEFT(TDays[[#This Row],[تاریخ]],7)</f>
        <v>1404-06</v>
      </c>
      <c r="F1263">
        <v>3</v>
      </c>
      <c r="G1263" s="165" t="str">
        <f>VLOOKUP(TDays[[#This Row],[کد روز هفته]],TDaysOfTheWeek[],2,FALSE)</f>
        <v>سه شنبه</v>
      </c>
      <c r="H1263" s="165">
        <f>IFERROR(IF(E1262&lt;&gt;E1263,1,INT(H1262)+IF(TDays[[#This Row],[کد روز هفته]]=0,1,0)),1)</f>
        <v>2</v>
      </c>
      <c r="I1263" s="164">
        <f>-SUMIF(TArticle[تاریخ],TDays[[#This Row],[تاریخ]],TArticle[هزینه])</f>
        <v>0</v>
      </c>
      <c r="J1263" s="164">
        <f>SUMIF(TArticle[تاریخ],TDays[[#This Row],[تاریخ]],TArticle[درآمد تتا])</f>
        <v>0</v>
      </c>
      <c r="K1263" s="164">
        <f>SUMIF(TArticle[تاریخ],TDays[[#This Row],[تاریخ]],TArticle[اسنپ])</f>
        <v>0</v>
      </c>
      <c r="L1263" s="164">
        <f>-SUMIF(TArticle[تاریخ],TDays[[#This Row],[تاریخ]],TArticle[پرداخت بدهی])</f>
        <v>0</v>
      </c>
      <c r="M1263" s="164">
        <f>SUMIF(TArticle[تاریخ],TDays[[#This Row],[تاریخ]],TArticle[افزایش بدهی])</f>
        <v>0</v>
      </c>
      <c r="N1263" s="164">
        <f>-SUMIF(TArticle[تاریخ],TDays[[#This Row],[تاریخ]],TArticle[افزایش سرمایه])</f>
        <v>0</v>
      </c>
      <c r="O1263" s="164">
        <f>SUMIF(TArticle[تاریخ],TDays[[#This Row],[تاریخ]],TArticle[تعداد تراکنش انجام شده])</f>
        <v>0</v>
      </c>
      <c r="P1263" s="164">
        <f>INT(((TDays[[#This Row],[ماه]]-1)*31+TDays[[#This Row],[روز]]+1)/7)+1</f>
        <v>24</v>
      </c>
      <c r="Q1263" s="164">
        <f>SUMIF(TArticle[تاریخ],TDays[[#This Row],[تاریخ]],TArticle[تراکنش برنامه ریزی شده])</f>
        <v>0</v>
      </c>
    </row>
    <row r="1264" spans="1:17" x14ac:dyDescent="0.25">
      <c r="A1264" s="3" t="s">
        <v>1851</v>
      </c>
      <c r="B1264" s="164" t="str">
        <f>RIGHT(TDays[[#This Row],[تاریخ]],2)</f>
        <v>12</v>
      </c>
      <c r="C1264" s="164" t="str">
        <f>RIGHT(LEFT(TDays[[#This Row],[تاریخ]],7),2)</f>
        <v>06</v>
      </c>
      <c r="D1264" s="164" t="str">
        <f>LEFT(TDays[[#This Row],[تاریخ]],4)</f>
        <v>1404</v>
      </c>
      <c r="E1264" s="164" t="str">
        <f>LEFT(TDays[[#This Row],[تاریخ]],7)</f>
        <v>1404-06</v>
      </c>
      <c r="F1264">
        <v>4</v>
      </c>
      <c r="G1264" s="165" t="str">
        <f>VLOOKUP(TDays[[#This Row],[کد روز هفته]],TDaysOfTheWeek[],2,FALSE)</f>
        <v>چهارشنبه</v>
      </c>
      <c r="H1264" s="165">
        <f>IFERROR(IF(E1263&lt;&gt;E1264,1,INT(H1263)+IF(TDays[[#This Row],[کد روز هفته]]=0,1,0)),1)</f>
        <v>2</v>
      </c>
      <c r="I1264" s="164">
        <f>-SUMIF(TArticle[تاریخ],TDays[[#This Row],[تاریخ]],TArticle[هزینه])</f>
        <v>0</v>
      </c>
      <c r="J1264" s="164">
        <f>SUMIF(TArticle[تاریخ],TDays[[#This Row],[تاریخ]],TArticle[درآمد تتا])</f>
        <v>0</v>
      </c>
      <c r="K1264" s="164">
        <f>SUMIF(TArticle[تاریخ],TDays[[#This Row],[تاریخ]],TArticle[اسنپ])</f>
        <v>0</v>
      </c>
      <c r="L1264" s="164">
        <f>-SUMIF(TArticle[تاریخ],TDays[[#This Row],[تاریخ]],TArticle[پرداخت بدهی])</f>
        <v>0</v>
      </c>
      <c r="M1264" s="164">
        <f>SUMIF(TArticle[تاریخ],TDays[[#This Row],[تاریخ]],TArticle[افزایش بدهی])</f>
        <v>0</v>
      </c>
      <c r="N1264" s="164">
        <f>-SUMIF(TArticle[تاریخ],TDays[[#This Row],[تاریخ]],TArticle[افزایش سرمایه])</f>
        <v>0</v>
      </c>
      <c r="O1264" s="164">
        <f>SUMIF(TArticle[تاریخ],TDays[[#This Row],[تاریخ]],TArticle[تعداد تراکنش انجام شده])</f>
        <v>0</v>
      </c>
      <c r="P1264" s="164">
        <f>INT(((TDays[[#This Row],[ماه]]-1)*31+TDays[[#This Row],[روز]]+1)/7)+1</f>
        <v>25</v>
      </c>
      <c r="Q1264" s="164">
        <f>SUMIF(TArticle[تاریخ],TDays[[#This Row],[تاریخ]],TArticle[تراکنش برنامه ریزی شده])</f>
        <v>0</v>
      </c>
    </row>
    <row r="1265" spans="1:17" x14ac:dyDescent="0.25">
      <c r="A1265" s="3" t="s">
        <v>1852</v>
      </c>
      <c r="B1265" s="164" t="str">
        <f>RIGHT(TDays[[#This Row],[تاریخ]],2)</f>
        <v>13</v>
      </c>
      <c r="C1265" s="164" t="str">
        <f>RIGHT(LEFT(TDays[[#This Row],[تاریخ]],7),2)</f>
        <v>06</v>
      </c>
      <c r="D1265" s="164" t="str">
        <f>LEFT(TDays[[#This Row],[تاریخ]],4)</f>
        <v>1404</v>
      </c>
      <c r="E1265" s="164" t="str">
        <f>LEFT(TDays[[#This Row],[تاریخ]],7)</f>
        <v>1404-06</v>
      </c>
      <c r="F1265">
        <v>5</v>
      </c>
      <c r="G1265" s="165" t="str">
        <f>VLOOKUP(TDays[[#This Row],[کد روز هفته]],TDaysOfTheWeek[],2,FALSE)</f>
        <v>پنجشنبه</v>
      </c>
      <c r="H1265" s="165">
        <f>IFERROR(IF(E1264&lt;&gt;E1265,1,INT(H1264)+IF(TDays[[#This Row],[کد روز هفته]]=0,1,0)),1)</f>
        <v>2</v>
      </c>
      <c r="I1265" s="164">
        <f>-SUMIF(TArticle[تاریخ],TDays[[#This Row],[تاریخ]],TArticle[هزینه])</f>
        <v>0</v>
      </c>
      <c r="J1265" s="164">
        <f>SUMIF(TArticle[تاریخ],TDays[[#This Row],[تاریخ]],TArticle[درآمد تتا])</f>
        <v>0</v>
      </c>
      <c r="K1265" s="164">
        <f>SUMIF(TArticle[تاریخ],TDays[[#This Row],[تاریخ]],TArticle[اسنپ])</f>
        <v>0</v>
      </c>
      <c r="L1265" s="164">
        <f>-SUMIF(TArticle[تاریخ],TDays[[#This Row],[تاریخ]],TArticle[پرداخت بدهی])</f>
        <v>0</v>
      </c>
      <c r="M1265" s="164">
        <f>SUMIF(TArticle[تاریخ],TDays[[#This Row],[تاریخ]],TArticle[افزایش بدهی])</f>
        <v>0</v>
      </c>
      <c r="N1265" s="164">
        <f>-SUMIF(TArticle[تاریخ],TDays[[#This Row],[تاریخ]],TArticle[افزایش سرمایه])</f>
        <v>0</v>
      </c>
      <c r="O1265" s="164">
        <f>SUMIF(TArticle[تاریخ],TDays[[#This Row],[تاریخ]],TArticle[تعداد تراکنش انجام شده])</f>
        <v>0</v>
      </c>
      <c r="P1265" s="164">
        <f>INT(((TDays[[#This Row],[ماه]]-1)*31+TDays[[#This Row],[روز]]+1)/7)+1</f>
        <v>25</v>
      </c>
      <c r="Q1265" s="164">
        <f>SUMIF(TArticle[تاریخ],TDays[[#This Row],[تاریخ]],TArticle[تراکنش برنامه ریزی شده])</f>
        <v>0</v>
      </c>
    </row>
    <row r="1266" spans="1:17" x14ac:dyDescent="0.25">
      <c r="A1266" s="3" t="s">
        <v>1853</v>
      </c>
      <c r="B1266" s="164" t="str">
        <f>RIGHT(TDays[[#This Row],[تاریخ]],2)</f>
        <v>14</v>
      </c>
      <c r="C1266" s="164" t="str">
        <f>RIGHT(LEFT(TDays[[#This Row],[تاریخ]],7),2)</f>
        <v>06</v>
      </c>
      <c r="D1266" s="164" t="str">
        <f>LEFT(TDays[[#This Row],[تاریخ]],4)</f>
        <v>1404</v>
      </c>
      <c r="E1266" s="164" t="str">
        <f>LEFT(TDays[[#This Row],[تاریخ]],7)</f>
        <v>1404-06</v>
      </c>
      <c r="F1266">
        <v>6</v>
      </c>
      <c r="G1266" s="165" t="str">
        <f>VLOOKUP(TDays[[#This Row],[کد روز هفته]],TDaysOfTheWeek[],2,FALSE)</f>
        <v>جمعه</v>
      </c>
      <c r="H1266" s="165">
        <f>IFERROR(IF(E1265&lt;&gt;E1266,1,INT(H1265)+IF(TDays[[#This Row],[کد روز هفته]]=0,1,0)),1)</f>
        <v>2</v>
      </c>
      <c r="I1266" s="164">
        <f>-SUMIF(TArticle[تاریخ],TDays[[#This Row],[تاریخ]],TArticle[هزینه])</f>
        <v>0</v>
      </c>
      <c r="J1266" s="164">
        <f>SUMIF(TArticle[تاریخ],TDays[[#This Row],[تاریخ]],TArticle[درآمد تتا])</f>
        <v>0</v>
      </c>
      <c r="K1266" s="164">
        <f>SUMIF(TArticle[تاریخ],TDays[[#This Row],[تاریخ]],TArticle[اسنپ])</f>
        <v>0</v>
      </c>
      <c r="L1266" s="164">
        <f>-SUMIF(TArticle[تاریخ],TDays[[#This Row],[تاریخ]],TArticle[پرداخت بدهی])</f>
        <v>0</v>
      </c>
      <c r="M1266" s="164">
        <f>SUMIF(TArticle[تاریخ],TDays[[#This Row],[تاریخ]],TArticle[افزایش بدهی])</f>
        <v>0</v>
      </c>
      <c r="N1266" s="164">
        <f>-SUMIF(TArticle[تاریخ],TDays[[#This Row],[تاریخ]],TArticle[افزایش سرمایه])</f>
        <v>0</v>
      </c>
      <c r="O1266" s="164">
        <f>SUMIF(TArticle[تاریخ],TDays[[#This Row],[تاریخ]],TArticle[تعداد تراکنش انجام شده])</f>
        <v>0</v>
      </c>
      <c r="P1266" s="164">
        <f>INT(((TDays[[#This Row],[ماه]]-1)*31+TDays[[#This Row],[روز]]+1)/7)+1</f>
        <v>25</v>
      </c>
      <c r="Q1266" s="164">
        <f>SUMIF(TArticle[تاریخ],TDays[[#This Row],[تاریخ]],TArticle[تراکنش برنامه ریزی شده])</f>
        <v>0</v>
      </c>
    </row>
    <row r="1267" spans="1:17" x14ac:dyDescent="0.25">
      <c r="A1267" s="3" t="s">
        <v>1854</v>
      </c>
      <c r="B1267" s="164" t="str">
        <f>RIGHT(TDays[[#This Row],[تاریخ]],2)</f>
        <v>15</v>
      </c>
      <c r="C1267" s="164" t="str">
        <f>RIGHT(LEFT(TDays[[#This Row],[تاریخ]],7),2)</f>
        <v>06</v>
      </c>
      <c r="D1267" s="164" t="str">
        <f>LEFT(TDays[[#This Row],[تاریخ]],4)</f>
        <v>1404</v>
      </c>
      <c r="E1267" s="164" t="str">
        <f>LEFT(TDays[[#This Row],[تاریخ]],7)</f>
        <v>1404-06</v>
      </c>
      <c r="F1267">
        <v>0</v>
      </c>
      <c r="G1267" s="165" t="str">
        <f>VLOOKUP(TDays[[#This Row],[کد روز هفته]],TDaysOfTheWeek[],2,FALSE)</f>
        <v>شنبه</v>
      </c>
      <c r="H1267" s="165">
        <f>IFERROR(IF(E1266&lt;&gt;E1267,1,INT(H1266)+IF(TDays[[#This Row],[کد روز هفته]]=0,1,0)),1)</f>
        <v>3</v>
      </c>
      <c r="I1267" s="164">
        <f>-SUMIF(TArticle[تاریخ],TDays[[#This Row],[تاریخ]],TArticle[هزینه])</f>
        <v>0</v>
      </c>
      <c r="J1267" s="164">
        <f>SUMIF(TArticle[تاریخ],TDays[[#This Row],[تاریخ]],TArticle[درآمد تتا])</f>
        <v>0</v>
      </c>
      <c r="K1267" s="164">
        <f>SUMIF(TArticle[تاریخ],TDays[[#This Row],[تاریخ]],TArticle[اسنپ])</f>
        <v>0</v>
      </c>
      <c r="L1267" s="164">
        <f>-SUMIF(TArticle[تاریخ],TDays[[#This Row],[تاریخ]],TArticle[پرداخت بدهی])</f>
        <v>0</v>
      </c>
      <c r="M1267" s="164">
        <f>SUMIF(TArticle[تاریخ],TDays[[#This Row],[تاریخ]],TArticle[افزایش بدهی])</f>
        <v>0</v>
      </c>
      <c r="N1267" s="164">
        <f>-SUMIF(TArticle[تاریخ],TDays[[#This Row],[تاریخ]],TArticle[افزایش سرمایه])</f>
        <v>0</v>
      </c>
      <c r="O1267" s="164">
        <f>SUMIF(TArticle[تاریخ],TDays[[#This Row],[تاریخ]],TArticle[تعداد تراکنش انجام شده])</f>
        <v>0</v>
      </c>
      <c r="P1267" s="164">
        <f>INT(((TDays[[#This Row],[ماه]]-1)*31+TDays[[#This Row],[روز]]+1)/7)+1</f>
        <v>25</v>
      </c>
      <c r="Q1267" s="164">
        <f>SUMIF(TArticle[تاریخ],TDays[[#This Row],[تاریخ]],TArticle[تراکنش برنامه ریزی شده])</f>
        <v>0</v>
      </c>
    </row>
    <row r="1268" spans="1:17" x14ac:dyDescent="0.25">
      <c r="A1268" s="3" t="s">
        <v>1855</v>
      </c>
      <c r="B1268" s="164" t="str">
        <f>RIGHT(TDays[[#This Row],[تاریخ]],2)</f>
        <v>16</v>
      </c>
      <c r="C1268" s="164" t="str">
        <f>RIGHT(LEFT(TDays[[#This Row],[تاریخ]],7),2)</f>
        <v>06</v>
      </c>
      <c r="D1268" s="164" t="str">
        <f>LEFT(TDays[[#This Row],[تاریخ]],4)</f>
        <v>1404</v>
      </c>
      <c r="E1268" s="164" t="str">
        <f>LEFT(TDays[[#This Row],[تاریخ]],7)</f>
        <v>1404-06</v>
      </c>
      <c r="F1268">
        <v>1</v>
      </c>
      <c r="G1268" s="165" t="str">
        <f>VLOOKUP(TDays[[#This Row],[کد روز هفته]],TDaysOfTheWeek[],2,FALSE)</f>
        <v>یکشنبه</v>
      </c>
      <c r="H1268" s="165">
        <f>IFERROR(IF(E1267&lt;&gt;E1268,1,INT(H1267)+IF(TDays[[#This Row],[کد روز هفته]]=0,1,0)),1)</f>
        <v>3</v>
      </c>
      <c r="I1268" s="164">
        <f>-SUMIF(TArticle[تاریخ],TDays[[#This Row],[تاریخ]],TArticle[هزینه])</f>
        <v>0</v>
      </c>
      <c r="J1268" s="164">
        <f>SUMIF(TArticle[تاریخ],TDays[[#This Row],[تاریخ]],TArticle[درآمد تتا])</f>
        <v>0</v>
      </c>
      <c r="K1268" s="164">
        <f>SUMIF(TArticle[تاریخ],TDays[[#This Row],[تاریخ]],TArticle[اسنپ])</f>
        <v>0</v>
      </c>
      <c r="L1268" s="164">
        <f>-SUMIF(TArticle[تاریخ],TDays[[#This Row],[تاریخ]],TArticle[پرداخت بدهی])</f>
        <v>0</v>
      </c>
      <c r="M1268" s="164">
        <f>SUMIF(TArticle[تاریخ],TDays[[#This Row],[تاریخ]],TArticle[افزایش بدهی])</f>
        <v>0</v>
      </c>
      <c r="N1268" s="164">
        <f>-SUMIF(TArticle[تاریخ],TDays[[#This Row],[تاریخ]],TArticle[افزایش سرمایه])</f>
        <v>0</v>
      </c>
      <c r="O1268" s="164">
        <f>SUMIF(TArticle[تاریخ],TDays[[#This Row],[تاریخ]],TArticle[تعداد تراکنش انجام شده])</f>
        <v>0</v>
      </c>
      <c r="P1268" s="164">
        <f>INT(((TDays[[#This Row],[ماه]]-1)*31+TDays[[#This Row],[روز]]+1)/7)+1</f>
        <v>25</v>
      </c>
      <c r="Q1268" s="164">
        <f>SUMIF(TArticle[تاریخ],TDays[[#This Row],[تاریخ]],TArticle[تراکنش برنامه ریزی شده])</f>
        <v>0</v>
      </c>
    </row>
    <row r="1269" spans="1:17" x14ac:dyDescent="0.25">
      <c r="A1269" s="3" t="s">
        <v>1856</v>
      </c>
      <c r="B1269" s="164" t="str">
        <f>RIGHT(TDays[[#This Row],[تاریخ]],2)</f>
        <v>17</v>
      </c>
      <c r="C1269" s="164" t="str">
        <f>RIGHT(LEFT(TDays[[#This Row],[تاریخ]],7),2)</f>
        <v>06</v>
      </c>
      <c r="D1269" s="164" t="str">
        <f>LEFT(TDays[[#This Row],[تاریخ]],4)</f>
        <v>1404</v>
      </c>
      <c r="E1269" s="164" t="str">
        <f>LEFT(TDays[[#This Row],[تاریخ]],7)</f>
        <v>1404-06</v>
      </c>
      <c r="F1269">
        <v>2</v>
      </c>
      <c r="G1269" s="165" t="str">
        <f>VLOOKUP(TDays[[#This Row],[کد روز هفته]],TDaysOfTheWeek[],2,FALSE)</f>
        <v>دوشنبه</v>
      </c>
      <c r="H1269" s="165">
        <f>IFERROR(IF(E1268&lt;&gt;E1269,1,INT(H1268)+IF(TDays[[#This Row],[کد روز هفته]]=0,1,0)),1)</f>
        <v>3</v>
      </c>
      <c r="I1269" s="164">
        <f>-SUMIF(TArticle[تاریخ],TDays[[#This Row],[تاریخ]],TArticle[هزینه])</f>
        <v>0</v>
      </c>
      <c r="J1269" s="164">
        <f>SUMIF(TArticle[تاریخ],TDays[[#This Row],[تاریخ]],TArticle[درآمد تتا])</f>
        <v>0</v>
      </c>
      <c r="K1269" s="164">
        <f>SUMIF(TArticle[تاریخ],TDays[[#This Row],[تاریخ]],TArticle[اسنپ])</f>
        <v>0</v>
      </c>
      <c r="L1269" s="164">
        <f>-SUMIF(TArticle[تاریخ],TDays[[#This Row],[تاریخ]],TArticle[پرداخت بدهی])</f>
        <v>0</v>
      </c>
      <c r="M1269" s="164">
        <f>SUMIF(TArticle[تاریخ],TDays[[#This Row],[تاریخ]],TArticle[افزایش بدهی])</f>
        <v>0</v>
      </c>
      <c r="N1269" s="164">
        <f>-SUMIF(TArticle[تاریخ],TDays[[#This Row],[تاریخ]],TArticle[افزایش سرمایه])</f>
        <v>0</v>
      </c>
      <c r="O1269" s="164">
        <f>SUMIF(TArticle[تاریخ],TDays[[#This Row],[تاریخ]],TArticle[تعداد تراکنش انجام شده])</f>
        <v>0</v>
      </c>
      <c r="P1269" s="164">
        <f>INT(((TDays[[#This Row],[ماه]]-1)*31+TDays[[#This Row],[روز]]+1)/7)+1</f>
        <v>25</v>
      </c>
      <c r="Q1269" s="164">
        <f>SUMIF(TArticle[تاریخ],TDays[[#This Row],[تاریخ]],TArticle[تراکنش برنامه ریزی شده])</f>
        <v>0</v>
      </c>
    </row>
    <row r="1270" spans="1:17" x14ac:dyDescent="0.25">
      <c r="A1270" s="3" t="s">
        <v>1857</v>
      </c>
      <c r="B1270" s="164" t="str">
        <f>RIGHT(TDays[[#This Row],[تاریخ]],2)</f>
        <v>18</v>
      </c>
      <c r="C1270" s="164" t="str">
        <f>RIGHT(LEFT(TDays[[#This Row],[تاریخ]],7),2)</f>
        <v>06</v>
      </c>
      <c r="D1270" s="164" t="str">
        <f>LEFT(TDays[[#This Row],[تاریخ]],4)</f>
        <v>1404</v>
      </c>
      <c r="E1270" s="164" t="str">
        <f>LEFT(TDays[[#This Row],[تاریخ]],7)</f>
        <v>1404-06</v>
      </c>
      <c r="F1270">
        <v>3</v>
      </c>
      <c r="G1270" s="165" t="str">
        <f>VLOOKUP(TDays[[#This Row],[کد روز هفته]],TDaysOfTheWeek[],2,FALSE)</f>
        <v>سه شنبه</v>
      </c>
      <c r="H1270" s="165">
        <f>IFERROR(IF(E1269&lt;&gt;E1270,1,INT(H1269)+IF(TDays[[#This Row],[کد روز هفته]]=0,1,0)),1)</f>
        <v>3</v>
      </c>
      <c r="I1270" s="164">
        <f>-SUMIF(TArticle[تاریخ],TDays[[#This Row],[تاریخ]],TArticle[هزینه])</f>
        <v>0</v>
      </c>
      <c r="J1270" s="164">
        <f>SUMIF(TArticle[تاریخ],TDays[[#This Row],[تاریخ]],TArticle[درآمد تتا])</f>
        <v>0</v>
      </c>
      <c r="K1270" s="164">
        <f>SUMIF(TArticle[تاریخ],TDays[[#This Row],[تاریخ]],TArticle[اسنپ])</f>
        <v>0</v>
      </c>
      <c r="L1270" s="164">
        <f>-SUMIF(TArticle[تاریخ],TDays[[#This Row],[تاریخ]],TArticle[پرداخت بدهی])</f>
        <v>0</v>
      </c>
      <c r="M1270" s="164">
        <f>SUMIF(TArticle[تاریخ],TDays[[#This Row],[تاریخ]],TArticle[افزایش بدهی])</f>
        <v>0</v>
      </c>
      <c r="N1270" s="164">
        <f>-SUMIF(TArticle[تاریخ],TDays[[#This Row],[تاریخ]],TArticle[افزایش سرمایه])</f>
        <v>0</v>
      </c>
      <c r="O1270" s="164">
        <f>SUMIF(TArticle[تاریخ],TDays[[#This Row],[تاریخ]],TArticle[تعداد تراکنش انجام شده])</f>
        <v>0</v>
      </c>
      <c r="P1270" s="164">
        <f>INT(((TDays[[#This Row],[ماه]]-1)*31+TDays[[#This Row],[روز]]+1)/7)+1</f>
        <v>25</v>
      </c>
      <c r="Q1270" s="164">
        <f>SUMIF(TArticle[تاریخ],TDays[[#This Row],[تاریخ]],TArticle[تراکنش برنامه ریزی شده])</f>
        <v>0</v>
      </c>
    </row>
    <row r="1271" spans="1:17" x14ac:dyDescent="0.25">
      <c r="A1271" s="3" t="s">
        <v>1858</v>
      </c>
      <c r="B1271" s="164" t="str">
        <f>RIGHT(TDays[[#This Row],[تاریخ]],2)</f>
        <v>19</v>
      </c>
      <c r="C1271" s="164" t="str">
        <f>RIGHT(LEFT(TDays[[#This Row],[تاریخ]],7),2)</f>
        <v>06</v>
      </c>
      <c r="D1271" s="164" t="str">
        <f>LEFT(TDays[[#This Row],[تاریخ]],4)</f>
        <v>1404</v>
      </c>
      <c r="E1271" s="164" t="str">
        <f>LEFT(TDays[[#This Row],[تاریخ]],7)</f>
        <v>1404-06</v>
      </c>
      <c r="F1271">
        <v>4</v>
      </c>
      <c r="G1271" s="165" t="str">
        <f>VLOOKUP(TDays[[#This Row],[کد روز هفته]],TDaysOfTheWeek[],2,FALSE)</f>
        <v>چهارشنبه</v>
      </c>
      <c r="H1271" s="165">
        <f>IFERROR(IF(E1270&lt;&gt;E1271,1,INT(H1270)+IF(TDays[[#This Row],[کد روز هفته]]=0,1,0)),1)</f>
        <v>3</v>
      </c>
      <c r="I1271" s="164">
        <f>-SUMIF(TArticle[تاریخ],TDays[[#This Row],[تاریخ]],TArticle[هزینه])</f>
        <v>0</v>
      </c>
      <c r="J1271" s="164">
        <f>SUMIF(TArticle[تاریخ],TDays[[#This Row],[تاریخ]],TArticle[درآمد تتا])</f>
        <v>0</v>
      </c>
      <c r="K1271" s="164">
        <f>SUMIF(TArticle[تاریخ],TDays[[#This Row],[تاریخ]],TArticle[اسنپ])</f>
        <v>0</v>
      </c>
      <c r="L1271" s="164">
        <f>-SUMIF(TArticle[تاریخ],TDays[[#This Row],[تاریخ]],TArticle[پرداخت بدهی])</f>
        <v>0</v>
      </c>
      <c r="M1271" s="164">
        <f>SUMIF(TArticle[تاریخ],TDays[[#This Row],[تاریخ]],TArticle[افزایش بدهی])</f>
        <v>0</v>
      </c>
      <c r="N1271" s="164">
        <f>-SUMIF(TArticle[تاریخ],TDays[[#This Row],[تاریخ]],TArticle[افزایش سرمایه])</f>
        <v>0</v>
      </c>
      <c r="O1271" s="164">
        <f>SUMIF(TArticle[تاریخ],TDays[[#This Row],[تاریخ]],TArticle[تعداد تراکنش انجام شده])</f>
        <v>0</v>
      </c>
      <c r="P1271" s="164">
        <f>INT(((TDays[[#This Row],[ماه]]-1)*31+TDays[[#This Row],[روز]]+1)/7)+1</f>
        <v>26</v>
      </c>
      <c r="Q1271" s="164">
        <f>SUMIF(TArticle[تاریخ],TDays[[#This Row],[تاریخ]],TArticle[تراکنش برنامه ریزی شده])</f>
        <v>0</v>
      </c>
    </row>
    <row r="1272" spans="1:17" x14ac:dyDescent="0.25">
      <c r="A1272" s="3" t="s">
        <v>1859</v>
      </c>
      <c r="B1272" s="164" t="str">
        <f>RIGHT(TDays[[#This Row],[تاریخ]],2)</f>
        <v>20</v>
      </c>
      <c r="C1272" s="164" t="str">
        <f>RIGHT(LEFT(TDays[[#This Row],[تاریخ]],7),2)</f>
        <v>06</v>
      </c>
      <c r="D1272" s="164" t="str">
        <f>LEFT(TDays[[#This Row],[تاریخ]],4)</f>
        <v>1404</v>
      </c>
      <c r="E1272" s="164" t="str">
        <f>LEFT(TDays[[#This Row],[تاریخ]],7)</f>
        <v>1404-06</v>
      </c>
      <c r="F1272">
        <v>5</v>
      </c>
      <c r="G1272" s="165" t="str">
        <f>VLOOKUP(TDays[[#This Row],[کد روز هفته]],TDaysOfTheWeek[],2,FALSE)</f>
        <v>پنجشنبه</v>
      </c>
      <c r="H1272" s="165">
        <f>IFERROR(IF(E1271&lt;&gt;E1272,1,INT(H1271)+IF(TDays[[#This Row],[کد روز هفته]]=0,1,0)),1)</f>
        <v>3</v>
      </c>
      <c r="I1272" s="164">
        <f>-SUMIF(TArticle[تاریخ],TDays[[#This Row],[تاریخ]],TArticle[هزینه])</f>
        <v>0</v>
      </c>
      <c r="J1272" s="164">
        <f>SUMIF(TArticle[تاریخ],TDays[[#This Row],[تاریخ]],TArticle[درآمد تتا])</f>
        <v>0</v>
      </c>
      <c r="K1272" s="164">
        <f>SUMIF(TArticle[تاریخ],TDays[[#This Row],[تاریخ]],TArticle[اسنپ])</f>
        <v>0</v>
      </c>
      <c r="L1272" s="164">
        <f>-SUMIF(TArticle[تاریخ],TDays[[#This Row],[تاریخ]],TArticle[پرداخت بدهی])</f>
        <v>0</v>
      </c>
      <c r="M1272" s="164">
        <f>SUMIF(TArticle[تاریخ],TDays[[#This Row],[تاریخ]],TArticle[افزایش بدهی])</f>
        <v>0</v>
      </c>
      <c r="N1272" s="164">
        <f>-SUMIF(TArticle[تاریخ],TDays[[#This Row],[تاریخ]],TArticle[افزایش سرمایه])</f>
        <v>0</v>
      </c>
      <c r="O1272" s="164">
        <f>SUMIF(TArticle[تاریخ],TDays[[#This Row],[تاریخ]],TArticle[تعداد تراکنش انجام شده])</f>
        <v>0</v>
      </c>
      <c r="P1272" s="164">
        <f>INT(((TDays[[#This Row],[ماه]]-1)*31+TDays[[#This Row],[روز]]+1)/7)+1</f>
        <v>26</v>
      </c>
      <c r="Q1272" s="164">
        <f>SUMIF(TArticle[تاریخ],TDays[[#This Row],[تاریخ]],TArticle[تراکنش برنامه ریزی شده])</f>
        <v>1</v>
      </c>
    </row>
    <row r="1273" spans="1:17" x14ac:dyDescent="0.25">
      <c r="A1273" s="3" t="s">
        <v>1860</v>
      </c>
      <c r="B1273" s="164" t="str">
        <f>RIGHT(TDays[[#This Row],[تاریخ]],2)</f>
        <v>21</v>
      </c>
      <c r="C1273" s="164" t="str">
        <f>RIGHT(LEFT(TDays[[#This Row],[تاریخ]],7),2)</f>
        <v>06</v>
      </c>
      <c r="D1273" s="164" t="str">
        <f>LEFT(TDays[[#This Row],[تاریخ]],4)</f>
        <v>1404</v>
      </c>
      <c r="E1273" s="164" t="str">
        <f>LEFT(TDays[[#This Row],[تاریخ]],7)</f>
        <v>1404-06</v>
      </c>
      <c r="F1273">
        <v>6</v>
      </c>
      <c r="G1273" s="165" t="str">
        <f>VLOOKUP(TDays[[#This Row],[کد روز هفته]],TDaysOfTheWeek[],2,FALSE)</f>
        <v>جمعه</v>
      </c>
      <c r="H1273" s="165">
        <f>IFERROR(IF(E1272&lt;&gt;E1273,1,INT(H1272)+IF(TDays[[#This Row],[کد روز هفته]]=0,1,0)),1)</f>
        <v>3</v>
      </c>
      <c r="I1273" s="164">
        <f>-SUMIF(TArticle[تاریخ],TDays[[#This Row],[تاریخ]],TArticle[هزینه])</f>
        <v>0</v>
      </c>
      <c r="J1273" s="164">
        <f>SUMIF(TArticle[تاریخ],TDays[[#This Row],[تاریخ]],TArticle[درآمد تتا])</f>
        <v>0</v>
      </c>
      <c r="K1273" s="164">
        <f>SUMIF(TArticle[تاریخ],TDays[[#This Row],[تاریخ]],TArticle[اسنپ])</f>
        <v>0</v>
      </c>
      <c r="L1273" s="164">
        <f>-SUMIF(TArticle[تاریخ],TDays[[#This Row],[تاریخ]],TArticle[پرداخت بدهی])</f>
        <v>0</v>
      </c>
      <c r="M1273" s="164">
        <f>SUMIF(TArticle[تاریخ],TDays[[#This Row],[تاریخ]],TArticle[افزایش بدهی])</f>
        <v>0</v>
      </c>
      <c r="N1273" s="164">
        <f>-SUMIF(TArticle[تاریخ],TDays[[#This Row],[تاریخ]],TArticle[افزایش سرمایه])</f>
        <v>0</v>
      </c>
      <c r="O1273" s="164">
        <f>SUMIF(TArticle[تاریخ],TDays[[#This Row],[تاریخ]],TArticle[تعداد تراکنش انجام شده])</f>
        <v>0</v>
      </c>
      <c r="P1273" s="164">
        <f>INT(((TDays[[#This Row],[ماه]]-1)*31+TDays[[#This Row],[روز]]+1)/7)+1</f>
        <v>26</v>
      </c>
      <c r="Q1273" s="164">
        <f>SUMIF(TArticle[تاریخ],TDays[[#This Row],[تاریخ]],TArticle[تراکنش برنامه ریزی شده])</f>
        <v>0</v>
      </c>
    </row>
    <row r="1274" spans="1:17" x14ac:dyDescent="0.25">
      <c r="A1274" s="3" t="s">
        <v>1861</v>
      </c>
      <c r="B1274" s="164" t="str">
        <f>RIGHT(TDays[[#This Row],[تاریخ]],2)</f>
        <v>22</v>
      </c>
      <c r="C1274" s="164" t="str">
        <f>RIGHT(LEFT(TDays[[#This Row],[تاریخ]],7),2)</f>
        <v>06</v>
      </c>
      <c r="D1274" s="164" t="str">
        <f>LEFT(TDays[[#This Row],[تاریخ]],4)</f>
        <v>1404</v>
      </c>
      <c r="E1274" s="164" t="str">
        <f>LEFT(TDays[[#This Row],[تاریخ]],7)</f>
        <v>1404-06</v>
      </c>
      <c r="F1274">
        <v>0</v>
      </c>
      <c r="G1274" s="165" t="str">
        <f>VLOOKUP(TDays[[#This Row],[کد روز هفته]],TDaysOfTheWeek[],2,FALSE)</f>
        <v>شنبه</v>
      </c>
      <c r="H1274" s="165">
        <f>IFERROR(IF(E1273&lt;&gt;E1274,1,INT(H1273)+IF(TDays[[#This Row],[کد روز هفته]]=0,1,0)),1)</f>
        <v>4</v>
      </c>
      <c r="I1274" s="164">
        <f>-SUMIF(TArticle[تاریخ],TDays[[#This Row],[تاریخ]],TArticle[هزینه])</f>
        <v>0</v>
      </c>
      <c r="J1274" s="164">
        <f>SUMIF(TArticle[تاریخ],TDays[[#This Row],[تاریخ]],TArticle[درآمد تتا])</f>
        <v>0</v>
      </c>
      <c r="K1274" s="164">
        <f>SUMIF(TArticle[تاریخ],TDays[[#This Row],[تاریخ]],TArticle[اسنپ])</f>
        <v>0</v>
      </c>
      <c r="L1274" s="164">
        <f>-SUMIF(TArticle[تاریخ],TDays[[#This Row],[تاریخ]],TArticle[پرداخت بدهی])</f>
        <v>0</v>
      </c>
      <c r="M1274" s="164">
        <f>SUMIF(TArticle[تاریخ],TDays[[#This Row],[تاریخ]],TArticle[افزایش بدهی])</f>
        <v>0</v>
      </c>
      <c r="N1274" s="164">
        <f>-SUMIF(TArticle[تاریخ],TDays[[#This Row],[تاریخ]],TArticle[افزایش سرمایه])</f>
        <v>0</v>
      </c>
      <c r="O1274" s="164">
        <f>SUMIF(TArticle[تاریخ],TDays[[#This Row],[تاریخ]],TArticle[تعداد تراکنش انجام شده])</f>
        <v>0</v>
      </c>
      <c r="P1274" s="164">
        <f>INT(((TDays[[#This Row],[ماه]]-1)*31+TDays[[#This Row],[روز]]+1)/7)+1</f>
        <v>26</v>
      </c>
      <c r="Q1274" s="164">
        <f>SUMIF(TArticle[تاریخ],TDays[[#This Row],[تاریخ]],TArticle[تراکنش برنامه ریزی شده])</f>
        <v>0</v>
      </c>
    </row>
    <row r="1275" spans="1:17" x14ac:dyDescent="0.25">
      <c r="A1275" s="3" t="s">
        <v>1862</v>
      </c>
      <c r="B1275" s="164" t="str">
        <f>RIGHT(TDays[[#This Row],[تاریخ]],2)</f>
        <v>23</v>
      </c>
      <c r="C1275" s="164" t="str">
        <f>RIGHT(LEFT(TDays[[#This Row],[تاریخ]],7),2)</f>
        <v>06</v>
      </c>
      <c r="D1275" s="164" t="str">
        <f>LEFT(TDays[[#This Row],[تاریخ]],4)</f>
        <v>1404</v>
      </c>
      <c r="E1275" s="164" t="str">
        <f>LEFT(TDays[[#This Row],[تاریخ]],7)</f>
        <v>1404-06</v>
      </c>
      <c r="F1275">
        <v>1</v>
      </c>
      <c r="G1275" s="165" t="str">
        <f>VLOOKUP(TDays[[#This Row],[کد روز هفته]],TDaysOfTheWeek[],2,FALSE)</f>
        <v>یکشنبه</v>
      </c>
      <c r="H1275" s="165">
        <f>IFERROR(IF(E1274&lt;&gt;E1275,1,INT(H1274)+IF(TDays[[#This Row],[کد روز هفته]]=0,1,0)),1)</f>
        <v>4</v>
      </c>
      <c r="I1275" s="164">
        <f>-SUMIF(TArticle[تاریخ],TDays[[#This Row],[تاریخ]],TArticle[هزینه])</f>
        <v>0</v>
      </c>
      <c r="J1275" s="164">
        <f>SUMIF(TArticle[تاریخ],TDays[[#This Row],[تاریخ]],TArticle[درآمد تتا])</f>
        <v>0</v>
      </c>
      <c r="K1275" s="164">
        <f>SUMIF(TArticle[تاریخ],TDays[[#This Row],[تاریخ]],TArticle[اسنپ])</f>
        <v>0</v>
      </c>
      <c r="L1275" s="164">
        <f>-SUMIF(TArticle[تاریخ],TDays[[#This Row],[تاریخ]],TArticle[پرداخت بدهی])</f>
        <v>0</v>
      </c>
      <c r="M1275" s="164">
        <f>SUMIF(TArticle[تاریخ],TDays[[#This Row],[تاریخ]],TArticle[افزایش بدهی])</f>
        <v>0</v>
      </c>
      <c r="N1275" s="164">
        <f>-SUMIF(TArticle[تاریخ],TDays[[#This Row],[تاریخ]],TArticle[افزایش سرمایه])</f>
        <v>0</v>
      </c>
      <c r="O1275" s="164">
        <f>SUMIF(TArticle[تاریخ],TDays[[#This Row],[تاریخ]],TArticle[تعداد تراکنش انجام شده])</f>
        <v>0</v>
      </c>
      <c r="P1275" s="164">
        <f>INT(((TDays[[#This Row],[ماه]]-1)*31+TDays[[#This Row],[روز]]+1)/7)+1</f>
        <v>26</v>
      </c>
      <c r="Q1275" s="164">
        <f>SUMIF(TArticle[تاریخ],TDays[[#This Row],[تاریخ]],TArticle[تراکنش برنامه ریزی شده])</f>
        <v>0</v>
      </c>
    </row>
    <row r="1276" spans="1:17" x14ac:dyDescent="0.25">
      <c r="A1276" s="3" t="s">
        <v>1863</v>
      </c>
      <c r="B1276" s="164" t="str">
        <f>RIGHT(TDays[[#This Row],[تاریخ]],2)</f>
        <v>24</v>
      </c>
      <c r="C1276" s="164" t="str">
        <f>RIGHT(LEFT(TDays[[#This Row],[تاریخ]],7),2)</f>
        <v>06</v>
      </c>
      <c r="D1276" s="164" t="str">
        <f>LEFT(TDays[[#This Row],[تاریخ]],4)</f>
        <v>1404</v>
      </c>
      <c r="E1276" s="164" t="str">
        <f>LEFT(TDays[[#This Row],[تاریخ]],7)</f>
        <v>1404-06</v>
      </c>
      <c r="F1276">
        <v>2</v>
      </c>
      <c r="G1276" s="165" t="str">
        <f>VLOOKUP(TDays[[#This Row],[کد روز هفته]],TDaysOfTheWeek[],2,FALSE)</f>
        <v>دوشنبه</v>
      </c>
      <c r="H1276" s="165">
        <f>IFERROR(IF(E1275&lt;&gt;E1276,1,INT(H1275)+IF(TDays[[#This Row],[کد روز هفته]]=0,1,0)),1)</f>
        <v>4</v>
      </c>
      <c r="I1276" s="164">
        <f>-SUMIF(TArticle[تاریخ],TDays[[#This Row],[تاریخ]],TArticle[هزینه])</f>
        <v>0</v>
      </c>
      <c r="J1276" s="164">
        <f>SUMIF(TArticle[تاریخ],TDays[[#This Row],[تاریخ]],TArticle[درآمد تتا])</f>
        <v>0</v>
      </c>
      <c r="K1276" s="164">
        <f>SUMIF(TArticle[تاریخ],TDays[[#This Row],[تاریخ]],TArticle[اسنپ])</f>
        <v>0</v>
      </c>
      <c r="L1276" s="164">
        <f>-SUMIF(TArticle[تاریخ],TDays[[#This Row],[تاریخ]],TArticle[پرداخت بدهی])</f>
        <v>0</v>
      </c>
      <c r="M1276" s="164">
        <f>SUMIF(TArticle[تاریخ],TDays[[#This Row],[تاریخ]],TArticle[افزایش بدهی])</f>
        <v>0</v>
      </c>
      <c r="N1276" s="164">
        <f>-SUMIF(TArticle[تاریخ],TDays[[#This Row],[تاریخ]],TArticle[افزایش سرمایه])</f>
        <v>0</v>
      </c>
      <c r="O1276" s="164">
        <f>SUMIF(TArticle[تاریخ],TDays[[#This Row],[تاریخ]],TArticle[تعداد تراکنش انجام شده])</f>
        <v>0</v>
      </c>
      <c r="P1276" s="164">
        <f>INT(((TDays[[#This Row],[ماه]]-1)*31+TDays[[#This Row],[روز]]+1)/7)+1</f>
        <v>26</v>
      </c>
      <c r="Q1276" s="164">
        <f>SUMIF(TArticle[تاریخ],TDays[[#This Row],[تاریخ]],TArticle[تراکنش برنامه ریزی شده])</f>
        <v>0</v>
      </c>
    </row>
    <row r="1277" spans="1:17" x14ac:dyDescent="0.25">
      <c r="A1277" s="3" t="s">
        <v>1864</v>
      </c>
      <c r="B1277" s="164" t="str">
        <f>RIGHT(TDays[[#This Row],[تاریخ]],2)</f>
        <v>25</v>
      </c>
      <c r="C1277" s="164" t="str">
        <f>RIGHT(LEFT(TDays[[#This Row],[تاریخ]],7),2)</f>
        <v>06</v>
      </c>
      <c r="D1277" s="164" t="str">
        <f>LEFT(TDays[[#This Row],[تاریخ]],4)</f>
        <v>1404</v>
      </c>
      <c r="E1277" s="164" t="str">
        <f>LEFT(TDays[[#This Row],[تاریخ]],7)</f>
        <v>1404-06</v>
      </c>
      <c r="F1277">
        <v>3</v>
      </c>
      <c r="G1277" s="165" t="str">
        <f>VLOOKUP(TDays[[#This Row],[کد روز هفته]],TDaysOfTheWeek[],2,FALSE)</f>
        <v>سه شنبه</v>
      </c>
      <c r="H1277" s="165">
        <f>IFERROR(IF(E1276&lt;&gt;E1277,1,INT(H1276)+IF(TDays[[#This Row],[کد روز هفته]]=0,1,0)),1)</f>
        <v>4</v>
      </c>
      <c r="I1277" s="164">
        <f>-SUMIF(TArticle[تاریخ],TDays[[#This Row],[تاریخ]],TArticle[هزینه])</f>
        <v>0</v>
      </c>
      <c r="J1277" s="164">
        <f>SUMIF(TArticle[تاریخ],TDays[[#This Row],[تاریخ]],TArticle[درآمد تتا])</f>
        <v>0</v>
      </c>
      <c r="K1277" s="164">
        <f>SUMIF(TArticle[تاریخ],TDays[[#This Row],[تاریخ]],TArticle[اسنپ])</f>
        <v>0</v>
      </c>
      <c r="L1277" s="164">
        <f>-SUMIF(TArticle[تاریخ],TDays[[#This Row],[تاریخ]],TArticle[پرداخت بدهی])</f>
        <v>0</v>
      </c>
      <c r="M1277" s="164">
        <f>SUMIF(TArticle[تاریخ],TDays[[#This Row],[تاریخ]],TArticle[افزایش بدهی])</f>
        <v>0</v>
      </c>
      <c r="N1277" s="164">
        <f>-SUMIF(TArticle[تاریخ],TDays[[#This Row],[تاریخ]],TArticle[افزایش سرمایه])</f>
        <v>0</v>
      </c>
      <c r="O1277" s="164">
        <f>SUMIF(TArticle[تاریخ],TDays[[#This Row],[تاریخ]],TArticle[تعداد تراکنش انجام شده])</f>
        <v>0</v>
      </c>
      <c r="P1277" s="164">
        <f>INT(((TDays[[#This Row],[ماه]]-1)*31+TDays[[#This Row],[روز]]+1)/7)+1</f>
        <v>26</v>
      </c>
      <c r="Q1277" s="164">
        <f>SUMIF(TArticle[تاریخ],TDays[[#This Row],[تاریخ]],TArticle[تراکنش برنامه ریزی شده])</f>
        <v>0</v>
      </c>
    </row>
    <row r="1278" spans="1:17" x14ac:dyDescent="0.25">
      <c r="A1278" s="3" t="s">
        <v>1865</v>
      </c>
      <c r="B1278" s="164" t="str">
        <f>RIGHT(TDays[[#This Row],[تاریخ]],2)</f>
        <v>26</v>
      </c>
      <c r="C1278" s="164" t="str">
        <f>RIGHT(LEFT(TDays[[#This Row],[تاریخ]],7),2)</f>
        <v>06</v>
      </c>
      <c r="D1278" s="164" t="str">
        <f>LEFT(TDays[[#This Row],[تاریخ]],4)</f>
        <v>1404</v>
      </c>
      <c r="E1278" s="164" t="str">
        <f>LEFT(TDays[[#This Row],[تاریخ]],7)</f>
        <v>1404-06</v>
      </c>
      <c r="F1278">
        <v>4</v>
      </c>
      <c r="G1278" s="165" t="str">
        <f>VLOOKUP(TDays[[#This Row],[کد روز هفته]],TDaysOfTheWeek[],2,FALSE)</f>
        <v>چهارشنبه</v>
      </c>
      <c r="H1278" s="165">
        <f>IFERROR(IF(E1277&lt;&gt;E1278,1,INT(H1277)+IF(TDays[[#This Row],[کد روز هفته]]=0,1,0)),1)</f>
        <v>4</v>
      </c>
      <c r="I1278" s="164">
        <f>-SUMIF(TArticle[تاریخ],TDays[[#This Row],[تاریخ]],TArticle[هزینه])</f>
        <v>0</v>
      </c>
      <c r="J1278" s="164">
        <f>SUMIF(TArticle[تاریخ],TDays[[#This Row],[تاریخ]],TArticle[درآمد تتا])</f>
        <v>0</v>
      </c>
      <c r="K1278" s="164">
        <f>SUMIF(TArticle[تاریخ],TDays[[#This Row],[تاریخ]],TArticle[اسنپ])</f>
        <v>0</v>
      </c>
      <c r="L1278" s="164">
        <f>-SUMIF(TArticle[تاریخ],TDays[[#This Row],[تاریخ]],TArticle[پرداخت بدهی])</f>
        <v>0</v>
      </c>
      <c r="M1278" s="164">
        <f>SUMIF(TArticle[تاریخ],TDays[[#This Row],[تاریخ]],TArticle[افزایش بدهی])</f>
        <v>0</v>
      </c>
      <c r="N1278" s="164">
        <f>-SUMIF(TArticle[تاریخ],TDays[[#This Row],[تاریخ]],TArticle[افزایش سرمایه])</f>
        <v>0</v>
      </c>
      <c r="O1278" s="164">
        <f>SUMIF(TArticle[تاریخ],TDays[[#This Row],[تاریخ]],TArticle[تعداد تراکنش انجام شده])</f>
        <v>0</v>
      </c>
      <c r="P1278" s="164">
        <f>INT(((TDays[[#This Row],[ماه]]-1)*31+TDays[[#This Row],[روز]]+1)/7)+1</f>
        <v>27</v>
      </c>
      <c r="Q1278" s="164">
        <f>SUMIF(TArticle[تاریخ],TDays[[#This Row],[تاریخ]],TArticle[تراکنش برنامه ریزی شده])</f>
        <v>0</v>
      </c>
    </row>
    <row r="1279" spans="1:17" x14ac:dyDescent="0.25">
      <c r="A1279" s="3" t="s">
        <v>1866</v>
      </c>
      <c r="B1279" s="164" t="str">
        <f>RIGHT(TDays[[#This Row],[تاریخ]],2)</f>
        <v>27</v>
      </c>
      <c r="C1279" s="164" t="str">
        <f>RIGHT(LEFT(TDays[[#This Row],[تاریخ]],7),2)</f>
        <v>06</v>
      </c>
      <c r="D1279" s="164" t="str">
        <f>LEFT(TDays[[#This Row],[تاریخ]],4)</f>
        <v>1404</v>
      </c>
      <c r="E1279" s="164" t="str">
        <f>LEFT(TDays[[#This Row],[تاریخ]],7)</f>
        <v>1404-06</v>
      </c>
      <c r="F1279">
        <v>5</v>
      </c>
      <c r="G1279" s="165" t="str">
        <f>VLOOKUP(TDays[[#This Row],[کد روز هفته]],TDaysOfTheWeek[],2,FALSE)</f>
        <v>پنجشنبه</v>
      </c>
      <c r="H1279" s="165">
        <f>IFERROR(IF(E1278&lt;&gt;E1279,1,INT(H1278)+IF(TDays[[#This Row],[کد روز هفته]]=0,1,0)),1)</f>
        <v>4</v>
      </c>
      <c r="I1279" s="164">
        <f>-SUMIF(TArticle[تاریخ],TDays[[#This Row],[تاریخ]],TArticle[هزینه])</f>
        <v>0</v>
      </c>
      <c r="J1279" s="164">
        <f>SUMIF(TArticle[تاریخ],TDays[[#This Row],[تاریخ]],TArticle[درآمد تتا])</f>
        <v>0</v>
      </c>
      <c r="K1279" s="164">
        <f>SUMIF(TArticle[تاریخ],TDays[[#This Row],[تاریخ]],TArticle[اسنپ])</f>
        <v>0</v>
      </c>
      <c r="L1279" s="164">
        <f>-SUMIF(TArticle[تاریخ],TDays[[#This Row],[تاریخ]],TArticle[پرداخت بدهی])</f>
        <v>0</v>
      </c>
      <c r="M1279" s="164">
        <f>SUMIF(TArticle[تاریخ],TDays[[#This Row],[تاریخ]],TArticle[افزایش بدهی])</f>
        <v>0</v>
      </c>
      <c r="N1279" s="164">
        <f>-SUMIF(TArticle[تاریخ],TDays[[#This Row],[تاریخ]],TArticle[افزایش سرمایه])</f>
        <v>0</v>
      </c>
      <c r="O1279" s="164">
        <f>SUMIF(TArticle[تاریخ],TDays[[#This Row],[تاریخ]],TArticle[تعداد تراکنش انجام شده])</f>
        <v>0</v>
      </c>
      <c r="P1279" s="164">
        <f>INT(((TDays[[#This Row],[ماه]]-1)*31+TDays[[#This Row],[روز]]+1)/7)+1</f>
        <v>27</v>
      </c>
      <c r="Q1279" s="164">
        <f>SUMIF(TArticle[تاریخ],TDays[[#This Row],[تاریخ]],TArticle[تراکنش برنامه ریزی شده])</f>
        <v>0</v>
      </c>
    </row>
    <row r="1280" spans="1:17" x14ac:dyDescent="0.25">
      <c r="A1280" s="3" t="s">
        <v>1867</v>
      </c>
      <c r="B1280" s="164" t="str">
        <f>RIGHT(TDays[[#This Row],[تاریخ]],2)</f>
        <v>28</v>
      </c>
      <c r="C1280" s="164" t="str">
        <f>RIGHT(LEFT(TDays[[#This Row],[تاریخ]],7),2)</f>
        <v>06</v>
      </c>
      <c r="D1280" s="164" t="str">
        <f>LEFT(TDays[[#This Row],[تاریخ]],4)</f>
        <v>1404</v>
      </c>
      <c r="E1280" s="164" t="str">
        <f>LEFT(TDays[[#This Row],[تاریخ]],7)</f>
        <v>1404-06</v>
      </c>
      <c r="F1280">
        <v>6</v>
      </c>
      <c r="G1280" s="165" t="str">
        <f>VLOOKUP(TDays[[#This Row],[کد روز هفته]],TDaysOfTheWeek[],2,FALSE)</f>
        <v>جمعه</v>
      </c>
      <c r="H1280" s="165">
        <f>IFERROR(IF(E1279&lt;&gt;E1280,1,INT(H1279)+IF(TDays[[#This Row],[کد روز هفته]]=0,1,0)),1)</f>
        <v>4</v>
      </c>
      <c r="I1280" s="164">
        <f>-SUMIF(TArticle[تاریخ],TDays[[#This Row],[تاریخ]],TArticle[هزینه])</f>
        <v>0</v>
      </c>
      <c r="J1280" s="164">
        <f>SUMIF(TArticle[تاریخ],TDays[[#This Row],[تاریخ]],TArticle[درآمد تتا])</f>
        <v>0</v>
      </c>
      <c r="K1280" s="164">
        <f>SUMIF(TArticle[تاریخ],TDays[[#This Row],[تاریخ]],TArticle[اسنپ])</f>
        <v>0</v>
      </c>
      <c r="L1280" s="164">
        <f>-SUMIF(TArticle[تاریخ],TDays[[#This Row],[تاریخ]],TArticle[پرداخت بدهی])</f>
        <v>0</v>
      </c>
      <c r="M1280" s="164">
        <f>SUMIF(TArticle[تاریخ],TDays[[#This Row],[تاریخ]],TArticle[افزایش بدهی])</f>
        <v>0</v>
      </c>
      <c r="N1280" s="164">
        <f>-SUMIF(TArticle[تاریخ],TDays[[#This Row],[تاریخ]],TArticle[افزایش سرمایه])</f>
        <v>0</v>
      </c>
      <c r="O1280" s="164">
        <f>SUMIF(TArticle[تاریخ],TDays[[#This Row],[تاریخ]],TArticle[تعداد تراکنش انجام شده])</f>
        <v>0</v>
      </c>
      <c r="P1280" s="164">
        <f>INT(((TDays[[#This Row],[ماه]]-1)*31+TDays[[#This Row],[روز]]+1)/7)+1</f>
        <v>27</v>
      </c>
      <c r="Q1280" s="164">
        <f>SUMIF(TArticle[تاریخ],TDays[[#This Row],[تاریخ]],TArticle[تراکنش برنامه ریزی شده])</f>
        <v>0</v>
      </c>
    </row>
    <row r="1281" spans="1:17" x14ac:dyDescent="0.25">
      <c r="A1281" s="3" t="s">
        <v>1868</v>
      </c>
      <c r="B1281" s="164" t="str">
        <f>RIGHT(TDays[[#This Row],[تاریخ]],2)</f>
        <v>29</v>
      </c>
      <c r="C1281" s="164" t="str">
        <f>RIGHT(LEFT(TDays[[#This Row],[تاریخ]],7),2)</f>
        <v>06</v>
      </c>
      <c r="D1281" s="164" t="str">
        <f>LEFT(TDays[[#This Row],[تاریخ]],4)</f>
        <v>1404</v>
      </c>
      <c r="E1281" s="164" t="str">
        <f>LEFT(TDays[[#This Row],[تاریخ]],7)</f>
        <v>1404-06</v>
      </c>
      <c r="F1281">
        <v>0</v>
      </c>
      <c r="G1281" s="165" t="str">
        <f>VLOOKUP(TDays[[#This Row],[کد روز هفته]],TDaysOfTheWeek[],2,FALSE)</f>
        <v>شنبه</v>
      </c>
      <c r="H1281" s="165">
        <f>IFERROR(IF(E1280&lt;&gt;E1281,1,INT(H1280)+IF(TDays[[#This Row],[کد روز هفته]]=0,1,0)),1)</f>
        <v>5</v>
      </c>
      <c r="I1281" s="164">
        <f>-SUMIF(TArticle[تاریخ],TDays[[#This Row],[تاریخ]],TArticle[هزینه])</f>
        <v>0</v>
      </c>
      <c r="J1281" s="164">
        <f>SUMIF(TArticle[تاریخ],TDays[[#This Row],[تاریخ]],TArticle[درآمد تتا])</f>
        <v>0</v>
      </c>
      <c r="K1281" s="164">
        <f>SUMIF(TArticle[تاریخ],TDays[[#This Row],[تاریخ]],TArticle[اسنپ])</f>
        <v>0</v>
      </c>
      <c r="L1281" s="164">
        <f>-SUMIF(TArticle[تاریخ],TDays[[#This Row],[تاریخ]],TArticle[پرداخت بدهی])</f>
        <v>0</v>
      </c>
      <c r="M1281" s="164">
        <f>SUMIF(TArticle[تاریخ],TDays[[#This Row],[تاریخ]],TArticle[افزایش بدهی])</f>
        <v>0</v>
      </c>
      <c r="N1281" s="164">
        <f>-SUMIF(TArticle[تاریخ],TDays[[#This Row],[تاریخ]],TArticle[افزایش سرمایه])</f>
        <v>0</v>
      </c>
      <c r="O1281" s="164">
        <f>SUMIF(TArticle[تاریخ],TDays[[#This Row],[تاریخ]],TArticle[تعداد تراکنش انجام شده])</f>
        <v>0</v>
      </c>
      <c r="P1281" s="164">
        <f>INT(((TDays[[#This Row],[ماه]]-1)*31+TDays[[#This Row],[روز]]+1)/7)+1</f>
        <v>27</v>
      </c>
      <c r="Q1281" s="164">
        <f>SUMIF(TArticle[تاریخ],TDays[[#This Row],[تاریخ]],TArticle[تراکنش برنامه ریزی شده])</f>
        <v>0</v>
      </c>
    </row>
    <row r="1282" spans="1:17" x14ac:dyDescent="0.25">
      <c r="A1282" s="3" t="s">
        <v>1869</v>
      </c>
      <c r="B1282" s="164" t="str">
        <f>RIGHT(TDays[[#This Row],[تاریخ]],2)</f>
        <v>30</v>
      </c>
      <c r="C1282" s="164" t="str">
        <f>RIGHT(LEFT(TDays[[#This Row],[تاریخ]],7),2)</f>
        <v>06</v>
      </c>
      <c r="D1282" s="164" t="str">
        <f>LEFT(TDays[[#This Row],[تاریخ]],4)</f>
        <v>1404</v>
      </c>
      <c r="E1282" s="164" t="str">
        <f>LEFT(TDays[[#This Row],[تاریخ]],7)</f>
        <v>1404-06</v>
      </c>
      <c r="F1282">
        <v>1</v>
      </c>
      <c r="G1282" s="165" t="str">
        <f>VLOOKUP(TDays[[#This Row],[کد روز هفته]],TDaysOfTheWeek[],2,FALSE)</f>
        <v>یکشنبه</v>
      </c>
      <c r="H1282" s="165">
        <f>IFERROR(IF(E1281&lt;&gt;E1282,1,INT(H1281)+IF(TDays[[#This Row],[کد روز هفته]]=0,1,0)),1)</f>
        <v>5</v>
      </c>
      <c r="I1282" s="164">
        <f>-SUMIF(TArticle[تاریخ],TDays[[#This Row],[تاریخ]],TArticle[هزینه])</f>
        <v>0</v>
      </c>
      <c r="J1282" s="164">
        <f>SUMIF(TArticle[تاریخ],TDays[[#This Row],[تاریخ]],TArticle[درآمد تتا])</f>
        <v>0</v>
      </c>
      <c r="K1282" s="164">
        <f>SUMIF(TArticle[تاریخ],TDays[[#This Row],[تاریخ]],TArticle[اسنپ])</f>
        <v>0</v>
      </c>
      <c r="L1282" s="164">
        <f>-SUMIF(TArticle[تاریخ],TDays[[#This Row],[تاریخ]],TArticle[پرداخت بدهی])</f>
        <v>0</v>
      </c>
      <c r="M1282" s="164">
        <f>SUMIF(TArticle[تاریخ],TDays[[#This Row],[تاریخ]],TArticle[افزایش بدهی])</f>
        <v>0</v>
      </c>
      <c r="N1282" s="164">
        <f>-SUMIF(TArticle[تاریخ],TDays[[#This Row],[تاریخ]],TArticle[افزایش سرمایه])</f>
        <v>0</v>
      </c>
      <c r="O1282" s="164">
        <f>SUMIF(TArticle[تاریخ],TDays[[#This Row],[تاریخ]],TArticle[تعداد تراکنش انجام شده])</f>
        <v>0</v>
      </c>
      <c r="P1282" s="164">
        <f>INT(((TDays[[#This Row],[ماه]]-1)*31+TDays[[#This Row],[روز]]+1)/7)+1</f>
        <v>27</v>
      </c>
      <c r="Q1282" s="164">
        <f>SUMIF(TArticle[تاریخ],TDays[[#This Row],[تاریخ]],TArticle[تراکنش برنامه ریزی شده])</f>
        <v>0</v>
      </c>
    </row>
    <row r="1283" spans="1:17" x14ac:dyDescent="0.25">
      <c r="A1283" s="3" t="s">
        <v>1870</v>
      </c>
      <c r="B1283" s="164" t="str">
        <f>RIGHT(TDays[[#This Row],[تاریخ]],2)</f>
        <v>31</v>
      </c>
      <c r="C1283" s="164" t="str">
        <f>RIGHT(LEFT(TDays[[#This Row],[تاریخ]],7),2)</f>
        <v>06</v>
      </c>
      <c r="D1283" s="164" t="str">
        <f>LEFT(TDays[[#This Row],[تاریخ]],4)</f>
        <v>1404</v>
      </c>
      <c r="E1283" s="164" t="str">
        <f>LEFT(TDays[[#This Row],[تاریخ]],7)</f>
        <v>1404-06</v>
      </c>
      <c r="F1283">
        <v>2</v>
      </c>
      <c r="G1283" s="165" t="str">
        <f>VLOOKUP(TDays[[#This Row],[کد روز هفته]],TDaysOfTheWeek[],2,FALSE)</f>
        <v>دوشنبه</v>
      </c>
      <c r="H1283" s="165">
        <f>IFERROR(IF(E1282&lt;&gt;E1283,1,INT(H1282)+IF(TDays[[#This Row],[کد روز هفته]]=0,1,0)),1)</f>
        <v>5</v>
      </c>
      <c r="I1283" s="164">
        <f>-SUMIF(TArticle[تاریخ],TDays[[#This Row],[تاریخ]],TArticle[هزینه])</f>
        <v>0</v>
      </c>
      <c r="J1283" s="164">
        <f>SUMIF(TArticle[تاریخ],TDays[[#This Row],[تاریخ]],TArticle[درآمد تتا])</f>
        <v>0</v>
      </c>
      <c r="K1283" s="164">
        <f>SUMIF(TArticle[تاریخ],TDays[[#This Row],[تاریخ]],TArticle[اسنپ])</f>
        <v>0</v>
      </c>
      <c r="L1283" s="164">
        <f>-SUMIF(TArticle[تاریخ],TDays[[#This Row],[تاریخ]],TArticle[پرداخت بدهی])</f>
        <v>0</v>
      </c>
      <c r="M1283" s="164">
        <f>SUMIF(TArticle[تاریخ],TDays[[#This Row],[تاریخ]],TArticle[افزایش بدهی])</f>
        <v>0</v>
      </c>
      <c r="N1283" s="164">
        <f>-SUMIF(TArticle[تاریخ],TDays[[#This Row],[تاریخ]],TArticle[افزایش سرمایه])</f>
        <v>0</v>
      </c>
      <c r="O1283" s="164">
        <f>SUMIF(TArticle[تاریخ],TDays[[#This Row],[تاریخ]],TArticle[تعداد تراکنش انجام شده])</f>
        <v>0</v>
      </c>
      <c r="P1283" s="164">
        <f>INT(((TDays[[#This Row],[ماه]]-1)*31+TDays[[#This Row],[روز]]+1)/7)+1</f>
        <v>27</v>
      </c>
      <c r="Q1283" s="164">
        <f>SUMIF(TArticle[تاریخ],TDays[[#This Row],[تاریخ]],TArticle[تراکنش برنامه ریزی شده])</f>
        <v>0</v>
      </c>
    </row>
    <row r="1284" spans="1:17" x14ac:dyDescent="0.25">
      <c r="A1284" s="3" t="s">
        <v>1871</v>
      </c>
      <c r="B1284" s="164" t="str">
        <f>RIGHT(TDays[[#This Row],[تاریخ]],2)</f>
        <v>01</v>
      </c>
      <c r="C1284" s="164" t="str">
        <f>RIGHT(LEFT(TDays[[#This Row],[تاریخ]],7),2)</f>
        <v>07</v>
      </c>
      <c r="D1284" s="164" t="str">
        <f>LEFT(TDays[[#This Row],[تاریخ]],4)</f>
        <v>1404</v>
      </c>
      <c r="E1284" s="164" t="str">
        <f>LEFT(TDays[[#This Row],[تاریخ]],7)</f>
        <v>1404-07</v>
      </c>
      <c r="F1284">
        <v>3</v>
      </c>
      <c r="G1284" s="165" t="str">
        <f>VLOOKUP(TDays[[#This Row],[کد روز هفته]],TDaysOfTheWeek[],2,FALSE)</f>
        <v>سه شنبه</v>
      </c>
      <c r="H1284" s="165">
        <f>IFERROR(IF(E1283&lt;&gt;E1284,1,INT(H1283)+IF(TDays[[#This Row],[کد روز هفته]]=0,1,0)),1)</f>
        <v>1</v>
      </c>
      <c r="I1284" s="164">
        <f>-SUMIF(TArticle[تاریخ],TDays[[#This Row],[تاریخ]],TArticle[هزینه])</f>
        <v>0</v>
      </c>
      <c r="J1284" s="164">
        <f>SUMIF(TArticle[تاریخ],TDays[[#This Row],[تاریخ]],TArticle[درآمد تتا])</f>
        <v>0</v>
      </c>
      <c r="K1284" s="164">
        <f>SUMIF(TArticle[تاریخ],TDays[[#This Row],[تاریخ]],TArticle[اسنپ])</f>
        <v>0</v>
      </c>
      <c r="L1284" s="164">
        <f>-SUMIF(TArticle[تاریخ],TDays[[#This Row],[تاریخ]],TArticle[پرداخت بدهی])</f>
        <v>0</v>
      </c>
      <c r="M1284" s="164">
        <f>SUMIF(TArticle[تاریخ],TDays[[#This Row],[تاریخ]],TArticle[افزایش بدهی])</f>
        <v>0</v>
      </c>
      <c r="N1284" s="164">
        <f>-SUMIF(TArticle[تاریخ],TDays[[#This Row],[تاریخ]],TArticle[افزایش سرمایه])</f>
        <v>0</v>
      </c>
      <c r="O1284" s="164">
        <f>SUMIF(TArticle[تاریخ],TDays[[#This Row],[تاریخ]],TArticle[تعداد تراکنش انجام شده])</f>
        <v>0</v>
      </c>
      <c r="P1284" s="164">
        <f>INT(((TDays[[#This Row],[ماه]]-1)*31+TDays[[#This Row],[روز]]+1)/7)+1</f>
        <v>27</v>
      </c>
      <c r="Q1284" s="164">
        <f>SUMIF(TArticle[تاریخ],TDays[[#This Row],[تاریخ]],TArticle[تراکنش برنامه ریزی شده])</f>
        <v>2</v>
      </c>
    </row>
    <row r="1285" spans="1:17" x14ac:dyDescent="0.25">
      <c r="A1285" s="3" t="s">
        <v>1872</v>
      </c>
      <c r="B1285" s="164" t="str">
        <f>RIGHT(TDays[[#This Row],[تاریخ]],2)</f>
        <v>02</v>
      </c>
      <c r="C1285" s="164" t="str">
        <f>RIGHT(LEFT(TDays[[#This Row],[تاریخ]],7),2)</f>
        <v>07</v>
      </c>
      <c r="D1285" s="164" t="str">
        <f>LEFT(TDays[[#This Row],[تاریخ]],4)</f>
        <v>1404</v>
      </c>
      <c r="E1285" s="164" t="str">
        <f>LEFT(TDays[[#This Row],[تاریخ]],7)</f>
        <v>1404-07</v>
      </c>
      <c r="F1285">
        <v>4</v>
      </c>
      <c r="G1285" s="165" t="str">
        <f>VLOOKUP(TDays[[#This Row],[کد روز هفته]],TDaysOfTheWeek[],2,FALSE)</f>
        <v>چهارشنبه</v>
      </c>
      <c r="H1285" s="165">
        <f>IFERROR(IF(E1284&lt;&gt;E1285,1,INT(H1284)+IF(TDays[[#This Row],[کد روز هفته]]=0,1,0)),1)</f>
        <v>1</v>
      </c>
      <c r="I1285" s="164">
        <f>-SUMIF(TArticle[تاریخ],TDays[[#This Row],[تاریخ]],TArticle[هزینه])</f>
        <v>0</v>
      </c>
      <c r="J1285" s="164">
        <f>SUMIF(TArticle[تاریخ],TDays[[#This Row],[تاریخ]],TArticle[درآمد تتا])</f>
        <v>0</v>
      </c>
      <c r="K1285" s="164">
        <f>SUMIF(TArticle[تاریخ],TDays[[#This Row],[تاریخ]],TArticle[اسنپ])</f>
        <v>0</v>
      </c>
      <c r="L1285" s="164">
        <f>-SUMIF(TArticle[تاریخ],TDays[[#This Row],[تاریخ]],TArticle[پرداخت بدهی])</f>
        <v>0</v>
      </c>
      <c r="M1285" s="164">
        <f>SUMIF(TArticle[تاریخ],TDays[[#This Row],[تاریخ]],TArticle[افزایش بدهی])</f>
        <v>0</v>
      </c>
      <c r="N1285" s="164">
        <f>-SUMIF(TArticle[تاریخ],TDays[[#This Row],[تاریخ]],TArticle[افزایش سرمایه])</f>
        <v>0</v>
      </c>
      <c r="O1285" s="164">
        <f>SUMIF(TArticle[تاریخ],TDays[[#This Row],[تاریخ]],TArticle[تعداد تراکنش انجام شده])</f>
        <v>0</v>
      </c>
      <c r="P1285" s="164">
        <f>INT(((TDays[[#This Row],[ماه]]-1)*31+TDays[[#This Row],[روز]]+1)/7)+1</f>
        <v>28</v>
      </c>
      <c r="Q1285" s="164">
        <f>SUMIF(TArticle[تاریخ],TDays[[#This Row],[تاریخ]],TArticle[تراکنش برنامه ریزی شده])</f>
        <v>0</v>
      </c>
    </row>
    <row r="1286" spans="1:17" x14ac:dyDescent="0.25">
      <c r="A1286" s="3" t="s">
        <v>1873</v>
      </c>
      <c r="B1286" s="164" t="str">
        <f>RIGHT(TDays[[#This Row],[تاریخ]],2)</f>
        <v>03</v>
      </c>
      <c r="C1286" s="164" t="str">
        <f>RIGHT(LEFT(TDays[[#This Row],[تاریخ]],7),2)</f>
        <v>07</v>
      </c>
      <c r="D1286" s="164" t="str">
        <f>LEFT(TDays[[#This Row],[تاریخ]],4)</f>
        <v>1404</v>
      </c>
      <c r="E1286" s="164" t="str">
        <f>LEFT(TDays[[#This Row],[تاریخ]],7)</f>
        <v>1404-07</v>
      </c>
      <c r="F1286">
        <v>5</v>
      </c>
      <c r="G1286" s="165" t="str">
        <f>VLOOKUP(TDays[[#This Row],[کد روز هفته]],TDaysOfTheWeek[],2,FALSE)</f>
        <v>پنجشنبه</v>
      </c>
      <c r="H1286" s="165">
        <f>IFERROR(IF(E1285&lt;&gt;E1286,1,INT(H1285)+IF(TDays[[#This Row],[کد روز هفته]]=0,1,0)),1)</f>
        <v>1</v>
      </c>
      <c r="I1286" s="164">
        <f>-SUMIF(TArticle[تاریخ],TDays[[#This Row],[تاریخ]],TArticle[هزینه])</f>
        <v>0</v>
      </c>
      <c r="J1286" s="164">
        <f>SUMIF(TArticle[تاریخ],TDays[[#This Row],[تاریخ]],TArticle[درآمد تتا])</f>
        <v>0</v>
      </c>
      <c r="K1286" s="164">
        <f>SUMIF(TArticle[تاریخ],TDays[[#This Row],[تاریخ]],TArticle[اسنپ])</f>
        <v>0</v>
      </c>
      <c r="L1286" s="164">
        <f>-SUMIF(TArticle[تاریخ],TDays[[#This Row],[تاریخ]],TArticle[پرداخت بدهی])</f>
        <v>0</v>
      </c>
      <c r="M1286" s="164">
        <f>SUMIF(TArticle[تاریخ],TDays[[#This Row],[تاریخ]],TArticle[افزایش بدهی])</f>
        <v>0</v>
      </c>
      <c r="N1286" s="164">
        <f>-SUMIF(TArticle[تاریخ],TDays[[#This Row],[تاریخ]],TArticle[افزایش سرمایه])</f>
        <v>0</v>
      </c>
      <c r="O1286" s="164">
        <f>SUMIF(TArticle[تاریخ],TDays[[#This Row],[تاریخ]],TArticle[تعداد تراکنش انجام شده])</f>
        <v>0</v>
      </c>
      <c r="P1286" s="164">
        <f>INT(((TDays[[#This Row],[ماه]]-1)*31+TDays[[#This Row],[روز]]+1)/7)+1</f>
        <v>28</v>
      </c>
      <c r="Q1286" s="164">
        <f>SUMIF(TArticle[تاریخ],TDays[[#This Row],[تاریخ]],TArticle[تراکنش برنامه ریزی شده])</f>
        <v>1</v>
      </c>
    </row>
    <row r="1287" spans="1:17" x14ac:dyDescent="0.25">
      <c r="A1287" s="3" t="s">
        <v>1874</v>
      </c>
      <c r="B1287" s="164" t="str">
        <f>RIGHT(TDays[[#This Row],[تاریخ]],2)</f>
        <v>04</v>
      </c>
      <c r="C1287" s="164" t="str">
        <f>RIGHT(LEFT(TDays[[#This Row],[تاریخ]],7),2)</f>
        <v>07</v>
      </c>
      <c r="D1287" s="164" t="str">
        <f>LEFT(TDays[[#This Row],[تاریخ]],4)</f>
        <v>1404</v>
      </c>
      <c r="E1287" s="164" t="str">
        <f>LEFT(TDays[[#This Row],[تاریخ]],7)</f>
        <v>1404-07</v>
      </c>
      <c r="F1287">
        <v>6</v>
      </c>
      <c r="G1287" s="165" t="str">
        <f>VLOOKUP(TDays[[#This Row],[کد روز هفته]],TDaysOfTheWeek[],2,FALSE)</f>
        <v>جمعه</v>
      </c>
      <c r="H1287" s="165">
        <f>IFERROR(IF(E1286&lt;&gt;E1287,1,INT(H1286)+IF(TDays[[#This Row],[کد روز هفته]]=0,1,0)),1)</f>
        <v>1</v>
      </c>
      <c r="I1287" s="164">
        <f>-SUMIF(TArticle[تاریخ],TDays[[#This Row],[تاریخ]],TArticle[هزینه])</f>
        <v>0</v>
      </c>
      <c r="J1287" s="164">
        <f>SUMIF(TArticle[تاریخ],TDays[[#This Row],[تاریخ]],TArticle[درآمد تتا])</f>
        <v>0</v>
      </c>
      <c r="K1287" s="164">
        <f>SUMIF(TArticle[تاریخ],TDays[[#This Row],[تاریخ]],TArticle[اسنپ])</f>
        <v>0</v>
      </c>
      <c r="L1287" s="164">
        <f>-SUMIF(TArticle[تاریخ],TDays[[#This Row],[تاریخ]],TArticle[پرداخت بدهی])</f>
        <v>0</v>
      </c>
      <c r="M1287" s="164">
        <f>SUMIF(TArticle[تاریخ],TDays[[#This Row],[تاریخ]],TArticle[افزایش بدهی])</f>
        <v>0</v>
      </c>
      <c r="N1287" s="164">
        <f>-SUMIF(TArticle[تاریخ],TDays[[#This Row],[تاریخ]],TArticle[افزایش سرمایه])</f>
        <v>0</v>
      </c>
      <c r="O1287" s="164">
        <f>SUMIF(TArticle[تاریخ],TDays[[#This Row],[تاریخ]],TArticle[تعداد تراکنش انجام شده])</f>
        <v>0</v>
      </c>
      <c r="P1287" s="164">
        <f>INT(((TDays[[#This Row],[ماه]]-1)*31+TDays[[#This Row],[روز]]+1)/7)+1</f>
        <v>28</v>
      </c>
      <c r="Q1287" s="164">
        <f>SUMIF(TArticle[تاریخ],TDays[[#This Row],[تاریخ]],TArticle[تراکنش برنامه ریزی شده])</f>
        <v>0</v>
      </c>
    </row>
    <row r="1288" spans="1:17" x14ac:dyDescent="0.25">
      <c r="A1288" s="3" t="s">
        <v>1686</v>
      </c>
      <c r="B1288" s="164" t="str">
        <f>RIGHT(TDays[[#This Row],[تاریخ]],2)</f>
        <v>05</v>
      </c>
      <c r="C1288" s="164" t="str">
        <f>RIGHT(LEFT(TDays[[#This Row],[تاریخ]],7),2)</f>
        <v>07</v>
      </c>
      <c r="D1288" s="164" t="str">
        <f>LEFT(TDays[[#This Row],[تاریخ]],4)</f>
        <v>1404</v>
      </c>
      <c r="E1288" s="164" t="str">
        <f>LEFT(TDays[[#This Row],[تاریخ]],7)</f>
        <v>1404-07</v>
      </c>
      <c r="F1288">
        <v>0</v>
      </c>
      <c r="G1288" s="165" t="str">
        <f>VLOOKUP(TDays[[#This Row],[کد روز هفته]],TDaysOfTheWeek[],2,FALSE)</f>
        <v>شنبه</v>
      </c>
      <c r="H1288" s="165">
        <f>IFERROR(IF(E1287&lt;&gt;E1288,1,INT(H1287)+IF(TDays[[#This Row],[کد روز هفته]]=0,1,0)),1)</f>
        <v>2</v>
      </c>
      <c r="I1288" s="164">
        <f>-SUMIF(TArticle[تاریخ],TDays[[#This Row],[تاریخ]],TArticle[هزینه])</f>
        <v>0</v>
      </c>
      <c r="J1288" s="164">
        <f>SUMIF(TArticle[تاریخ],TDays[[#This Row],[تاریخ]],TArticle[درآمد تتا])</f>
        <v>0</v>
      </c>
      <c r="K1288" s="164">
        <f>SUMIF(TArticle[تاریخ],TDays[[#This Row],[تاریخ]],TArticle[اسنپ])</f>
        <v>0</v>
      </c>
      <c r="L1288" s="164">
        <f>-SUMIF(TArticle[تاریخ],TDays[[#This Row],[تاریخ]],TArticle[پرداخت بدهی])</f>
        <v>0</v>
      </c>
      <c r="M1288" s="164">
        <f>SUMIF(TArticle[تاریخ],TDays[[#This Row],[تاریخ]],TArticle[افزایش بدهی])</f>
        <v>0</v>
      </c>
      <c r="N1288" s="164">
        <f>-SUMIF(TArticle[تاریخ],TDays[[#This Row],[تاریخ]],TArticle[افزایش سرمایه])</f>
        <v>0</v>
      </c>
      <c r="O1288" s="164">
        <f>SUMIF(TArticle[تاریخ],TDays[[#This Row],[تاریخ]],TArticle[تعداد تراکنش انجام شده])</f>
        <v>0</v>
      </c>
      <c r="P1288" s="164">
        <f>INT(((TDays[[#This Row],[ماه]]-1)*31+TDays[[#This Row],[روز]]+1)/7)+1</f>
        <v>28</v>
      </c>
      <c r="Q1288" s="164">
        <f>SUMIF(TArticle[تاریخ],TDays[[#This Row],[تاریخ]],TArticle[تراکنش برنامه ریزی شده])</f>
        <v>0</v>
      </c>
    </row>
    <row r="1289" spans="1:17" x14ac:dyDescent="0.25">
      <c r="A1289" s="3" t="s">
        <v>1875</v>
      </c>
      <c r="B1289" s="164" t="str">
        <f>RIGHT(TDays[[#This Row],[تاریخ]],2)</f>
        <v>06</v>
      </c>
      <c r="C1289" s="164" t="str">
        <f>RIGHT(LEFT(TDays[[#This Row],[تاریخ]],7),2)</f>
        <v>07</v>
      </c>
      <c r="D1289" s="164" t="str">
        <f>LEFT(TDays[[#This Row],[تاریخ]],4)</f>
        <v>1404</v>
      </c>
      <c r="E1289" s="164" t="str">
        <f>LEFT(TDays[[#This Row],[تاریخ]],7)</f>
        <v>1404-07</v>
      </c>
      <c r="F1289">
        <v>1</v>
      </c>
      <c r="G1289" s="165" t="str">
        <f>VLOOKUP(TDays[[#This Row],[کد روز هفته]],TDaysOfTheWeek[],2,FALSE)</f>
        <v>یکشنبه</v>
      </c>
      <c r="H1289" s="165">
        <f>IFERROR(IF(E1288&lt;&gt;E1289,1,INT(H1288)+IF(TDays[[#This Row],[کد روز هفته]]=0,1,0)),1)</f>
        <v>2</v>
      </c>
      <c r="I1289" s="164">
        <f>-SUMIF(TArticle[تاریخ],TDays[[#This Row],[تاریخ]],TArticle[هزینه])</f>
        <v>0</v>
      </c>
      <c r="J1289" s="164">
        <f>SUMIF(TArticle[تاریخ],TDays[[#This Row],[تاریخ]],TArticle[درآمد تتا])</f>
        <v>0</v>
      </c>
      <c r="K1289" s="164">
        <f>SUMIF(TArticle[تاریخ],TDays[[#This Row],[تاریخ]],TArticle[اسنپ])</f>
        <v>0</v>
      </c>
      <c r="L1289" s="164">
        <f>-SUMIF(TArticle[تاریخ],TDays[[#This Row],[تاریخ]],TArticle[پرداخت بدهی])</f>
        <v>0</v>
      </c>
      <c r="M1289" s="164">
        <f>SUMIF(TArticle[تاریخ],TDays[[#This Row],[تاریخ]],TArticle[افزایش بدهی])</f>
        <v>0</v>
      </c>
      <c r="N1289" s="164">
        <f>-SUMIF(TArticle[تاریخ],TDays[[#This Row],[تاریخ]],TArticle[افزایش سرمایه])</f>
        <v>0</v>
      </c>
      <c r="O1289" s="164">
        <f>SUMIF(TArticle[تاریخ],TDays[[#This Row],[تاریخ]],TArticle[تعداد تراکنش انجام شده])</f>
        <v>0</v>
      </c>
      <c r="P1289" s="164">
        <f>INT(((TDays[[#This Row],[ماه]]-1)*31+TDays[[#This Row],[روز]]+1)/7)+1</f>
        <v>28</v>
      </c>
      <c r="Q1289" s="164">
        <f>SUMIF(TArticle[تاریخ],TDays[[#This Row],[تاریخ]],TArticle[تراکنش برنامه ریزی شده])</f>
        <v>0</v>
      </c>
    </row>
    <row r="1290" spans="1:17" x14ac:dyDescent="0.25">
      <c r="A1290" s="3" t="s">
        <v>1876</v>
      </c>
      <c r="B1290" s="164" t="str">
        <f>RIGHT(TDays[[#This Row],[تاریخ]],2)</f>
        <v>07</v>
      </c>
      <c r="C1290" s="164" t="str">
        <f>RIGHT(LEFT(TDays[[#This Row],[تاریخ]],7),2)</f>
        <v>07</v>
      </c>
      <c r="D1290" s="164" t="str">
        <f>LEFT(TDays[[#This Row],[تاریخ]],4)</f>
        <v>1404</v>
      </c>
      <c r="E1290" s="164" t="str">
        <f>LEFT(TDays[[#This Row],[تاریخ]],7)</f>
        <v>1404-07</v>
      </c>
      <c r="F1290">
        <v>2</v>
      </c>
      <c r="G1290" s="165" t="str">
        <f>VLOOKUP(TDays[[#This Row],[کد روز هفته]],TDaysOfTheWeek[],2,FALSE)</f>
        <v>دوشنبه</v>
      </c>
      <c r="H1290" s="165">
        <f>IFERROR(IF(E1289&lt;&gt;E1290,1,INT(H1289)+IF(TDays[[#This Row],[کد روز هفته]]=0,1,0)),1)</f>
        <v>2</v>
      </c>
      <c r="I1290" s="164">
        <f>-SUMIF(TArticle[تاریخ],TDays[[#This Row],[تاریخ]],TArticle[هزینه])</f>
        <v>0</v>
      </c>
      <c r="J1290" s="164">
        <f>SUMIF(TArticle[تاریخ],TDays[[#This Row],[تاریخ]],TArticle[درآمد تتا])</f>
        <v>0</v>
      </c>
      <c r="K1290" s="164">
        <f>SUMIF(TArticle[تاریخ],TDays[[#This Row],[تاریخ]],TArticle[اسنپ])</f>
        <v>0</v>
      </c>
      <c r="L1290" s="164">
        <f>-SUMIF(TArticle[تاریخ],TDays[[#This Row],[تاریخ]],TArticle[پرداخت بدهی])</f>
        <v>0</v>
      </c>
      <c r="M1290" s="164">
        <f>SUMIF(TArticle[تاریخ],TDays[[#This Row],[تاریخ]],TArticle[افزایش بدهی])</f>
        <v>0</v>
      </c>
      <c r="N1290" s="164">
        <f>-SUMIF(TArticle[تاریخ],TDays[[#This Row],[تاریخ]],TArticle[افزایش سرمایه])</f>
        <v>0</v>
      </c>
      <c r="O1290" s="164">
        <f>SUMIF(TArticle[تاریخ],TDays[[#This Row],[تاریخ]],TArticle[تعداد تراکنش انجام شده])</f>
        <v>0</v>
      </c>
      <c r="P1290" s="164">
        <f>INT(((TDays[[#This Row],[ماه]]-1)*31+TDays[[#This Row],[روز]]+1)/7)+1</f>
        <v>28</v>
      </c>
      <c r="Q1290" s="164">
        <f>SUMIF(TArticle[تاریخ],TDays[[#This Row],[تاریخ]],TArticle[تراکنش برنامه ریزی شده])</f>
        <v>0</v>
      </c>
    </row>
    <row r="1291" spans="1:17" x14ac:dyDescent="0.25">
      <c r="A1291" s="3" t="s">
        <v>1877</v>
      </c>
      <c r="B1291" s="164" t="str">
        <f>RIGHT(TDays[[#This Row],[تاریخ]],2)</f>
        <v>08</v>
      </c>
      <c r="C1291" s="164" t="str">
        <f>RIGHT(LEFT(TDays[[#This Row],[تاریخ]],7),2)</f>
        <v>07</v>
      </c>
      <c r="D1291" s="164" t="str">
        <f>LEFT(TDays[[#This Row],[تاریخ]],4)</f>
        <v>1404</v>
      </c>
      <c r="E1291" s="164" t="str">
        <f>LEFT(TDays[[#This Row],[تاریخ]],7)</f>
        <v>1404-07</v>
      </c>
      <c r="F1291">
        <v>3</v>
      </c>
      <c r="G1291" s="165" t="str">
        <f>VLOOKUP(TDays[[#This Row],[کد روز هفته]],TDaysOfTheWeek[],2,FALSE)</f>
        <v>سه شنبه</v>
      </c>
      <c r="H1291" s="165">
        <f>IFERROR(IF(E1290&lt;&gt;E1291,1,INT(H1290)+IF(TDays[[#This Row],[کد روز هفته]]=0,1,0)),1)</f>
        <v>2</v>
      </c>
      <c r="I1291" s="164">
        <f>-SUMIF(TArticle[تاریخ],TDays[[#This Row],[تاریخ]],TArticle[هزینه])</f>
        <v>0</v>
      </c>
      <c r="J1291" s="164">
        <f>SUMIF(TArticle[تاریخ],TDays[[#This Row],[تاریخ]],TArticle[درآمد تتا])</f>
        <v>0</v>
      </c>
      <c r="K1291" s="164">
        <f>SUMIF(TArticle[تاریخ],TDays[[#This Row],[تاریخ]],TArticle[اسنپ])</f>
        <v>0</v>
      </c>
      <c r="L1291" s="164">
        <f>-SUMIF(TArticle[تاریخ],TDays[[#This Row],[تاریخ]],TArticle[پرداخت بدهی])</f>
        <v>0</v>
      </c>
      <c r="M1291" s="164">
        <f>SUMIF(TArticle[تاریخ],TDays[[#This Row],[تاریخ]],TArticle[افزایش بدهی])</f>
        <v>0</v>
      </c>
      <c r="N1291" s="164">
        <f>-SUMIF(TArticle[تاریخ],TDays[[#This Row],[تاریخ]],TArticle[افزایش سرمایه])</f>
        <v>0</v>
      </c>
      <c r="O1291" s="164">
        <f>SUMIF(TArticle[تاریخ],TDays[[#This Row],[تاریخ]],TArticle[تعداد تراکنش انجام شده])</f>
        <v>0</v>
      </c>
      <c r="P1291" s="164">
        <f>INT(((TDays[[#This Row],[ماه]]-1)*31+TDays[[#This Row],[روز]]+1)/7)+1</f>
        <v>28</v>
      </c>
      <c r="Q1291" s="164">
        <f>SUMIF(TArticle[تاریخ],TDays[[#This Row],[تاریخ]],TArticle[تراکنش برنامه ریزی شده])</f>
        <v>0</v>
      </c>
    </row>
    <row r="1292" spans="1:17" x14ac:dyDescent="0.25">
      <c r="A1292" s="3" t="s">
        <v>1878</v>
      </c>
      <c r="B1292" s="164" t="str">
        <f>RIGHT(TDays[[#This Row],[تاریخ]],2)</f>
        <v>09</v>
      </c>
      <c r="C1292" s="164" t="str">
        <f>RIGHT(LEFT(TDays[[#This Row],[تاریخ]],7),2)</f>
        <v>07</v>
      </c>
      <c r="D1292" s="164" t="str">
        <f>LEFT(TDays[[#This Row],[تاریخ]],4)</f>
        <v>1404</v>
      </c>
      <c r="E1292" s="164" t="str">
        <f>LEFT(TDays[[#This Row],[تاریخ]],7)</f>
        <v>1404-07</v>
      </c>
      <c r="F1292">
        <v>4</v>
      </c>
      <c r="G1292" s="165" t="str">
        <f>VLOOKUP(TDays[[#This Row],[کد روز هفته]],TDaysOfTheWeek[],2,FALSE)</f>
        <v>چهارشنبه</v>
      </c>
      <c r="H1292" s="165">
        <f>IFERROR(IF(E1291&lt;&gt;E1292,1,INT(H1291)+IF(TDays[[#This Row],[کد روز هفته]]=0,1,0)),1)</f>
        <v>2</v>
      </c>
      <c r="I1292" s="164">
        <f>-SUMIF(TArticle[تاریخ],TDays[[#This Row],[تاریخ]],TArticle[هزینه])</f>
        <v>0</v>
      </c>
      <c r="J1292" s="164">
        <f>SUMIF(TArticle[تاریخ],TDays[[#This Row],[تاریخ]],TArticle[درآمد تتا])</f>
        <v>0</v>
      </c>
      <c r="K1292" s="164">
        <f>SUMIF(TArticle[تاریخ],TDays[[#This Row],[تاریخ]],TArticle[اسنپ])</f>
        <v>0</v>
      </c>
      <c r="L1292" s="164">
        <f>-SUMIF(TArticle[تاریخ],TDays[[#This Row],[تاریخ]],TArticle[پرداخت بدهی])</f>
        <v>0</v>
      </c>
      <c r="M1292" s="164">
        <f>SUMIF(TArticle[تاریخ],TDays[[#This Row],[تاریخ]],TArticle[افزایش بدهی])</f>
        <v>0</v>
      </c>
      <c r="N1292" s="164">
        <f>-SUMIF(TArticle[تاریخ],TDays[[#This Row],[تاریخ]],TArticle[افزایش سرمایه])</f>
        <v>0</v>
      </c>
      <c r="O1292" s="164">
        <f>SUMIF(TArticle[تاریخ],TDays[[#This Row],[تاریخ]],TArticle[تعداد تراکنش انجام شده])</f>
        <v>0</v>
      </c>
      <c r="P1292" s="164">
        <f>INT(((TDays[[#This Row],[ماه]]-1)*31+TDays[[#This Row],[روز]]+1)/7)+1</f>
        <v>29</v>
      </c>
      <c r="Q1292" s="164">
        <f>SUMIF(TArticle[تاریخ],TDays[[#This Row],[تاریخ]],TArticle[تراکنش برنامه ریزی شده])</f>
        <v>1</v>
      </c>
    </row>
    <row r="1293" spans="1:17" x14ac:dyDescent="0.25">
      <c r="A1293" s="3" t="s">
        <v>1879</v>
      </c>
      <c r="B1293" s="164" t="str">
        <f>RIGHT(TDays[[#This Row],[تاریخ]],2)</f>
        <v>10</v>
      </c>
      <c r="C1293" s="164" t="str">
        <f>RIGHT(LEFT(TDays[[#This Row],[تاریخ]],7),2)</f>
        <v>07</v>
      </c>
      <c r="D1293" s="164" t="str">
        <f>LEFT(TDays[[#This Row],[تاریخ]],4)</f>
        <v>1404</v>
      </c>
      <c r="E1293" s="164" t="str">
        <f>LEFT(TDays[[#This Row],[تاریخ]],7)</f>
        <v>1404-07</v>
      </c>
      <c r="F1293">
        <v>5</v>
      </c>
      <c r="G1293" s="165" t="str">
        <f>VLOOKUP(TDays[[#This Row],[کد روز هفته]],TDaysOfTheWeek[],2,FALSE)</f>
        <v>پنجشنبه</v>
      </c>
      <c r="H1293" s="165">
        <f>IFERROR(IF(E1292&lt;&gt;E1293,1,INT(H1292)+IF(TDays[[#This Row],[کد روز هفته]]=0,1,0)),1)</f>
        <v>2</v>
      </c>
      <c r="I1293" s="164">
        <f>-SUMIF(TArticle[تاریخ],TDays[[#This Row],[تاریخ]],TArticle[هزینه])</f>
        <v>0</v>
      </c>
      <c r="J1293" s="164">
        <f>SUMIF(TArticle[تاریخ],TDays[[#This Row],[تاریخ]],TArticle[درآمد تتا])</f>
        <v>0</v>
      </c>
      <c r="K1293" s="164">
        <f>SUMIF(TArticle[تاریخ],TDays[[#This Row],[تاریخ]],TArticle[اسنپ])</f>
        <v>0</v>
      </c>
      <c r="L1293" s="164">
        <f>-SUMIF(TArticle[تاریخ],TDays[[#This Row],[تاریخ]],TArticle[پرداخت بدهی])</f>
        <v>0</v>
      </c>
      <c r="M1293" s="164">
        <f>SUMIF(TArticle[تاریخ],TDays[[#This Row],[تاریخ]],TArticle[افزایش بدهی])</f>
        <v>0</v>
      </c>
      <c r="N1293" s="164">
        <f>-SUMIF(TArticle[تاریخ],TDays[[#This Row],[تاریخ]],TArticle[افزایش سرمایه])</f>
        <v>0</v>
      </c>
      <c r="O1293" s="164">
        <f>SUMIF(TArticle[تاریخ],TDays[[#This Row],[تاریخ]],TArticle[تعداد تراکنش انجام شده])</f>
        <v>0</v>
      </c>
      <c r="P1293" s="164">
        <f>INT(((TDays[[#This Row],[ماه]]-1)*31+TDays[[#This Row],[روز]]+1)/7)+1</f>
        <v>29</v>
      </c>
      <c r="Q1293" s="164">
        <f>SUMIF(TArticle[تاریخ],TDays[[#This Row],[تاریخ]],TArticle[تراکنش برنامه ریزی شده])</f>
        <v>0</v>
      </c>
    </row>
    <row r="1294" spans="1:17" x14ac:dyDescent="0.25">
      <c r="A1294" s="3" t="s">
        <v>1880</v>
      </c>
      <c r="B1294" s="164" t="str">
        <f>RIGHT(TDays[[#This Row],[تاریخ]],2)</f>
        <v>11</v>
      </c>
      <c r="C1294" s="164" t="str">
        <f>RIGHT(LEFT(TDays[[#This Row],[تاریخ]],7),2)</f>
        <v>07</v>
      </c>
      <c r="D1294" s="164" t="str">
        <f>LEFT(TDays[[#This Row],[تاریخ]],4)</f>
        <v>1404</v>
      </c>
      <c r="E1294" s="164" t="str">
        <f>LEFT(TDays[[#This Row],[تاریخ]],7)</f>
        <v>1404-07</v>
      </c>
      <c r="F1294">
        <v>6</v>
      </c>
      <c r="G1294" s="165" t="str">
        <f>VLOOKUP(TDays[[#This Row],[کد روز هفته]],TDaysOfTheWeek[],2,FALSE)</f>
        <v>جمعه</v>
      </c>
      <c r="H1294" s="165">
        <f>IFERROR(IF(E1293&lt;&gt;E1294,1,INT(H1293)+IF(TDays[[#This Row],[کد روز هفته]]=0,1,0)),1)</f>
        <v>2</v>
      </c>
      <c r="I1294" s="164">
        <f>-SUMIF(TArticle[تاریخ],TDays[[#This Row],[تاریخ]],TArticle[هزینه])</f>
        <v>0</v>
      </c>
      <c r="J1294" s="164">
        <f>SUMIF(TArticle[تاریخ],TDays[[#This Row],[تاریخ]],TArticle[درآمد تتا])</f>
        <v>0</v>
      </c>
      <c r="K1294" s="164">
        <f>SUMIF(TArticle[تاریخ],TDays[[#This Row],[تاریخ]],TArticle[اسنپ])</f>
        <v>0</v>
      </c>
      <c r="L1294" s="164">
        <f>-SUMIF(TArticle[تاریخ],TDays[[#This Row],[تاریخ]],TArticle[پرداخت بدهی])</f>
        <v>0</v>
      </c>
      <c r="M1294" s="164">
        <f>SUMIF(TArticle[تاریخ],TDays[[#This Row],[تاریخ]],TArticle[افزایش بدهی])</f>
        <v>0</v>
      </c>
      <c r="N1294" s="164">
        <f>-SUMIF(TArticle[تاریخ],TDays[[#This Row],[تاریخ]],TArticle[افزایش سرمایه])</f>
        <v>0</v>
      </c>
      <c r="O1294" s="164">
        <f>SUMIF(TArticle[تاریخ],TDays[[#This Row],[تاریخ]],TArticle[تعداد تراکنش انجام شده])</f>
        <v>0</v>
      </c>
      <c r="P1294" s="164">
        <f>INT(((TDays[[#This Row],[ماه]]-1)*31+TDays[[#This Row],[روز]]+1)/7)+1</f>
        <v>29</v>
      </c>
      <c r="Q1294" s="164">
        <f>SUMIF(TArticle[تاریخ],TDays[[#This Row],[تاریخ]],TArticle[تراکنش برنامه ریزی شده])</f>
        <v>0</v>
      </c>
    </row>
    <row r="1295" spans="1:17" x14ac:dyDescent="0.25">
      <c r="A1295" s="3" t="s">
        <v>1881</v>
      </c>
      <c r="B1295" s="164" t="str">
        <f>RIGHT(TDays[[#This Row],[تاریخ]],2)</f>
        <v>12</v>
      </c>
      <c r="C1295" s="164" t="str">
        <f>RIGHT(LEFT(TDays[[#This Row],[تاریخ]],7),2)</f>
        <v>07</v>
      </c>
      <c r="D1295" s="164" t="str">
        <f>LEFT(TDays[[#This Row],[تاریخ]],4)</f>
        <v>1404</v>
      </c>
      <c r="E1295" s="164" t="str">
        <f>LEFT(TDays[[#This Row],[تاریخ]],7)</f>
        <v>1404-07</v>
      </c>
      <c r="F1295">
        <v>0</v>
      </c>
      <c r="G1295" s="165" t="str">
        <f>VLOOKUP(TDays[[#This Row],[کد روز هفته]],TDaysOfTheWeek[],2,FALSE)</f>
        <v>شنبه</v>
      </c>
      <c r="H1295" s="165">
        <f>IFERROR(IF(E1294&lt;&gt;E1295,1,INT(H1294)+IF(TDays[[#This Row],[کد روز هفته]]=0,1,0)),1)</f>
        <v>3</v>
      </c>
      <c r="I1295" s="164">
        <f>-SUMIF(TArticle[تاریخ],TDays[[#This Row],[تاریخ]],TArticle[هزینه])</f>
        <v>0</v>
      </c>
      <c r="J1295" s="164">
        <f>SUMIF(TArticle[تاریخ],TDays[[#This Row],[تاریخ]],TArticle[درآمد تتا])</f>
        <v>0</v>
      </c>
      <c r="K1295" s="164">
        <f>SUMIF(TArticle[تاریخ],TDays[[#This Row],[تاریخ]],TArticle[اسنپ])</f>
        <v>0</v>
      </c>
      <c r="L1295" s="164">
        <f>-SUMIF(TArticle[تاریخ],TDays[[#This Row],[تاریخ]],TArticle[پرداخت بدهی])</f>
        <v>0</v>
      </c>
      <c r="M1295" s="164">
        <f>SUMIF(TArticle[تاریخ],TDays[[#This Row],[تاریخ]],TArticle[افزایش بدهی])</f>
        <v>0</v>
      </c>
      <c r="N1295" s="164">
        <f>-SUMIF(TArticle[تاریخ],TDays[[#This Row],[تاریخ]],TArticle[افزایش سرمایه])</f>
        <v>0</v>
      </c>
      <c r="O1295" s="164">
        <f>SUMIF(TArticle[تاریخ],TDays[[#This Row],[تاریخ]],TArticle[تعداد تراکنش انجام شده])</f>
        <v>0</v>
      </c>
      <c r="P1295" s="164">
        <f>INT(((TDays[[#This Row],[ماه]]-1)*31+TDays[[#This Row],[روز]]+1)/7)+1</f>
        <v>29</v>
      </c>
      <c r="Q1295" s="164">
        <f>SUMIF(TArticle[تاریخ],TDays[[#This Row],[تاریخ]],TArticle[تراکنش برنامه ریزی شده])</f>
        <v>0</v>
      </c>
    </row>
    <row r="1296" spans="1:17" x14ac:dyDescent="0.25">
      <c r="A1296" s="3" t="s">
        <v>1882</v>
      </c>
      <c r="B1296" s="164" t="str">
        <f>RIGHT(TDays[[#This Row],[تاریخ]],2)</f>
        <v>13</v>
      </c>
      <c r="C1296" s="164" t="str">
        <f>RIGHT(LEFT(TDays[[#This Row],[تاریخ]],7),2)</f>
        <v>07</v>
      </c>
      <c r="D1296" s="164" t="str">
        <f>LEFT(TDays[[#This Row],[تاریخ]],4)</f>
        <v>1404</v>
      </c>
      <c r="E1296" s="164" t="str">
        <f>LEFT(TDays[[#This Row],[تاریخ]],7)</f>
        <v>1404-07</v>
      </c>
      <c r="F1296">
        <v>1</v>
      </c>
      <c r="G1296" s="165" t="str">
        <f>VLOOKUP(TDays[[#This Row],[کد روز هفته]],TDaysOfTheWeek[],2,FALSE)</f>
        <v>یکشنبه</v>
      </c>
      <c r="H1296" s="165">
        <f>IFERROR(IF(E1295&lt;&gt;E1296,1,INT(H1295)+IF(TDays[[#This Row],[کد روز هفته]]=0,1,0)),1)</f>
        <v>3</v>
      </c>
      <c r="I1296" s="164">
        <f>-SUMIF(TArticle[تاریخ],TDays[[#This Row],[تاریخ]],TArticle[هزینه])</f>
        <v>0</v>
      </c>
      <c r="J1296" s="164">
        <f>SUMIF(TArticle[تاریخ],TDays[[#This Row],[تاریخ]],TArticle[درآمد تتا])</f>
        <v>0</v>
      </c>
      <c r="K1296" s="164">
        <f>SUMIF(TArticle[تاریخ],TDays[[#This Row],[تاریخ]],TArticle[اسنپ])</f>
        <v>0</v>
      </c>
      <c r="L1296" s="164">
        <f>-SUMIF(TArticle[تاریخ],TDays[[#This Row],[تاریخ]],TArticle[پرداخت بدهی])</f>
        <v>0</v>
      </c>
      <c r="M1296" s="164">
        <f>SUMIF(TArticle[تاریخ],TDays[[#This Row],[تاریخ]],TArticle[افزایش بدهی])</f>
        <v>0</v>
      </c>
      <c r="N1296" s="164">
        <f>-SUMIF(TArticle[تاریخ],TDays[[#This Row],[تاریخ]],TArticle[افزایش سرمایه])</f>
        <v>0</v>
      </c>
      <c r="O1296" s="164">
        <f>SUMIF(TArticle[تاریخ],TDays[[#This Row],[تاریخ]],TArticle[تعداد تراکنش انجام شده])</f>
        <v>0</v>
      </c>
      <c r="P1296" s="164">
        <f>INT(((TDays[[#This Row],[ماه]]-1)*31+TDays[[#This Row],[روز]]+1)/7)+1</f>
        <v>29</v>
      </c>
      <c r="Q1296" s="164">
        <f>SUMIF(TArticle[تاریخ],TDays[[#This Row],[تاریخ]],TArticle[تراکنش برنامه ریزی شده])</f>
        <v>0</v>
      </c>
    </row>
    <row r="1297" spans="1:17" x14ac:dyDescent="0.25">
      <c r="A1297" s="3" t="s">
        <v>1883</v>
      </c>
      <c r="B1297" s="164" t="str">
        <f>RIGHT(TDays[[#This Row],[تاریخ]],2)</f>
        <v>14</v>
      </c>
      <c r="C1297" s="164" t="str">
        <f>RIGHT(LEFT(TDays[[#This Row],[تاریخ]],7),2)</f>
        <v>07</v>
      </c>
      <c r="D1297" s="164" t="str">
        <f>LEFT(TDays[[#This Row],[تاریخ]],4)</f>
        <v>1404</v>
      </c>
      <c r="E1297" s="164" t="str">
        <f>LEFT(TDays[[#This Row],[تاریخ]],7)</f>
        <v>1404-07</v>
      </c>
      <c r="F1297">
        <v>2</v>
      </c>
      <c r="G1297" s="165" t="str">
        <f>VLOOKUP(TDays[[#This Row],[کد روز هفته]],TDaysOfTheWeek[],2,FALSE)</f>
        <v>دوشنبه</v>
      </c>
      <c r="H1297" s="165">
        <f>IFERROR(IF(E1296&lt;&gt;E1297,1,INT(H1296)+IF(TDays[[#This Row],[کد روز هفته]]=0,1,0)),1)</f>
        <v>3</v>
      </c>
      <c r="I1297" s="164">
        <f>-SUMIF(TArticle[تاریخ],TDays[[#This Row],[تاریخ]],TArticle[هزینه])</f>
        <v>0</v>
      </c>
      <c r="J1297" s="164">
        <f>SUMIF(TArticle[تاریخ],TDays[[#This Row],[تاریخ]],TArticle[درآمد تتا])</f>
        <v>0</v>
      </c>
      <c r="K1297" s="164">
        <f>SUMIF(TArticle[تاریخ],TDays[[#This Row],[تاریخ]],TArticle[اسنپ])</f>
        <v>0</v>
      </c>
      <c r="L1297" s="164">
        <f>-SUMIF(TArticle[تاریخ],TDays[[#This Row],[تاریخ]],TArticle[پرداخت بدهی])</f>
        <v>0</v>
      </c>
      <c r="M1297" s="164">
        <f>SUMIF(TArticle[تاریخ],TDays[[#This Row],[تاریخ]],TArticle[افزایش بدهی])</f>
        <v>0</v>
      </c>
      <c r="N1297" s="164">
        <f>-SUMIF(TArticle[تاریخ],TDays[[#This Row],[تاریخ]],TArticle[افزایش سرمایه])</f>
        <v>0</v>
      </c>
      <c r="O1297" s="164">
        <f>SUMIF(TArticle[تاریخ],TDays[[#This Row],[تاریخ]],TArticle[تعداد تراکنش انجام شده])</f>
        <v>0</v>
      </c>
      <c r="P1297" s="164">
        <f>INT(((TDays[[#This Row],[ماه]]-1)*31+TDays[[#This Row],[روز]]+1)/7)+1</f>
        <v>29</v>
      </c>
      <c r="Q1297" s="164">
        <f>SUMIF(TArticle[تاریخ],TDays[[#This Row],[تاریخ]],TArticle[تراکنش برنامه ریزی شده])</f>
        <v>0</v>
      </c>
    </row>
    <row r="1298" spans="1:17" x14ac:dyDescent="0.25">
      <c r="A1298" s="3" t="s">
        <v>1884</v>
      </c>
      <c r="B1298" s="164" t="str">
        <f>RIGHT(TDays[[#This Row],[تاریخ]],2)</f>
        <v>15</v>
      </c>
      <c r="C1298" s="164" t="str">
        <f>RIGHT(LEFT(TDays[[#This Row],[تاریخ]],7),2)</f>
        <v>07</v>
      </c>
      <c r="D1298" s="164" t="str">
        <f>LEFT(TDays[[#This Row],[تاریخ]],4)</f>
        <v>1404</v>
      </c>
      <c r="E1298" s="164" t="str">
        <f>LEFT(TDays[[#This Row],[تاریخ]],7)</f>
        <v>1404-07</v>
      </c>
      <c r="F1298">
        <v>3</v>
      </c>
      <c r="G1298" s="165" t="str">
        <f>VLOOKUP(TDays[[#This Row],[کد روز هفته]],TDaysOfTheWeek[],2,FALSE)</f>
        <v>سه شنبه</v>
      </c>
      <c r="H1298" s="165">
        <f>IFERROR(IF(E1297&lt;&gt;E1298,1,INT(H1297)+IF(TDays[[#This Row],[کد روز هفته]]=0,1,0)),1)</f>
        <v>3</v>
      </c>
      <c r="I1298" s="164">
        <f>-SUMIF(TArticle[تاریخ],TDays[[#This Row],[تاریخ]],TArticle[هزینه])</f>
        <v>0</v>
      </c>
      <c r="J1298" s="164">
        <f>SUMIF(TArticle[تاریخ],TDays[[#This Row],[تاریخ]],TArticle[درآمد تتا])</f>
        <v>0</v>
      </c>
      <c r="K1298" s="164">
        <f>SUMIF(TArticle[تاریخ],TDays[[#This Row],[تاریخ]],TArticle[اسنپ])</f>
        <v>0</v>
      </c>
      <c r="L1298" s="164">
        <f>-SUMIF(TArticle[تاریخ],TDays[[#This Row],[تاریخ]],TArticle[پرداخت بدهی])</f>
        <v>0</v>
      </c>
      <c r="M1298" s="164">
        <f>SUMIF(TArticle[تاریخ],TDays[[#This Row],[تاریخ]],TArticle[افزایش بدهی])</f>
        <v>0</v>
      </c>
      <c r="N1298" s="164">
        <f>-SUMIF(TArticle[تاریخ],TDays[[#This Row],[تاریخ]],TArticle[افزایش سرمایه])</f>
        <v>0</v>
      </c>
      <c r="O1298" s="164">
        <f>SUMIF(TArticle[تاریخ],TDays[[#This Row],[تاریخ]],TArticle[تعداد تراکنش انجام شده])</f>
        <v>0</v>
      </c>
      <c r="P1298" s="164">
        <f>INT(((TDays[[#This Row],[ماه]]-1)*31+TDays[[#This Row],[روز]]+1)/7)+1</f>
        <v>29</v>
      </c>
      <c r="Q1298" s="164">
        <f>SUMIF(TArticle[تاریخ],TDays[[#This Row],[تاریخ]],TArticle[تراکنش برنامه ریزی شده])</f>
        <v>0</v>
      </c>
    </row>
    <row r="1299" spans="1:17" x14ac:dyDescent="0.25">
      <c r="A1299" s="3" t="s">
        <v>1885</v>
      </c>
      <c r="B1299" s="164" t="str">
        <f>RIGHT(TDays[[#This Row],[تاریخ]],2)</f>
        <v>16</v>
      </c>
      <c r="C1299" s="164" t="str">
        <f>RIGHT(LEFT(TDays[[#This Row],[تاریخ]],7),2)</f>
        <v>07</v>
      </c>
      <c r="D1299" s="164" t="str">
        <f>LEFT(TDays[[#This Row],[تاریخ]],4)</f>
        <v>1404</v>
      </c>
      <c r="E1299" s="164" t="str">
        <f>LEFT(TDays[[#This Row],[تاریخ]],7)</f>
        <v>1404-07</v>
      </c>
      <c r="F1299">
        <v>4</v>
      </c>
      <c r="G1299" s="165" t="str">
        <f>VLOOKUP(TDays[[#This Row],[کد روز هفته]],TDaysOfTheWeek[],2,FALSE)</f>
        <v>چهارشنبه</v>
      </c>
      <c r="H1299" s="165">
        <f>IFERROR(IF(E1298&lt;&gt;E1299,1,INT(H1298)+IF(TDays[[#This Row],[کد روز هفته]]=0,1,0)),1)</f>
        <v>3</v>
      </c>
      <c r="I1299" s="164">
        <f>-SUMIF(TArticle[تاریخ],TDays[[#This Row],[تاریخ]],TArticle[هزینه])</f>
        <v>0</v>
      </c>
      <c r="J1299" s="164">
        <f>SUMIF(TArticle[تاریخ],TDays[[#This Row],[تاریخ]],TArticle[درآمد تتا])</f>
        <v>0</v>
      </c>
      <c r="K1299" s="164">
        <f>SUMIF(TArticle[تاریخ],TDays[[#This Row],[تاریخ]],TArticle[اسنپ])</f>
        <v>0</v>
      </c>
      <c r="L1299" s="164">
        <f>-SUMIF(TArticle[تاریخ],TDays[[#This Row],[تاریخ]],TArticle[پرداخت بدهی])</f>
        <v>0</v>
      </c>
      <c r="M1299" s="164">
        <f>SUMIF(TArticle[تاریخ],TDays[[#This Row],[تاریخ]],TArticle[افزایش بدهی])</f>
        <v>0</v>
      </c>
      <c r="N1299" s="164">
        <f>-SUMIF(TArticle[تاریخ],TDays[[#This Row],[تاریخ]],TArticle[افزایش سرمایه])</f>
        <v>0</v>
      </c>
      <c r="O1299" s="164">
        <f>SUMIF(TArticle[تاریخ],TDays[[#This Row],[تاریخ]],TArticle[تعداد تراکنش انجام شده])</f>
        <v>0</v>
      </c>
      <c r="P1299" s="164">
        <f>INT(((TDays[[#This Row],[ماه]]-1)*31+TDays[[#This Row],[روز]]+1)/7)+1</f>
        <v>30</v>
      </c>
      <c r="Q1299" s="164">
        <f>SUMIF(TArticle[تاریخ],TDays[[#This Row],[تاریخ]],TArticle[تراکنش برنامه ریزی شده])</f>
        <v>0</v>
      </c>
    </row>
    <row r="1300" spans="1:17" x14ac:dyDescent="0.25">
      <c r="A1300" s="3" t="s">
        <v>1886</v>
      </c>
      <c r="B1300" s="164" t="str">
        <f>RIGHT(TDays[[#This Row],[تاریخ]],2)</f>
        <v>17</v>
      </c>
      <c r="C1300" s="164" t="str">
        <f>RIGHT(LEFT(TDays[[#This Row],[تاریخ]],7),2)</f>
        <v>07</v>
      </c>
      <c r="D1300" s="164" t="str">
        <f>LEFT(TDays[[#This Row],[تاریخ]],4)</f>
        <v>1404</v>
      </c>
      <c r="E1300" s="164" t="str">
        <f>LEFT(TDays[[#This Row],[تاریخ]],7)</f>
        <v>1404-07</v>
      </c>
      <c r="F1300">
        <v>5</v>
      </c>
      <c r="G1300" s="165" t="str">
        <f>VLOOKUP(TDays[[#This Row],[کد روز هفته]],TDaysOfTheWeek[],2,FALSE)</f>
        <v>پنجشنبه</v>
      </c>
      <c r="H1300" s="165">
        <f>IFERROR(IF(E1299&lt;&gt;E1300,1,INT(H1299)+IF(TDays[[#This Row],[کد روز هفته]]=0,1,0)),1)</f>
        <v>3</v>
      </c>
      <c r="I1300" s="164">
        <f>-SUMIF(TArticle[تاریخ],TDays[[#This Row],[تاریخ]],TArticle[هزینه])</f>
        <v>0</v>
      </c>
      <c r="J1300" s="164">
        <f>SUMIF(TArticle[تاریخ],TDays[[#This Row],[تاریخ]],TArticle[درآمد تتا])</f>
        <v>0</v>
      </c>
      <c r="K1300" s="164">
        <f>SUMIF(TArticle[تاریخ],TDays[[#This Row],[تاریخ]],TArticle[اسنپ])</f>
        <v>0</v>
      </c>
      <c r="L1300" s="164">
        <f>-SUMIF(TArticle[تاریخ],TDays[[#This Row],[تاریخ]],TArticle[پرداخت بدهی])</f>
        <v>0</v>
      </c>
      <c r="M1300" s="164">
        <f>SUMIF(TArticle[تاریخ],TDays[[#This Row],[تاریخ]],TArticle[افزایش بدهی])</f>
        <v>0</v>
      </c>
      <c r="N1300" s="164">
        <f>-SUMIF(TArticle[تاریخ],TDays[[#This Row],[تاریخ]],TArticle[افزایش سرمایه])</f>
        <v>0</v>
      </c>
      <c r="O1300" s="164">
        <f>SUMIF(TArticle[تاریخ],TDays[[#This Row],[تاریخ]],TArticle[تعداد تراکنش انجام شده])</f>
        <v>0</v>
      </c>
      <c r="P1300" s="164">
        <f>INT(((TDays[[#This Row],[ماه]]-1)*31+TDays[[#This Row],[روز]]+1)/7)+1</f>
        <v>30</v>
      </c>
      <c r="Q1300" s="164">
        <f>SUMIF(TArticle[تاریخ],TDays[[#This Row],[تاریخ]],TArticle[تراکنش برنامه ریزی شده])</f>
        <v>0</v>
      </c>
    </row>
    <row r="1301" spans="1:17" x14ac:dyDescent="0.25">
      <c r="A1301" s="3" t="s">
        <v>1887</v>
      </c>
      <c r="B1301" s="164" t="str">
        <f>RIGHT(TDays[[#This Row],[تاریخ]],2)</f>
        <v>18</v>
      </c>
      <c r="C1301" s="164" t="str">
        <f>RIGHT(LEFT(TDays[[#This Row],[تاریخ]],7),2)</f>
        <v>07</v>
      </c>
      <c r="D1301" s="164" t="str">
        <f>LEFT(TDays[[#This Row],[تاریخ]],4)</f>
        <v>1404</v>
      </c>
      <c r="E1301" s="164" t="str">
        <f>LEFT(TDays[[#This Row],[تاریخ]],7)</f>
        <v>1404-07</v>
      </c>
      <c r="F1301">
        <v>6</v>
      </c>
      <c r="G1301" s="165" t="str">
        <f>VLOOKUP(TDays[[#This Row],[کد روز هفته]],TDaysOfTheWeek[],2,FALSE)</f>
        <v>جمعه</v>
      </c>
      <c r="H1301" s="165">
        <f>IFERROR(IF(E1300&lt;&gt;E1301,1,INT(H1300)+IF(TDays[[#This Row],[کد روز هفته]]=0,1,0)),1)</f>
        <v>3</v>
      </c>
      <c r="I1301" s="164">
        <f>-SUMIF(TArticle[تاریخ],TDays[[#This Row],[تاریخ]],TArticle[هزینه])</f>
        <v>0</v>
      </c>
      <c r="J1301" s="164">
        <f>SUMIF(TArticle[تاریخ],TDays[[#This Row],[تاریخ]],TArticle[درآمد تتا])</f>
        <v>0</v>
      </c>
      <c r="K1301" s="164">
        <f>SUMIF(TArticle[تاریخ],TDays[[#This Row],[تاریخ]],TArticle[اسنپ])</f>
        <v>0</v>
      </c>
      <c r="L1301" s="164">
        <f>-SUMIF(TArticle[تاریخ],TDays[[#This Row],[تاریخ]],TArticle[پرداخت بدهی])</f>
        <v>0</v>
      </c>
      <c r="M1301" s="164">
        <f>SUMIF(TArticle[تاریخ],TDays[[#This Row],[تاریخ]],TArticle[افزایش بدهی])</f>
        <v>0</v>
      </c>
      <c r="N1301" s="164">
        <f>-SUMIF(TArticle[تاریخ],TDays[[#This Row],[تاریخ]],TArticle[افزایش سرمایه])</f>
        <v>0</v>
      </c>
      <c r="O1301" s="164">
        <f>SUMIF(TArticle[تاریخ],TDays[[#This Row],[تاریخ]],TArticle[تعداد تراکنش انجام شده])</f>
        <v>0</v>
      </c>
      <c r="P1301" s="164">
        <f>INT(((TDays[[#This Row],[ماه]]-1)*31+TDays[[#This Row],[روز]]+1)/7)+1</f>
        <v>30</v>
      </c>
      <c r="Q1301" s="164">
        <f>SUMIF(TArticle[تاریخ],TDays[[#This Row],[تاریخ]],TArticle[تراکنش برنامه ریزی شده])</f>
        <v>0</v>
      </c>
    </row>
    <row r="1302" spans="1:17" x14ac:dyDescent="0.25">
      <c r="A1302" s="3" t="s">
        <v>1888</v>
      </c>
      <c r="B1302" s="164" t="str">
        <f>RIGHT(TDays[[#This Row],[تاریخ]],2)</f>
        <v>19</v>
      </c>
      <c r="C1302" s="164" t="str">
        <f>RIGHT(LEFT(TDays[[#This Row],[تاریخ]],7),2)</f>
        <v>07</v>
      </c>
      <c r="D1302" s="164" t="str">
        <f>LEFT(TDays[[#This Row],[تاریخ]],4)</f>
        <v>1404</v>
      </c>
      <c r="E1302" s="164" t="str">
        <f>LEFT(TDays[[#This Row],[تاریخ]],7)</f>
        <v>1404-07</v>
      </c>
      <c r="F1302">
        <v>0</v>
      </c>
      <c r="G1302" s="165" t="str">
        <f>VLOOKUP(TDays[[#This Row],[کد روز هفته]],TDaysOfTheWeek[],2,FALSE)</f>
        <v>شنبه</v>
      </c>
      <c r="H1302" s="165">
        <f>IFERROR(IF(E1301&lt;&gt;E1302,1,INT(H1301)+IF(TDays[[#This Row],[کد روز هفته]]=0,1,0)),1)</f>
        <v>4</v>
      </c>
      <c r="I1302" s="164">
        <f>-SUMIF(TArticle[تاریخ],TDays[[#This Row],[تاریخ]],TArticle[هزینه])</f>
        <v>0</v>
      </c>
      <c r="J1302" s="164">
        <f>SUMIF(TArticle[تاریخ],TDays[[#This Row],[تاریخ]],TArticle[درآمد تتا])</f>
        <v>0</v>
      </c>
      <c r="K1302" s="164">
        <f>SUMIF(TArticle[تاریخ],TDays[[#This Row],[تاریخ]],TArticle[اسنپ])</f>
        <v>0</v>
      </c>
      <c r="L1302" s="164">
        <f>-SUMIF(TArticle[تاریخ],TDays[[#This Row],[تاریخ]],TArticle[پرداخت بدهی])</f>
        <v>0</v>
      </c>
      <c r="M1302" s="164">
        <f>SUMIF(TArticle[تاریخ],TDays[[#This Row],[تاریخ]],TArticle[افزایش بدهی])</f>
        <v>0</v>
      </c>
      <c r="N1302" s="164">
        <f>-SUMIF(TArticle[تاریخ],TDays[[#This Row],[تاریخ]],TArticle[افزایش سرمایه])</f>
        <v>0</v>
      </c>
      <c r="O1302" s="164">
        <f>SUMIF(TArticle[تاریخ],TDays[[#This Row],[تاریخ]],TArticle[تعداد تراکنش انجام شده])</f>
        <v>0</v>
      </c>
      <c r="P1302" s="164">
        <f>INT(((TDays[[#This Row],[ماه]]-1)*31+TDays[[#This Row],[روز]]+1)/7)+1</f>
        <v>30</v>
      </c>
      <c r="Q1302" s="164">
        <f>SUMIF(TArticle[تاریخ],TDays[[#This Row],[تاریخ]],TArticle[تراکنش برنامه ریزی شده])</f>
        <v>0</v>
      </c>
    </row>
    <row r="1303" spans="1:17" x14ac:dyDescent="0.25">
      <c r="A1303" s="3" t="s">
        <v>1889</v>
      </c>
      <c r="B1303" s="164" t="str">
        <f>RIGHT(TDays[[#This Row],[تاریخ]],2)</f>
        <v>20</v>
      </c>
      <c r="C1303" s="164" t="str">
        <f>RIGHT(LEFT(TDays[[#This Row],[تاریخ]],7),2)</f>
        <v>07</v>
      </c>
      <c r="D1303" s="164" t="str">
        <f>LEFT(TDays[[#This Row],[تاریخ]],4)</f>
        <v>1404</v>
      </c>
      <c r="E1303" s="164" t="str">
        <f>LEFT(TDays[[#This Row],[تاریخ]],7)</f>
        <v>1404-07</v>
      </c>
      <c r="F1303">
        <v>1</v>
      </c>
      <c r="G1303" s="165" t="str">
        <f>VLOOKUP(TDays[[#This Row],[کد روز هفته]],TDaysOfTheWeek[],2,FALSE)</f>
        <v>یکشنبه</v>
      </c>
      <c r="H1303" s="165">
        <f>IFERROR(IF(E1302&lt;&gt;E1303,1,INT(H1302)+IF(TDays[[#This Row],[کد روز هفته]]=0,1,0)),1)</f>
        <v>4</v>
      </c>
      <c r="I1303" s="164">
        <f>-SUMIF(TArticle[تاریخ],TDays[[#This Row],[تاریخ]],TArticle[هزینه])</f>
        <v>0</v>
      </c>
      <c r="J1303" s="164">
        <f>SUMIF(TArticle[تاریخ],TDays[[#This Row],[تاریخ]],TArticle[درآمد تتا])</f>
        <v>0</v>
      </c>
      <c r="K1303" s="164">
        <f>SUMIF(TArticle[تاریخ],TDays[[#This Row],[تاریخ]],TArticle[اسنپ])</f>
        <v>0</v>
      </c>
      <c r="L1303" s="164">
        <f>-SUMIF(TArticle[تاریخ],TDays[[#This Row],[تاریخ]],TArticle[پرداخت بدهی])</f>
        <v>0</v>
      </c>
      <c r="M1303" s="164">
        <f>SUMIF(TArticle[تاریخ],TDays[[#This Row],[تاریخ]],TArticle[افزایش بدهی])</f>
        <v>0</v>
      </c>
      <c r="N1303" s="164">
        <f>-SUMIF(TArticle[تاریخ],TDays[[#This Row],[تاریخ]],TArticle[افزایش سرمایه])</f>
        <v>0</v>
      </c>
      <c r="O1303" s="164">
        <f>SUMIF(TArticle[تاریخ],TDays[[#This Row],[تاریخ]],TArticle[تعداد تراکنش انجام شده])</f>
        <v>0</v>
      </c>
      <c r="P1303" s="164">
        <f>INT(((TDays[[#This Row],[ماه]]-1)*31+TDays[[#This Row],[روز]]+1)/7)+1</f>
        <v>30</v>
      </c>
      <c r="Q1303" s="164">
        <f>SUMIF(TArticle[تاریخ],TDays[[#This Row],[تاریخ]],TArticle[تراکنش برنامه ریزی شده])</f>
        <v>1</v>
      </c>
    </row>
    <row r="1304" spans="1:17" x14ac:dyDescent="0.25">
      <c r="A1304" s="3" t="s">
        <v>1890</v>
      </c>
      <c r="B1304" s="164" t="str">
        <f>RIGHT(TDays[[#This Row],[تاریخ]],2)</f>
        <v>21</v>
      </c>
      <c r="C1304" s="164" t="str">
        <f>RIGHT(LEFT(TDays[[#This Row],[تاریخ]],7),2)</f>
        <v>07</v>
      </c>
      <c r="D1304" s="164" t="str">
        <f>LEFT(TDays[[#This Row],[تاریخ]],4)</f>
        <v>1404</v>
      </c>
      <c r="E1304" s="164" t="str">
        <f>LEFT(TDays[[#This Row],[تاریخ]],7)</f>
        <v>1404-07</v>
      </c>
      <c r="F1304">
        <v>2</v>
      </c>
      <c r="G1304" s="165" t="str">
        <f>VLOOKUP(TDays[[#This Row],[کد روز هفته]],TDaysOfTheWeek[],2,FALSE)</f>
        <v>دوشنبه</v>
      </c>
      <c r="H1304" s="165">
        <f>IFERROR(IF(E1303&lt;&gt;E1304,1,INT(H1303)+IF(TDays[[#This Row],[کد روز هفته]]=0,1,0)),1)</f>
        <v>4</v>
      </c>
      <c r="I1304" s="164">
        <f>-SUMIF(TArticle[تاریخ],TDays[[#This Row],[تاریخ]],TArticle[هزینه])</f>
        <v>0</v>
      </c>
      <c r="J1304" s="164">
        <f>SUMIF(TArticle[تاریخ],TDays[[#This Row],[تاریخ]],TArticle[درآمد تتا])</f>
        <v>0</v>
      </c>
      <c r="K1304" s="164">
        <f>SUMIF(TArticle[تاریخ],TDays[[#This Row],[تاریخ]],TArticle[اسنپ])</f>
        <v>0</v>
      </c>
      <c r="L1304" s="164">
        <f>-SUMIF(TArticle[تاریخ],TDays[[#This Row],[تاریخ]],TArticle[پرداخت بدهی])</f>
        <v>0</v>
      </c>
      <c r="M1304" s="164">
        <f>SUMIF(TArticle[تاریخ],TDays[[#This Row],[تاریخ]],TArticle[افزایش بدهی])</f>
        <v>0</v>
      </c>
      <c r="N1304" s="164">
        <f>-SUMIF(TArticle[تاریخ],TDays[[#This Row],[تاریخ]],TArticle[افزایش سرمایه])</f>
        <v>0</v>
      </c>
      <c r="O1304" s="164">
        <f>SUMIF(TArticle[تاریخ],TDays[[#This Row],[تاریخ]],TArticle[تعداد تراکنش انجام شده])</f>
        <v>0</v>
      </c>
      <c r="P1304" s="164">
        <f>INT(((TDays[[#This Row],[ماه]]-1)*31+TDays[[#This Row],[روز]]+1)/7)+1</f>
        <v>30</v>
      </c>
      <c r="Q1304" s="164">
        <f>SUMIF(TArticle[تاریخ],TDays[[#This Row],[تاریخ]],TArticle[تراکنش برنامه ریزی شده])</f>
        <v>0</v>
      </c>
    </row>
    <row r="1305" spans="1:17" x14ac:dyDescent="0.25">
      <c r="A1305" s="3" t="s">
        <v>1891</v>
      </c>
      <c r="B1305" s="164" t="str">
        <f>RIGHT(TDays[[#This Row],[تاریخ]],2)</f>
        <v>22</v>
      </c>
      <c r="C1305" s="164" t="str">
        <f>RIGHT(LEFT(TDays[[#This Row],[تاریخ]],7),2)</f>
        <v>07</v>
      </c>
      <c r="D1305" s="164" t="str">
        <f>LEFT(TDays[[#This Row],[تاریخ]],4)</f>
        <v>1404</v>
      </c>
      <c r="E1305" s="164" t="str">
        <f>LEFT(TDays[[#This Row],[تاریخ]],7)</f>
        <v>1404-07</v>
      </c>
      <c r="F1305">
        <v>3</v>
      </c>
      <c r="G1305" s="165" t="str">
        <f>VLOOKUP(TDays[[#This Row],[کد روز هفته]],TDaysOfTheWeek[],2,FALSE)</f>
        <v>سه شنبه</v>
      </c>
      <c r="H1305" s="165">
        <f>IFERROR(IF(E1304&lt;&gt;E1305,1,INT(H1304)+IF(TDays[[#This Row],[کد روز هفته]]=0,1,0)),1)</f>
        <v>4</v>
      </c>
      <c r="I1305" s="164">
        <f>-SUMIF(TArticle[تاریخ],TDays[[#This Row],[تاریخ]],TArticle[هزینه])</f>
        <v>0</v>
      </c>
      <c r="J1305" s="164">
        <f>SUMIF(TArticle[تاریخ],TDays[[#This Row],[تاریخ]],TArticle[درآمد تتا])</f>
        <v>0</v>
      </c>
      <c r="K1305" s="164">
        <f>SUMIF(TArticle[تاریخ],TDays[[#This Row],[تاریخ]],TArticle[اسنپ])</f>
        <v>0</v>
      </c>
      <c r="L1305" s="164">
        <f>-SUMIF(TArticle[تاریخ],TDays[[#This Row],[تاریخ]],TArticle[پرداخت بدهی])</f>
        <v>0</v>
      </c>
      <c r="M1305" s="164">
        <f>SUMIF(TArticle[تاریخ],TDays[[#This Row],[تاریخ]],TArticle[افزایش بدهی])</f>
        <v>0</v>
      </c>
      <c r="N1305" s="164">
        <f>-SUMIF(TArticle[تاریخ],TDays[[#This Row],[تاریخ]],TArticle[افزایش سرمایه])</f>
        <v>0</v>
      </c>
      <c r="O1305" s="164">
        <f>SUMIF(TArticle[تاریخ],TDays[[#This Row],[تاریخ]],TArticle[تعداد تراکنش انجام شده])</f>
        <v>0</v>
      </c>
      <c r="P1305" s="164">
        <f>INT(((TDays[[#This Row],[ماه]]-1)*31+TDays[[#This Row],[روز]]+1)/7)+1</f>
        <v>30</v>
      </c>
      <c r="Q1305" s="164">
        <f>SUMIF(TArticle[تاریخ],TDays[[#This Row],[تاریخ]],TArticle[تراکنش برنامه ریزی شده])</f>
        <v>0</v>
      </c>
    </row>
    <row r="1306" spans="1:17" x14ac:dyDescent="0.25">
      <c r="A1306" s="3" t="s">
        <v>1892</v>
      </c>
      <c r="B1306" s="164" t="str">
        <f>RIGHT(TDays[[#This Row],[تاریخ]],2)</f>
        <v>23</v>
      </c>
      <c r="C1306" s="164" t="str">
        <f>RIGHT(LEFT(TDays[[#This Row],[تاریخ]],7),2)</f>
        <v>07</v>
      </c>
      <c r="D1306" s="164" t="str">
        <f>LEFT(TDays[[#This Row],[تاریخ]],4)</f>
        <v>1404</v>
      </c>
      <c r="E1306" s="164" t="str">
        <f>LEFT(TDays[[#This Row],[تاریخ]],7)</f>
        <v>1404-07</v>
      </c>
      <c r="F1306">
        <v>4</v>
      </c>
      <c r="G1306" s="165" t="str">
        <f>VLOOKUP(TDays[[#This Row],[کد روز هفته]],TDaysOfTheWeek[],2,FALSE)</f>
        <v>چهارشنبه</v>
      </c>
      <c r="H1306" s="165">
        <f>IFERROR(IF(E1305&lt;&gt;E1306,1,INT(H1305)+IF(TDays[[#This Row],[کد روز هفته]]=0,1,0)),1)</f>
        <v>4</v>
      </c>
      <c r="I1306" s="164">
        <f>-SUMIF(TArticle[تاریخ],TDays[[#This Row],[تاریخ]],TArticle[هزینه])</f>
        <v>0</v>
      </c>
      <c r="J1306" s="164">
        <f>SUMIF(TArticle[تاریخ],TDays[[#This Row],[تاریخ]],TArticle[درآمد تتا])</f>
        <v>0</v>
      </c>
      <c r="K1306" s="164">
        <f>SUMIF(TArticle[تاریخ],TDays[[#This Row],[تاریخ]],TArticle[اسنپ])</f>
        <v>0</v>
      </c>
      <c r="L1306" s="164">
        <f>-SUMIF(TArticle[تاریخ],TDays[[#This Row],[تاریخ]],TArticle[پرداخت بدهی])</f>
        <v>0</v>
      </c>
      <c r="M1306" s="164">
        <f>SUMIF(TArticle[تاریخ],TDays[[#This Row],[تاریخ]],TArticle[افزایش بدهی])</f>
        <v>0</v>
      </c>
      <c r="N1306" s="164">
        <f>-SUMIF(TArticle[تاریخ],TDays[[#This Row],[تاریخ]],TArticle[افزایش سرمایه])</f>
        <v>0</v>
      </c>
      <c r="O1306" s="164">
        <f>SUMIF(TArticle[تاریخ],TDays[[#This Row],[تاریخ]],TArticle[تعداد تراکنش انجام شده])</f>
        <v>0</v>
      </c>
      <c r="P1306" s="164">
        <f>INT(((TDays[[#This Row],[ماه]]-1)*31+TDays[[#This Row],[روز]]+1)/7)+1</f>
        <v>31</v>
      </c>
      <c r="Q1306" s="164">
        <f>SUMIF(TArticle[تاریخ],TDays[[#This Row],[تاریخ]],TArticle[تراکنش برنامه ریزی شده])</f>
        <v>0</v>
      </c>
    </row>
    <row r="1307" spans="1:17" x14ac:dyDescent="0.25">
      <c r="A1307" s="3" t="s">
        <v>1893</v>
      </c>
      <c r="B1307" s="164" t="str">
        <f>RIGHT(TDays[[#This Row],[تاریخ]],2)</f>
        <v>24</v>
      </c>
      <c r="C1307" s="164" t="str">
        <f>RIGHT(LEFT(TDays[[#This Row],[تاریخ]],7),2)</f>
        <v>07</v>
      </c>
      <c r="D1307" s="164" t="str">
        <f>LEFT(TDays[[#This Row],[تاریخ]],4)</f>
        <v>1404</v>
      </c>
      <c r="E1307" s="164" t="str">
        <f>LEFT(TDays[[#This Row],[تاریخ]],7)</f>
        <v>1404-07</v>
      </c>
      <c r="F1307">
        <v>5</v>
      </c>
      <c r="G1307" s="165" t="str">
        <f>VLOOKUP(TDays[[#This Row],[کد روز هفته]],TDaysOfTheWeek[],2,FALSE)</f>
        <v>پنجشنبه</v>
      </c>
      <c r="H1307" s="165">
        <f>IFERROR(IF(E1306&lt;&gt;E1307,1,INT(H1306)+IF(TDays[[#This Row],[کد روز هفته]]=0,1,0)),1)</f>
        <v>4</v>
      </c>
      <c r="I1307" s="164">
        <f>-SUMIF(TArticle[تاریخ],TDays[[#This Row],[تاریخ]],TArticle[هزینه])</f>
        <v>0</v>
      </c>
      <c r="J1307" s="164">
        <f>SUMIF(TArticle[تاریخ],TDays[[#This Row],[تاریخ]],TArticle[درآمد تتا])</f>
        <v>0</v>
      </c>
      <c r="K1307" s="164">
        <f>SUMIF(TArticle[تاریخ],TDays[[#This Row],[تاریخ]],TArticle[اسنپ])</f>
        <v>0</v>
      </c>
      <c r="L1307" s="164">
        <f>-SUMIF(TArticle[تاریخ],TDays[[#This Row],[تاریخ]],TArticle[پرداخت بدهی])</f>
        <v>0</v>
      </c>
      <c r="M1307" s="164">
        <f>SUMIF(TArticle[تاریخ],TDays[[#This Row],[تاریخ]],TArticle[افزایش بدهی])</f>
        <v>0</v>
      </c>
      <c r="N1307" s="164">
        <f>-SUMIF(TArticle[تاریخ],TDays[[#This Row],[تاریخ]],TArticle[افزایش سرمایه])</f>
        <v>0</v>
      </c>
      <c r="O1307" s="164">
        <f>SUMIF(TArticle[تاریخ],TDays[[#This Row],[تاریخ]],TArticle[تعداد تراکنش انجام شده])</f>
        <v>0</v>
      </c>
      <c r="P1307" s="164">
        <f>INT(((TDays[[#This Row],[ماه]]-1)*31+TDays[[#This Row],[روز]]+1)/7)+1</f>
        <v>31</v>
      </c>
      <c r="Q1307" s="164">
        <f>SUMIF(TArticle[تاریخ],TDays[[#This Row],[تاریخ]],TArticle[تراکنش برنامه ریزی شده])</f>
        <v>0</v>
      </c>
    </row>
    <row r="1308" spans="1:17" x14ac:dyDescent="0.25">
      <c r="A1308" s="3" t="s">
        <v>1894</v>
      </c>
      <c r="B1308" s="164" t="str">
        <f>RIGHT(TDays[[#This Row],[تاریخ]],2)</f>
        <v>25</v>
      </c>
      <c r="C1308" s="164" t="str">
        <f>RIGHT(LEFT(TDays[[#This Row],[تاریخ]],7),2)</f>
        <v>07</v>
      </c>
      <c r="D1308" s="164" t="str">
        <f>LEFT(TDays[[#This Row],[تاریخ]],4)</f>
        <v>1404</v>
      </c>
      <c r="E1308" s="164" t="str">
        <f>LEFT(TDays[[#This Row],[تاریخ]],7)</f>
        <v>1404-07</v>
      </c>
      <c r="F1308">
        <v>6</v>
      </c>
      <c r="G1308" s="165" t="str">
        <f>VLOOKUP(TDays[[#This Row],[کد روز هفته]],TDaysOfTheWeek[],2,FALSE)</f>
        <v>جمعه</v>
      </c>
      <c r="H1308" s="165">
        <f>IFERROR(IF(E1307&lt;&gt;E1308,1,INT(H1307)+IF(TDays[[#This Row],[کد روز هفته]]=0,1,0)),1)</f>
        <v>4</v>
      </c>
      <c r="I1308" s="164">
        <f>-SUMIF(TArticle[تاریخ],TDays[[#This Row],[تاریخ]],TArticle[هزینه])</f>
        <v>0</v>
      </c>
      <c r="J1308" s="164">
        <f>SUMIF(TArticle[تاریخ],TDays[[#This Row],[تاریخ]],TArticle[درآمد تتا])</f>
        <v>0</v>
      </c>
      <c r="K1308" s="164">
        <f>SUMIF(TArticle[تاریخ],TDays[[#This Row],[تاریخ]],TArticle[اسنپ])</f>
        <v>0</v>
      </c>
      <c r="L1308" s="164">
        <f>-SUMIF(TArticle[تاریخ],TDays[[#This Row],[تاریخ]],TArticle[پرداخت بدهی])</f>
        <v>0</v>
      </c>
      <c r="M1308" s="164">
        <f>SUMIF(TArticle[تاریخ],TDays[[#This Row],[تاریخ]],TArticle[افزایش بدهی])</f>
        <v>0</v>
      </c>
      <c r="N1308" s="164">
        <f>-SUMIF(TArticle[تاریخ],TDays[[#This Row],[تاریخ]],TArticle[افزایش سرمایه])</f>
        <v>0</v>
      </c>
      <c r="O1308" s="164">
        <f>SUMIF(TArticle[تاریخ],TDays[[#This Row],[تاریخ]],TArticle[تعداد تراکنش انجام شده])</f>
        <v>0</v>
      </c>
      <c r="P1308" s="164">
        <f>INT(((TDays[[#This Row],[ماه]]-1)*31+TDays[[#This Row],[روز]]+1)/7)+1</f>
        <v>31</v>
      </c>
      <c r="Q1308" s="164">
        <f>SUMIF(TArticle[تاریخ],TDays[[#This Row],[تاریخ]],TArticle[تراکنش برنامه ریزی شده])</f>
        <v>0</v>
      </c>
    </row>
    <row r="1309" spans="1:17" x14ac:dyDescent="0.25">
      <c r="A1309" s="3" t="s">
        <v>1895</v>
      </c>
      <c r="B1309" s="164" t="str">
        <f>RIGHT(TDays[[#This Row],[تاریخ]],2)</f>
        <v>26</v>
      </c>
      <c r="C1309" s="164" t="str">
        <f>RIGHT(LEFT(TDays[[#This Row],[تاریخ]],7),2)</f>
        <v>07</v>
      </c>
      <c r="D1309" s="164" t="str">
        <f>LEFT(TDays[[#This Row],[تاریخ]],4)</f>
        <v>1404</v>
      </c>
      <c r="E1309" s="164" t="str">
        <f>LEFT(TDays[[#This Row],[تاریخ]],7)</f>
        <v>1404-07</v>
      </c>
      <c r="F1309">
        <v>0</v>
      </c>
      <c r="G1309" s="165" t="str">
        <f>VLOOKUP(TDays[[#This Row],[کد روز هفته]],TDaysOfTheWeek[],2,FALSE)</f>
        <v>شنبه</v>
      </c>
      <c r="H1309" s="165">
        <f>IFERROR(IF(E1308&lt;&gt;E1309,1,INT(H1308)+IF(TDays[[#This Row],[کد روز هفته]]=0,1,0)),1)</f>
        <v>5</v>
      </c>
      <c r="I1309" s="164">
        <f>-SUMIF(TArticle[تاریخ],TDays[[#This Row],[تاریخ]],TArticle[هزینه])</f>
        <v>0</v>
      </c>
      <c r="J1309" s="164">
        <f>SUMIF(TArticle[تاریخ],TDays[[#This Row],[تاریخ]],TArticle[درآمد تتا])</f>
        <v>0</v>
      </c>
      <c r="K1309" s="164">
        <f>SUMIF(TArticle[تاریخ],TDays[[#This Row],[تاریخ]],TArticle[اسنپ])</f>
        <v>0</v>
      </c>
      <c r="L1309" s="164">
        <f>-SUMIF(TArticle[تاریخ],TDays[[#This Row],[تاریخ]],TArticle[پرداخت بدهی])</f>
        <v>0</v>
      </c>
      <c r="M1309" s="164">
        <f>SUMIF(TArticle[تاریخ],TDays[[#This Row],[تاریخ]],TArticle[افزایش بدهی])</f>
        <v>0</v>
      </c>
      <c r="N1309" s="164">
        <f>-SUMIF(TArticle[تاریخ],TDays[[#This Row],[تاریخ]],TArticle[افزایش سرمایه])</f>
        <v>0</v>
      </c>
      <c r="O1309" s="164">
        <f>SUMIF(TArticle[تاریخ],TDays[[#This Row],[تاریخ]],TArticle[تعداد تراکنش انجام شده])</f>
        <v>0</v>
      </c>
      <c r="P1309" s="164">
        <f>INT(((TDays[[#This Row],[ماه]]-1)*31+TDays[[#This Row],[روز]]+1)/7)+1</f>
        <v>31</v>
      </c>
      <c r="Q1309" s="164">
        <f>SUMIF(TArticle[تاریخ],TDays[[#This Row],[تاریخ]],TArticle[تراکنش برنامه ریزی شده])</f>
        <v>0</v>
      </c>
    </row>
    <row r="1310" spans="1:17" x14ac:dyDescent="0.25">
      <c r="A1310" s="3" t="s">
        <v>1896</v>
      </c>
      <c r="B1310" s="164" t="str">
        <f>RIGHT(TDays[[#This Row],[تاریخ]],2)</f>
        <v>27</v>
      </c>
      <c r="C1310" s="164" t="str">
        <f>RIGHT(LEFT(TDays[[#This Row],[تاریخ]],7),2)</f>
        <v>07</v>
      </c>
      <c r="D1310" s="164" t="str">
        <f>LEFT(TDays[[#This Row],[تاریخ]],4)</f>
        <v>1404</v>
      </c>
      <c r="E1310" s="164" t="str">
        <f>LEFT(TDays[[#This Row],[تاریخ]],7)</f>
        <v>1404-07</v>
      </c>
      <c r="F1310">
        <v>1</v>
      </c>
      <c r="G1310" s="165" t="str">
        <f>VLOOKUP(TDays[[#This Row],[کد روز هفته]],TDaysOfTheWeek[],2,FALSE)</f>
        <v>یکشنبه</v>
      </c>
      <c r="H1310" s="165">
        <f>IFERROR(IF(E1309&lt;&gt;E1310,1,INT(H1309)+IF(TDays[[#This Row],[کد روز هفته]]=0,1,0)),1)</f>
        <v>5</v>
      </c>
      <c r="I1310" s="164">
        <f>-SUMIF(TArticle[تاریخ],TDays[[#This Row],[تاریخ]],TArticle[هزینه])</f>
        <v>0</v>
      </c>
      <c r="J1310" s="164">
        <f>SUMIF(TArticle[تاریخ],TDays[[#This Row],[تاریخ]],TArticle[درآمد تتا])</f>
        <v>0</v>
      </c>
      <c r="K1310" s="164">
        <f>SUMIF(TArticle[تاریخ],TDays[[#This Row],[تاریخ]],TArticle[اسنپ])</f>
        <v>0</v>
      </c>
      <c r="L1310" s="164">
        <f>-SUMIF(TArticle[تاریخ],TDays[[#This Row],[تاریخ]],TArticle[پرداخت بدهی])</f>
        <v>0</v>
      </c>
      <c r="M1310" s="164">
        <f>SUMIF(TArticle[تاریخ],TDays[[#This Row],[تاریخ]],TArticle[افزایش بدهی])</f>
        <v>0</v>
      </c>
      <c r="N1310" s="164">
        <f>-SUMIF(TArticle[تاریخ],TDays[[#This Row],[تاریخ]],TArticle[افزایش سرمایه])</f>
        <v>0</v>
      </c>
      <c r="O1310" s="164">
        <f>SUMIF(TArticle[تاریخ],TDays[[#This Row],[تاریخ]],TArticle[تعداد تراکنش انجام شده])</f>
        <v>0</v>
      </c>
      <c r="P1310" s="164">
        <f>INT(((TDays[[#This Row],[ماه]]-1)*31+TDays[[#This Row],[روز]]+1)/7)+1</f>
        <v>31</v>
      </c>
      <c r="Q1310" s="164">
        <f>SUMIF(TArticle[تاریخ],TDays[[#This Row],[تاریخ]],TArticle[تراکنش برنامه ریزی شده])</f>
        <v>0</v>
      </c>
    </row>
    <row r="1311" spans="1:17" x14ac:dyDescent="0.25">
      <c r="A1311" s="3" t="s">
        <v>1897</v>
      </c>
      <c r="B1311" s="164" t="str">
        <f>RIGHT(TDays[[#This Row],[تاریخ]],2)</f>
        <v>28</v>
      </c>
      <c r="C1311" s="164" t="str">
        <f>RIGHT(LEFT(TDays[[#This Row],[تاریخ]],7),2)</f>
        <v>07</v>
      </c>
      <c r="D1311" s="164" t="str">
        <f>LEFT(TDays[[#This Row],[تاریخ]],4)</f>
        <v>1404</v>
      </c>
      <c r="E1311" s="164" t="str">
        <f>LEFT(TDays[[#This Row],[تاریخ]],7)</f>
        <v>1404-07</v>
      </c>
      <c r="F1311">
        <v>2</v>
      </c>
      <c r="G1311" s="165" t="str">
        <f>VLOOKUP(TDays[[#This Row],[کد روز هفته]],TDaysOfTheWeek[],2,FALSE)</f>
        <v>دوشنبه</v>
      </c>
      <c r="H1311" s="165">
        <f>IFERROR(IF(E1310&lt;&gt;E1311,1,INT(H1310)+IF(TDays[[#This Row],[کد روز هفته]]=0,1,0)),1)</f>
        <v>5</v>
      </c>
      <c r="I1311" s="164">
        <f>-SUMIF(TArticle[تاریخ],TDays[[#This Row],[تاریخ]],TArticle[هزینه])</f>
        <v>0</v>
      </c>
      <c r="J1311" s="164">
        <f>SUMIF(TArticle[تاریخ],TDays[[#This Row],[تاریخ]],TArticle[درآمد تتا])</f>
        <v>0</v>
      </c>
      <c r="K1311" s="164">
        <f>SUMIF(TArticle[تاریخ],TDays[[#This Row],[تاریخ]],TArticle[اسنپ])</f>
        <v>0</v>
      </c>
      <c r="L1311" s="164">
        <f>-SUMIF(TArticle[تاریخ],TDays[[#This Row],[تاریخ]],TArticle[پرداخت بدهی])</f>
        <v>0</v>
      </c>
      <c r="M1311" s="164">
        <f>SUMIF(TArticle[تاریخ],TDays[[#This Row],[تاریخ]],TArticle[افزایش بدهی])</f>
        <v>0</v>
      </c>
      <c r="N1311" s="164">
        <f>-SUMIF(TArticle[تاریخ],TDays[[#This Row],[تاریخ]],TArticle[افزایش سرمایه])</f>
        <v>0</v>
      </c>
      <c r="O1311" s="164">
        <f>SUMIF(TArticle[تاریخ],TDays[[#This Row],[تاریخ]],TArticle[تعداد تراکنش انجام شده])</f>
        <v>0</v>
      </c>
      <c r="P1311" s="164">
        <f>INT(((TDays[[#This Row],[ماه]]-1)*31+TDays[[#This Row],[روز]]+1)/7)+1</f>
        <v>31</v>
      </c>
      <c r="Q1311" s="164">
        <f>SUMIF(TArticle[تاریخ],TDays[[#This Row],[تاریخ]],TArticle[تراکنش برنامه ریزی شده])</f>
        <v>0</v>
      </c>
    </row>
    <row r="1312" spans="1:17" x14ac:dyDescent="0.25">
      <c r="A1312" s="3" t="s">
        <v>1898</v>
      </c>
      <c r="B1312" s="164" t="str">
        <f>RIGHT(TDays[[#This Row],[تاریخ]],2)</f>
        <v>29</v>
      </c>
      <c r="C1312" s="164" t="str">
        <f>RIGHT(LEFT(TDays[[#This Row],[تاریخ]],7),2)</f>
        <v>07</v>
      </c>
      <c r="D1312" s="164" t="str">
        <f>LEFT(TDays[[#This Row],[تاریخ]],4)</f>
        <v>1404</v>
      </c>
      <c r="E1312" s="164" t="str">
        <f>LEFT(TDays[[#This Row],[تاریخ]],7)</f>
        <v>1404-07</v>
      </c>
      <c r="F1312">
        <v>3</v>
      </c>
      <c r="G1312" s="165" t="str">
        <f>VLOOKUP(TDays[[#This Row],[کد روز هفته]],TDaysOfTheWeek[],2,FALSE)</f>
        <v>سه شنبه</v>
      </c>
      <c r="H1312" s="165">
        <f>IFERROR(IF(E1311&lt;&gt;E1312,1,INT(H1311)+IF(TDays[[#This Row],[کد روز هفته]]=0,1,0)),1)</f>
        <v>5</v>
      </c>
      <c r="I1312" s="164">
        <f>-SUMIF(TArticle[تاریخ],TDays[[#This Row],[تاریخ]],TArticle[هزینه])</f>
        <v>0</v>
      </c>
      <c r="J1312" s="164">
        <f>SUMIF(TArticle[تاریخ],TDays[[#This Row],[تاریخ]],TArticle[درآمد تتا])</f>
        <v>0</v>
      </c>
      <c r="K1312" s="164">
        <f>SUMIF(TArticle[تاریخ],TDays[[#This Row],[تاریخ]],TArticle[اسنپ])</f>
        <v>0</v>
      </c>
      <c r="L1312" s="164">
        <f>-SUMIF(TArticle[تاریخ],TDays[[#This Row],[تاریخ]],TArticle[پرداخت بدهی])</f>
        <v>0</v>
      </c>
      <c r="M1312" s="164">
        <f>SUMIF(TArticle[تاریخ],TDays[[#This Row],[تاریخ]],TArticle[افزایش بدهی])</f>
        <v>0</v>
      </c>
      <c r="N1312" s="164">
        <f>-SUMIF(TArticle[تاریخ],TDays[[#This Row],[تاریخ]],TArticle[افزایش سرمایه])</f>
        <v>0</v>
      </c>
      <c r="O1312" s="164">
        <f>SUMIF(TArticle[تاریخ],TDays[[#This Row],[تاریخ]],TArticle[تعداد تراکنش انجام شده])</f>
        <v>0</v>
      </c>
      <c r="P1312" s="164">
        <f>INT(((TDays[[#This Row],[ماه]]-1)*31+TDays[[#This Row],[روز]]+1)/7)+1</f>
        <v>31</v>
      </c>
      <c r="Q1312" s="164">
        <f>SUMIF(TArticle[تاریخ],TDays[[#This Row],[تاریخ]],TArticle[تراکنش برنامه ریزی شده])</f>
        <v>0</v>
      </c>
    </row>
    <row r="1313" spans="1:17" x14ac:dyDescent="0.25">
      <c r="A1313" s="3" t="s">
        <v>1899</v>
      </c>
      <c r="B1313" s="164" t="str">
        <f>RIGHT(TDays[[#This Row],[تاریخ]],2)</f>
        <v>30</v>
      </c>
      <c r="C1313" s="164" t="str">
        <f>RIGHT(LEFT(TDays[[#This Row],[تاریخ]],7),2)</f>
        <v>07</v>
      </c>
      <c r="D1313" s="164" t="str">
        <f>LEFT(TDays[[#This Row],[تاریخ]],4)</f>
        <v>1404</v>
      </c>
      <c r="E1313" s="164" t="str">
        <f>LEFT(TDays[[#This Row],[تاریخ]],7)</f>
        <v>1404-07</v>
      </c>
      <c r="F1313">
        <v>4</v>
      </c>
      <c r="G1313" s="165" t="str">
        <f>VLOOKUP(TDays[[#This Row],[کد روز هفته]],TDaysOfTheWeek[],2,FALSE)</f>
        <v>چهارشنبه</v>
      </c>
      <c r="H1313" s="165">
        <f>IFERROR(IF(E1312&lt;&gt;E1313,1,INT(H1312)+IF(TDays[[#This Row],[کد روز هفته]]=0,1,0)),1)</f>
        <v>5</v>
      </c>
      <c r="I1313" s="164">
        <f>-SUMIF(TArticle[تاریخ],TDays[[#This Row],[تاریخ]],TArticle[هزینه])</f>
        <v>0</v>
      </c>
      <c r="J1313" s="164">
        <f>SUMIF(TArticle[تاریخ],TDays[[#This Row],[تاریخ]],TArticle[درآمد تتا])</f>
        <v>0</v>
      </c>
      <c r="K1313" s="164">
        <f>SUMIF(TArticle[تاریخ],TDays[[#This Row],[تاریخ]],TArticle[اسنپ])</f>
        <v>0</v>
      </c>
      <c r="L1313" s="164">
        <f>-SUMIF(TArticle[تاریخ],TDays[[#This Row],[تاریخ]],TArticle[پرداخت بدهی])</f>
        <v>0</v>
      </c>
      <c r="M1313" s="164">
        <f>SUMIF(TArticle[تاریخ],TDays[[#This Row],[تاریخ]],TArticle[افزایش بدهی])</f>
        <v>0</v>
      </c>
      <c r="N1313" s="164">
        <f>-SUMIF(TArticle[تاریخ],TDays[[#This Row],[تاریخ]],TArticle[افزایش سرمایه])</f>
        <v>0</v>
      </c>
      <c r="O1313" s="164">
        <f>SUMIF(TArticle[تاریخ],TDays[[#This Row],[تاریخ]],TArticle[تعداد تراکنش انجام شده])</f>
        <v>0</v>
      </c>
      <c r="P1313" s="164">
        <f>INT(((TDays[[#This Row],[ماه]]-1)*31+TDays[[#This Row],[روز]]+1)/7)+1</f>
        <v>32</v>
      </c>
      <c r="Q1313" s="164">
        <f>SUMIF(TArticle[تاریخ],TDays[[#This Row],[تاریخ]],TArticle[تراکنش برنامه ریزی شده])</f>
        <v>0</v>
      </c>
    </row>
    <row r="1314" spans="1:17" x14ac:dyDescent="0.25">
      <c r="A1314" s="3" t="s">
        <v>1900</v>
      </c>
      <c r="B1314" s="164" t="str">
        <f>RIGHT(TDays[[#This Row],[تاریخ]],2)</f>
        <v>01</v>
      </c>
      <c r="C1314" s="164" t="str">
        <f>RIGHT(LEFT(TDays[[#This Row],[تاریخ]],7),2)</f>
        <v>08</v>
      </c>
      <c r="D1314" s="164" t="str">
        <f>LEFT(TDays[[#This Row],[تاریخ]],4)</f>
        <v>1404</v>
      </c>
      <c r="E1314" s="164" t="str">
        <f>LEFT(TDays[[#This Row],[تاریخ]],7)</f>
        <v>1404-08</v>
      </c>
      <c r="F1314">
        <v>5</v>
      </c>
      <c r="G1314" s="165" t="str">
        <f>VLOOKUP(TDays[[#This Row],[کد روز هفته]],TDaysOfTheWeek[],2,FALSE)</f>
        <v>پنجشنبه</v>
      </c>
      <c r="H1314" s="165">
        <f>IFERROR(IF(E1313&lt;&gt;E1314,1,INT(H1313)+IF(TDays[[#This Row],[کد روز هفته]]=0,1,0)),1)</f>
        <v>1</v>
      </c>
      <c r="I1314" s="164">
        <f>-SUMIF(TArticle[تاریخ],TDays[[#This Row],[تاریخ]],TArticle[هزینه])</f>
        <v>0</v>
      </c>
      <c r="J1314" s="164">
        <f>SUMIF(TArticle[تاریخ],TDays[[#This Row],[تاریخ]],TArticle[درآمد تتا])</f>
        <v>0</v>
      </c>
      <c r="K1314" s="164">
        <f>SUMIF(TArticle[تاریخ],TDays[[#This Row],[تاریخ]],TArticle[اسنپ])</f>
        <v>0</v>
      </c>
      <c r="L1314" s="164">
        <f>-SUMIF(TArticle[تاریخ],TDays[[#This Row],[تاریخ]],TArticle[پرداخت بدهی])</f>
        <v>0</v>
      </c>
      <c r="M1314" s="164">
        <f>SUMIF(TArticle[تاریخ],TDays[[#This Row],[تاریخ]],TArticle[افزایش بدهی])</f>
        <v>0</v>
      </c>
      <c r="N1314" s="164">
        <f>-SUMIF(TArticle[تاریخ],TDays[[#This Row],[تاریخ]],TArticle[افزایش سرمایه])</f>
        <v>0</v>
      </c>
      <c r="O1314" s="164">
        <f>SUMIF(TArticle[تاریخ],TDays[[#This Row],[تاریخ]],TArticle[تعداد تراکنش انجام شده])</f>
        <v>0</v>
      </c>
      <c r="P1314" s="164">
        <f>INT(((TDays[[#This Row],[ماه]]-1)*31+TDays[[#This Row],[روز]]+1)/7)+1</f>
        <v>32</v>
      </c>
      <c r="Q1314" s="164">
        <f>SUMIF(TArticle[تاریخ],TDays[[#This Row],[تاریخ]],TArticle[تراکنش برنامه ریزی شده])</f>
        <v>2</v>
      </c>
    </row>
    <row r="1315" spans="1:17" x14ac:dyDescent="0.25">
      <c r="A1315" s="3" t="s">
        <v>1901</v>
      </c>
      <c r="B1315" s="164" t="str">
        <f>RIGHT(TDays[[#This Row],[تاریخ]],2)</f>
        <v>02</v>
      </c>
      <c r="C1315" s="164" t="str">
        <f>RIGHT(LEFT(TDays[[#This Row],[تاریخ]],7),2)</f>
        <v>08</v>
      </c>
      <c r="D1315" s="164" t="str">
        <f>LEFT(TDays[[#This Row],[تاریخ]],4)</f>
        <v>1404</v>
      </c>
      <c r="E1315" s="164" t="str">
        <f>LEFT(TDays[[#This Row],[تاریخ]],7)</f>
        <v>1404-08</v>
      </c>
      <c r="F1315">
        <v>6</v>
      </c>
      <c r="G1315" s="165" t="str">
        <f>VLOOKUP(TDays[[#This Row],[کد روز هفته]],TDaysOfTheWeek[],2,FALSE)</f>
        <v>جمعه</v>
      </c>
      <c r="H1315" s="165">
        <f>IFERROR(IF(E1314&lt;&gt;E1315,1,INT(H1314)+IF(TDays[[#This Row],[کد روز هفته]]=0,1,0)),1)</f>
        <v>1</v>
      </c>
      <c r="I1315" s="164">
        <f>-SUMIF(TArticle[تاریخ],TDays[[#This Row],[تاریخ]],TArticle[هزینه])</f>
        <v>0</v>
      </c>
      <c r="J1315" s="164">
        <f>SUMIF(TArticle[تاریخ],TDays[[#This Row],[تاریخ]],TArticle[درآمد تتا])</f>
        <v>0</v>
      </c>
      <c r="K1315" s="164">
        <f>SUMIF(TArticle[تاریخ],TDays[[#This Row],[تاریخ]],TArticle[اسنپ])</f>
        <v>0</v>
      </c>
      <c r="L1315" s="164">
        <f>-SUMIF(TArticle[تاریخ],TDays[[#This Row],[تاریخ]],TArticle[پرداخت بدهی])</f>
        <v>0</v>
      </c>
      <c r="M1315" s="164">
        <f>SUMIF(TArticle[تاریخ],TDays[[#This Row],[تاریخ]],TArticle[افزایش بدهی])</f>
        <v>0</v>
      </c>
      <c r="N1315" s="164">
        <f>-SUMIF(TArticle[تاریخ],TDays[[#This Row],[تاریخ]],TArticle[افزایش سرمایه])</f>
        <v>0</v>
      </c>
      <c r="O1315" s="164">
        <f>SUMIF(TArticle[تاریخ],TDays[[#This Row],[تاریخ]],TArticle[تعداد تراکنش انجام شده])</f>
        <v>0</v>
      </c>
      <c r="P1315" s="164">
        <f>INT(((TDays[[#This Row],[ماه]]-1)*31+TDays[[#This Row],[روز]]+1)/7)+1</f>
        <v>32</v>
      </c>
      <c r="Q1315" s="164">
        <f>SUMIF(TArticle[تاریخ],TDays[[#This Row],[تاریخ]],TArticle[تراکنش برنامه ریزی شده])</f>
        <v>0</v>
      </c>
    </row>
    <row r="1316" spans="1:17" x14ac:dyDescent="0.25">
      <c r="A1316" s="3" t="s">
        <v>1902</v>
      </c>
      <c r="B1316" s="164" t="str">
        <f>RIGHT(TDays[[#This Row],[تاریخ]],2)</f>
        <v>03</v>
      </c>
      <c r="C1316" s="164" t="str">
        <f>RIGHT(LEFT(TDays[[#This Row],[تاریخ]],7),2)</f>
        <v>08</v>
      </c>
      <c r="D1316" s="164" t="str">
        <f>LEFT(TDays[[#This Row],[تاریخ]],4)</f>
        <v>1404</v>
      </c>
      <c r="E1316" s="164" t="str">
        <f>LEFT(TDays[[#This Row],[تاریخ]],7)</f>
        <v>1404-08</v>
      </c>
      <c r="F1316">
        <v>0</v>
      </c>
      <c r="G1316" s="165" t="str">
        <f>VLOOKUP(TDays[[#This Row],[کد روز هفته]],TDaysOfTheWeek[],2,FALSE)</f>
        <v>شنبه</v>
      </c>
      <c r="H1316" s="165">
        <f>IFERROR(IF(E1315&lt;&gt;E1316,1,INT(H1315)+IF(TDays[[#This Row],[کد روز هفته]]=0,1,0)),1)</f>
        <v>2</v>
      </c>
      <c r="I1316" s="164">
        <f>-SUMIF(TArticle[تاریخ],TDays[[#This Row],[تاریخ]],TArticle[هزینه])</f>
        <v>0</v>
      </c>
      <c r="J1316" s="164">
        <f>SUMIF(TArticle[تاریخ],TDays[[#This Row],[تاریخ]],TArticle[درآمد تتا])</f>
        <v>0</v>
      </c>
      <c r="K1316" s="164">
        <f>SUMIF(TArticle[تاریخ],TDays[[#This Row],[تاریخ]],TArticle[اسنپ])</f>
        <v>0</v>
      </c>
      <c r="L1316" s="164">
        <f>-SUMIF(TArticle[تاریخ],TDays[[#This Row],[تاریخ]],TArticle[پرداخت بدهی])</f>
        <v>0</v>
      </c>
      <c r="M1316" s="164">
        <f>SUMIF(TArticle[تاریخ],TDays[[#This Row],[تاریخ]],TArticle[افزایش بدهی])</f>
        <v>0</v>
      </c>
      <c r="N1316" s="164">
        <f>-SUMIF(TArticle[تاریخ],TDays[[#This Row],[تاریخ]],TArticle[افزایش سرمایه])</f>
        <v>0</v>
      </c>
      <c r="O1316" s="164">
        <f>SUMIF(TArticle[تاریخ],TDays[[#This Row],[تاریخ]],TArticle[تعداد تراکنش انجام شده])</f>
        <v>0</v>
      </c>
      <c r="P1316" s="164">
        <f>INT(((TDays[[#This Row],[ماه]]-1)*31+TDays[[#This Row],[روز]]+1)/7)+1</f>
        <v>32</v>
      </c>
      <c r="Q1316" s="164">
        <f>SUMIF(TArticle[تاریخ],TDays[[#This Row],[تاریخ]],TArticle[تراکنش برنامه ریزی شده])</f>
        <v>1</v>
      </c>
    </row>
    <row r="1317" spans="1:17" x14ac:dyDescent="0.25">
      <c r="A1317" s="3" t="s">
        <v>1903</v>
      </c>
      <c r="B1317" s="164" t="str">
        <f>RIGHT(TDays[[#This Row],[تاریخ]],2)</f>
        <v>04</v>
      </c>
      <c r="C1317" s="164" t="str">
        <f>RIGHT(LEFT(TDays[[#This Row],[تاریخ]],7),2)</f>
        <v>08</v>
      </c>
      <c r="D1317" s="164" t="str">
        <f>LEFT(TDays[[#This Row],[تاریخ]],4)</f>
        <v>1404</v>
      </c>
      <c r="E1317" s="164" t="str">
        <f>LEFT(TDays[[#This Row],[تاریخ]],7)</f>
        <v>1404-08</v>
      </c>
      <c r="F1317">
        <v>1</v>
      </c>
      <c r="G1317" s="165" t="str">
        <f>VLOOKUP(TDays[[#This Row],[کد روز هفته]],TDaysOfTheWeek[],2,FALSE)</f>
        <v>یکشنبه</v>
      </c>
      <c r="H1317" s="165">
        <f>IFERROR(IF(E1316&lt;&gt;E1317,1,INT(H1316)+IF(TDays[[#This Row],[کد روز هفته]]=0,1,0)),1)</f>
        <v>2</v>
      </c>
      <c r="I1317" s="164">
        <f>-SUMIF(TArticle[تاریخ],TDays[[#This Row],[تاریخ]],TArticle[هزینه])</f>
        <v>0</v>
      </c>
      <c r="J1317" s="164">
        <f>SUMIF(TArticle[تاریخ],TDays[[#This Row],[تاریخ]],TArticle[درآمد تتا])</f>
        <v>0</v>
      </c>
      <c r="K1317" s="164">
        <f>SUMIF(TArticle[تاریخ],TDays[[#This Row],[تاریخ]],TArticle[اسنپ])</f>
        <v>0</v>
      </c>
      <c r="L1317" s="164">
        <f>-SUMIF(TArticle[تاریخ],TDays[[#This Row],[تاریخ]],TArticle[پرداخت بدهی])</f>
        <v>0</v>
      </c>
      <c r="M1317" s="164">
        <f>SUMIF(TArticle[تاریخ],TDays[[#This Row],[تاریخ]],TArticle[افزایش بدهی])</f>
        <v>0</v>
      </c>
      <c r="N1317" s="164">
        <f>-SUMIF(TArticle[تاریخ],TDays[[#This Row],[تاریخ]],TArticle[افزایش سرمایه])</f>
        <v>0</v>
      </c>
      <c r="O1317" s="164">
        <f>SUMIF(TArticle[تاریخ],TDays[[#This Row],[تاریخ]],TArticle[تعداد تراکنش انجام شده])</f>
        <v>0</v>
      </c>
      <c r="P1317" s="164">
        <f>INT(((TDays[[#This Row],[ماه]]-1)*31+TDays[[#This Row],[روز]]+1)/7)+1</f>
        <v>32</v>
      </c>
      <c r="Q1317" s="164">
        <f>SUMIF(TArticle[تاریخ],TDays[[#This Row],[تاریخ]],TArticle[تراکنش برنامه ریزی شده])</f>
        <v>0</v>
      </c>
    </row>
    <row r="1318" spans="1:17" x14ac:dyDescent="0.25">
      <c r="A1318" s="3" t="s">
        <v>1687</v>
      </c>
      <c r="B1318" s="164" t="str">
        <f>RIGHT(TDays[[#This Row],[تاریخ]],2)</f>
        <v>05</v>
      </c>
      <c r="C1318" s="164" t="str">
        <f>RIGHT(LEFT(TDays[[#This Row],[تاریخ]],7),2)</f>
        <v>08</v>
      </c>
      <c r="D1318" s="164" t="str">
        <f>LEFT(TDays[[#This Row],[تاریخ]],4)</f>
        <v>1404</v>
      </c>
      <c r="E1318" s="164" t="str">
        <f>LEFT(TDays[[#This Row],[تاریخ]],7)</f>
        <v>1404-08</v>
      </c>
      <c r="F1318">
        <v>2</v>
      </c>
      <c r="G1318" s="165" t="str">
        <f>VLOOKUP(TDays[[#This Row],[کد روز هفته]],TDaysOfTheWeek[],2,FALSE)</f>
        <v>دوشنبه</v>
      </c>
      <c r="H1318" s="165">
        <f>IFERROR(IF(E1317&lt;&gt;E1318,1,INT(H1317)+IF(TDays[[#This Row],[کد روز هفته]]=0,1,0)),1)</f>
        <v>2</v>
      </c>
      <c r="I1318" s="164">
        <f>-SUMIF(TArticle[تاریخ],TDays[[#This Row],[تاریخ]],TArticle[هزینه])</f>
        <v>0</v>
      </c>
      <c r="J1318" s="164">
        <f>SUMIF(TArticle[تاریخ],TDays[[#This Row],[تاریخ]],TArticle[درآمد تتا])</f>
        <v>0</v>
      </c>
      <c r="K1318" s="164">
        <f>SUMIF(TArticle[تاریخ],TDays[[#This Row],[تاریخ]],TArticle[اسنپ])</f>
        <v>0</v>
      </c>
      <c r="L1318" s="164">
        <f>-SUMIF(TArticle[تاریخ],TDays[[#This Row],[تاریخ]],TArticle[پرداخت بدهی])</f>
        <v>0</v>
      </c>
      <c r="M1318" s="164">
        <f>SUMIF(TArticle[تاریخ],TDays[[#This Row],[تاریخ]],TArticle[افزایش بدهی])</f>
        <v>0</v>
      </c>
      <c r="N1318" s="164">
        <f>-SUMIF(TArticle[تاریخ],TDays[[#This Row],[تاریخ]],TArticle[افزایش سرمایه])</f>
        <v>0</v>
      </c>
      <c r="O1318" s="164">
        <f>SUMIF(TArticle[تاریخ],TDays[[#This Row],[تاریخ]],TArticle[تعداد تراکنش انجام شده])</f>
        <v>0</v>
      </c>
      <c r="P1318" s="164">
        <f>INT(((TDays[[#This Row],[ماه]]-1)*31+TDays[[#This Row],[روز]]+1)/7)+1</f>
        <v>32</v>
      </c>
      <c r="Q1318" s="164">
        <f>SUMIF(TArticle[تاریخ],TDays[[#This Row],[تاریخ]],TArticle[تراکنش برنامه ریزی شده])</f>
        <v>0</v>
      </c>
    </row>
    <row r="1319" spans="1:17" x14ac:dyDescent="0.25">
      <c r="A1319" s="3" t="s">
        <v>1904</v>
      </c>
      <c r="B1319" s="164" t="str">
        <f>RIGHT(TDays[[#This Row],[تاریخ]],2)</f>
        <v>06</v>
      </c>
      <c r="C1319" s="164" t="str">
        <f>RIGHT(LEFT(TDays[[#This Row],[تاریخ]],7),2)</f>
        <v>08</v>
      </c>
      <c r="D1319" s="164" t="str">
        <f>LEFT(TDays[[#This Row],[تاریخ]],4)</f>
        <v>1404</v>
      </c>
      <c r="E1319" s="164" t="str">
        <f>LEFT(TDays[[#This Row],[تاریخ]],7)</f>
        <v>1404-08</v>
      </c>
      <c r="F1319">
        <v>3</v>
      </c>
      <c r="G1319" s="165" t="str">
        <f>VLOOKUP(TDays[[#This Row],[کد روز هفته]],TDaysOfTheWeek[],2,FALSE)</f>
        <v>سه شنبه</v>
      </c>
      <c r="H1319" s="165">
        <f>IFERROR(IF(E1318&lt;&gt;E1319,1,INT(H1318)+IF(TDays[[#This Row],[کد روز هفته]]=0,1,0)),1)</f>
        <v>2</v>
      </c>
      <c r="I1319" s="164">
        <f>-SUMIF(TArticle[تاریخ],TDays[[#This Row],[تاریخ]],TArticle[هزینه])</f>
        <v>0</v>
      </c>
      <c r="J1319" s="164">
        <f>SUMIF(TArticle[تاریخ],TDays[[#This Row],[تاریخ]],TArticle[درآمد تتا])</f>
        <v>0</v>
      </c>
      <c r="K1319" s="164">
        <f>SUMIF(TArticle[تاریخ],TDays[[#This Row],[تاریخ]],TArticle[اسنپ])</f>
        <v>0</v>
      </c>
      <c r="L1319" s="164">
        <f>-SUMIF(TArticle[تاریخ],TDays[[#This Row],[تاریخ]],TArticle[پرداخت بدهی])</f>
        <v>0</v>
      </c>
      <c r="M1319" s="164">
        <f>SUMIF(TArticle[تاریخ],TDays[[#This Row],[تاریخ]],TArticle[افزایش بدهی])</f>
        <v>0</v>
      </c>
      <c r="N1319" s="164">
        <f>-SUMIF(TArticle[تاریخ],TDays[[#This Row],[تاریخ]],TArticle[افزایش سرمایه])</f>
        <v>0</v>
      </c>
      <c r="O1319" s="164">
        <f>SUMIF(TArticle[تاریخ],TDays[[#This Row],[تاریخ]],TArticle[تعداد تراکنش انجام شده])</f>
        <v>0</v>
      </c>
      <c r="P1319" s="164">
        <f>INT(((TDays[[#This Row],[ماه]]-1)*31+TDays[[#This Row],[روز]]+1)/7)+1</f>
        <v>33</v>
      </c>
      <c r="Q1319" s="164">
        <f>SUMIF(TArticle[تاریخ],TDays[[#This Row],[تاریخ]],TArticle[تراکنش برنامه ریزی شده])</f>
        <v>0</v>
      </c>
    </row>
    <row r="1320" spans="1:17" x14ac:dyDescent="0.25">
      <c r="A1320" s="3" t="s">
        <v>1905</v>
      </c>
      <c r="B1320" s="164" t="str">
        <f>RIGHT(TDays[[#This Row],[تاریخ]],2)</f>
        <v>07</v>
      </c>
      <c r="C1320" s="164" t="str">
        <f>RIGHT(LEFT(TDays[[#This Row],[تاریخ]],7),2)</f>
        <v>08</v>
      </c>
      <c r="D1320" s="164" t="str">
        <f>LEFT(TDays[[#This Row],[تاریخ]],4)</f>
        <v>1404</v>
      </c>
      <c r="E1320" s="164" t="str">
        <f>LEFT(TDays[[#This Row],[تاریخ]],7)</f>
        <v>1404-08</v>
      </c>
      <c r="F1320">
        <v>4</v>
      </c>
      <c r="G1320" s="165" t="str">
        <f>VLOOKUP(TDays[[#This Row],[کد روز هفته]],TDaysOfTheWeek[],2,FALSE)</f>
        <v>چهارشنبه</v>
      </c>
      <c r="H1320" s="165">
        <f>IFERROR(IF(E1319&lt;&gt;E1320,1,INT(H1319)+IF(TDays[[#This Row],[کد روز هفته]]=0,1,0)),1)</f>
        <v>2</v>
      </c>
      <c r="I1320" s="164">
        <f>-SUMIF(TArticle[تاریخ],TDays[[#This Row],[تاریخ]],TArticle[هزینه])</f>
        <v>0</v>
      </c>
      <c r="J1320" s="164">
        <f>SUMIF(TArticle[تاریخ],TDays[[#This Row],[تاریخ]],TArticle[درآمد تتا])</f>
        <v>0</v>
      </c>
      <c r="K1320" s="164">
        <f>SUMIF(TArticle[تاریخ],TDays[[#This Row],[تاریخ]],TArticle[اسنپ])</f>
        <v>0</v>
      </c>
      <c r="L1320" s="164">
        <f>-SUMIF(TArticle[تاریخ],TDays[[#This Row],[تاریخ]],TArticle[پرداخت بدهی])</f>
        <v>0</v>
      </c>
      <c r="M1320" s="164">
        <f>SUMIF(TArticle[تاریخ],TDays[[#This Row],[تاریخ]],TArticle[افزایش بدهی])</f>
        <v>0</v>
      </c>
      <c r="N1320" s="164">
        <f>-SUMIF(TArticle[تاریخ],TDays[[#This Row],[تاریخ]],TArticle[افزایش سرمایه])</f>
        <v>0</v>
      </c>
      <c r="O1320" s="164">
        <f>SUMIF(TArticle[تاریخ],TDays[[#This Row],[تاریخ]],TArticle[تعداد تراکنش انجام شده])</f>
        <v>0</v>
      </c>
      <c r="P1320" s="164">
        <f>INT(((TDays[[#This Row],[ماه]]-1)*31+TDays[[#This Row],[روز]]+1)/7)+1</f>
        <v>33</v>
      </c>
      <c r="Q1320" s="164">
        <f>SUMIF(TArticle[تاریخ],TDays[[#This Row],[تاریخ]],TArticle[تراکنش برنامه ریزی شده])</f>
        <v>0</v>
      </c>
    </row>
    <row r="1321" spans="1:17" x14ac:dyDescent="0.25">
      <c r="A1321" s="3" t="s">
        <v>1906</v>
      </c>
      <c r="B1321" s="164" t="str">
        <f>RIGHT(TDays[[#This Row],[تاریخ]],2)</f>
        <v>08</v>
      </c>
      <c r="C1321" s="164" t="str">
        <f>RIGHT(LEFT(TDays[[#This Row],[تاریخ]],7),2)</f>
        <v>08</v>
      </c>
      <c r="D1321" s="164" t="str">
        <f>LEFT(TDays[[#This Row],[تاریخ]],4)</f>
        <v>1404</v>
      </c>
      <c r="E1321" s="164" t="str">
        <f>LEFT(TDays[[#This Row],[تاریخ]],7)</f>
        <v>1404-08</v>
      </c>
      <c r="F1321">
        <v>5</v>
      </c>
      <c r="G1321" s="165" t="str">
        <f>VLOOKUP(TDays[[#This Row],[کد روز هفته]],TDaysOfTheWeek[],2,FALSE)</f>
        <v>پنجشنبه</v>
      </c>
      <c r="H1321" s="165">
        <f>IFERROR(IF(E1320&lt;&gt;E1321,1,INT(H1320)+IF(TDays[[#This Row],[کد روز هفته]]=0,1,0)),1)</f>
        <v>2</v>
      </c>
      <c r="I1321" s="164">
        <f>-SUMIF(TArticle[تاریخ],TDays[[#This Row],[تاریخ]],TArticle[هزینه])</f>
        <v>0</v>
      </c>
      <c r="J1321" s="164">
        <f>SUMIF(TArticle[تاریخ],TDays[[#This Row],[تاریخ]],TArticle[درآمد تتا])</f>
        <v>0</v>
      </c>
      <c r="K1321" s="164">
        <f>SUMIF(TArticle[تاریخ],TDays[[#This Row],[تاریخ]],TArticle[اسنپ])</f>
        <v>0</v>
      </c>
      <c r="L1321" s="164">
        <f>-SUMIF(TArticle[تاریخ],TDays[[#This Row],[تاریخ]],TArticle[پرداخت بدهی])</f>
        <v>0</v>
      </c>
      <c r="M1321" s="164">
        <f>SUMIF(TArticle[تاریخ],TDays[[#This Row],[تاریخ]],TArticle[افزایش بدهی])</f>
        <v>0</v>
      </c>
      <c r="N1321" s="164">
        <f>-SUMIF(TArticle[تاریخ],TDays[[#This Row],[تاریخ]],TArticle[افزایش سرمایه])</f>
        <v>0</v>
      </c>
      <c r="O1321" s="164">
        <f>SUMIF(TArticle[تاریخ],TDays[[#This Row],[تاریخ]],TArticle[تعداد تراکنش انجام شده])</f>
        <v>0</v>
      </c>
      <c r="P1321" s="164">
        <f>INT(((TDays[[#This Row],[ماه]]-1)*31+TDays[[#This Row],[روز]]+1)/7)+1</f>
        <v>33</v>
      </c>
      <c r="Q1321" s="164">
        <f>SUMIF(TArticle[تاریخ],TDays[[#This Row],[تاریخ]],TArticle[تراکنش برنامه ریزی شده])</f>
        <v>0</v>
      </c>
    </row>
    <row r="1322" spans="1:17" x14ac:dyDescent="0.25">
      <c r="A1322" s="3" t="s">
        <v>1907</v>
      </c>
      <c r="B1322" s="164" t="str">
        <f>RIGHT(TDays[[#This Row],[تاریخ]],2)</f>
        <v>09</v>
      </c>
      <c r="C1322" s="164" t="str">
        <f>RIGHT(LEFT(TDays[[#This Row],[تاریخ]],7),2)</f>
        <v>08</v>
      </c>
      <c r="D1322" s="164" t="str">
        <f>LEFT(TDays[[#This Row],[تاریخ]],4)</f>
        <v>1404</v>
      </c>
      <c r="E1322" s="164" t="str">
        <f>LEFT(TDays[[#This Row],[تاریخ]],7)</f>
        <v>1404-08</v>
      </c>
      <c r="F1322">
        <v>6</v>
      </c>
      <c r="G1322" s="165" t="str">
        <f>VLOOKUP(TDays[[#This Row],[کد روز هفته]],TDaysOfTheWeek[],2,FALSE)</f>
        <v>جمعه</v>
      </c>
      <c r="H1322" s="165">
        <f>IFERROR(IF(E1321&lt;&gt;E1322,1,INT(H1321)+IF(TDays[[#This Row],[کد روز هفته]]=0,1,0)),1)</f>
        <v>2</v>
      </c>
      <c r="I1322" s="164">
        <f>-SUMIF(TArticle[تاریخ],TDays[[#This Row],[تاریخ]],TArticle[هزینه])</f>
        <v>0</v>
      </c>
      <c r="J1322" s="164">
        <f>SUMIF(TArticle[تاریخ],TDays[[#This Row],[تاریخ]],TArticle[درآمد تتا])</f>
        <v>0</v>
      </c>
      <c r="K1322" s="164">
        <f>SUMIF(TArticle[تاریخ],TDays[[#This Row],[تاریخ]],TArticle[اسنپ])</f>
        <v>0</v>
      </c>
      <c r="L1322" s="164">
        <f>-SUMIF(TArticle[تاریخ],TDays[[#This Row],[تاریخ]],TArticle[پرداخت بدهی])</f>
        <v>0</v>
      </c>
      <c r="M1322" s="164">
        <f>SUMIF(TArticle[تاریخ],TDays[[#This Row],[تاریخ]],TArticle[افزایش بدهی])</f>
        <v>0</v>
      </c>
      <c r="N1322" s="164">
        <f>-SUMIF(TArticle[تاریخ],TDays[[#This Row],[تاریخ]],TArticle[افزایش سرمایه])</f>
        <v>0</v>
      </c>
      <c r="O1322" s="164">
        <f>SUMIF(TArticle[تاریخ],TDays[[#This Row],[تاریخ]],TArticle[تعداد تراکنش انجام شده])</f>
        <v>0</v>
      </c>
      <c r="P1322" s="164">
        <f>INT(((TDays[[#This Row],[ماه]]-1)*31+TDays[[#This Row],[روز]]+1)/7)+1</f>
        <v>33</v>
      </c>
      <c r="Q1322" s="164">
        <f>SUMIF(TArticle[تاریخ],TDays[[#This Row],[تاریخ]],TArticle[تراکنش برنامه ریزی شده])</f>
        <v>1</v>
      </c>
    </row>
    <row r="1323" spans="1:17" x14ac:dyDescent="0.25">
      <c r="A1323" s="3" t="s">
        <v>1908</v>
      </c>
      <c r="B1323" s="164" t="str">
        <f>RIGHT(TDays[[#This Row],[تاریخ]],2)</f>
        <v>10</v>
      </c>
      <c r="C1323" s="164" t="str">
        <f>RIGHT(LEFT(TDays[[#This Row],[تاریخ]],7),2)</f>
        <v>08</v>
      </c>
      <c r="D1323" s="164" t="str">
        <f>LEFT(TDays[[#This Row],[تاریخ]],4)</f>
        <v>1404</v>
      </c>
      <c r="E1323" s="164" t="str">
        <f>LEFT(TDays[[#This Row],[تاریخ]],7)</f>
        <v>1404-08</v>
      </c>
      <c r="F1323">
        <v>0</v>
      </c>
      <c r="G1323" s="165" t="str">
        <f>VLOOKUP(TDays[[#This Row],[کد روز هفته]],TDaysOfTheWeek[],2,FALSE)</f>
        <v>شنبه</v>
      </c>
      <c r="H1323" s="165">
        <f>IFERROR(IF(E1322&lt;&gt;E1323,1,INT(H1322)+IF(TDays[[#This Row],[کد روز هفته]]=0,1,0)),1)</f>
        <v>3</v>
      </c>
      <c r="I1323" s="164">
        <f>-SUMIF(TArticle[تاریخ],TDays[[#This Row],[تاریخ]],TArticle[هزینه])</f>
        <v>0</v>
      </c>
      <c r="J1323" s="164">
        <f>SUMIF(TArticle[تاریخ],TDays[[#This Row],[تاریخ]],TArticle[درآمد تتا])</f>
        <v>0</v>
      </c>
      <c r="K1323" s="164">
        <f>SUMIF(TArticle[تاریخ],TDays[[#This Row],[تاریخ]],TArticle[اسنپ])</f>
        <v>0</v>
      </c>
      <c r="L1323" s="164">
        <f>-SUMIF(TArticle[تاریخ],TDays[[#This Row],[تاریخ]],TArticle[پرداخت بدهی])</f>
        <v>0</v>
      </c>
      <c r="M1323" s="164">
        <f>SUMIF(TArticle[تاریخ],TDays[[#This Row],[تاریخ]],TArticle[افزایش بدهی])</f>
        <v>0</v>
      </c>
      <c r="N1323" s="164">
        <f>-SUMIF(TArticle[تاریخ],TDays[[#This Row],[تاریخ]],TArticle[افزایش سرمایه])</f>
        <v>0</v>
      </c>
      <c r="O1323" s="164">
        <f>SUMIF(TArticle[تاریخ],TDays[[#This Row],[تاریخ]],TArticle[تعداد تراکنش انجام شده])</f>
        <v>0</v>
      </c>
      <c r="P1323" s="164">
        <f>INT(((TDays[[#This Row],[ماه]]-1)*31+TDays[[#This Row],[روز]]+1)/7)+1</f>
        <v>33</v>
      </c>
      <c r="Q1323" s="164">
        <f>SUMIF(TArticle[تاریخ],TDays[[#This Row],[تاریخ]],TArticle[تراکنش برنامه ریزی شده])</f>
        <v>0</v>
      </c>
    </row>
    <row r="1324" spans="1:17" x14ac:dyDescent="0.25">
      <c r="A1324" s="3" t="s">
        <v>1909</v>
      </c>
      <c r="B1324" s="164" t="str">
        <f>RIGHT(TDays[[#This Row],[تاریخ]],2)</f>
        <v>11</v>
      </c>
      <c r="C1324" s="164" t="str">
        <f>RIGHT(LEFT(TDays[[#This Row],[تاریخ]],7),2)</f>
        <v>08</v>
      </c>
      <c r="D1324" s="164" t="str">
        <f>LEFT(TDays[[#This Row],[تاریخ]],4)</f>
        <v>1404</v>
      </c>
      <c r="E1324" s="164" t="str">
        <f>LEFT(TDays[[#This Row],[تاریخ]],7)</f>
        <v>1404-08</v>
      </c>
      <c r="F1324">
        <v>1</v>
      </c>
      <c r="G1324" s="165" t="str">
        <f>VLOOKUP(TDays[[#This Row],[کد روز هفته]],TDaysOfTheWeek[],2,FALSE)</f>
        <v>یکشنبه</v>
      </c>
      <c r="H1324" s="165">
        <f>IFERROR(IF(E1323&lt;&gt;E1324,1,INT(H1323)+IF(TDays[[#This Row],[کد روز هفته]]=0,1,0)),1)</f>
        <v>3</v>
      </c>
      <c r="I1324" s="164">
        <f>-SUMIF(TArticle[تاریخ],TDays[[#This Row],[تاریخ]],TArticle[هزینه])</f>
        <v>0</v>
      </c>
      <c r="J1324" s="164">
        <f>SUMIF(TArticle[تاریخ],TDays[[#This Row],[تاریخ]],TArticle[درآمد تتا])</f>
        <v>0</v>
      </c>
      <c r="K1324" s="164">
        <f>SUMIF(TArticle[تاریخ],TDays[[#This Row],[تاریخ]],TArticle[اسنپ])</f>
        <v>0</v>
      </c>
      <c r="L1324" s="164">
        <f>-SUMIF(TArticle[تاریخ],TDays[[#This Row],[تاریخ]],TArticle[پرداخت بدهی])</f>
        <v>0</v>
      </c>
      <c r="M1324" s="164">
        <f>SUMIF(TArticle[تاریخ],TDays[[#This Row],[تاریخ]],TArticle[افزایش بدهی])</f>
        <v>0</v>
      </c>
      <c r="N1324" s="164">
        <f>-SUMIF(TArticle[تاریخ],TDays[[#This Row],[تاریخ]],TArticle[افزایش سرمایه])</f>
        <v>0</v>
      </c>
      <c r="O1324" s="164">
        <f>SUMIF(TArticle[تاریخ],TDays[[#This Row],[تاریخ]],TArticle[تعداد تراکنش انجام شده])</f>
        <v>0</v>
      </c>
      <c r="P1324" s="164">
        <f>INT(((TDays[[#This Row],[ماه]]-1)*31+TDays[[#This Row],[روز]]+1)/7)+1</f>
        <v>33</v>
      </c>
      <c r="Q1324" s="164">
        <f>SUMIF(TArticle[تاریخ],TDays[[#This Row],[تاریخ]],TArticle[تراکنش برنامه ریزی شده])</f>
        <v>0</v>
      </c>
    </row>
    <row r="1325" spans="1:17" x14ac:dyDescent="0.25">
      <c r="A1325" s="3" t="s">
        <v>1910</v>
      </c>
      <c r="B1325" s="164" t="str">
        <f>RIGHT(TDays[[#This Row],[تاریخ]],2)</f>
        <v>12</v>
      </c>
      <c r="C1325" s="164" t="str">
        <f>RIGHT(LEFT(TDays[[#This Row],[تاریخ]],7),2)</f>
        <v>08</v>
      </c>
      <c r="D1325" s="164" t="str">
        <f>LEFT(TDays[[#This Row],[تاریخ]],4)</f>
        <v>1404</v>
      </c>
      <c r="E1325" s="164" t="str">
        <f>LEFT(TDays[[#This Row],[تاریخ]],7)</f>
        <v>1404-08</v>
      </c>
      <c r="F1325">
        <v>2</v>
      </c>
      <c r="G1325" s="165" t="str">
        <f>VLOOKUP(TDays[[#This Row],[کد روز هفته]],TDaysOfTheWeek[],2,FALSE)</f>
        <v>دوشنبه</v>
      </c>
      <c r="H1325" s="165">
        <f>IFERROR(IF(E1324&lt;&gt;E1325,1,INT(H1324)+IF(TDays[[#This Row],[کد روز هفته]]=0,1,0)),1)</f>
        <v>3</v>
      </c>
      <c r="I1325" s="164">
        <f>-SUMIF(TArticle[تاریخ],TDays[[#This Row],[تاریخ]],TArticle[هزینه])</f>
        <v>0</v>
      </c>
      <c r="J1325" s="164">
        <f>SUMIF(TArticle[تاریخ],TDays[[#This Row],[تاریخ]],TArticle[درآمد تتا])</f>
        <v>0</v>
      </c>
      <c r="K1325" s="164">
        <f>SUMIF(TArticle[تاریخ],TDays[[#This Row],[تاریخ]],TArticle[اسنپ])</f>
        <v>0</v>
      </c>
      <c r="L1325" s="164">
        <f>-SUMIF(TArticle[تاریخ],TDays[[#This Row],[تاریخ]],TArticle[پرداخت بدهی])</f>
        <v>0</v>
      </c>
      <c r="M1325" s="164">
        <f>SUMIF(TArticle[تاریخ],TDays[[#This Row],[تاریخ]],TArticle[افزایش بدهی])</f>
        <v>0</v>
      </c>
      <c r="N1325" s="164">
        <f>-SUMIF(TArticle[تاریخ],TDays[[#This Row],[تاریخ]],TArticle[افزایش سرمایه])</f>
        <v>0</v>
      </c>
      <c r="O1325" s="164">
        <f>SUMIF(TArticle[تاریخ],TDays[[#This Row],[تاریخ]],TArticle[تعداد تراکنش انجام شده])</f>
        <v>0</v>
      </c>
      <c r="P1325" s="164">
        <f>INT(((TDays[[#This Row],[ماه]]-1)*31+TDays[[#This Row],[روز]]+1)/7)+1</f>
        <v>33</v>
      </c>
      <c r="Q1325" s="164">
        <f>SUMIF(TArticle[تاریخ],TDays[[#This Row],[تاریخ]],TArticle[تراکنش برنامه ریزی شده])</f>
        <v>0</v>
      </c>
    </row>
    <row r="1326" spans="1:17" x14ac:dyDescent="0.25">
      <c r="A1326" s="3" t="s">
        <v>1911</v>
      </c>
      <c r="B1326" s="164" t="str">
        <f>RIGHT(TDays[[#This Row],[تاریخ]],2)</f>
        <v>13</v>
      </c>
      <c r="C1326" s="164" t="str">
        <f>RIGHT(LEFT(TDays[[#This Row],[تاریخ]],7),2)</f>
        <v>08</v>
      </c>
      <c r="D1326" s="164" t="str">
        <f>LEFT(TDays[[#This Row],[تاریخ]],4)</f>
        <v>1404</v>
      </c>
      <c r="E1326" s="164" t="str">
        <f>LEFT(TDays[[#This Row],[تاریخ]],7)</f>
        <v>1404-08</v>
      </c>
      <c r="F1326">
        <v>3</v>
      </c>
      <c r="G1326" s="165" t="str">
        <f>VLOOKUP(TDays[[#This Row],[کد روز هفته]],TDaysOfTheWeek[],2,FALSE)</f>
        <v>سه شنبه</v>
      </c>
      <c r="H1326" s="165">
        <f>IFERROR(IF(E1325&lt;&gt;E1326,1,INT(H1325)+IF(TDays[[#This Row],[کد روز هفته]]=0,1,0)),1)</f>
        <v>3</v>
      </c>
      <c r="I1326" s="164">
        <f>-SUMIF(TArticle[تاریخ],TDays[[#This Row],[تاریخ]],TArticle[هزینه])</f>
        <v>0</v>
      </c>
      <c r="J1326" s="164">
        <f>SUMIF(TArticle[تاریخ],TDays[[#This Row],[تاریخ]],TArticle[درآمد تتا])</f>
        <v>0</v>
      </c>
      <c r="K1326" s="164">
        <f>SUMIF(TArticle[تاریخ],TDays[[#This Row],[تاریخ]],TArticle[اسنپ])</f>
        <v>0</v>
      </c>
      <c r="L1326" s="164">
        <f>-SUMIF(TArticle[تاریخ],TDays[[#This Row],[تاریخ]],TArticle[پرداخت بدهی])</f>
        <v>0</v>
      </c>
      <c r="M1326" s="164">
        <f>SUMIF(TArticle[تاریخ],TDays[[#This Row],[تاریخ]],TArticle[افزایش بدهی])</f>
        <v>0</v>
      </c>
      <c r="N1326" s="164">
        <f>-SUMIF(TArticle[تاریخ],TDays[[#This Row],[تاریخ]],TArticle[افزایش سرمایه])</f>
        <v>0</v>
      </c>
      <c r="O1326" s="164">
        <f>SUMIF(TArticle[تاریخ],TDays[[#This Row],[تاریخ]],TArticle[تعداد تراکنش انجام شده])</f>
        <v>0</v>
      </c>
      <c r="P1326" s="164">
        <f>INT(((TDays[[#This Row],[ماه]]-1)*31+TDays[[#This Row],[روز]]+1)/7)+1</f>
        <v>34</v>
      </c>
      <c r="Q1326" s="164">
        <f>SUMIF(TArticle[تاریخ],TDays[[#This Row],[تاریخ]],TArticle[تراکنش برنامه ریزی شده])</f>
        <v>0</v>
      </c>
    </row>
    <row r="1327" spans="1:17" x14ac:dyDescent="0.25">
      <c r="A1327" s="3" t="s">
        <v>1912</v>
      </c>
      <c r="B1327" s="164" t="str">
        <f>RIGHT(TDays[[#This Row],[تاریخ]],2)</f>
        <v>14</v>
      </c>
      <c r="C1327" s="164" t="str">
        <f>RIGHT(LEFT(TDays[[#This Row],[تاریخ]],7),2)</f>
        <v>08</v>
      </c>
      <c r="D1327" s="164" t="str">
        <f>LEFT(TDays[[#This Row],[تاریخ]],4)</f>
        <v>1404</v>
      </c>
      <c r="E1327" s="164" t="str">
        <f>LEFT(TDays[[#This Row],[تاریخ]],7)</f>
        <v>1404-08</v>
      </c>
      <c r="F1327">
        <v>4</v>
      </c>
      <c r="G1327" s="165" t="str">
        <f>VLOOKUP(TDays[[#This Row],[کد روز هفته]],TDaysOfTheWeek[],2,FALSE)</f>
        <v>چهارشنبه</v>
      </c>
      <c r="H1327" s="165">
        <f>IFERROR(IF(E1326&lt;&gt;E1327,1,INT(H1326)+IF(TDays[[#This Row],[کد روز هفته]]=0,1,0)),1)</f>
        <v>3</v>
      </c>
      <c r="I1327" s="164">
        <f>-SUMIF(TArticle[تاریخ],TDays[[#This Row],[تاریخ]],TArticle[هزینه])</f>
        <v>0</v>
      </c>
      <c r="J1327" s="164">
        <f>SUMIF(TArticle[تاریخ],TDays[[#This Row],[تاریخ]],TArticle[درآمد تتا])</f>
        <v>0</v>
      </c>
      <c r="K1327" s="164">
        <f>SUMIF(TArticle[تاریخ],TDays[[#This Row],[تاریخ]],TArticle[اسنپ])</f>
        <v>0</v>
      </c>
      <c r="L1327" s="164">
        <f>-SUMIF(TArticle[تاریخ],TDays[[#This Row],[تاریخ]],TArticle[پرداخت بدهی])</f>
        <v>0</v>
      </c>
      <c r="M1327" s="164">
        <f>SUMIF(TArticle[تاریخ],TDays[[#This Row],[تاریخ]],TArticle[افزایش بدهی])</f>
        <v>0</v>
      </c>
      <c r="N1327" s="164">
        <f>-SUMIF(TArticle[تاریخ],TDays[[#This Row],[تاریخ]],TArticle[افزایش سرمایه])</f>
        <v>0</v>
      </c>
      <c r="O1327" s="164">
        <f>SUMIF(TArticle[تاریخ],TDays[[#This Row],[تاریخ]],TArticle[تعداد تراکنش انجام شده])</f>
        <v>0</v>
      </c>
      <c r="P1327" s="164">
        <f>INT(((TDays[[#This Row],[ماه]]-1)*31+TDays[[#This Row],[روز]]+1)/7)+1</f>
        <v>34</v>
      </c>
      <c r="Q1327" s="164">
        <f>SUMIF(TArticle[تاریخ],TDays[[#This Row],[تاریخ]],TArticle[تراکنش برنامه ریزی شده])</f>
        <v>0</v>
      </c>
    </row>
    <row r="1328" spans="1:17" x14ac:dyDescent="0.25">
      <c r="A1328" s="3" t="s">
        <v>1913</v>
      </c>
      <c r="B1328" s="164" t="str">
        <f>RIGHT(TDays[[#This Row],[تاریخ]],2)</f>
        <v>15</v>
      </c>
      <c r="C1328" s="164" t="str">
        <f>RIGHT(LEFT(TDays[[#This Row],[تاریخ]],7),2)</f>
        <v>08</v>
      </c>
      <c r="D1328" s="164" t="str">
        <f>LEFT(TDays[[#This Row],[تاریخ]],4)</f>
        <v>1404</v>
      </c>
      <c r="E1328" s="164" t="str">
        <f>LEFT(TDays[[#This Row],[تاریخ]],7)</f>
        <v>1404-08</v>
      </c>
      <c r="F1328">
        <v>5</v>
      </c>
      <c r="G1328" s="165" t="str">
        <f>VLOOKUP(TDays[[#This Row],[کد روز هفته]],TDaysOfTheWeek[],2,FALSE)</f>
        <v>پنجشنبه</v>
      </c>
      <c r="H1328" s="165">
        <f>IFERROR(IF(E1327&lt;&gt;E1328,1,INT(H1327)+IF(TDays[[#This Row],[کد روز هفته]]=0,1,0)),1)</f>
        <v>3</v>
      </c>
      <c r="I1328" s="164">
        <f>-SUMIF(TArticle[تاریخ],TDays[[#This Row],[تاریخ]],TArticle[هزینه])</f>
        <v>0</v>
      </c>
      <c r="J1328" s="164">
        <f>SUMIF(TArticle[تاریخ],TDays[[#This Row],[تاریخ]],TArticle[درآمد تتا])</f>
        <v>0</v>
      </c>
      <c r="K1328" s="164">
        <f>SUMIF(TArticle[تاریخ],TDays[[#This Row],[تاریخ]],TArticle[اسنپ])</f>
        <v>0</v>
      </c>
      <c r="L1328" s="164">
        <f>-SUMIF(TArticle[تاریخ],TDays[[#This Row],[تاریخ]],TArticle[پرداخت بدهی])</f>
        <v>0</v>
      </c>
      <c r="M1328" s="164">
        <f>SUMIF(TArticle[تاریخ],TDays[[#This Row],[تاریخ]],TArticle[افزایش بدهی])</f>
        <v>0</v>
      </c>
      <c r="N1328" s="164">
        <f>-SUMIF(TArticle[تاریخ],TDays[[#This Row],[تاریخ]],TArticle[افزایش سرمایه])</f>
        <v>0</v>
      </c>
      <c r="O1328" s="164">
        <f>SUMIF(TArticle[تاریخ],TDays[[#This Row],[تاریخ]],TArticle[تعداد تراکنش انجام شده])</f>
        <v>0</v>
      </c>
      <c r="P1328" s="164">
        <f>INT(((TDays[[#This Row],[ماه]]-1)*31+TDays[[#This Row],[روز]]+1)/7)+1</f>
        <v>34</v>
      </c>
      <c r="Q1328" s="164">
        <f>SUMIF(TArticle[تاریخ],TDays[[#This Row],[تاریخ]],TArticle[تراکنش برنامه ریزی شده])</f>
        <v>0</v>
      </c>
    </row>
    <row r="1329" spans="1:17" x14ac:dyDescent="0.25">
      <c r="A1329" s="3" t="s">
        <v>1914</v>
      </c>
      <c r="B1329" s="164" t="str">
        <f>RIGHT(TDays[[#This Row],[تاریخ]],2)</f>
        <v>16</v>
      </c>
      <c r="C1329" s="164" t="str">
        <f>RIGHT(LEFT(TDays[[#This Row],[تاریخ]],7),2)</f>
        <v>08</v>
      </c>
      <c r="D1329" s="164" t="str">
        <f>LEFT(TDays[[#This Row],[تاریخ]],4)</f>
        <v>1404</v>
      </c>
      <c r="E1329" s="164" t="str">
        <f>LEFT(TDays[[#This Row],[تاریخ]],7)</f>
        <v>1404-08</v>
      </c>
      <c r="F1329">
        <v>6</v>
      </c>
      <c r="G1329" s="165" t="str">
        <f>VLOOKUP(TDays[[#This Row],[کد روز هفته]],TDaysOfTheWeek[],2,FALSE)</f>
        <v>جمعه</v>
      </c>
      <c r="H1329" s="165">
        <f>IFERROR(IF(E1328&lt;&gt;E1329,1,INT(H1328)+IF(TDays[[#This Row],[کد روز هفته]]=0,1,0)),1)</f>
        <v>3</v>
      </c>
      <c r="I1329" s="164">
        <f>-SUMIF(TArticle[تاریخ],TDays[[#This Row],[تاریخ]],TArticle[هزینه])</f>
        <v>0</v>
      </c>
      <c r="J1329" s="164">
        <f>SUMIF(TArticle[تاریخ],TDays[[#This Row],[تاریخ]],TArticle[درآمد تتا])</f>
        <v>0</v>
      </c>
      <c r="K1329" s="164">
        <f>SUMIF(TArticle[تاریخ],TDays[[#This Row],[تاریخ]],TArticle[اسنپ])</f>
        <v>0</v>
      </c>
      <c r="L1329" s="164">
        <f>-SUMIF(TArticle[تاریخ],TDays[[#This Row],[تاریخ]],TArticle[پرداخت بدهی])</f>
        <v>0</v>
      </c>
      <c r="M1329" s="164">
        <f>SUMIF(TArticle[تاریخ],TDays[[#This Row],[تاریخ]],TArticle[افزایش بدهی])</f>
        <v>0</v>
      </c>
      <c r="N1329" s="164">
        <f>-SUMIF(TArticle[تاریخ],TDays[[#This Row],[تاریخ]],TArticle[افزایش سرمایه])</f>
        <v>0</v>
      </c>
      <c r="O1329" s="164">
        <f>SUMIF(TArticle[تاریخ],TDays[[#This Row],[تاریخ]],TArticle[تعداد تراکنش انجام شده])</f>
        <v>0</v>
      </c>
      <c r="P1329" s="164">
        <f>INT(((TDays[[#This Row],[ماه]]-1)*31+TDays[[#This Row],[روز]]+1)/7)+1</f>
        <v>34</v>
      </c>
      <c r="Q1329" s="164">
        <f>SUMIF(TArticle[تاریخ],TDays[[#This Row],[تاریخ]],TArticle[تراکنش برنامه ریزی شده])</f>
        <v>0</v>
      </c>
    </row>
    <row r="1330" spans="1:17" x14ac:dyDescent="0.25">
      <c r="A1330" s="3" t="s">
        <v>1915</v>
      </c>
      <c r="B1330" s="164" t="str">
        <f>RIGHT(TDays[[#This Row],[تاریخ]],2)</f>
        <v>17</v>
      </c>
      <c r="C1330" s="164" t="str">
        <f>RIGHT(LEFT(TDays[[#This Row],[تاریخ]],7),2)</f>
        <v>08</v>
      </c>
      <c r="D1330" s="164" t="str">
        <f>LEFT(TDays[[#This Row],[تاریخ]],4)</f>
        <v>1404</v>
      </c>
      <c r="E1330" s="164" t="str">
        <f>LEFT(TDays[[#This Row],[تاریخ]],7)</f>
        <v>1404-08</v>
      </c>
      <c r="F1330">
        <v>0</v>
      </c>
      <c r="G1330" s="165" t="str">
        <f>VLOOKUP(TDays[[#This Row],[کد روز هفته]],TDaysOfTheWeek[],2,FALSE)</f>
        <v>شنبه</v>
      </c>
      <c r="H1330" s="165">
        <f>IFERROR(IF(E1329&lt;&gt;E1330,1,INT(H1329)+IF(TDays[[#This Row],[کد روز هفته]]=0,1,0)),1)</f>
        <v>4</v>
      </c>
      <c r="I1330" s="164">
        <f>-SUMIF(TArticle[تاریخ],TDays[[#This Row],[تاریخ]],TArticle[هزینه])</f>
        <v>0</v>
      </c>
      <c r="J1330" s="164">
        <f>SUMIF(TArticle[تاریخ],TDays[[#This Row],[تاریخ]],TArticle[درآمد تتا])</f>
        <v>0</v>
      </c>
      <c r="K1330" s="164">
        <f>SUMIF(TArticle[تاریخ],TDays[[#This Row],[تاریخ]],TArticle[اسنپ])</f>
        <v>0</v>
      </c>
      <c r="L1330" s="164">
        <f>-SUMIF(TArticle[تاریخ],TDays[[#This Row],[تاریخ]],TArticle[پرداخت بدهی])</f>
        <v>0</v>
      </c>
      <c r="M1330" s="164">
        <f>SUMIF(TArticle[تاریخ],TDays[[#This Row],[تاریخ]],TArticle[افزایش بدهی])</f>
        <v>0</v>
      </c>
      <c r="N1330" s="164">
        <f>-SUMIF(TArticle[تاریخ],TDays[[#This Row],[تاریخ]],TArticle[افزایش سرمایه])</f>
        <v>0</v>
      </c>
      <c r="O1330" s="164">
        <f>SUMIF(TArticle[تاریخ],TDays[[#This Row],[تاریخ]],TArticle[تعداد تراکنش انجام شده])</f>
        <v>0</v>
      </c>
      <c r="P1330" s="164">
        <f>INT(((TDays[[#This Row],[ماه]]-1)*31+TDays[[#This Row],[روز]]+1)/7)+1</f>
        <v>34</v>
      </c>
      <c r="Q1330" s="164">
        <f>SUMIF(TArticle[تاریخ],TDays[[#This Row],[تاریخ]],TArticle[تراکنش برنامه ریزی شده])</f>
        <v>0</v>
      </c>
    </row>
    <row r="1331" spans="1:17" x14ac:dyDescent="0.25">
      <c r="A1331" s="3" t="s">
        <v>1916</v>
      </c>
      <c r="B1331" s="164" t="str">
        <f>RIGHT(TDays[[#This Row],[تاریخ]],2)</f>
        <v>18</v>
      </c>
      <c r="C1331" s="164" t="str">
        <f>RIGHT(LEFT(TDays[[#This Row],[تاریخ]],7),2)</f>
        <v>08</v>
      </c>
      <c r="D1331" s="164" t="str">
        <f>LEFT(TDays[[#This Row],[تاریخ]],4)</f>
        <v>1404</v>
      </c>
      <c r="E1331" s="164" t="str">
        <f>LEFT(TDays[[#This Row],[تاریخ]],7)</f>
        <v>1404-08</v>
      </c>
      <c r="F1331">
        <v>1</v>
      </c>
      <c r="G1331" s="165" t="str">
        <f>VLOOKUP(TDays[[#This Row],[کد روز هفته]],TDaysOfTheWeek[],2,FALSE)</f>
        <v>یکشنبه</v>
      </c>
      <c r="H1331" s="165">
        <f>IFERROR(IF(E1330&lt;&gt;E1331,1,INT(H1330)+IF(TDays[[#This Row],[کد روز هفته]]=0,1,0)),1)</f>
        <v>4</v>
      </c>
      <c r="I1331" s="164">
        <f>-SUMIF(TArticle[تاریخ],TDays[[#This Row],[تاریخ]],TArticle[هزینه])</f>
        <v>0</v>
      </c>
      <c r="J1331" s="164">
        <f>SUMIF(TArticle[تاریخ],TDays[[#This Row],[تاریخ]],TArticle[درآمد تتا])</f>
        <v>0</v>
      </c>
      <c r="K1331" s="164">
        <f>SUMIF(TArticle[تاریخ],TDays[[#This Row],[تاریخ]],TArticle[اسنپ])</f>
        <v>0</v>
      </c>
      <c r="L1331" s="164">
        <f>-SUMIF(TArticle[تاریخ],TDays[[#This Row],[تاریخ]],TArticle[پرداخت بدهی])</f>
        <v>0</v>
      </c>
      <c r="M1331" s="164">
        <f>SUMIF(TArticle[تاریخ],TDays[[#This Row],[تاریخ]],TArticle[افزایش بدهی])</f>
        <v>0</v>
      </c>
      <c r="N1331" s="164">
        <f>-SUMIF(TArticle[تاریخ],TDays[[#This Row],[تاریخ]],TArticle[افزایش سرمایه])</f>
        <v>0</v>
      </c>
      <c r="O1331" s="164">
        <f>SUMIF(TArticle[تاریخ],TDays[[#This Row],[تاریخ]],TArticle[تعداد تراکنش انجام شده])</f>
        <v>0</v>
      </c>
      <c r="P1331" s="164">
        <f>INT(((TDays[[#This Row],[ماه]]-1)*31+TDays[[#This Row],[روز]]+1)/7)+1</f>
        <v>34</v>
      </c>
      <c r="Q1331" s="164">
        <f>SUMIF(TArticle[تاریخ],TDays[[#This Row],[تاریخ]],TArticle[تراکنش برنامه ریزی شده])</f>
        <v>0</v>
      </c>
    </row>
    <row r="1332" spans="1:17" x14ac:dyDescent="0.25">
      <c r="A1332" s="3" t="s">
        <v>1917</v>
      </c>
      <c r="B1332" s="164" t="str">
        <f>RIGHT(TDays[[#This Row],[تاریخ]],2)</f>
        <v>19</v>
      </c>
      <c r="C1332" s="164" t="str">
        <f>RIGHT(LEFT(TDays[[#This Row],[تاریخ]],7),2)</f>
        <v>08</v>
      </c>
      <c r="D1332" s="164" t="str">
        <f>LEFT(TDays[[#This Row],[تاریخ]],4)</f>
        <v>1404</v>
      </c>
      <c r="E1332" s="164" t="str">
        <f>LEFT(TDays[[#This Row],[تاریخ]],7)</f>
        <v>1404-08</v>
      </c>
      <c r="F1332">
        <v>2</v>
      </c>
      <c r="G1332" s="165" t="str">
        <f>VLOOKUP(TDays[[#This Row],[کد روز هفته]],TDaysOfTheWeek[],2,FALSE)</f>
        <v>دوشنبه</v>
      </c>
      <c r="H1332" s="165">
        <f>IFERROR(IF(E1331&lt;&gt;E1332,1,INT(H1331)+IF(TDays[[#This Row],[کد روز هفته]]=0,1,0)),1)</f>
        <v>4</v>
      </c>
      <c r="I1332" s="164">
        <f>-SUMIF(TArticle[تاریخ],TDays[[#This Row],[تاریخ]],TArticle[هزینه])</f>
        <v>0</v>
      </c>
      <c r="J1332" s="164">
        <f>SUMIF(TArticle[تاریخ],TDays[[#This Row],[تاریخ]],TArticle[درآمد تتا])</f>
        <v>0</v>
      </c>
      <c r="K1332" s="164">
        <f>SUMIF(TArticle[تاریخ],TDays[[#This Row],[تاریخ]],TArticle[اسنپ])</f>
        <v>0</v>
      </c>
      <c r="L1332" s="164">
        <f>-SUMIF(TArticle[تاریخ],TDays[[#This Row],[تاریخ]],TArticle[پرداخت بدهی])</f>
        <v>0</v>
      </c>
      <c r="M1332" s="164">
        <f>SUMIF(TArticle[تاریخ],TDays[[#This Row],[تاریخ]],TArticle[افزایش بدهی])</f>
        <v>0</v>
      </c>
      <c r="N1332" s="164">
        <f>-SUMIF(TArticle[تاریخ],TDays[[#This Row],[تاریخ]],TArticle[افزایش سرمایه])</f>
        <v>0</v>
      </c>
      <c r="O1332" s="164">
        <f>SUMIF(TArticle[تاریخ],TDays[[#This Row],[تاریخ]],TArticle[تعداد تراکنش انجام شده])</f>
        <v>0</v>
      </c>
      <c r="P1332" s="164">
        <f>INT(((TDays[[#This Row],[ماه]]-1)*31+TDays[[#This Row],[روز]]+1)/7)+1</f>
        <v>34</v>
      </c>
      <c r="Q1332" s="164">
        <f>SUMIF(TArticle[تاریخ],TDays[[#This Row],[تاریخ]],TArticle[تراکنش برنامه ریزی شده])</f>
        <v>0</v>
      </c>
    </row>
    <row r="1333" spans="1:17" x14ac:dyDescent="0.25">
      <c r="A1333" s="3" t="s">
        <v>1918</v>
      </c>
      <c r="B1333" s="164" t="str">
        <f>RIGHT(TDays[[#This Row],[تاریخ]],2)</f>
        <v>20</v>
      </c>
      <c r="C1333" s="164" t="str">
        <f>RIGHT(LEFT(TDays[[#This Row],[تاریخ]],7),2)</f>
        <v>08</v>
      </c>
      <c r="D1333" s="164" t="str">
        <f>LEFT(TDays[[#This Row],[تاریخ]],4)</f>
        <v>1404</v>
      </c>
      <c r="E1333" s="164" t="str">
        <f>LEFT(TDays[[#This Row],[تاریخ]],7)</f>
        <v>1404-08</v>
      </c>
      <c r="F1333">
        <v>3</v>
      </c>
      <c r="G1333" s="165" t="str">
        <f>VLOOKUP(TDays[[#This Row],[کد روز هفته]],TDaysOfTheWeek[],2,FALSE)</f>
        <v>سه شنبه</v>
      </c>
      <c r="H1333" s="165">
        <f>IFERROR(IF(E1332&lt;&gt;E1333,1,INT(H1332)+IF(TDays[[#This Row],[کد روز هفته]]=0,1,0)),1)</f>
        <v>4</v>
      </c>
      <c r="I1333" s="164">
        <f>-SUMIF(TArticle[تاریخ],TDays[[#This Row],[تاریخ]],TArticle[هزینه])</f>
        <v>0</v>
      </c>
      <c r="J1333" s="164">
        <f>SUMIF(TArticle[تاریخ],TDays[[#This Row],[تاریخ]],TArticle[درآمد تتا])</f>
        <v>0</v>
      </c>
      <c r="K1333" s="164">
        <f>SUMIF(TArticle[تاریخ],TDays[[#This Row],[تاریخ]],TArticle[اسنپ])</f>
        <v>0</v>
      </c>
      <c r="L1333" s="164">
        <f>-SUMIF(TArticle[تاریخ],TDays[[#This Row],[تاریخ]],TArticle[پرداخت بدهی])</f>
        <v>0</v>
      </c>
      <c r="M1333" s="164">
        <f>SUMIF(TArticle[تاریخ],TDays[[#This Row],[تاریخ]],TArticle[افزایش بدهی])</f>
        <v>0</v>
      </c>
      <c r="N1333" s="164">
        <f>-SUMIF(TArticle[تاریخ],TDays[[#This Row],[تاریخ]],TArticle[افزایش سرمایه])</f>
        <v>0</v>
      </c>
      <c r="O1333" s="164">
        <f>SUMIF(TArticle[تاریخ],TDays[[#This Row],[تاریخ]],TArticle[تعداد تراکنش انجام شده])</f>
        <v>0</v>
      </c>
      <c r="P1333" s="164">
        <f>INT(((TDays[[#This Row],[ماه]]-1)*31+TDays[[#This Row],[روز]]+1)/7)+1</f>
        <v>35</v>
      </c>
      <c r="Q1333" s="164">
        <f>SUMIF(TArticle[تاریخ],TDays[[#This Row],[تاریخ]],TArticle[تراکنش برنامه ریزی شده])</f>
        <v>1</v>
      </c>
    </row>
    <row r="1334" spans="1:17" x14ac:dyDescent="0.25">
      <c r="A1334" s="3" t="s">
        <v>1919</v>
      </c>
      <c r="B1334" s="164" t="str">
        <f>RIGHT(TDays[[#This Row],[تاریخ]],2)</f>
        <v>21</v>
      </c>
      <c r="C1334" s="164" t="str">
        <f>RIGHT(LEFT(TDays[[#This Row],[تاریخ]],7),2)</f>
        <v>08</v>
      </c>
      <c r="D1334" s="164" t="str">
        <f>LEFT(TDays[[#This Row],[تاریخ]],4)</f>
        <v>1404</v>
      </c>
      <c r="E1334" s="164" t="str">
        <f>LEFT(TDays[[#This Row],[تاریخ]],7)</f>
        <v>1404-08</v>
      </c>
      <c r="F1334">
        <v>4</v>
      </c>
      <c r="G1334" s="165" t="str">
        <f>VLOOKUP(TDays[[#This Row],[کد روز هفته]],TDaysOfTheWeek[],2,FALSE)</f>
        <v>چهارشنبه</v>
      </c>
      <c r="H1334" s="165">
        <f>IFERROR(IF(E1333&lt;&gt;E1334,1,INT(H1333)+IF(TDays[[#This Row],[کد روز هفته]]=0,1,0)),1)</f>
        <v>4</v>
      </c>
      <c r="I1334" s="164">
        <f>-SUMIF(TArticle[تاریخ],TDays[[#This Row],[تاریخ]],TArticle[هزینه])</f>
        <v>0</v>
      </c>
      <c r="J1334" s="164">
        <f>SUMIF(TArticle[تاریخ],TDays[[#This Row],[تاریخ]],TArticle[درآمد تتا])</f>
        <v>0</v>
      </c>
      <c r="K1334" s="164">
        <f>SUMIF(TArticle[تاریخ],TDays[[#This Row],[تاریخ]],TArticle[اسنپ])</f>
        <v>0</v>
      </c>
      <c r="L1334" s="164">
        <f>-SUMIF(TArticle[تاریخ],TDays[[#This Row],[تاریخ]],TArticle[پرداخت بدهی])</f>
        <v>0</v>
      </c>
      <c r="M1334" s="164">
        <f>SUMIF(TArticle[تاریخ],TDays[[#This Row],[تاریخ]],TArticle[افزایش بدهی])</f>
        <v>0</v>
      </c>
      <c r="N1334" s="164">
        <f>-SUMIF(TArticle[تاریخ],TDays[[#This Row],[تاریخ]],TArticle[افزایش سرمایه])</f>
        <v>0</v>
      </c>
      <c r="O1334" s="164">
        <f>SUMIF(TArticle[تاریخ],TDays[[#This Row],[تاریخ]],TArticle[تعداد تراکنش انجام شده])</f>
        <v>0</v>
      </c>
      <c r="P1334" s="164">
        <f>INT(((TDays[[#This Row],[ماه]]-1)*31+TDays[[#This Row],[روز]]+1)/7)+1</f>
        <v>35</v>
      </c>
      <c r="Q1334" s="164">
        <f>SUMIF(TArticle[تاریخ],TDays[[#This Row],[تاریخ]],TArticle[تراکنش برنامه ریزی شده])</f>
        <v>0</v>
      </c>
    </row>
    <row r="1335" spans="1:17" x14ac:dyDescent="0.25">
      <c r="A1335" s="3" t="s">
        <v>1920</v>
      </c>
      <c r="B1335" s="164" t="str">
        <f>RIGHT(TDays[[#This Row],[تاریخ]],2)</f>
        <v>22</v>
      </c>
      <c r="C1335" s="164" t="str">
        <f>RIGHT(LEFT(TDays[[#This Row],[تاریخ]],7),2)</f>
        <v>08</v>
      </c>
      <c r="D1335" s="164" t="str">
        <f>LEFT(TDays[[#This Row],[تاریخ]],4)</f>
        <v>1404</v>
      </c>
      <c r="E1335" s="164" t="str">
        <f>LEFT(TDays[[#This Row],[تاریخ]],7)</f>
        <v>1404-08</v>
      </c>
      <c r="F1335">
        <v>5</v>
      </c>
      <c r="G1335" s="165" t="str">
        <f>VLOOKUP(TDays[[#This Row],[کد روز هفته]],TDaysOfTheWeek[],2,FALSE)</f>
        <v>پنجشنبه</v>
      </c>
      <c r="H1335" s="165">
        <f>IFERROR(IF(E1334&lt;&gt;E1335,1,INT(H1334)+IF(TDays[[#This Row],[کد روز هفته]]=0,1,0)),1)</f>
        <v>4</v>
      </c>
      <c r="I1335" s="164">
        <f>-SUMIF(TArticle[تاریخ],TDays[[#This Row],[تاریخ]],TArticle[هزینه])</f>
        <v>0</v>
      </c>
      <c r="J1335" s="164">
        <f>SUMIF(TArticle[تاریخ],TDays[[#This Row],[تاریخ]],TArticle[درآمد تتا])</f>
        <v>0</v>
      </c>
      <c r="K1335" s="164">
        <f>SUMIF(TArticle[تاریخ],TDays[[#This Row],[تاریخ]],TArticle[اسنپ])</f>
        <v>0</v>
      </c>
      <c r="L1335" s="164">
        <f>-SUMIF(TArticle[تاریخ],TDays[[#This Row],[تاریخ]],TArticle[پرداخت بدهی])</f>
        <v>0</v>
      </c>
      <c r="M1335" s="164">
        <f>SUMIF(TArticle[تاریخ],TDays[[#This Row],[تاریخ]],TArticle[افزایش بدهی])</f>
        <v>0</v>
      </c>
      <c r="N1335" s="164">
        <f>-SUMIF(TArticle[تاریخ],TDays[[#This Row],[تاریخ]],TArticle[افزایش سرمایه])</f>
        <v>0</v>
      </c>
      <c r="O1335" s="164">
        <f>SUMIF(TArticle[تاریخ],TDays[[#This Row],[تاریخ]],TArticle[تعداد تراکنش انجام شده])</f>
        <v>0</v>
      </c>
      <c r="P1335" s="164">
        <f>INT(((TDays[[#This Row],[ماه]]-1)*31+TDays[[#This Row],[روز]]+1)/7)+1</f>
        <v>35</v>
      </c>
      <c r="Q1335" s="164">
        <f>SUMIF(TArticle[تاریخ],TDays[[#This Row],[تاریخ]],TArticle[تراکنش برنامه ریزی شده])</f>
        <v>0</v>
      </c>
    </row>
    <row r="1336" spans="1:17" x14ac:dyDescent="0.25">
      <c r="A1336" s="3" t="s">
        <v>1921</v>
      </c>
      <c r="B1336" s="164" t="str">
        <f>RIGHT(TDays[[#This Row],[تاریخ]],2)</f>
        <v>23</v>
      </c>
      <c r="C1336" s="164" t="str">
        <f>RIGHT(LEFT(TDays[[#This Row],[تاریخ]],7),2)</f>
        <v>08</v>
      </c>
      <c r="D1336" s="164" t="str">
        <f>LEFT(TDays[[#This Row],[تاریخ]],4)</f>
        <v>1404</v>
      </c>
      <c r="E1336" s="164" t="str">
        <f>LEFT(TDays[[#This Row],[تاریخ]],7)</f>
        <v>1404-08</v>
      </c>
      <c r="F1336">
        <v>6</v>
      </c>
      <c r="G1336" s="165" t="str">
        <f>VLOOKUP(TDays[[#This Row],[کد روز هفته]],TDaysOfTheWeek[],2,FALSE)</f>
        <v>جمعه</v>
      </c>
      <c r="H1336" s="165">
        <f>IFERROR(IF(E1335&lt;&gt;E1336,1,INT(H1335)+IF(TDays[[#This Row],[کد روز هفته]]=0,1,0)),1)</f>
        <v>4</v>
      </c>
      <c r="I1336" s="164">
        <f>-SUMIF(TArticle[تاریخ],TDays[[#This Row],[تاریخ]],TArticle[هزینه])</f>
        <v>0</v>
      </c>
      <c r="J1336" s="164">
        <f>SUMIF(TArticle[تاریخ],TDays[[#This Row],[تاریخ]],TArticle[درآمد تتا])</f>
        <v>0</v>
      </c>
      <c r="K1336" s="164">
        <f>SUMIF(TArticle[تاریخ],TDays[[#This Row],[تاریخ]],TArticle[اسنپ])</f>
        <v>0</v>
      </c>
      <c r="L1336" s="164">
        <f>-SUMIF(TArticle[تاریخ],TDays[[#This Row],[تاریخ]],TArticle[پرداخت بدهی])</f>
        <v>0</v>
      </c>
      <c r="M1336" s="164">
        <f>SUMIF(TArticle[تاریخ],TDays[[#This Row],[تاریخ]],TArticle[افزایش بدهی])</f>
        <v>0</v>
      </c>
      <c r="N1336" s="164">
        <f>-SUMIF(TArticle[تاریخ],TDays[[#This Row],[تاریخ]],TArticle[افزایش سرمایه])</f>
        <v>0</v>
      </c>
      <c r="O1336" s="164">
        <f>SUMIF(TArticle[تاریخ],TDays[[#This Row],[تاریخ]],TArticle[تعداد تراکنش انجام شده])</f>
        <v>0</v>
      </c>
      <c r="P1336" s="164">
        <f>INT(((TDays[[#This Row],[ماه]]-1)*31+TDays[[#This Row],[روز]]+1)/7)+1</f>
        <v>35</v>
      </c>
      <c r="Q1336" s="164">
        <f>SUMIF(TArticle[تاریخ],TDays[[#This Row],[تاریخ]],TArticle[تراکنش برنامه ریزی شده])</f>
        <v>0</v>
      </c>
    </row>
    <row r="1337" spans="1:17" x14ac:dyDescent="0.25">
      <c r="A1337" s="3" t="s">
        <v>1922</v>
      </c>
      <c r="B1337" s="164" t="str">
        <f>RIGHT(TDays[[#This Row],[تاریخ]],2)</f>
        <v>24</v>
      </c>
      <c r="C1337" s="164" t="str">
        <f>RIGHT(LEFT(TDays[[#This Row],[تاریخ]],7),2)</f>
        <v>08</v>
      </c>
      <c r="D1337" s="164" t="str">
        <f>LEFT(TDays[[#This Row],[تاریخ]],4)</f>
        <v>1404</v>
      </c>
      <c r="E1337" s="164" t="str">
        <f>LEFT(TDays[[#This Row],[تاریخ]],7)</f>
        <v>1404-08</v>
      </c>
      <c r="F1337">
        <v>0</v>
      </c>
      <c r="G1337" s="165" t="str">
        <f>VLOOKUP(TDays[[#This Row],[کد روز هفته]],TDaysOfTheWeek[],2,FALSE)</f>
        <v>شنبه</v>
      </c>
      <c r="H1337" s="165">
        <f>IFERROR(IF(E1336&lt;&gt;E1337,1,INT(H1336)+IF(TDays[[#This Row],[کد روز هفته]]=0,1,0)),1)</f>
        <v>5</v>
      </c>
      <c r="I1337" s="164">
        <f>-SUMIF(TArticle[تاریخ],TDays[[#This Row],[تاریخ]],TArticle[هزینه])</f>
        <v>0</v>
      </c>
      <c r="J1337" s="164">
        <f>SUMIF(TArticle[تاریخ],TDays[[#This Row],[تاریخ]],TArticle[درآمد تتا])</f>
        <v>0</v>
      </c>
      <c r="K1337" s="164">
        <f>SUMIF(TArticle[تاریخ],TDays[[#This Row],[تاریخ]],TArticle[اسنپ])</f>
        <v>0</v>
      </c>
      <c r="L1337" s="164">
        <f>-SUMIF(TArticle[تاریخ],TDays[[#This Row],[تاریخ]],TArticle[پرداخت بدهی])</f>
        <v>0</v>
      </c>
      <c r="M1337" s="164">
        <f>SUMIF(TArticle[تاریخ],TDays[[#This Row],[تاریخ]],TArticle[افزایش بدهی])</f>
        <v>0</v>
      </c>
      <c r="N1337" s="164">
        <f>-SUMIF(TArticle[تاریخ],TDays[[#This Row],[تاریخ]],TArticle[افزایش سرمایه])</f>
        <v>0</v>
      </c>
      <c r="O1337" s="164">
        <f>SUMIF(TArticle[تاریخ],TDays[[#This Row],[تاریخ]],TArticle[تعداد تراکنش انجام شده])</f>
        <v>0</v>
      </c>
      <c r="P1337" s="164">
        <f>INT(((TDays[[#This Row],[ماه]]-1)*31+TDays[[#This Row],[روز]]+1)/7)+1</f>
        <v>35</v>
      </c>
      <c r="Q1337" s="164">
        <f>SUMIF(TArticle[تاریخ],TDays[[#This Row],[تاریخ]],TArticle[تراکنش برنامه ریزی شده])</f>
        <v>0</v>
      </c>
    </row>
    <row r="1338" spans="1:17" x14ac:dyDescent="0.25">
      <c r="A1338" s="3" t="s">
        <v>1923</v>
      </c>
      <c r="B1338" s="164" t="str">
        <f>RIGHT(TDays[[#This Row],[تاریخ]],2)</f>
        <v>25</v>
      </c>
      <c r="C1338" s="164" t="str">
        <f>RIGHT(LEFT(TDays[[#This Row],[تاریخ]],7),2)</f>
        <v>08</v>
      </c>
      <c r="D1338" s="164" t="str">
        <f>LEFT(TDays[[#This Row],[تاریخ]],4)</f>
        <v>1404</v>
      </c>
      <c r="E1338" s="164" t="str">
        <f>LEFT(TDays[[#This Row],[تاریخ]],7)</f>
        <v>1404-08</v>
      </c>
      <c r="F1338">
        <v>1</v>
      </c>
      <c r="G1338" s="165" t="str">
        <f>VLOOKUP(TDays[[#This Row],[کد روز هفته]],TDaysOfTheWeek[],2,FALSE)</f>
        <v>یکشنبه</v>
      </c>
      <c r="H1338" s="165">
        <f>IFERROR(IF(E1337&lt;&gt;E1338,1,INT(H1337)+IF(TDays[[#This Row],[کد روز هفته]]=0,1,0)),1)</f>
        <v>5</v>
      </c>
      <c r="I1338" s="164">
        <f>-SUMIF(TArticle[تاریخ],TDays[[#This Row],[تاریخ]],TArticle[هزینه])</f>
        <v>0</v>
      </c>
      <c r="J1338" s="164">
        <f>SUMIF(TArticle[تاریخ],TDays[[#This Row],[تاریخ]],TArticle[درآمد تتا])</f>
        <v>0</v>
      </c>
      <c r="K1338" s="164">
        <f>SUMIF(TArticle[تاریخ],TDays[[#This Row],[تاریخ]],TArticle[اسنپ])</f>
        <v>0</v>
      </c>
      <c r="L1338" s="164">
        <f>-SUMIF(TArticle[تاریخ],TDays[[#This Row],[تاریخ]],TArticle[پرداخت بدهی])</f>
        <v>0</v>
      </c>
      <c r="M1338" s="164">
        <f>SUMIF(TArticle[تاریخ],TDays[[#This Row],[تاریخ]],TArticle[افزایش بدهی])</f>
        <v>0</v>
      </c>
      <c r="N1338" s="164">
        <f>-SUMIF(TArticle[تاریخ],TDays[[#This Row],[تاریخ]],TArticle[افزایش سرمایه])</f>
        <v>0</v>
      </c>
      <c r="O1338" s="164">
        <f>SUMIF(TArticle[تاریخ],TDays[[#This Row],[تاریخ]],TArticle[تعداد تراکنش انجام شده])</f>
        <v>0</v>
      </c>
      <c r="P1338" s="164">
        <f>INT(((TDays[[#This Row],[ماه]]-1)*31+TDays[[#This Row],[روز]]+1)/7)+1</f>
        <v>35</v>
      </c>
      <c r="Q1338" s="164">
        <f>SUMIF(TArticle[تاریخ],TDays[[#This Row],[تاریخ]],TArticle[تراکنش برنامه ریزی شده])</f>
        <v>0</v>
      </c>
    </row>
    <row r="1339" spans="1:17" x14ac:dyDescent="0.25">
      <c r="A1339" s="3" t="s">
        <v>1924</v>
      </c>
      <c r="B1339" s="164" t="str">
        <f>RIGHT(TDays[[#This Row],[تاریخ]],2)</f>
        <v>26</v>
      </c>
      <c r="C1339" s="164" t="str">
        <f>RIGHT(LEFT(TDays[[#This Row],[تاریخ]],7),2)</f>
        <v>08</v>
      </c>
      <c r="D1339" s="164" t="str">
        <f>LEFT(TDays[[#This Row],[تاریخ]],4)</f>
        <v>1404</v>
      </c>
      <c r="E1339" s="164" t="str">
        <f>LEFT(TDays[[#This Row],[تاریخ]],7)</f>
        <v>1404-08</v>
      </c>
      <c r="F1339">
        <v>2</v>
      </c>
      <c r="G1339" s="165" t="str">
        <f>VLOOKUP(TDays[[#This Row],[کد روز هفته]],TDaysOfTheWeek[],2,FALSE)</f>
        <v>دوشنبه</v>
      </c>
      <c r="H1339" s="165">
        <f>IFERROR(IF(E1338&lt;&gt;E1339,1,INT(H1338)+IF(TDays[[#This Row],[کد روز هفته]]=0,1,0)),1)</f>
        <v>5</v>
      </c>
      <c r="I1339" s="164">
        <f>-SUMIF(TArticle[تاریخ],TDays[[#This Row],[تاریخ]],TArticle[هزینه])</f>
        <v>0</v>
      </c>
      <c r="J1339" s="164">
        <f>SUMIF(TArticle[تاریخ],TDays[[#This Row],[تاریخ]],TArticle[درآمد تتا])</f>
        <v>0</v>
      </c>
      <c r="K1339" s="164">
        <f>SUMIF(TArticle[تاریخ],TDays[[#This Row],[تاریخ]],TArticle[اسنپ])</f>
        <v>0</v>
      </c>
      <c r="L1339" s="164">
        <f>-SUMIF(TArticle[تاریخ],TDays[[#This Row],[تاریخ]],TArticle[پرداخت بدهی])</f>
        <v>0</v>
      </c>
      <c r="M1339" s="164">
        <f>SUMIF(TArticle[تاریخ],TDays[[#This Row],[تاریخ]],TArticle[افزایش بدهی])</f>
        <v>0</v>
      </c>
      <c r="N1339" s="164">
        <f>-SUMIF(TArticle[تاریخ],TDays[[#This Row],[تاریخ]],TArticle[افزایش سرمایه])</f>
        <v>0</v>
      </c>
      <c r="O1339" s="164">
        <f>SUMIF(TArticle[تاریخ],TDays[[#This Row],[تاریخ]],TArticle[تعداد تراکنش انجام شده])</f>
        <v>0</v>
      </c>
      <c r="P1339" s="164">
        <f>INT(((TDays[[#This Row],[ماه]]-1)*31+TDays[[#This Row],[روز]]+1)/7)+1</f>
        <v>35</v>
      </c>
      <c r="Q1339" s="164">
        <f>SUMIF(TArticle[تاریخ],TDays[[#This Row],[تاریخ]],TArticle[تراکنش برنامه ریزی شده])</f>
        <v>0</v>
      </c>
    </row>
    <row r="1340" spans="1:17" x14ac:dyDescent="0.25">
      <c r="A1340" s="3" t="s">
        <v>1925</v>
      </c>
      <c r="B1340" s="164" t="str">
        <f>RIGHT(TDays[[#This Row],[تاریخ]],2)</f>
        <v>27</v>
      </c>
      <c r="C1340" s="164" t="str">
        <f>RIGHT(LEFT(TDays[[#This Row],[تاریخ]],7),2)</f>
        <v>08</v>
      </c>
      <c r="D1340" s="164" t="str">
        <f>LEFT(TDays[[#This Row],[تاریخ]],4)</f>
        <v>1404</v>
      </c>
      <c r="E1340" s="164" t="str">
        <f>LEFT(TDays[[#This Row],[تاریخ]],7)</f>
        <v>1404-08</v>
      </c>
      <c r="F1340">
        <v>3</v>
      </c>
      <c r="G1340" s="165" t="str">
        <f>VLOOKUP(TDays[[#This Row],[کد روز هفته]],TDaysOfTheWeek[],2,FALSE)</f>
        <v>سه شنبه</v>
      </c>
      <c r="H1340" s="165">
        <f>IFERROR(IF(E1339&lt;&gt;E1340,1,INT(H1339)+IF(TDays[[#This Row],[کد روز هفته]]=0,1,0)),1)</f>
        <v>5</v>
      </c>
      <c r="I1340" s="164">
        <f>-SUMIF(TArticle[تاریخ],TDays[[#This Row],[تاریخ]],TArticle[هزینه])</f>
        <v>0</v>
      </c>
      <c r="J1340" s="164">
        <f>SUMIF(TArticle[تاریخ],TDays[[#This Row],[تاریخ]],TArticle[درآمد تتا])</f>
        <v>0</v>
      </c>
      <c r="K1340" s="164">
        <f>SUMIF(TArticle[تاریخ],TDays[[#This Row],[تاریخ]],TArticle[اسنپ])</f>
        <v>0</v>
      </c>
      <c r="L1340" s="164">
        <f>-SUMIF(TArticle[تاریخ],TDays[[#This Row],[تاریخ]],TArticle[پرداخت بدهی])</f>
        <v>0</v>
      </c>
      <c r="M1340" s="164">
        <f>SUMIF(TArticle[تاریخ],TDays[[#This Row],[تاریخ]],TArticle[افزایش بدهی])</f>
        <v>0</v>
      </c>
      <c r="N1340" s="164">
        <f>-SUMIF(TArticle[تاریخ],TDays[[#This Row],[تاریخ]],TArticle[افزایش سرمایه])</f>
        <v>0</v>
      </c>
      <c r="O1340" s="164">
        <f>SUMIF(TArticle[تاریخ],TDays[[#This Row],[تاریخ]],TArticle[تعداد تراکنش انجام شده])</f>
        <v>0</v>
      </c>
      <c r="P1340" s="164">
        <f>INT(((TDays[[#This Row],[ماه]]-1)*31+TDays[[#This Row],[روز]]+1)/7)+1</f>
        <v>36</v>
      </c>
      <c r="Q1340" s="164">
        <f>SUMIF(TArticle[تاریخ],TDays[[#This Row],[تاریخ]],TArticle[تراکنش برنامه ریزی شده])</f>
        <v>0</v>
      </c>
    </row>
    <row r="1341" spans="1:17" x14ac:dyDescent="0.25">
      <c r="A1341" s="3" t="s">
        <v>1926</v>
      </c>
      <c r="B1341" s="164" t="str">
        <f>RIGHT(TDays[[#This Row],[تاریخ]],2)</f>
        <v>28</v>
      </c>
      <c r="C1341" s="164" t="str">
        <f>RIGHT(LEFT(TDays[[#This Row],[تاریخ]],7),2)</f>
        <v>08</v>
      </c>
      <c r="D1341" s="164" t="str">
        <f>LEFT(TDays[[#This Row],[تاریخ]],4)</f>
        <v>1404</v>
      </c>
      <c r="E1341" s="164" t="str">
        <f>LEFT(TDays[[#This Row],[تاریخ]],7)</f>
        <v>1404-08</v>
      </c>
      <c r="F1341">
        <v>4</v>
      </c>
      <c r="G1341" s="165" t="str">
        <f>VLOOKUP(TDays[[#This Row],[کد روز هفته]],TDaysOfTheWeek[],2,FALSE)</f>
        <v>چهارشنبه</v>
      </c>
      <c r="H1341" s="165">
        <f>IFERROR(IF(E1340&lt;&gt;E1341,1,INT(H1340)+IF(TDays[[#This Row],[کد روز هفته]]=0,1,0)),1)</f>
        <v>5</v>
      </c>
      <c r="I1341" s="164">
        <f>-SUMIF(TArticle[تاریخ],TDays[[#This Row],[تاریخ]],TArticle[هزینه])</f>
        <v>0</v>
      </c>
      <c r="J1341" s="164">
        <f>SUMIF(TArticle[تاریخ],TDays[[#This Row],[تاریخ]],TArticle[درآمد تتا])</f>
        <v>0</v>
      </c>
      <c r="K1341" s="164">
        <f>SUMIF(TArticle[تاریخ],TDays[[#This Row],[تاریخ]],TArticle[اسنپ])</f>
        <v>0</v>
      </c>
      <c r="L1341" s="164">
        <f>-SUMIF(TArticle[تاریخ],TDays[[#This Row],[تاریخ]],TArticle[پرداخت بدهی])</f>
        <v>0</v>
      </c>
      <c r="M1341" s="164">
        <f>SUMIF(TArticle[تاریخ],TDays[[#This Row],[تاریخ]],TArticle[افزایش بدهی])</f>
        <v>0</v>
      </c>
      <c r="N1341" s="164">
        <f>-SUMIF(TArticle[تاریخ],TDays[[#This Row],[تاریخ]],TArticle[افزایش سرمایه])</f>
        <v>0</v>
      </c>
      <c r="O1341" s="164">
        <f>SUMIF(TArticle[تاریخ],TDays[[#This Row],[تاریخ]],TArticle[تعداد تراکنش انجام شده])</f>
        <v>0</v>
      </c>
      <c r="P1341" s="164">
        <f>INT(((TDays[[#This Row],[ماه]]-1)*31+TDays[[#This Row],[روز]]+1)/7)+1</f>
        <v>36</v>
      </c>
      <c r="Q1341" s="164">
        <f>SUMIF(TArticle[تاریخ],TDays[[#This Row],[تاریخ]],TArticle[تراکنش برنامه ریزی شده])</f>
        <v>0</v>
      </c>
    </row>
    <row r="1342" spans="1:17" x14ac:dyDescent="0.25">
      <c r="A1342" s="3" t="s">
        <v>1927</v>
      </c>
      <c r="B1342" s="164" t="str">
        <f>RIGHT(TDays[[#This Row],[تاریخ]],2)</f>
        <v>29</v>
      </c>
      <c r="C1342" s="164" t="str">
        <f>RIGHT(LEFT(TDays[[#This Row],[تاریخ]],7),2)</f>
        <v>08</v>
      </c>
      <c r="D1342" s="164" t="str">
        <f>LEFT(TDays[[#This Row],[تاریخ]],4)</f>
        <v>1404</v>
      </c>
      <c r="E1342" s="164" t="str">
        <f>LEFT(TDays[[#This Row],[تاریخ]],7)</f>
        <v>1404-08</v>
      </c>
      <c r="F1342">
        <v>5</v>
      </c>
      <c r="G1342" s="165" t="str">
        <f>VLOOKUP(TDays[[#This Row],[کد روز هفته]],TDaysOfTheWeek[],2,FALSE)</f>
        <v>پنجشنبه</v>
      </c>
      <c r="H1342" s="165">
        <f>IFERROR(IF(E1341&lt;&gt;E1342,1,INT(H1341)+IF(TDays[[#This Row],[کد روز هفته]]=0,1,0)),1)</f>
        <v>5</v>
      </c>
      <c r="I1342" s="164">
        <f>-SUMIF(TArticle[تاریخ],TDays[[#This Row],[تاریخ]],TArticle[هزینه])</f>
        <v>0</v>
      </c>
      <c r="J1342" s="164">
        <f>SUMIF(TArticle[تاریخ],TDays[[#This Row],[تاریخ]],TArticle[درآمد تتا])</f>
        <v>0</v>
      </c>
      <c r="K1342" s="164">
        <f>SUMIF(TArticle[تاریخ],TDays[[#This Row],[تاریخ]],TArticle[اسنپ])</f>
        <v>0</v>
      </c>
      <c r="L1342" s="164">
        <f>-SUMIF(TArticle[تاریخ],TDays[[#This Row],[تاریخ]],TArticle[پرداخت بدهی])</f>
        <v>0</v>
      </c>
      <c r="M1342" s="164">
        <f>SUMIF(TArticle[تاریخ],TDays[[#This Row],[تاریخ]],TArticle[افزایش بدهی])</f>
        <v>0</v>
      </c>
      <c r="N1342" s="164">
        <f>-SUMIF(TArticle[تاریخ],TDays[[#This Row],[تاریخ]],TArticle[افزایش سرمایه])</f>
        <v>0</v>
      </c>
      <c r="O1342" s="164">
        <f>SUMIF(TArticle[تاریخ],TDays[[#This Row],[تاریخ]],TArticle[تعداد تراکنش انجام شده])</f>
        <v>0</v>
      </c>
      <c r="P1342" s="164">
        <f>INT(((TDays[[#This Row],[ماه]]-1)*31+TDays[[#This Row],[روز]]+1)/7)+1</f>
        <v>36</v>
      </c>
      <c r="Q1342" s="164">
        <f>SUMIF(TArticle[تاریخ],TDays[[#This Row],[تاریخ]],TArticle[تراکنش برنامه ریزی شده])</f>
        <v>0</v>
      </c>
    </row>
    <row r="1343" spans="1:17" x14ac:dyDescent="0.25">
      <c r="A1343" s="3" t="s">
        <v>1928</v>
      </c>
      <c r="B1343" s="164" t="str">
        <f>RIGHT(TDays[[#This Row],[تاریخ]],2)</f>
        <v>30</v>
      </c>
      <c r="C1343" s="164" t="str">
        <f>RIGHT(LEFT(TDays[[#This Row],[تاریخ]],7),2)</f>
        <v>08</v>
      </c>
      <c r="D1343" s="164" t="str">
        <f>LEFT(TDays[[#This Row],[تاریخ]],4)</f>
        <v>1404</v>
      </c>
      <c r="E1343" s="164" t="str">
        <f>LEFT(TDays[[#This Row],[تاریخ]],7)</f>
        <v>1404-08</v>
      </c>
      <c r="F1343">
        <v>6</v>
      </c>
      <c r="G1343" s="165" t="str">
        <f>VLOOKUP(TDays[[#This Row],[کد روز هفته]],TDaysOfTheWeek[],2,FALSE)</f>
        <v>جمعه</v>
      </c>
      <c r="H1343" s="165">
        <f>IFERROR(IF(E1342&lt;&gt;E1343,1,INT(H1342)+IF(TDays[[#This Row],[کد روز هفته]]=0,1,0)),1)</f>
        <v>5</v>
      </c>
      <c r="I1343" s="164">
        <f>-SUMIF(TArticle[تاریخ],TDays[[#This Row],[تاریخ]],TArticle[هزینه])</f>
        <v>0</v>
      </c>
      <c r="J1343" s="164">
        <f>SUMIF(TArticle[تاریخ],TDays[[#This Row],[تاریخ]],TArticle[درآمد تتا])</f>
        <v>0</v>
      </c>
      <c r="K1343" s="164">
        <f>SUMIF(TArticle[تاریخ],TDays[[#This Row],[تاریخ]],TArticle[اسنپ])</f>
        <v>0</v>
      </c>
      <c r="L1343" s="164">
        <f>-SUMIF(TArticle[تاریخ],TDays[[#This Row],[تاریخ]],TArticle[پرداخت بدهی])</f>
        <v>0</v>
      </c>
      <c r="M1343" s="164">
        <f>SUMIF(TArticle[تاریخ],TDays[[#This Row],[تاریخ]],TArticle[افزایش بدهی])</f>
        <v>0</v>
      </c>
      <c r="N1343" s="164">
        <f>-SUMIF(TArticle[تاریخ],TDays[[#This Row],[تاریخ]],TArticle[افزایش سرمایه])</f>
        <v>0</v>
      </c>
      <c r="O1343" s="164">
        <f>SUMIF(TArticle[تاریخ],TDays[[#This Row],[تاریخ]],TArticle[تعداد تراکنش انجام شده])</f>
        <v>0</v>
      </c>
      <c r="P1343" s="164">
        <f>INT(((TDays[[#This Row],[ماه]]-1)*31+TDays[[#This Row],[روز]]+1)/7)+1</f>
        <v>36</v>
      </c>
      <c r="Q1343" s="164">
        <f>SUMIF(TArticle[تاریخ],TDays[[#This Row],[تاریخ]],TArticle[تراکنش برنامه ریزی شده])</f>
        <v>0</v>
      </c>
    </row>
    <row r="1344" spans="1:17" x14ac:dyDescent="0.25">
      <c r="A1344" s="3" t="s">
        <v>1929</v>
      </c>
      <c r="B1344" s="164" t="str">
        <f>RIGHT(TDays[[#This Row],[تاریخ]],2)</f>
        <v>01</v>
      </c>
      <c r="C1344" s="164" t="str">
        <f>RIGHT(LEFT(TDays[[#This Row],[تاریخ]],7),2)</f>
        <v>09</v>
      </c>
      <c r="D1344" s="164" t="str">
        <f>LEFT(TDays[[#This Row],[تاریخ]],4)</f>
        <v>1404</v>
      </c>
      <c r="E1344" s="164" t="str">
        <f>LEFT(TDays[[#This Row],[تاریخ]],7)</f>
        <v>1404-09</v>
      </c>
      <c r="F1344">
        <v>0</v>
      </c>
      <c r="G1344" s="165" t="str">
        <f>VLOOKUP(TDays[[#This Row],[کد روز هفته]],TDaysOfTheWeek[],2,FALSE)</f>
        <v>شنبه</v>
      </c>
      <c r="H1344" s="165">
        <f>IFERROR(IF(E1343&lt;&gt;E1344,1,INT(H1343)+IF(TDays[[#This Row],[کد روز هفته]]=0,1,0)),1)</f>
        <v>1</v>
      </c>
      <c r="I1344" s="164">
        <f>-SUMIF(TArticle[تاریخ],TDays[[#This Row],[تاریخ]],TArticle[هزینه])</f>
        <v>0</v>
      </c>
      <c r="J1344" s="164">
        <f>SUMIF(TArticle[تاریخ],TDays[[#This Row],[تاریخ]],TArticle[درآمد تتا])</f>
        <v>0</v>
      </c>
      <c r="K1344" s="164">
        <f>SUMIF(TArticle[تاریخ],TDays[[#This Row],[تاریخ]],TArticle[اسنپ])</f>
        <v>0</v>
      </c>
      <c r="L1344" s="164">
        <f>-SUMIF(TArticle[تاریخ],TDays[[#This Row],[تاریخ]],TArticle[پرداخت بدهی])</f>
        <v>0</v>
      </c>
      <c r="M1344" s="164">
        <f>SUMIF(TArticle[تاریخ],TDays[[#This Row],[تاریخ]],TArticle[افزایش بدهی])</f>
        <v>0</v>
      </c>
      <c r="N1344" s="164">
        <f>-SUMIF(TArticle[تاریخ],TDays[[#This Row],[تاریخ]],TArticle[افزایش سرمایه])</f>
        <v>0</v>
      </c>
      <c r="O1344" s="164">
        <f>SUMIF(TArticle[تاریخ],TDays[[#This Row],[تاریخ]],TArticle[تعداد تراکنش انجام شده])</f>
        <v>0</v>
      </c>
      <c r="P1344" s="164">
        <f>INT(((TDays[[#This Row],[ماه]]-1)*31+TDays[[#This Row],[روز]]+1)/7)+1</f>
        <v>36</v>
      </c>
      <c r="Q1344" s="164">
        <f>SUMIF(TArticle[تاریخ],TDays[[#This Row],[تاریخ]],TArticle[تراکنش برنامه ریزی شده])</f>
        <v>2</v>
      </c>
    </row>
    <row r="1345" spans="1:17" x14ac:dyDescent="0.25">
      <c r="A1345" s="3" t="s">
        <v>1930</v>
      </c>
      <c r="B1345" s="164" t="str">
        <f>RIGHT(TDays[[#This Row],[تاریخ]],2)</f>
        <v>02</v>
      </c>
      <c r="C1345" s="164" t="str">
        <f>RIGHT(LEFT(TDays[[#This Row],[تاریخ]],7),2)</f>
        <v>09</v>
      </c>
      <c r="D1345" s="164" t="str">
        <f>LEFT(TDays[[#This Row],[تاریخ]],4)</f>
        <v>1404</v>
      </c>
      <c r="E1345" s="164" t="str">
        <f>LEFT(TDays[[#This Row],[تاریخ]],7)</f>
        <v>1404-09</v>
      </c>
      <c r="F1345">
        <v>1</v>
      </c>
      <c r="G1345" s="165" t="str">
        <f>VLOOKUP(TDays[[#This Row],[کد روز هفته]],TDaysOfTheWeek[],2,FALSE)</f>
        <v>یکشنبه</v>
      </c>
      <c r="H1345" s="165">
        <f>IFERROR(IF(E1344&lt;&gt;E1345,1,INT(H1344)+IF(TDays[[#This Row],[کد روز هفته]]=0,1,0)),1)</f>
        <v>1</v>
      </c>
      <c r="I1345" s="164">
        <f>-SUMIF(TArticle[تاریخ],TDays[[#This Row],[تاریخ]],TArticle[هزینه])</f>
        <v>0</v>
      </c>
      <c r="J1345" s="164">
        <f>SUMIF(TArticle[تاریخ],TDays[[#This Row],[تاریخ]],TArticle[درآمد تتا])</f>
        <v>0</v>
      </c>
      <c r="K1345" s="164">
        <f>SUMIF(TArticle[تاریخ],TDays[[#This Row],[تاریخ]],TArticle[اسنپ])</f>
        <v>0</v>
      </c>
      <c r="L1345" s="164">
        <f>-SUMIF(TArticle[تاریخ],TDays[[#This Row],[تاریخ]],TArticle[پرداخت بدهی])</f>
        <v>0</v>
      </c>
      <c r="M1345" s="164">
        <f>SUMIF(TArticle[تاریخ],TDays[[#This Row],[تاریخ]],TArticle[افزایش بدهی])</f>
        <v>0</v>
      </c>
      <c r="N1345" s="164">
        <f>-SUMIF(TArticle[تاریخ],TDays[[#This Row],[تاریخ]],TArticle[افزایش سرمایه])</f>
        <v>0</v>
      </c>
      <c r="O1345" s="164">
        <f>SUMIF(TArticle[تاریخ],TDays[[#This Row],[تاریخ]],TArticle[تعداد تراکنش انجام شده])</f>
        <v>0</v>
      </c>
      <c r="P1345" s="164">
        <f>INT(((TDays[[#This Row],[ماه]]-1)*31+TDays[[#This Row],[روز]]+1)/7)+1</f>
        <v>36</v>
      </c>
      <c r="Q1345" s="164">
        <f>SUMIF(TArticle[تاریخ],TDays[[#This Row],[تاریخ]],TArticle[تراکنش برنامه ریزی شده])</f>
        <v>0</v>
      </c>
    </row>
    <row r="1346" spans="1:17" x14ac:dyDescent="0.25">
      <c r="A1346" s="3" t="s">
        <v>1931</v>
      </c>
      <c r="B1346" s="164" t="str">
        <f>RIGHT(TDays[[#This Row],[تاریخ]],2)</f>
        <v>03</v>
      </c>
      <c r="C1346" s="164" t="str">
        <f>RIGHT(LEFT(TDays[[#This Row],[تاریخ]],7),2)</f>
        <v>09</v>
      </c>
      <c r="D1346" s="164" t="str">
        <f>LEFT(TDays[[#This Row],[تاریخ]],4)</f>
        <v>1404</v>
      </c>
      <c r="E1346" s="164" t="str">
        <f>LEFT(TDays[[#This Row],[تاریخ]],7)</f>
        <v>1404-09</v>
      </c>
      <c r="F1346">
        <v>2</v>
      </c>
      <c r="G1346" s="165" t="str">
        <f>VLOOKUP(TDays[[#This Row],[کد روز هفته]],TDaysOfTheWeek[],2,FALSE)</f>
        <v>دوشنبه</v>
      </c>
      <c r="H1346" s="165">
        <f>IFERROR(IF(E1345&lt;&gt;E1346,1,INT(H1345)+IF(TDays[[#This Row],[کد روز هفته]]=0,1,0)),1)</f>
        <v>1</v>
      </c>
      <c r="I1346" s="164">
        <f>-SUMIF(TArticle[تاریخ],TDays[[#This Row],[تاریخ]],TArticle[هزینه])</f>
        <v>0</v>
      </c>
      <c r="J1346" s="164">
        <f>SUMIF(TArticle[تاریخ],TDays[[#This Row],[تاریخ]],TArticle[درآمد تتا])</f>
        <v>0</v>
      </c>
      <c r="K1346" s="164">
        <f>SUMIF(TArticle[تاریخ],TDays[[#This Row],[تاریخ]],TArticle[اسنپ])</f>
        <v>0</v>
      </c>
      <c r="L1346" s="164">
        <f>-SUMIF(TArticle[تاریخ],TDays[[#This Row],[تاریخ]],TArticle[پرداخت بدهی])</f>
        <v>0</v>
      </c>
      <c r="M1346" s="164">
        <f>SUMIF(TArticle[تاریخ],TDays[[#This Row],[تاریخ]],TArticle[افزایش بدهی])</f>
        <v>0</v>
      </c>
      <c r="N1346" s="164">
        <f>-SUMIF(TArticle[تاریخ],TDays[[#This Row],[تاریخ]],TArticle[افزایش سرمایه])</f>
        <v>0</v>
      </c>
      <c r="O1346" s="164">
        <f>SUMIF(TArticle[تاریخ],TDays[[#This Row],[تاریخ]],TArticle[تعداد تراکنش انجام شده])</f>
        <v>0</v>
      </c>
      <c r="P1346" s="164">
        <f>INT(((TDays[[#This Row],[ماه]]-1)*31+TDays[[#This Row],[روز]]+1)/7)+1</f>
        <v>37</v>
      </c>
      <c r="Q1346" s="164">
        <f>SUMIF(TArticle[تاریخ],TDays[[#This Row],[تاریخ]],TArticle[تراکنش برنامه ریزی شده])</f>
        <v>1</v>
      </c>
    </row>
    <row r="1347" spans="1:17" x14ac:dyDescent="0.25">
      <c r="A1347" s="3" t="s">
        <v>1932</v>
      </c>
      <c r="B1347" s="164" t="str">
        <f>RIGHT(TDays[[#This Row],[تاریخ]],2)</f>
        <v>04</v>
      </c>
      <c r="C1347" s="164" t="str">
        <f>RIGHT(LEFT(TDays[[#This Row],[تاریخ]],7),2)</f>
        <v>09</v>
      </c>
      <c r="D1347" s="164" t="str">
        <f>LEFT(TDays[[#This Row],[تاریخ]],4)</f>
        <v>1404</v>
      </c>
      <c r="E1347" s="164" t="str">
        <f>LEFT(TDays[[#This Row],[تاریخ]],7)</f>
        <v>1404-09</v>
      </c>
      <c r="F1347">
        <v>3</v>
      </c>
      <c r="G1347" s="165" t="str">
        <f>VLOOKUP(TDays[[#This Row],[کد روز هفته]],TDaysOfTheWeek[],2,FALSE)</f>
        <v>سه شنبه</v>
      </c>
      <c r="H1347" s="165">
        <f>IFERROR(IF(E1346&lt;&gt;E1347,1,INT(H1346)+IF(TDays[[#This Row],[کد روز هفته]]=0,1,0)),1)</f>
        <v>1</v>
      </c>
      <c r="I1347" s="164">
        <f>-SUMIF(TArticle[تاریخ],TDays[[#This Row],[تاریخ]],TArticle[هزینه])</f>
        <v>0</v>
      </c>
      <c r="J1347" s="164">
        <f>SUMIF(TArticle[تاریخ],TDays[[#This Row],[تاریخ]],TArticle[درآمد تتا])</f>
        <v>0</v>
      </c>
      <c r="K1347" s="164">
        <f>SUMIF(TArticle[تاریخ],TDays[[#This Row],[تاریخ]],TArticle[اسنپ])</f>
        <v>0</v>
      </c>
      <c r="L1347" s="164">
        <f>-SUMIF(TArticle[تاریخ],TDays[[#This Row],[تاریخ]],TArticle[پرداخت بدهی])</f>
        <v>0</v>
      </c>
      <c r="M1347" s="164">
        <f>SUMIF(TArticle[تاریخ],TDays[[#This Row],[تاریخ]],TArticle[افزایش بدهی])</f>
        <v>0</v>
      </c>
      <c r="N1347" s="164">
        <f>-SUMIF(TArticle[تاریخ],TDays[[#This Row],[تاریخ]],TArticle[افزایش سرمایه])</f>
        <v>0</v>
      </c>
      <c r="O1347" s="164">
        <f>SUMIF(TArticle[تاریخ],TDays[[#This Row],[تاریخ]],TArticle[تعداد تراکنش انجام شده])</f>
        <v>0</v>
      </c>
      <c r="P1347" s="164">
        <f>INT(((TDays[[#This Row],[ماه]]-1)*31+TDays[[#This Row],[روز]]+1)/7)+1</f>
        <v>37</v>
      </c>
      <c r="Q1347" s="164">
        <f>SUMIF(TArticle[تاریخ],TDays[[#This Row],[تاریخ]],TArticle[تراکنش برنامه ریزی شده])</f>
        <v>0</v>
      </c>
    </row>
    <row r="1348" spans="1:17" x14ac:dyDescent="0.25">
      <c r="A1348" s="3" t="s">
        <v>1688</v>
      </c>
      <c r="B1348" s="164" t="str">
        <f>RIGHT(TDays[[#This Row],[تاریخ]],2)</f>
        <v>05</v>
      </c>
      <c r="C1348" s="164" t="str">
        <f>RIGHT(LEFT(TDays[[#This Row],[تاریخ]],7),2)</f>
        <v>09</v>
      </c>
      <c r="D1348" s="164" t="str">
        <f>LEFT(TDays[[#This Row],[تاریخ]],4)</f>
        <v>1404</v>
      </c>
      <c r="E1348" s="164" t="str">
        <f>LEFT(TDays[[#This Row],[تاریخ]],7)</f>
        <v>1404-09</v>
      </c>
      <c r="F1348">
        <v>4</v>
      </c>
      <c r="G1348" s="165" t="str">
        <f>VLOOKUP(TDays[[#This Row],[کد روز هفته]],TDaysOfTheWeek[],2,FALSE)</f>
        <v>چهارشنبه</v>
      </c>
      <c r="H1348" s="165">
        <f>IFERROR(IF(E1347&lt;&gt;E1348,1,INT(H1347)+IF(TDays[[#This Row],[کد روز هفته]]=0,1,0)),1)</f>
        <v>1</v>
      </c>
      <c r="I1348" s="164">
        <f>-SUMIF(TArticle[تاریخ],TDays[[#This Row],[تاریخ]],TArticle[هزینه])</f>
        <v>0</v>
      </c>
      <c r="J1348" s="164">
        <f>SUMIF(TArticle[تاریخ],TDays[[#This Row],[تاریخ]],TArticle[درآمد تتا])</f>
        <v>0</v>
      </c>
      <c r="K1348" s="164">
        <f>SUMIF(TArticle[تاریخ],TDays[[#This Row],[تاریخ]],TArticle[اسنپ])</f>
        <v>0</v>
      </c>
      <c r="L1348" s="164">
        <f>-SUMIF(TArticle[تاریخ],TDays[[#This Row],[تاریخ]],TArticle[پرداخت بدهی])</f>
        <v>0</v>
      </c>
      <c r="M1348" s="164">
        <f>SUMIF(TArticle[تاریخ],TDays[[#This Row],[تاریخ]],TArticle[افزایش بدهی])</f>
        <v>0</v>
      </c>
      <c r="N1348" s="164">
        <f>-SUMIF(TArticle[تاریخ],TDays[[#This Row],[تاریخ]],TArticle[افزایش سرمایه])</f>
        <v>0</v>
      </c>
      <c r="O1348" s="164">
        <f>SUMIF(TArticle[تاریخ],TDays[[#This Row],[تاریخ]],TArticle[تعداد تراکنش انجام شده])</f>
        <v>0</v>
      </c>
      <c r="P1348" s="164">
        <f>INT(((TDays[[#This Row],[ماه]]-1)*31+TDays[[#This Row],[روز]]+1)/7)+1</f>
        <v>37</v>
      </c>
      <c r="Q1348" s="164">
        <f>SUMIF(TArticle[تاریخ],TDays[[#This Row],[تاریخ]],TArticle[تراکنش برنامه ریزی شده])</f>
        <v>0</v>
      </c>
    </row>
    <row r="1349" spans="1:17" x14ac:dyDescent="0.25">
      <c r="A1349" s="3" t="s">
        <v>1933</v>
      </c>
      <c r="B1349" s="164" t="str">
        <f>RIGHT(TDays[[#This Row],[تاریخ]],2)</f>
        <v>06</v>
      </c>
      <c r="C1349" s="164" t="str">
        <f>RIGHT(LEFT(TDays[[#This Row],[تاریخ]],7),2)</f>
        <v>09</v>
      </c>
      <c r="D1349" s="164" t="str">
        <f>LEFT(TDays[[#This Row],[تاریخ]],4)</f>
        <v>1404</v>
      </c>
      <c r="E1349" s="164" t="str">
        <f>LEFT(TDays[[#This Row],[تاریخ]],7)</f>
        <v>1404-09</v>
      </c>
      <c r="F1349">
        <v>5</v>
      </c>
      <c r="G1349" s="165" t="str">
        <f>VLOOKUP(TDays[[#This Row],[کد روز هفته]],TDaysOfTheWeek[],2,FALSE)</f>
        <v>پنجشنبه</v>
      </c>
      <c r="H1349" s="165">
        <f>IFERROR(IF(E1348&lt;&gt;E1349,1,INT(H1348)+IF(TDays[[#This Row],[کد روز هفته]]=0,1,0)),1)</f>
        <v>1</v>
      </c>
      <c r="I1349" s="164">
        <f>-SUMIF(TArticle[تاریخ],TDays[[#This Row],[تاریخ]],TArticle[هزینه])</f>
        <v>0</v>
      </c>
      <c r="J1349" s="164">
        <f>SUMIF(TArticle[تاریخ],TDays[[#This Row],[تاریخ]],TArticle[درآمد تتا])</f>
        <v>0</v>
      </c>
      <c r="K1349" s="164">
        <f>SUMIF(TArticle[تاریخ],TDays[[#This Row],[تاریخ]],TArticle[اسنپ])</f>
        <v>0</v>
      </c>
      <c r="L1349" s="164">
        <f>-SUMIF(TArticle[تاریخ],TDays[[#This Row],[تاریخ]],TArticle[پرداخت بدهی])</f>
        <v>0</v>
      </c>
      <c r="M1349" s="164">
        <f>SUMIF(TArticle[تاریخ],TDays[[#This Row],[تاریخ]],TArticle[افزایش بدهی])</f>
        <v>0</v>
      </c>
      <c r="N1349" s="164">
        <f>-SUMIF(TArticle[تاریخ],TDays[[#This Row],[تاریخ]],TArticle[افزایش سرمایه])</f>
        <v>0</v>
      </c>
      <c r="O1349" s="164">
        <f>SUMIF(TArticle[تاریخ],TDays[[#This Row],[تاریخ]],TArticle[تعداد تراکنش انجام شده])</f>
        <v>0</v>
      </c>
      <c r="P1349" s="164">
        <f>INT(((TDays[[#This Row],[ماه]]-1)*31+TDays[[#This Row],[روز]]+1)/7)+1</f>
        <v>37</v>
      </c>
      <c r="Q1349" s="164">
        <f>SUMIF(TArticle[تاریخ],TDays[[#This Row],[تاریخ]],TArticle[تراکنش برنامه ریزی شده])</f>
        <v>0</v>
      </c>
    </row>
    <row r="1350" spans="1:17" x14ac:dyDescent="0.25">
      <c r="A1350" s="3" t="s">
        <v>1934</v>
      </c>
      <c r="B1350" s="164" t="str">
        <f>RIGHT(TDays[[#This Row],[تاریخ]],2)</f>
        <v>07</v>
      </c>
      <c r="C1350" s="164" t="str">
        <f>RIGHT(LEFT(TDays[[#This Row],[تاریخ]],7),2)</f>
        <v>09</v>
      </c>
      <c r="D1350" s="164" t="str">
        <f>LEFT(TDays[[#This Row],[تاریخ]],4)</f>
        <v>1404</v>
      </c>
      <c r="E1350" s="164" t="str">
        <f>LEFT(TDays[[#This Row],[تاریخ]],7)</f>
        <v>1404-09</v>
      </c>
      <c r="F1350">
        <v>6</v>
      </c>
      <c r="G1350" s="165" t="str">
        <f>VLOOKUP(TDays[[#This Row],[کد روز هفته]],TDaysOfTheWeek[],2,FALSE)</f>
        <v>جمعه</v>
      </c>
      <c r="H1350" s="165">
        <f>IFERROR(IF(E1349&lt;&gt;E1350,1,INT(H1349)+IF(TDays[[#This Row],[کد روز هفته]]=0,1,0)),1)</f>
        <v>1</v>
      </c>
      <c r="I1350" s="164">
        <f>-SUMIF(TArticle[تاریخ],TDays[[#This Row],[تاریخ]],TArticle[هزینه])</f>
        <v>0</v>
      </c>
      <c r="J1350" s="164">
        <f>SUMIF(TArticle[تاریخ],TDays[[#This Row],[تاریخ]],TArticle[درآمد تتا])</f>
        <v>0</v>
      </c>
      <c r="K1350" s="164">
        <f>SUMIF(TArticle[تاریخ],TDays[[#This Row],[تاریخ]],TArticle[اسنپ])</f>
        <v>0</v>
      </c>
      <c r="L1350" s="164">
        <f>-SUMIF(TArticle[تاریخ],TDays[[#This Row],[تاریخ]],TArticle[پرداخت بدهی])</f>
        <v>0</v>
      </c>
      <c r="M1350" s="164">
        <f>SUMIF(TArticle[تاریخ],TDays[[#This Row],[تاریخ]],TArticle[افزایش بدهی])</f>
        <v>0</v>
      </c>
      <c r="N1350" s="164">
        <f>-SUMIF(TArticle[تاریخ],TDays[[#This Row],[تاریخ]],TArticle[افزایش سرمایه])</f>
        <v>0</v>
      </c>
      <c r="O1350" s="164">
        <f>SUMIF(TArticle[تاریخ],TDays[[#This Row],[تاریخ]],TArticle[تعداد تراکنش انجام شده])</f>
        <v>0</v>
      </c>
      <c r="P1350" s="164">
        <f>INT(((TDays[[#This Row],[ماه]]-1)*31+TDays[[#This Row],[روز]]+1)/7)+1</f>
        <v>37</v>
      </c>
      <c r="Q1350" s="164">
        <f>SUMIF(TArticle[تاریخ],TDays[[#This Row],[تاریخ]],TArticle[تراکنش برنامه ریزی شده])</f>
        <v>0</v>
      </c>
    </row>
    <row r="1351" spans="1:17" x14ac:dyDescent="0.25">
      <c r="A1351" s="3" t="s">
        <v>1935</v>
      </c>
      <c r="B1351" s="164" t="str">
        <f>RIGHT(TDays[[#This Row],[تاریخ]],2)</f>
        <v>08</v>
      </c>
      <c r="C1351" s="164" t="str">
        <f>RIGHT(LEFT(TDays[[#This Row],[تاریخ]],7),2)</f>
        <v>09</v>
      </c>
      <c r="D1351" s="164" t="str">
        <f>LEFT(TDays[[#This Row],[تاریخ]],4)</f>
        <v>1404</v>
      </c>
      <c r="E1351" s="164" t="str">
        <f>LEFT(TDays[[#This Row],[تاریخ]],7)</f>
        <v>1404-09</v>
      </c>
      <c r="F1351">
        <v>0</v>
      </c>
      <c r="G1351" s="165" t="str">
        <f>VLOOKUP(TDays[[#This Row],[کد روز هفته]],TDaysOfTheWeek[],2,FALSE)</f>
        <v>شنبه</v>
      </c>
      <c r="H1351" s="165">
        <f>IFERROR(IF(E1350&lt;&gt;E1351,1,INT(H1350)+IF(TDays[[#This Row],[کد روز هفته]]=0,1,0)),1)</f>
        <v>2</v>
      </c>
      <c r="I1351" s="164">
        <f>-SUMIF(TArticle[تاریخ],TDays[[#This Row],[تاریخ]],TArticle[هزینه])</f>
        <v>0</v>
      </c>
      <c r="J1351" s="164">
        <f>SUMIF(TArticle[تاریخ],TDays[[#This Row],[تاریخ]],TArticle[درآمد تتا])</f>
        <v>0</v>
      </c>
      <c r="K1351" s="164">
        <f>SUMIF(TArticle[تاریخ],TDays[[#This Row],[تاریخ]],TArticle[اسنپ])</f>
        <v>0</v>
      </c>
      <c r="L1351" s="164">
        <f>-SUMIF(TArticle[تاریخ],TDays[[#This Row],[تاریخ]],TArticle[پرداخت بدهی])</f>
        <v>0</v>
      </c>
      <c r="M1351" s="164">
        <f>SUMIF(TArticle[تاریخ],TDays[[#This Row],[تاریخ]],TArticle[افزایش بدهی])</f>
        <v>0</v>
      </c>
      <c r="N1351" s="164">
        <f>-SUMIF(TArticle[تاریخ],TDays[[#This Row],[تاریخ]],TArticle[افزایش سرمایه])</f>
        <v>0</v>
      </c>
      <c r="O1351" s="164">
        <f>SUMIF(TArticle[تاریخ],TDays[[#This Row],[تاریخ]],TArticle[تعداد تراکنش انجام شده])</f>
        <v>0</v>
      </c>
      <c r="P1351" s="164">
        <f>INT(((TDays[[#This Row],[ماه]]-1)*31+TDays[[#This Row],[روز]]+1)/7)+1</f>
        <v>37</v>
      </c>
      <c r="Q1351" s="164">
        <f>SUMIF(TArticle[تاریخ],TDays[[#This Row],[تاریخ]],TArticle[تراکنش برنامه ریزی شده])</f>
        <v>0</v>
      </c>
    </row>
    <row r="1352" spans="1:17" x14ac:dyDescent="0.25">
      <c r="A1352" s="3" t="s">
        <v>1936</v>
      </c>
      <c r="B1352" s="164" t="str">
        <f>RIGHT(TDays[[#This Row],[تاریخ]],2)</f>
        <v>09</v>
      </c>
      <c r="C1352" s="164" t="str">
        <f>RIGHT(LEFT(TDays[[#This Row],[تاریخ]],7),2)</f>
        <v>09</v>
      </c>
      <c r="D1352" s="164" t="str">
        <f>LEFT(TDays[[#This Row],[تاریخ]],4)</f>
        <v>1404</v>
      </c>
      <c r="E1352" s="164" t="str">
        <f>LEFT(TDays[[#This Row],[تاریخ]],7)</f>
        <v>1404-09</v>
      </c>
      <c r="F1352">
        <v>1</v>
      </c>
      <c r="G1352" s="165" t="str">
        <f>VLOOKUP(TDays[[#This Row],[کد روز هفته]],TDaysOfTheWeek[],2,FALSE)</f>
        <v>یکشنبه</v>
      </c>
      <c r="H1352" s="165">
        <f>IFERROR(IF(E1351&lt;&gt;E1352,1,INT(H1351)+IF(TDays[[#This Row],[کد روز هفته]]=0,1,0)),1)</f>
        <v>2</v>
      </c>
      <c r="I1352" s="164">
        <f>-SUMIF(TArticle[تاریخ],TDays[[#This Row],[تاریخ]],TArticle[هزینه])</f>
        <v>0</v>
      </c>
      <c r="J1352" s="164">
        <f>SUMIF(TArticle[تاریخ],TDays[[#This Row],[تاریخ]],TArticle[درآمد تتا])</f>
        <v>0</v>
      </c>
      <c r="K1352" s="164">
        <f>SUMIF(TArticle[تاریخ],TDays[[#This Row],[تاریخ]],TArticle[اسنپ])</f>
        <v>0</v>
      </c>
      <c r="L1352" s="164">
        <f>-SUMIF(TArticle[تاریخ],TDays[[#This Row],[تاریخ]],TArticle[پرداخت بدهی])</f>
        <v>0</v>
      </c>
      <c r="M1352" s="164">
        <f>SUMIF(TArticle[تاریخ],TDays[[#This Row],[تاریخ]],TArticle[افزایش بدهی])</f>
        <v>0</v>
      </c>
      <c r="N1352" s="164">
        <f>-SUMIF(TArticle[تاریخ],TDays[[#This Row],[تاریخ]],TArticle[افزایش سرمایه])</f>
        <v>0</v>
      </c>
      <c r="O1352" s="164">
        <f>SUMIF(TArticle[تاریخ],TDays[[#This Row],[تاریخ]],TArticle[تعداد تراکنش انجام شده])</f>
        <v>0</v>
      </c>
      <c r="P1352" s="164">
        <f>INT(((TDays[[#This Row],[ماه]]-1)*31+TDays[[#This Row],[روز]]+1)/7)+1</f>
        <v>37</v>
      </c>
      <c r="Q1352" s="164">
        <f>SUMIF(TArticle[تاریخ],TDays[[#This Row],[تاریخ]],TArticle[تراکنش برنامه ریزی شده])</f>
        <v>1</v>
      </c>
    </row>
    <row r="1353" spans="1:17" x14ac:dyDescent="0.25">
      <c r="A1353" s="3" t="s">
        <v>1937</v>
      </c>
      <c r="B1353" s="164" t="str">
        <f>RIGHT(TDays[[#This Row],[تاریخ]],2)</f>
        <v>10</v>
      </c>
      <c r="C1353" s="164" t="str">
        <f>RIGHT(LEFT(TDays[[#This Row],[تاریخ]],7),2)</f>
        <v>09</v>
      </c>
      <c r="D1353" s="164" t="str">
        <f>LEFT(TDays[[#This Row],[تاریخ]],4)</f>
        <v>1404</v>
      </c>
      <c r="E1353" s="164" t="str">
        <f>LEFT(TDays[[#This Row],[تاریخ]],7)</f>
        <v>1404-09</v>
      </c>
      <c r="F1353">
        <v>2</v>
      </c>
      <c r="G1353" s="165" t="str">
        <f>VLOOKUP(TDays[[#This Row],[کد روز هفته]],TDaysOfTheWeek[],2,FALSE)</f>
        <v>دوشنبه</v>
      </c>
      <c r="H1353" s="165">
        <f>IFERROR(IF(E1352&lt;&gt;E1353,1,INT(H1352)+IF(TDays[[#This Row],[کد روز هفته]]=0,1,0)),1)</f>
        <v>2</v>
      </c>
      <c r="I1353" s="164">
        <f>-SUMIF(TArticle[تاریخ],TDays[[#This Row],[تاریخ]],TArticle[هزینه])</f>
        <v>0</v>
      </c>
      <c r="J1353" s="164">
        <f>SUMIF(TArticle[تاریخ],TDays[[#This Row],[تاریخ]],TArticle[درآمد تتا])</f>
        <v>0</v>
      </c>
      <c r="K1353" s="164">
        <f>SUMIF(TArticle[تاریخ],TDays[[#This Row],[تاریخ]],TArticle[اسنپ])</f>
        <v>0</v>
      </c>
      <c r="L1353" s="164">
        <f>-SUMIF(TArticle[تاریخ],TDays[[#This Row],[تاریخ]],TArticle[پرداخت بدهی])</f>
        <v>0</v>
      </c>
      <c r="M1353" s="164">
        <f>SUMIF(TArticle[تاریخ],TDays[[#This Row],[تاریخ]],TArticle[افزایش بدهی])</f>
        <v>0</v>
      </c>
      <c r="N1353" s="164">
        <f>-SUMIF(TArticle[تاریخ],TDays[[#This Row],[تاریخ]],TArticle[افزایش سرمایه])</f>
        <v>0</v>
      </c>
      <c r="O1353" s="164">
        <f>SUMIF(TArticle[تاریخ],TDays[[#This Row],[تاریخ]],TArticle[تعداد تراکنش انجام شده])</f>
        <v>0</v>
      </c>
      <c r="P1353" s="164">
        <f>INT(((TDays[[#This Row],[ماه]]-1)*31+TDays[[#This Row],[روز]]+1)/7)+1</f>
        <v>38</v>
      </c>
      <c r="Q1353" s="164">
        <f>SUMIF(TArticle[تاریخ],TDays[[#This Row],[تاریخ]],TArticle[تراکنش برنامه ریزی شده])</f>
        <v>0</v>
      </c>
    </row>
    <row r="1354" spans="1:17" x14ac:dyDescent="0.25">
      <c r="A1354" s="3" t="s">
        <v>1938</v>
      </c>
      <c r="B1354" s="164" t="str">
        <f>RIGHT(TDays[[#This Row],[تاریخ]],2)</f>
        <v>11</v>
      </c>
      <c r="C1354" s="164" t="str">
        <f>RIGHT(LEFT(TDays[[#This Row],[تاریخ]],7),2)</f>
        <v>09</v>
      </c>
      <c r="D1354" s="164" t="str">
        <f>LEFT(TDays[[#This Row],[تاریخ]],4)</f>
        <v>1404</v>
      </c>
      <c r="E1354" s="164" t="str">
        <f>LEFT(TDays[[#This Row],[تاریخ]],7)</f>
        <v>1404-09</v>
      </c>
      <c r="F1354">
        <v>3</v>
      </c>
      <c r="G1354" s="165" t="str">
        <f>VLOOKUP(TDays[[#This Row],[کد روز هفته]],TDaysOfTheWeek[],2,FALSE)</f>
        <v>سه شنبه</v>
      </c>
      <c r="H1354" s="165">
        <f>IFERROR(IF(E1353&lt;&gt;E1354,1,INT(H1353)+IF(TDays[[#This Row],[کد روز هفته]]=0,1,0)),1)</f>
        <v>2</v>
      </c>
      <c r="I1354" s="164">
        <f>-SUMIF(TArticle[تاریخ],TDays[[#This Row],[تاریخ]],TArticle[هزینه])</f>
        <v>0</v>
      </c>
      <c r="J1354" s="164">
        <f>SUMIF(TArticle[تاریخ],TDays[[#This Row],[تاریخ]],TArticle[درآمد تتا])</f>
        <v>0</v>
      </c>
      <c r="K1354" s="164">
        <f>SUMIF(TArticle[تاریخ],TDays[[#This Row],[تاریخ]],TArticle[اسنپ])</f>
        <v>0</v>
      </c>
      <c r="L1354" s="164">
        <f>-SUMIF(TArticle[تاریخ],TDays[[#This Row],[تاریخ]],TArticle[پرداخت بدهی])</f>
        <v>0</v>
      </c>
      <c r="M1354" s="164">
        <f>SUMIF(TArticle[تاریخ],TDays[[#This Row],[تاریخ]],TArticle[افزایش بدهی])</f>
        <v>0</v>
      </c>
      <c r="N1354" s="164">
        <f>-SUMIF(TArticle[تاریخ],TDays[[#This Row],[تاریخ]],TArticle[افزایش سرمایه])</f>
        <v>0</v>
      </c>
      <c r="O1354" s="164">
        <f>SUMIF(TArticle[تاریخ],TDays[[#This Row],[تاریخ]],TArticle[تعداد تراکنش انجام شده])</f>
        <v>0</v>
      </c>
      <c r="P1354" s="164">
        <f>INT(((TDays[[#This Row],[ماه]]-1)*31+TDays[[#This Row],[روز]]+1)/7)+1</f>
        <v>38</v>
      </c>
      <c r="Q1354" s="164">
        <f>SUMIF(TArticle[تاریخ],TDays[[#This Row],[تاریخ]],TArticle[تراکنش برنامه ریزی شده])</f>
        <v>0</v>
      </c>
    </row>
    <row r="1355" spans="1:17" x14ac:dyDescent="0.25">
      <c r="A1355" s="3" t="s">
        <v>1939</v>
      </c>
      <c r="B1355" s="164" t="str">
        <f>RIGHT(TDays[[#This Row],[تاریخ]],2)</f>
        <v>12</v>
      </c>
      <c r="C1355" s="164" t="str">
        <f>RIGHT(LEFT(TDays[[#This Row],[تاریخ]],7),2)</f>
        <v>09</v>
      </c>
      <c r="D1355" s="164" t="str">
        <f>LEFT(TDays[[#This Row],[تاریخ]],4)</f>
        <v>1404</v>
      </c>
      <c r="E1355" s="164" t="str">
        <f>LEFT(TDays[[#This Row],[تاریخ]],7)</f>
        <v>1404-09</v>
      </c>
      <c r="F1355">
        <v>4</v>
      </c>
      <c r="G1355" s="165" t="str">
        <f>VLOOKUP(TDays[[#This Row],[کد روز هفته]],TDaysOfTheWeek[],2,FALSE)</f>
        <v>چهارشنبه</v>
      </c>
      <c r="H1355" s="165">
        <f>IFERROR(IF(E1354&lt;&gt;E1355,1,INT(H1354)+IF(TDays[[#This Row],[کد روز هفته]]=0,1,0)),1)</f>
        <v>2</v>
      </c>
      <c r="I1355" s="164">
        <f>-SUMIF(TArticle[تاریخ],TDays[[#This Row],[تاریخ]],TArticle[هزینه])</f>
        <v>0</v>
      </c>
      <c r="J1355" s="164">
        <f>SUMIF(TArticle[تاریخ],TDays[[#This Row],[تاریخ]],TArticle[درآمد تتا])</f>
        <v>0</v>
      </c>
      <c r="K1355" s="164">
        <f>SUMIF(TArticle[تاریخ],TDays[[#This Row],[تاریخ]],TArticle[اسنپ])</f>
        <v>0</v>
      </c>
      <c r="L1355" s="164">
        <f>-SUMIF(TArticle[تاریخ],TDays[[#This Row],[تاریخ]],TArticle[پرداخت بدهی])</f>
        <v>0</v>
      </c>
      <c r="M1355" s="164">
        <f>SUMIF(TArticle[تاریخ],TDays[[#This Row],[تاریخ]],TArticle[افزایش بدهی])</f>
        <v>0</v>
      </c>
      <c r="N1355" s="164">
        <f>-SUMIF(TArticle[تاریخ],TDays[[#This Row],[تاریخ]],TArticle[افزایش سرمایه])</f>
        <v>0</v>
      </c>
      <c r="O1355" s="164">
        <f>SUMIF(TArticle[تاریخ],TDays[[#This Row],[تاریخ]],TArticle[تعداد تراکنش انجام شده])</f>
        <v>0</v>
      </c>
      <c r="P1355" s="164">
        <f>INT(((TDays[[#This Row],[ماه]]-1)*31+TDays[[#This Row],[روز]]+1)/7)+1</f>
        <v>38</v>
      </c>
      <c r="Q1355" s="164">
        <f>SUMIF(TArticle[تاریخ],TDays[[#This Row],[تاریخ]],TArticle[تراکنش برنامه ریزی شده])</f>
        <v>0</v>
      </c>
    </row>
    <row r="1356" spans="1:17" x14ac:dyDescent="0.25">
      <c r="A1356" s="3" t="s">
        <v>1940</v>
      </c>
      <c r="B1356" s="164" t="str">
        <f>RIGHT(TDays[[#This Row],[تاریخ]],2)</f>
        <v>13</v>
      </c>
      <c r="C1356" s="164" t="str">
        <f>RIGHT(LEFT(TDays[[#This Row],[تاریخ]],7),2)</f>
        <v>09</v>
      </c>
      <c r="D1356" s="164" t="str">
        <f>LEFT(TDays[[#This Row],[تاریخ]],4)</f>
        <v>1404</v>
      </c>
      <c r="E1356" s="164" t="str">
        <f>LEFT(TDays[[#This Row],[تاریخ]],7)</f>
        <v>1404-09</v>
      </c>
      <c r="F1356">
        <v>5</v>
      </c>
      <c r="G1356" s="165" t="str">
        <f>VLOOKUP(TDays[[#This Row],[کد روز هفته]],TDaysOfTheWeek[],2,FALSE)</f>
        <v>پنجشنبه</v>
      </c>
      <c r="H1356" s="165">
        <f>IFERROR(IF(E1355&lt;&gt;E1356,1,INT(H1355)+IF(TDays[[#This Row],[کد روز هفته]]=0,1,0)),1)</f>
        <v>2</v>
      </c>
      <c r="I1356" s="164">
        <f>-SUMIF(TArticle[تاریخ],TDays[[#This Row],[تاریخ]],TArticle[هزینه])</f>
        <v>0</v>
      </c>
      <c r="J1356" s="164">
        <f>SUMIF(TArticle[تاریخ],TDays[[#This Row],[تاریخ]],TArticle[درآمد تتا])</f>
        <v>0</v>
      </c>
      <c r="K1356" s="164">
        <f>SUMIF(TArticle[تاریخ],TDays[[#This Row],[تاریخ]],TArticle[اسنپ])</f>
        <v>0</v>
      </c>
      <c r="L1356" s="164">
        <f>-SUMIF(TArticle[تاریخ],TDays[[#This Row],[تاریخ]],TArticle[پرداخت بدهی])</f>
        <v>0</v>
      </c>
      <c r="M1356" s="164">
        <f>SUMIF(TArticle[تاریخ],TDays[[#This Row],[تاریخ]],TArticle[افزایش بدهی])</f>
        <v>0</v>
      </c>
      <c r="N1356" s="164">
        <f>-SUMIF(TArticle[تاریخ],TDays[[#This Row],[تاریخ]],TArticle[افزایش سرمایه])</f>
        <v>0</v>
      </c>
      <c r="O1356" s="164">
        <f>SUMIF(TArticle[تاریخ],TDays[[#This Row],[تاریخ]],TArticle[تعداد تراکنش انجام شده])</f>
        <v>0</v>
      </c>
      <c r="P1356" s="164">
        <f>INT(((TDays[[#This Row],[ماه]]-1)*31+TDays[[#This Row],[روز]]+1)/7)+1</f>
        <v>38</v>
      </c>
      <c r="Q1356" s="164">
        <f>SUMIF(TArticle[تاریخ],TDays[[#This Row],[تاریخ]],TArticle[تراکنش برنامه ریزی شده])</f>
        <v>0</v>
      </c>
    </row>
    <row r="1357" spans="1:17" x14ac:dyDescent="0.25">
      <c r="A1357" s="3" t="s">
        <v>1941</v>
      </c>
      <c r="B1357" s="164" t="str">
        <f>RIGHT(TDays[[#This Row],[تاریخ]],2)</f>
        <v>14</v>
      </c>
      <c r="C1357" s="164" t="str">
        <f>RIGHT(LEFT(TDays[[#This Row],[تاریخ]],7),2)</f>
        <v>09</v>
      </c>
      <c r="D1357" s="164" t="str">
        <f>LEFT(TDays[[#This Row],[تاریخ]],4)</f>
        <v>1404</v>
      </c>
      <c r="E1357" s="164" t="str">
        <f>LEFT(TDays[[#This Row],[تاریخ]],7)</f>
        <v>1404-09</v>
      </c>
      <c r="F1357">
        <v>6</v>
      </c>
      <c r="G1357" s="165" t="str">
        <f>VLOOKUP(TDays[[#This Row],[کد روز هفته]],TDaysOfTheWeek[],2,FALSE)</f>
        <v>جمعه</v>
      </c>
      <c r="H1357" s="165">
        <f>IFERROR(IF(E1356&lt;&gt;E1357,1,INT(H1356)+IF(TDays[[#This Row],[کد روز هفته]]=0,1,0)),1)</f>
        <v>2</v>
      </c>
      <c r="I1357" s="164">
        <f>-SUMIF(TArticle[تاریخ],TDays[[#This Row],[تاریخ]],TArticle[هزینه])</f>
        <v>0</v>
      </c>
      <c r="J1357" s="164">
        <f>SUMIF(TArticle[تاریخ],TDays[[#This Row],[تاریخ]],TArticle[درآمد تتا])</f>
        <v>0</v>
      </c>
      <c r="K1357" s="164">
        <f>SUMIF(TArticle[تاریخ],TDays[[#This Row],[تاریخ]],TArticle[اسنپ])</f>
        <v>0</v>
      </c>
      <c r="L1357" s="164">
        <f>-SUMIF(TArticle[تاریخ],TDays[[#This Row],[تاریخ]],TArticle[پرداخت بدهی])</f>
        <v>0</v>
      </c>
      <c r="M1357" s="164">
        <f>SUMIF(TArticle[تاریخ],TDays[[#This Row],[تاریخ]],TArticle[افزایش بدهی])</f>
        <v>0</v>
      </c>
      <c r="N1357" s="164">
        <f>-SUMIF(TArticle[تاریخ],TDays[[#This Row],[تاریخ]],TArticle[افزایش سرمایه])</f>
        <v>0</v>
      </c>
      <c r="O1357" s="164">
        <f>SUMIF(TArticle[تاریخ],TDays[[#This Row],[تاریخ]],TArticle[تعداد تراکنش انجام شده])</f>
        <v>0</v>
      </c>
      <c r="P1357" s="164">
        <f>INT(((TDays[[#This Row],[ماه]]-1)*31+TDays[[#This Row],[روز]]+1)/7)+1</f>
        <v>38</v>
      </c>
      <c r="Q1357" s="164">
        <f>SUMIF(TArticle[تاریخ],TDays[[#This Row],[تاریخ]],TArticle[تراکنش برنامه ریزی شده])</f>
        <v>0</v>
      </c>
    </row>
    <row r="1358" spans="1:17" x14ac:dyDescent="0.25">
      <c r="A1358" s="3" t="s">
        <v>1942</v>
      </c>
      <c r="B1358" s="164" t="str">
        <f>RIGHT(TDays[[#This Row],[تاریخ]],2)</f>
        <v>15</v>
      </c>
      <c r="C1358" s="164" t="str">
        <f>RIGHT(LEFT(TDays[[#This Row],[تاریخ]],7),2)</f>
        <v>09</v>
      </c>
      <c r="D1358" s="164" t="str">
        <f>LEFT(TDays[[#This Row],[تاریخ]],4)</f>
        <v>1404</v>
      </c>
      <c r="E1358" s="164" t="str">
        <f>LEFT(TDays[[#This Row],[تاریخ]],7)</f>
        <v>1404-09</v>
      </c>
      <c r="F1358">
        <v>0</v>
      </c>
      <c r="G1358" s="165" t="str">
        <f>VLOOKUP(TDays[[#This Row],[کد روز هفته]],TDaysOfTheWeek[],2,FALSE)</f>
        <v>شنبه</v>
      </c>
      <c r="H1358" s="165">
        <f>IFERROR(IF(E1357&lt;&gt;E1358,1,INT(H1357)+IF(TDays[[#This Row],[کد روز هفته]]=0,1,0)),1)</f>
        <v>3</v>
      </c>
      <c r="I1358" s="164">
        <f>-SUMIF(TArticle[تاریخ],TDays[[#This Row],[تاریخ]],TArticle[هزینه])</f>
        <v>0</v>
      </c>
      <c r="J1358" s="164">
        <f>SUMIF(TArticle[تاریخ],TDays[[#This Row],[تاریخ]],TArticle[درآمد تتا])</f>
        <v>0</v>
      </c>
      <c r="K1358" s="164">
        <f>SUMIF(TArticle[تاریخ],TDays[[#This Row],[تاریخ]],TArticle[اسنپ])</f>
        <v>0</v>
      </c>
      <c r="L1358" s="164">
        <f>-SUMIF(TArticle[تاریخ],TDays[[#This Row],[تاریخ]],TArticle[پرداخت بدهی])</f>
        <v>0</v>
      </c>
      <c r="M1358" s="164">
        <f>SUMIF(TArticle[تاریخ],TDays[[#This Row],[تاریخ]],TArticle[افزایش بدهی])</f>
        <v>0</v>
      </c>
      <c r="N1358" s="164">
        <f>-SUMIF(TArticle[تاریخ],TDays[[#This Row],[تاریخ]],TArticle[افزایش سرمایه])</f>
        <v>0</v>
      </c>
      <c r="O1358" s="164">
        <f>SUMIF(TArticle[تاریخ],TDays[[#This Row],[تاریخ]],TArticle[تعداد تراکنش انجام شده])</f>
        <v>0</v>
      </c>
      <c r="P1358" s="164">
        <f>INT(((TDays[[#This Row],[ماه]]-1)*31+TDays[[#This Row],[روز]]+1)/7)+1</f>
        <v>38</v>
      </c>
      <c r="Q1358" s="164">
        <f>SUMIF(TArticle[تاریخ],TDays[[#This Row],[تاریخ]],TArticle[تراکنش برنامه ریزی شده])</f>
        <v>0</v>
      </c>
    </row>
    <row r="1359" spans="1:17" x14ac:dyDescent="0.25">
      <c r="A1359" s="3" t="s">
        <v>1943</v>
      </c>
      <c r="B1359" s="164" t="str">
        <f>RIGHT(TDays[[#This Row],[تاریخ]],2)</f>
        <v>16</v>
      </c>
      <c r="C1359" s="164" t="str">
        <f>RIGHT(LEFT(TDays[[#This Row],[تاریخ]],7),2)</f>
        <v>09</v>
      </c>
      <c r="D1359" s="164" t="str">
        <f>LEFT(TDays[[#This Row],[تاریخ]],4)</f>
        <v>1404</v>
      </c>
      <c r="E1359" s="164" t="str">
        <f>LEFT(TDays[[#This Row],[تاریخ]],7)</f>
        <v>1404-09</v>
      </c>
      <c r="F1359">
        <v>1</v>
      </c>
      <c r="G1359" s="165" t="str">
        <f>VLOOKUP(TDays[[#This Row],[کد روز هفته]],TDaysOfTheWeek[],2,FALSE)</f>
        <v>یکشنبه</v>
      </c>
      <c r="H1359" s="165">
        <f>IFERROR(IF(E1358&lt;&gt;E1359,1,INT(H1358)+IF(TDays[[#This Row],[کد روز هفته]]=0,1,0)),1)</f>
        <v>3</v>
      </c>
      <c r="I1359" s="164">
        <f>-SUMIF(TArticle[تاریخ],TDays[[#This Row],[تاریخ]],TArticle[هزینه])</f>
        <v>0</v>
      </c>
      <c r="J1359" s="164">
        <f>SUMIF(TArticle[تاریخ],TDays[[#This Row],[تاریخ]],TArticle[درآمد تتا])</f>
        <v>0</v>
      </c>
      <c r="K1359" s="164">
        <f>SUMIF(TArticle[تاریخ],TDays[[#This Row],[تاریخ]],TArticle[اسنپ])</f>
        <v>0</v>
      </c>
      <c r="L1359" s="164">
        <f>-SUMIF(TArticle[تاریخ],TDays[[#This Row],[تاریخ]],TArticle[پرداخت بدهی])</f>
        <v>0</v>
      </c>
      <c r="M1359" s="164">
        <f>SUMIF(TArticle[تاریخ],TDays[[#This Row],[تاریخ]],TArticle[افزایش بدهی])</f>
        <v>0</v>
      </c>
      <c r="N1359" s="164">
        <f>-SUMIF(TArticle[تاریخ],TDays[[#This Row],[تاریخ]],TArticle[افزایش سرمایه])</f>
        <v>0</v>
      </c>
      <c r="O1359" s="164">
        <f>SUMIF(TArticle[تاریخ],TDays[[#This Row],[تاریخ]],TArticle[تعداد تراکنش انجام شده])</f>
        <v>0</v>
      </c>
      <c r="P1359" s="164">
        <f>INT(((TDays[[#This Row],[ماه]]-1)*31+TDays[[#This Row],[روز]]+1)/7)+1</f>
        <v>38</v>
      </c>
      <c r="Q1359" s="164">
        <f>SUMIF(TArticle[تاریخ],TDays[[#This Row],[تاریخ]],TArticle[تراکنش برنامه ریزی شده])</f>
        <v>0</v>
      </c>
    </row>
    <row r="1360" spans="1:17" x14ac:dyDescent="0.25">
      <c r="A1360" s="3" t="s">
        <v>1944</v>
      </c>
      <c r="B1360" s="164" t="str">
        <f>RIGHT(TDays[[#This Row],[تاریخ]],2)</f>
        <v>17</v>
      </c>
      <c r="C1360" s="164" t="str">
        <f>RIGHT(LEFT(TDays[[#This Row],[تاریخ]],7),2)</f>
        <v>09</v>
      </c>
      <c r="D1360" s="164" t="str">
        <f>LEFT(TDays[[#This Row],[تاریخ]],4)</f>
        <v>1404</v>
      </c>
      <c r="E1360" s="164" t="str">
        <f>LEFT(TDays[[#This Row],[تاریخ]],7)</f>
        <v>1404-09</v>
      </c>
      <c r="F1360">
        <v>2</v>
      </c>
      <c r="G1360" s="165" t="str">
        <f>VLOOKUP(TDays[[#This Row],[کد روز هفته]],TDaysOfTheWeek[],2,FALSE)</f>
        <v>دوشنبه</v>
      </c>
      <c r="H1360" s="165">
        <f>IFERROR(IF(E1359&lt;&gt;E1360,1,INT(H1359)+IF(TDays[[#This Row],[کد روز هفته]]=0,1,0)),1)</f>
        <v>3</v>
      </c>
      <c r="I1360" s="164">
        <f>-SUMIF(TArticle[تاریخ],TDays[[#This Row],[تاریخ]],TArticle[هزینه])</f>
        <v>0</v>
      </c>
      <c r="J1360" s="164">
        <f>SUMIF(TArticle[تاریخ],TDays[[#This Row],[تاریخ]],TArticle[درآمد تتا])</f>
        <v>0</v>
      </c>
      <c r="K1360" s="164">
        <f>SUMIF(TArticle[تاریخ],TDays[[#This Row],[تاریخ]],TArticle[اسنپ])</f>
        <v>0</v>
      </c>
      <c r="L1360" s="164">
        <f>-SUMIF(TArticle[تاریخ],TDays[[#This Row],[تاریخ]],TArticle[پرداخت بدهی])</f>
        <v>0</v>
      </c>
      <c r="M1360" s="164">
        <f>SUMIF(TArticle[تاریخ],TDays[[#This Row],[تاریخ]],TArticle[افزایش بدهی])</f>
        <v>0</v>
      </c>
      <c r="N1360" s="164">
        <f>-SUMIF(TArticle[تاریخ],TDays[[#This Row],[تاریخ]],TArticle[افزایش سرمایه])</f>
        <v>0</v>
      </c>
      <c r="O1360" s="164">
        <f>SUMIF(TArticle[تاریخ],TDays[[#This Row],[تاریخ]],TArticle[تعداد تراکنش انجام شده])</f>
        <v>0</v>
      </c>
      <c r="P1360" s="164">
        <f>INT(((TDays[[#This Row],[ماه]]-1)*31+TDays[[#This Row],[روز]]+1)/7)+1</f>
        <v>39</v>
      </c>
      <c r="Q1360" s="164">
        <f>SUMIF(TArticle[تاریخ],TDays[[#This Row],[تاریخ]],TArticle[تراکنش برنامه ریزی شده])</f>
        <v>0</v>
      </c>
    </row>
    <row r="1361" spans="1:17" x14ac:dyDescent="0.25">
      <c r="A1361" s="3" t="s">
        <v>1945</v>
      </c>
      <c r="B1361" s="164" t="str">
        <f>RIGHT(TDays[[#This Row],[تاریخ]],2)</f>
        <v>18</v>
      </c>
      <c r="C1361" s="164" t="str">
        <f>RIGHT(LEFT(TDays[[#This Row],[تاریخ]],7),2)</f>
        <v>09</v>
      </c>
      <c r="D1361" s="164" t="str">
        <f>LEFT(TDays[[#This Row],[تاریخ]],4)</f>
        <v>1404</v>
      </c>
      <c r="E1361" s="164" t="str">
        <f>LEFT(TDays[[#This Row],[تاریخ]],7)</f>
        <v>1404-09</v>
      </c>
      <c r="F1361">
        <v>3</v>
      </c>
      <c r="G1361" s="165" t="str">
        <f>VLOOKUP(TDays[[#This Row],[کد روز هفته]],TDaysOfTheWeek[],2,FALSE)</f>
        <v>سه شنبه</v>
      </c>
      <c r="H1361" s="165">
        <f>IFERROR(IF(E1360&lt;&gt;E1361,1,INT(H1360)+IF(TDays[[#This Row],[کد روز هفته]]=0,1,0)),1)</f>
        <v>3</v>
      </c>
      <c r="I1361" s="164">
        <f>-SUMIF(TArticle[تاریخ],TDays[[#This Row],[تاریخ]],TArticle[هزینه])</f>
        <v>0</v>
      </c>
      <c r="J1361" s="164">
        <f>SUMIF(TArticle[تاریخ],TDays[[#This Row],[تاریخ]],TArticle[درآمد تتا])</f>
        <v>0</v>
      </c>
      <c r="K1361" s="164">
        <f>SUMIF(TArticle[تاریخ],TDays[[#This Row],[تاریخ]],TArticle[اسنپ])</f>
        <v>0</v>
      </c>
      <c r="L1361" s="164">
        <f>-SUMIF(TArticle[تاریخ],TDays[[#This Row],[تاریخ]],TArticle[پرداخت بدهی])</f>
        <v>0</v>
      </c>
      <c r="M1361" s="164">
        <f>SUMIF(TArticle[تاریخ],TDays[[#This Row],[تاریخ]],TArticle[افزایش بدهی])</f>
        <v>0</v>
      </c>
      <c r="N1361" s="164">
        <f>-SUMIF(TArticle[تاریخ],TDays[[#This Row],[تاریخ]],TArticle[افزایش سرمایه])</f>
        <v>0</v>
      </c>
      <c r="O1361" s="164">
        <f>SUMIF(TArticle[تاریخ],TDays[[#This Row],[تاریخ]],TArticle[تعداد تراکنش انجام شده])</f>
        <v>0</v>
      </c>
      <c r="P1361" s="164">
        <f>INT(((TDays[[#This Row],[ماه]]-1)*31+TDays[[#This Row],[روز]]+1)/7)+1</f>
        <v>39</v>
      </c>
      <c r="Q1361" s="164">
        <f>SUMIF(TArticle[تاریخ],TDays[[#This Row],[تاریخ]],TArticle[تراکنش برنامه ریزی شده])</f>
        <v>0</v>
      </c>
    </row>
    <row r="1362" spans="1:17" x14ac:dyDescent="0.25">
      <c r="A1362" s="3" t="s">
        <v>1946</v>
      </c>
      <c r="B1362" s="164" t="str">
        <f>RIGHT(TDays[[#This Row],[تاریخ]],2)</f>
        <v>19</v>
      </c>
      <c r="C1362" s="164" t="str">
        <f>RIGHT(LEFT(TDays[[#This Row],[تاریخ]],7),2)</f>
        <v>09</v>
      </c>
      <c r="D1362" s="164" t="str">
        <f>LEFT(TDays[[#This Row],[تاریخ]],4)</f>
        <v>1404</v>
      </c>
      <c r="E1362" s="164" t="str">
        <f>LEFT(TDays[[#This Row],[تاریخ]],7)</f>
        <v>1404-09</v>
      </c>
      <c r="F1362">
        <v>4</v>
      </c>
      <c r="G1362" s="165" t="str">
        <f>VLOOKUP(TDays[[#This Row],[کد روز هفته]],TDaysOfTheWeek[],2,FALSE)</f>
        <v>چهارشنبه</v>
      </c>
      <c r="H1362" s="165">
        <f>IFERROR(IF(E1361&lt;&gt;E1362,1,INT(H1361)+IF(TDays[[#This Row],[کد روز هفته]]=0,1,0)),1)</f>
        <v>3</v>
      </c>
      <c r="I1362" s="164">
        <f>-SUMIF(TArticle[تاریخ],TDays[[#This Row],[تاریخ]],TArticle[هزینه])</f>
        <v>0</v>
      </c>
      <c r="J1362" s="164">
        <f>SUMIF(TArticle[تاریخ],TDays[[#This Row],[تاریخ]],TArticle[درآمد تتا])</f>
        <v>0</v>
      </c>
      <c r="K1362" s="164">
        <f>SUMIF(TArticle[تاریخ],TDays[[#This Row],[تاریخ]],TArticle[اسنپ])</f>
        <v>0</v>
      </c>
      <c r="L1362" s="164">
        <f>-SUMIF(TArticle[تاریخ],TDays[[#This Row],[تاریخ]],TArticle[پرداخت بدهی])</f>
        <v>0</v>
      </c>
      <c r="M1362" s="164">
        <f>SUMIF(TArticle[تاریخ],TDays[[#This Row],[تاریخ]],TArticle[افزایش بدهی])</f>
        <v>0</v>
      </c>
      <c r="N1362" s="164">
        <f>-SUMIF(TArticle[تاریخ],TDays[[#This Row],[تاریخ]],TArticle[افزایش سرمایه])</f>
        <v>0</v>
      </c>
      <c r="O1362" s="164">
        <f>SUMIF(TArticle[تاریخ],TDays[[#This Row],[تاریخ]],TArticle[تعداد تراکنش انجام شده])</f>
        <v>0</v>
      </c>
      <c r="P1362" s="164">
        <f>INT(((TDays[[#This Row],[ماه]]-1)*31+TDays[[#This Row],[روز]]+1)/7)+1</f>
        <v>39</v>
      </c>
      <c r="Q1362" s="164">
        <f>SUMIF(TArticle[تاریخ],TDays[[#This Row],[تاریخ]],TArticle[تراکنش برنامه ریزی شده])</f>
        <v>0</v>
      </c>
    </row>
    <row r="1363" spans="1:17" x14ac:dyDescent="0.25">
      <c r="A1363" s="3" t="s">
        <v>1947</v>
      </c>
      <c r="B1363" s="164" t="str">
        <f>RIGHT(TDays[[#This Row],[تاریخ]],2)</f>
        <v>20</v>
      </c>
      <c r="C1363" s="164" t="str">
        <f>RIGHT(LEFT(TDays[[#This Row],[تاریخ]],7),2)</f>
        <v>09</v>
      </c>
      <c r="D1363" s="164" t="str">
        <f>LEFT(TDays[[#This Row],[تاریخ]],4)</f>
        <v>1404</v>
      </c>
      <c r="E1363" s="164" t="str">
        <f>LEFT(TDays[[#This Row],[تاریخ]],7)</f>
        <v>1404-09</v>
      </c>
      <c r="F1363">
        <v>5</v>
      </c>
      <c r="G1363" s="165" t="str">
        <f>VLOOKUP(TDays[[#This Row],[کد روز هفته]],TDaysOfTheWeek[],2,FALSE)</f>
        <v>پنجشنبه</v>
      </c>
      <c r="H1363" s="165">
        <f>IFERROR(IF(E1362&lt;&gt;E1363,1,INT(H1362)+IF(TDays[[#This Row],[کد روز هفته]]=0,1,0)),1)</f>
        <v>3</v>
      </c>
      <c r="I1363" s="164">
        <f>-SUMIF(TArticle[تاریخ],TDays[[#This Row],[تاریخ]],TArticle[هزینه])</f>
        <v>0</v>
      </c>
      <c r="J1363" s="164">
        <f>SUMIF(TArticle[تاریخ],TDays[[#This Row],[تاریخ]],TArticle[درآمد تتا])</f>
        <v>0</v>
      </c>
      <c r="K1363" s="164">
        <f>SUMIF(TArticle[تاریخ],TDays[[#This Row],[تاریخ]],TArticle[اسنپ])</f>
        <v>0</v>
      </c>
      <c r="L1363" s="164">
        <f>-SUMIF(TArticle[تاریخ],TDays[[#This Row],[تاریخ]],TArticle[پرداخت بدهی])</f>
        <v>0</v>
      </c>
      <c r="M1363" s="164">
        <f>SUMIF(TArticle[تاریخ],TDays[[#This Row],[تاریخ]],TArticle[افزایش بدهی])</f>
        <v>0</v>
      </c>
      <c r="N1363" s="164">
        <f>-SUMIF(TArticle[تاریخ],TDays[[#This Row],[تاریخ]],TArticle[افزایش سرمایه])</f>
        <v>0</v>
      </c>
      <c r="O1363" s="164">
        <f>SUMIF(TArticle[تاریخ],TDays[[#This Row],[تاریخ]],TArticle[تعداد تراکنش انجام شده])</f>
        <v>0</v>
      </c>
      <c r="P1363" s="164">
        <f>INT(((TDays[[#This Row],[ماه]]-1)*31+TDays[[#This Row],[روز]]+1)/7)+1</f>
        <v>39</v>
      </c>
      <c r="Q1363" s="164">
        <f>SUMIF(TArticle[تاریخ],TDays[[#This Row],[تاریخ]],TArticle[تراکنش برنامه ریزی شده])</f>
        <v>1</v>
      </c>
    </row>
    <row r="1364" spans="1:17" x14ac:dyDescent="0.25">
      <c r="A1364" s="3" t="s">
        <v>1948</v>
      </c>
      <c r="B1364" s="164" t="str">
        <f>RIGHT(TDays[[#This Row],[تاریخ]],2)</f>
        <v>21</v>
      </c>
      <c r="C1364" s="164" t="str">
        <f>RIGHT(LEFT(TDays[[#This Row],[تاریخ]],7),2)</f>
        <v>09</v>
      </c>
      <c r="D1364" s="164" t="str">
        <f>LEFT(TDays[[#This Row],[تاریخ]],4)</f>
        <v>1404</v>
      </c>
      <c r="E1364" s="164" t="str">
        <f>LEFT(TDays[[#This Row],[تاریخ]],7)</f>
        <v>1404-09</v>
      </c>
      <c r="F1364">
        <v>6</v>
      </c>
      <c r="G1364" s="165" t="str">
        <f>VLOOKUP(TDays[[#This Row],[کد روز هفته]],TDaysOfTheWeek[],2,FALSE)</f>
        <v>جمعه</v>
      </c>
      <c r="H1364" s="165">
        <f>IFERROR(IF(E1363&lt;&gt;E1364,1,INT(H1363)+IF(TDays[[#This Row],[کد روز هفته]]=0,1,0)),1)</f>
        <v>3</v>
      </c>
      <c r="I1364" s="164">
        <f>-SUMIF(TArticle[تاریخ],TDays[[#This Row],[تاریخ]],TArticle[هزینه])</f>
        <v>0</v>
      </c>
      <c r="J1364" s="164">
        <f>SUMIF(TArticle[تاریخ],TDays[[#This Row],[تاریخ]],TArticle[درآمد تتا])</f>
        <v>0</v>
      </c>
      <c r="K1364" s="164">
        <f>SUMIF(TArticle[تاریخ],TDays[[#This Row],[تاریخ]],TArticle[اسنپ])</f>
        <v>0</v>
      </c>
      <c r="L1364" s="164">
        <f>-SUMIF(TArticle[تاریخ],TDays[[#This Row],[تاریخ]],TArticle[پرداخت بدهی])</f>
        <v>0</v>
      </c>
      <c r="M1364" s="164">
        <f>SUMIF(TArticle[تاریخ],TDays[[#This Row],[تاریخ]],TArticle[افزایش بدهی])</f>
        <v>0</v>
      </c>
      <c r="N1364" s="164">
        <f>-SUMIF(TArticle[تاریخ],TDays[[#This Row],[تاریخ]],TArticle[افزایش سرمایه])</f>
        <v>0</v>
      </c>
      <c r="O1364" s="164">
        <f>SUMIF(TArticle[تاریخ],TDays[[#This Row],[تاریخ]],TArticle[تعداد تراکنش انجام شده])</f>
        <v>0</v>
      </c>
      <c r="P1364" s="164">
        <f>INT(((TDays[[#This Row],[ماه]]-1)*31+TDays[[#This Row],[روز]]+1)/7)+1</f>
        <v>39</v>
      </c>
      <c r="Q1364" s="164">
        <f>SUMIF(TArticle[تاریخ],TDays[[#This Row],[تاریخ]],TArticle[تراکنش برنامه ریزی شده])</f>
        <v>0</v>
      </c>
    </row>
    <row r="1365" spans="1:17" x14ac:dyDescent="0.25">
      <c r="A1365" s="3" t="s">
        <v>1949</v>
      </c>
      <c r="B1365" s="164" t="str">
        <f>RIGHT(TDays[[#This Row],[تاریخ]],2)</f>
        <v>22</v>
      </c>
      <c r="C1365" s="164" t="str">
        <f>RIGHT(LEFT(TDays[[#This Row],[تاریخ]],7),2)</f>
        <v>09</v>
      </c>
      <c r="D1365" s="164" t="str">
        <f>LEFT(TDays[[#This Row],[تاریخ]],4)</f>
        <v>1404</v>
      </c>
      <c r="E1365" s="164" t="str">
        <f>LEFT(TDays[[#This Row],[تاریخ]],7)</f>
        <v>1404-09</v>
      </c>
      <c r="F1365">
        <v>0</v>
      </c>
      <c r="G1365" s="165" t="str">
        <f>VLOOKUP(TDays[[#This Row],[کد روز هفته]],TDaysOfTheWeek[],2,FALSE)</f>
        <v>شنبه</v>
      </c>
      <c r="H1365" s="165">
        <f>IFERROR(IF(E1364&lt;&gt;E1365,1,INT(H1364)+IF(TDays[[#This Row],[کد روز هفته]]=0,1,0)),1)</f>
        <v>4</v>
      </c>
      <c r="I1365" s="164">
        <f>-SUMIF(TArticle[تاریخ],TDays[[#This Row],[تاریخ]],TArticle[هزینه])</f>
        <v>0</v>
      </c>
      <c r="J1365" s="164">
        <f>SUMIF(TArticle[تاریخ],TDays[[#This Row],[تاریخ]],TArticle[درآمد تتا])</f>
        <v>0</v>
      </c>
      <c r="K1365" s="164">
        <f>SUMIF(TArticle[تاریخ],TDays[[#This Row],[تاریخ]],TArticle[اسنپ])</f>
        <v>0</v>
      </c>
      <c r="L1365" s="164">
        <f>-SUMIF(TArticle[تاریخ],TDays[[#This Row],[تاریخ]],TArticle[پرداخت بدهی])</f>
        <v>0</v>
      </c>
      <c r="M1365" s="164">
        <f>SUMIF(TArticle[تاریخ],TDays[[#This Row],[تاریخ]],TArticle[افزایش بدهی])</f>
        <v>0</v>
      </c>
      <c r="N1365" s="164">
        <f>-SUMIF(TArticle[تاریخ],TDays[[#This Row],[تاریخ]],TArticle[افزایش سرمایه])</f>
        <v>0</v>
      </c>
      <c r="O1365" s="164">
        <f>SUMIF(TArticle[تاریخ],TDays[[#This Row],[تاریخ]],TArticle[تعداد تراکنش انجام شده])</f>
        <v>0</v>
      </c>
      <c r="P1365" s="164">
        <f>INT(((TDays[[#This Row],[ماه]]-1)*31+TDays[[#This Row],[روز]]+1)/7)+1</f>
        <v>39</v>
      </c>
      <c r="Q1365" s="164">
        <f>SUMIF(TArticle[تاریخ],TDays[[#This Row],[تاریخ]],TArticle[تراکنش برنامه ریزی شده])</f>
        <v>0</v>
      </c>
    </row>
    <row r="1366" spans="1:17" x14ac:dyDescent="0.25">
      <c r="A1366" s="3" t="s">
        <v>1950</v>
      </c>
      <c r="B1366" s="164" t="str">
        <f>RIGHT(TDays[[#This Row],[تاریخ]],2)</f>
        <v>23</v>
      </c>
      <c r="C1366" s="164" t="str">
        <f>RIGHT(LEFT(TDays[[#This Row],[تاریخ]],7),2)</f>
        <v>09</v>
      </c>
      <c r="D1366" s="164" t="str">
        <f>LEFT(TDays[[#This Row],[تاریخ]],4)</f>
        <v>1404</v>
      </c>
      <c r="E1366" s="164" t="str">
        <f>LEFT(TDays[[#This Row],[تاریخ]],7)</f>
        <v>1404-09</v>
      </c>
      <c r="F1366">
        <v>1</v>
      </c>
      <c r="G1366" s="165" t="str">
        <f>VLOOKUP(TDays[[#This Row],[کد روز هفته]],TDaysOfTheWeek[],2,FALSE)</f>
        <v>یکشنبه</v>
      </c>
      <c r="H1366" s="165">
        <f>IFERROR(IF(E1365&lt;&gt;E1366,1,INT(H1365)+IF(TDays[[#This Row],[کد روز هفته]]=0,1,0)),1)</f>
        <v>4</v>
      </c>
      <c r="I1366" s="164">
        <f>-SUMIF(TArticle[تاریخ],TDays[[#This Row],[تاریخ]],TArticle[هزینه])</f>
        <v>0</v>
      </c>
      <c r="J1366" s="164">
        <f>SUMIF(TArticle[تاریخ],TDays[[#This Row],[تاریخ]],TArticle[درآمد تتا])</f>
        <v>0</v>
      </c>
      <c r="K1366" s="164">
        <f>SUMIF(TArticle[تاریخ],TDays[[#This Row],[تاریخ]],TArticle[اسنپ])</f>
        <v>0</v>
      </c>
      <c r="L1366" s="164">
        <f>-SUMIF(TArticle[تاریخ],TDays[[#This Row],[تاریخ]],TArticle[پرداخت بدهی])</f>
        <v>0</v>
      </c>
      <c r="M1366" s="164">
        <f>SUMIF(TArticle[تاریخ],TDays[[#This Row],[تاریخ]],TArticle[افزایش بدهی])</f>
        <v>0</v>
      </c>
      <c r="N1366" s="164">
        <f>-SUMIF(TArticle[تاریخ],TDays[[#This Row],[تاریخ]],TArticle[افزایش سرمایه])</f>
        <v>0</v>
      </c>
      <c r="O1366" s="164">
        <f>SUMIF(TArticle[تاریخ],TDays[[#This Row],[تاریخ]],TArticle[تعداد تراکنش انجام شده])</f>
        <v>0</v>
      </c>
      <c r="P1366" s="164">
        <f>INT(((TDays[[#This Row],[ماه]]-1)*31+TDays[[#This Row],[روز]]+1)/7)+1</f>
        <v>39</v>
      </c>
      <c r="Q1366" s="164">
        <f>SUMIF(TArticle[تاریخ],TDays[[#This Row],[تاریخ]],TArticle[تراکنش برنامه ریزی شده])</f>
        <v>0</v>
      </c>
    </row>
    <row r="1367" spans="1:17" x14ac:dyDescent="0.25">
      <c r="A1367" s="3" t="s">
        <v>1951</v>
      </c>
      <c r="B1367" s="164" t="str">
        <f>RIGHT(TDays[[#This Row],[تاریخ]],2)</f>
        <v>24</v>
      </c>
      <c r="C1367" s="164" t="str">
        <f>RIGHT(LEFT(TDays[[#This Row],[تاریخ]],7),2)</f>
        <v>09</v>
      </c>
      <c r="D1367" s="164" t="str">
        <f>LEFT(TDays[[#This Row],[تاریخ]],4)</f>
        <v>1404</v>
      </c>
      <c r="E1367" s="164" t="str">
        <f>LEFT(TDays[[#This Row],[تاریخ]],7)</f>
        <v>1404-09</v>
      </c>
      <c r="F1367">
        <v>2</v>
      </c>
      <c r="G1367" s="165" t="str">
        <f>VLOOKUP(TDays[[#This Row],[کد روز هفته]],TDaysOfTheWeek[],2,FALSE)</f>
        <v>دوشنبه</v>
      </c>
      <c r="H1367" s="165">
        <f>IFERROR(IF(E1366&lt;&gt;E1367,1,INT(H1366)+IF(TDays[[#This Row],[کد روز هفته]]=0,1,0)),1)</f>
        <v>4</v>
      </c>
      <c r="I1367" s="164">
        <f>-SUMIF(TArticle[تاریخ],TDays[[#This Row],[تاریخ]],TArticle[هزینه])</f>
        <v>0</v>
      </c>
      <c r="J1367" s="164">
        <f>SUMIF(TArticle[تاریخ],TDays[[#This Row],[تاریخ]],TArticle[درآمد تتا])</f>
        <v>0</v>
      </c>
      <c r="K1367" s="164">
        <f>SUMIF(TArticle[تاریخ],TDays[[#This Row],[تاریخ]],TArticle[اسنپ])</f>
        <v>0</v>
      </c>
      <c r="L1367" s="164">
        <f>-SUMIF(TArticle[تاریخ],TDays[[#This Row],[تاریخ]],TArticle[پرداخت بدهی])</f>
        <v>0</v>
      </c>
      <c r="M1367" s="164">
        <f>SUMIF(TArticle[تاریخ],TDays[[#This Row],[تاریخ]],TArticle[افزایش بدهی])</f>
        <v>0</v>
      </c>
      <c r="N1367" s="164">
        <f>-SUMIF(TArticle[تاریخ],TDays[[#This Row],[تاریخ]],TArticle[افزایش سرمایه])</f>
        <v>0</v>
      </c>
      <c r="O1367" s="164">
        <f>SUMIF(TArticle[تاریخ],TDays[[#This Row],[تاریخ]],TArticle[تعداد تراکنش انجام شده])</f>
        <v>0</v>
      </c>
      <c r="P1367" s="164">
        <f>INT(((TDays[[#This Row],[ماه]]-1)*31+TDays[[#This Row],[روز]]+1)/7)+1</f>
        <v>40</v>
      </c>
      <c r="Q1367" s="164">
        <f>SUMIF(TArticle[تاریخ],TDays[[#This Row],[تاریخ]],TArticle[تراکنش برنامه ریزی شده])</f>
        <v>0</v>
      </c>
    </row>
    <row r="1368" spans="1:17" x14ac:dyDescent="0.25">
      <c r="A1368" s="3" t="s">
        <v>1952</v>
      </c>
      <c r="B1368" s="164" t="str">
        <f>RIGHT(TDays[[#This Row],[تاریخ]],2)</f>
        <v>25</v>
      </c>
      <c r="C1368" s="164" t="str">
        <f>RIGHT(LEFT(TDays[[#This Row],[تاریخ]],7),2)</f>
        <v>09</v>
      </c>
      <c r="D1368" s="164" t="str">
        <f>LEFT(TDays[[#This Row],[تاریخ]],4)</f>
        <v>1404</v>
      </c>
      <c r="E1368" s="164" t="str">
        <f>LEFT(TDays[[#This Row],[تاریخ]],7)</f>
        <v>1404-09</v>
      </c>
      <c r="F1368">
        <v>3</v>
      </c>
      <c r="G1368" s="165" t="str">
        <f>VLOOKUP(TDays[[#This Row],[کد روز هفته]],TDaysOfTheWeek[],2,FALSE)</f>
        <v>سه شنبه</v>
      </c>
      <c r="H1368" s="165">
        <f>IFERROR(IF(E1367&lt;&gt;E1368,1,INT(H1367)+IF(TDays[[#This Row],[کد روز هفته]]=0,1,0)),1)</f>
        <v>4</v>
      </c>
      <c r="I1368" s="164">
        <f>-SUMIF(TArticle[تاریخ],TDays[[#This Row],[تاریخ]],TArticle[هزینه])</f>
        <v>0</v>
      </c>
      <c r="J1368" s="164">
        <f>SUMIF(TArticle[تاریخ],TDays[[#This Row],[تاریخ]],TArticle[درآمد تتا])</f>
        <v>0</v>
      </c>
      <c r="K1368" s="164">
        <f>SUMIF(TArticle[تاریخ],TDays[[#This Row],[تاریخ]],TArticle[اسنپ])</f>
        <v>0</v>
      </c>
      <c r="L1368" s="164">
        <f>-SUMIF(TArticle[تاریخ],TDays[[#This Row],[تاریخ]],TArticle[پرداخت بدهی])</f>
        <v>0</v>
      </c>
      <c r="M1368" s="164">
        <f>SUMIF(TArticle[تاریخ],TDays[[#This Row],[تاریخ]],TArticle[افزایش بدهی])</f>
        <v>0</v>
      </c>
      <c r="N1368" s="164">
        <f>-SUMIF(TArticle[تاریخ],TDays[[#This Row],[تاریخ]],TArticle[افزایش سرمایه])</f>
        <v>0</v>
      </c>
      <c r="O1368" s="164">
        <f>SUMIF(TArticle[تاریخ],TDays[[#This Row],[تاریخ]],TArticle[تعداد تراکنش انجام شده])</f>
        <v>0</v>
      </c>
      <c r="P1368" s="164">
        <f>INT(((TDays[[#This Row],[ماه]]-1)*31+TDays[[#This Row],[روز]]+1)/7)+1</f>
        <v>40</v>
      </c>
      <c r="Q1368" s="164">
        <f>SUMIF(TArticle[تاریخ],TDays[[#This Row],[تاریخ]],TArticle[تراکنش برنامه ریزی شده])</f>
        <v>0</v>
      </c>
    </row>
    <row r="1369" spans="1:17" x14ac:dyDescent="0.25">
      <c r="A1369" s="3" t="s">
        <v>1953</v>
      </c>
      <c r="B1369" s="164" t="str">
        <f>RIGHT(TDays[[#This Row],[تاریخ]],2)</f>
        <v>26</v>
      </c>
      <c r="C1369" s="164" t="str">
        <f>RIGHT(LEFT(TDays[[#This Row],[تاریخ]],7),2)</f>
        <v>09</v>
      </c>
      <c r="D1369" s="164" t="str">
        <f>LEFT(TDays[[#This Row],[تاریخ]],4)</f>
        <v>1404</v>
      </c>
      <c r="E1369" s="164" t="str">
        <f>LEFT(TDays[[#This Row],[تاریخ]],7)</f>
        <v>1404-09</v>
      </c>
      <c r="F1369">
        <v>4</v>
      </c>
      <c r="G1369" s="165" t="str">
        <f>VLOOKUP(TDays[[#This Row],[کد روز هفته]],TDaysOfTheWeek[],2,FALSE)</f>
        <v>چهارشنبه</v>
      </c>
      <c r="H1369" s="165">
        <f>IFERROR(IF(E1368&lt;&gt;E1369,1,INT(H1368)+IF(TDays[[#This Row],[کد روز هفته]]=0,1,0)),1)</f>
        <v>4</v>
      </c>
      <c r="I1369" s="164">
        <f>-SUMIF(TArticle[تاریخ],TDays[[#This Row],[تاریخ]],TArticle[هزینه])</f>
        <v>0</v>
      </c>
      <c r="J1369" s="164">
        <f>SUMIF(TArticle[تاریخ],TDays[[#This Row],[تاریخ]],TArticle[درآمد تتا])</f>
        <v>0</v>
      </c>
      <c r="K1369" s="164">
        <f>SUMIF(TArticle[تاریخ],TDays[[#This Row],[تاریخ]],TArticle[اسنپ])</f>
        <v>0</v>
      </c>
      <c r="L1369" s="164">
        <f>-SUMIF(TArticle[تاریخ],TDays[[#This Row],[تاریخ]],TArticle[پرداخت بدهی])</f>
        <v>0</v>
      </c>
      <c r="M1369" s="164">
        <f>SUMIF(TArticle[تاریخ],TDays[[#This Row],[تاریخ]],TArticle[افزایش بدهی])</f>
        <v>0</v>
      </c>
      <c r="N1369" s="164">
        <f>-SUMIF(TArticle[تاریخ],TDays[[#This Row],[تاریخ]],TArticle[افزایش سرمایه])</f>
        <v>0</v>
      </c>
      <c r="O1369" s="164">
        <f>SUMIF(TArticle[تاریخ],TDays[[#This Row],[تاریخ]],TArticle[تعداد تراکنش انجام شده])</f>
        <v>0</v>
      </c>
      <c r="P1369" s="164">
        <f>INT(((TDays[[#This Row],[ماه]]-1)*31+TDays[[#This Row],[روز]]+1)/7)+1</f>
        <v>40</v>
      </c>
      <c r="Q1369" s="164">
        <f>SUMIF(TArticle[تاریخ],TDays[[#This Row],[تاریخ]],TArticle[تراکنش برنامه ریزی شده])</f>
        <v>0</v>
      </c>
    </row>
    <row r="1370" spans="1:17" x14ac:dyDescent="0.25">
      <c r="A1370" s="3" t="s">
        <v>1954</v>
      </c>
      <c r="B1370" s="164" t="str">
        <f>RIGHT(TDays[[#This Row],[تاریخ]],2)</f>
        <v>27</v>
      </c>
      <c r="C1370" s="164" t="str">
        <f>RIGHT(LEFT(TDays[[#This Row],[تاریخ]],7),2)</f>
        <v>09</v>
      </c>
      <c r="D1370" s="164" t="str">
        <f>LEFT(TDays[[#This Row],[تاریخ]],4)</f>
        <v>1404</v>
      </c>
      <c r="E1370" s="164" t="str">
        <f>LEFT(TDays[[#This Row],[تاریخ]],7)</f>
        <v>1404-09</v>
      </c>
      <c r="F1370">
        <v>5</v>
      </c>
      <c r="G1370" s="165" t="str">
        <f>VLOOKUP(TDays[[#This Row],[کد روز هفته]],TDaysOfTheWeek[],2,FALSE)</f>
        <v>پنجشنبه</v>
      </c>
      <c r="H1370" s="165">
        <f>IFERROR(IF(E1369&lt;&gt;E1370,1,INT(H1369)+IF(TDays[[#This Row],[کد روز هفته]]=0,1,0)),1)</f>
        <v>4</v>
      </c>
      <c r="I1370" s="164">
        <f>-SUMIF(TArticle[تاریخ],TDays[[#This Row],[تاریخ]],TArticle[هزینه])</f>
        <v>0</v>
      </c>
      <c r="J1370" s="164">
        <f>SUMIF(TArticle[تاریخ],TDays[[#This Row],[تاریخ]],TArticle[درآمد تتا])</f>
        <v>0</v>
      </c>
      <c r="K1370" s="164">
        <f>SUMIF(TArticle[تاریخ],TDays[[#This Row],[تاریخ]],TArticle[اسنپ])</f>
        <v>0</v>
      </c>
      <c r="L1370" s="164">
        <f>-SUMIF(TArticle[تاریخ],TDays[[#This Row],[تاریخ]],TArticle[پرداخت بدهی])</f>
        <v>0</v>
      </c>
      <c r="M1370" s="164">
        <f>SUMIF(TArticle[تاریخ],TDays[[#This Row],[تاریخ]],TArticle[افزایش بدهی])</f>
        <v>0</v>
      </c>
      <c r="N1370" s="164">
        <f>-SUMIF(TArticle[تاریخ],TDays[[#This Row],[تاریخ]],TArticle[افزایش سرمایه])</f>
        <v>0</v>
      </c>
      <c r="O1370" s="164">
        <f>SUMIF(TArticle[تاریخ],TDays[[#This Row],[تاریخ]],TArticle[تعداد تراکنش انجام شده])</f>
        <v>0</v>
      </c>
      <c r="P1370" s="164">
        <f>INT(((TDays[[#This Row],[ماه]]-1)*31+TDays[[#This Row],[روز]]+1)/7)+1</f>
        <v>40</v>
      </c>
      <c r="Q1370" s="164">
        <f>SUMIF(TArticle[تاریخ],TDays[[#This Row],[تاریخ]],TArticle[تراکنش برنامه ریزی شده])</f>
        <v>0</v>
      </c>
    </row>
    <row r="1371" spans="1:17" x14ac:dyDescent="0.25">
      <c r="A1371" s="3" t="s">
        <v>1955</v>
      </c>
      <c r="B1371" s="164" t="str">
        <f>RIGHT(TDays[[#This Row],[تاریخ]],2)</f>
        <v>28</v>
      </c>
      <c r="C1371" s="164" t="str">
        <f>RIGHT(LEFT(TDays[[#This Row],[تاریخ]],7),2)</f>
        <v>09</v>
      </c>
      <c r="D1371" s="164" t="str">
        <f>LEFT(TDays[[#This Row],[تاریخ]],4)</f>
        <v>1404</v>
      </c>
      <c r="E1371" s="164" t="str">
        <f>LEFT(TDays[[#This Row],[تاریخ]],7)</f>
        <v>1404-09</v>
      </c>
      <c r="F1371">
        <v>6</v>
      </c>
      <c r="G1371" s="165" t="str">
        <f>VLOOKUP(TDays[[#This Row],[کد روز هفته]],TDaysOfTheWeek[],2,FALSE)</f>
        <v>جمعه</v>
      </c>
      <c r="H1371" s="165">
        <f>IFERROR(IF(E1370&lt;&gt;E1371,1,INT(H1370)+IF(TDays[[#This Row],[کد روز هفته]]=0,1,0)),1)</f>
        <v>4</v>
      </c>
      <c r="I1371" s="164">
        <f>-SUMIF(TArticle[تاریخ],TDays[[#This Row],[تاریخ]],TArticle[هزینه])</f>
        <v>0</v>
      </c>
      <c r="J1371" s="164">
        <f>SUMIF(TArticle[تاریخ],TDays[[#This Row],[تاریخ]],TArticle[درآمد تتا])</f>
        <v>0</v>
      </c>
      <c r="K1371" s="164">
        <f>SUMIF(TArticle[تاریخ],TDays[[#This Row],[تاریخ]],TArticle[اسنپ])</f>
        <v>0</v>
      </c>
      <c r="L1371" s="164">
        <f>-SUMIF(TArticle[تاریخ],TDays[[#This Row],[تاریخ]],TArticle[پرداخت بدهی])</f>
        <v>0</v>
      </c>
      <c r="M1371" s="164">
        <f>SUMIF(TArticle[تاریخ],TDays[[#This Row],[تاریخ]],TArticle[افزایش بدهی])</f>
        <v>0</v>
      </c>
      <c r="N1371" s="164">
        <f>-SUMIF(TArticle[تاریخ],TDays[[#This Row],[تاریخ]],TArticle[افزایش سرمایه])</f>
        <v>0</v>
      </c>
      <c r="O1371" s="164">
        <f>SUMIF(TArticle[تاریخ],TDays[[#This Row],[تاریخ]],TArticle[تعداد تراکنش انجام شده])</f>
        <v>0</v>
      </c>
      <c r="P1371" s="164">
        <f>INT(((TDays[[#This Row],[ماه]]-1)*31+TDays[[#This Row],[روز]]+1)/7)+1</f>
        <v>40</v>
      </c>
      <c r="Q1371" s="164">
        <f>SUMIF(TArticle[تاریخ],TDays[[#This Row],[تاریخ]],TArticle[تراکنش برنامه ریزی شده])</f>
        <v>0</v>
      </c>
    </row>
    <row r="1372" spans="1:17" x14ac:dyDescent="0.25">
      <c r="A1372" s="3" t="s">
        <v>1956</v>
      </c>
      <c r="B1372" s="164" t="str">
        <f>RIGHT(TDays[[#This Row],[تاریخ]],2)</f>
        <v>29</v>
      </c>
      <c r="C1372" s="164" t="str">
        <f>RIGHT(LEFT(TDays[[#This Row],[تاریخ]],7),2)</f>
        <v>09</v>
      </c>
      <c r="D1372" s="164" t="str">
        <f>LEFT(TDays[[#This Row],[تاریخ]],4)</f>
        <v>1404</v>
      </c>
      <c r="E1372" s="164" t="str">
        <f>LEFT(TDays[[#This Row],[تاریخ]],7)</f>
        <v>1404-09</v>
      </c>
      <c r="F1372">
        <v>0</v>
      </c>
      <c r="G1372" s="165" t="str">
        <f>VLOOKUP(TDays[[#This Row],[کد روز هفته]],TDaysOfTheWeek[],2,FALSE)</f>
        <v>شنبه</v>
      </c>
      <c r="H1372" s="165">
        <f>IFERROR(IF(E1371&lt;&gt;E1372,1,INT(H1371)+IF(TDays[[#This Row],[کد روز هفته]]=0,1,0)),1)</f>
        <v>5</v>
      </c>
      <c r="I1372" s="164">
        <f>-SUMIF(TArticle[تاریخ],TDays[[#This Row],[تاریخ]],TArticle[هزینه])</f>
        <v>0</v>
      </c>
      <c r="J1372" s="164">
        <f>SUMIF(TArticle[تاریخ],TDays[[#This Row],[تاریخ]],TArticle[درآمد تتا])</f>
        <v>0</v>
      </c>
      <c r="K1372" s="164">
        <f>SUMIF(TArticle[تاریخ],TDays[[#This Row],[تاریخ]],TArticle[اسنپ])</f>
        <v>0</v>
      </c>
      <c r="L1372" s="164">
        <f>-SUMIF(TArticle[تاریخ],TDays[[#This Row],[تاریخ]],TArticle[پرداخت بدهی])</f>
        <v>0</v>
      </c>
      <c r="M1372" s="164">
        <f>SUMIF(TArticle[تاریخ],TDays[[#This Row],[تاریخ]],TArticle[افزایش بدهی])</f>
        <v>0</v>
      </c>
      <c r="N1372" s="164">
        <f>-SUMIF(TArticle[تاریخ],TDays[[#This Row],[تاریخ]],TArticle[افزایش سرمایه])</f>
        <v>0</v>
      </c>
      <c r="O1372" s="164">
        <f>SUMIF(TArticle[تاریخ],TDays[[#This Row],[تاریخ]],TArticle[تعداد تراکنش انجام شده])</f>
        <v>0</v>
      </c>
      <c r="P1372" s="164">
        <f>INT(((TDays[[#This Row],[ماه]]-1)*31+TDays[[#This Row],[روز]]+1)/7)+1</f>
        <v>40</v>
      </c>
      <c r="Q1372" s="164">
        <f>SUMIF(TArticle[تاریخ],TDays[[#This Row],[تاریخ]],TArticle[تراکنش برنامه ریزی شده])</f>
        <v>0</v>
      </c>
    </row>
    <row r="1373" spans="1:17" x14ac:dyDescent="0.25">
      <c r="A1373" s="3" t="s">
        <v>1957</v>
      </c>
      <c r="B1373" s="164" t="str">
        <f>RIGHT(TDays[[#This Row],[تاریخ]],2)</f>
        <v>30</v>
      </c>
      <c r="C1373" s="164" t="str">
        <f>RIGHT(LEFT(TDays[[#This Row],[تاریخ]],7),2)</f>
        <v>09</v>
      </c>
      <c r="D1373" s="164" t="str">
        <f>LEFT(TDays[[#This Row],[تاریخ]],4)</f>
        <v>1404</v>
      </c>
      <c r="E1373" s="164" t="str">
        <f>LEFT(TDays[[#This Row],[تاریخ]],7)</f>
        <v>1404-09</v>
      </c>
      <c r="F1373">
        <v>1</v>
      </c>
      <c r="G1373" s="165" t="str">
        <f>VLOOKUP(TDays[[#This Row],[کد روز هفته]],TDaysOfTheWeek[],2,FALSE)</f>
        <v>یکشنبه</v>
      </c>
      <c r="H1373" s="165">
        <f>IFERROR(IF(E1372&lt;&gt;E1373,1,INT(H1372)+IF(TDays[[#This Row],[کد روز هفته]]=0,1,0)),1)</f>
        <v>5</v>
      </c>
      <c r="I1373" s="164">
        <f>-SUMIF(TArticle[تاریخ],TDays[[#This Row],[تاریخ]],TArticle[هزینه])</f>
        <v>0</v>
      </c>
      <c r="J1373" s="164">
        <f>SUMIF(TArticle[تاریخ],TDays[[#This Row],[تاریخ]],TArticle[درآمد تتا])</f>
        <v>0</v>
      </c>
      <c r="K1373" s="164">
        <f>SUMIF(TArticle[تاریخ],TDays[[#This Row],[تاریخ]],TArticle[اسنپ])</f>
        <v>0</v>
      </c>
      <c r="L1373" s="164">
        <f>-SUMIF(TArticle[تاریخ],TDays[[#This Row],[تاریخ]],TArticle[پرداخت بدهی])</f>
        <v>0</v>
      </c>
      <c r="M1373" s="164">
        <f>SUMIF(TArticle[تاریخ],TDays[[#This Row],[تاریخ]],TArticle[افزایش بدهی])</f>
        <v>0</v>
      </c>
      <c r="N1373" s="164">
        <f>-SUMIF(TArticle[تاریخ],TDays[[#This Row],[تاریخ]],TArticle[افزایش سرمایه])</f>
        <v>0</v>
      </c>
      <c r="O1373" s="164">
        <f>SUMIF(TArticle[تاریخ],TDays[[#This Row],[تاریخ]],TArticle[تعداد تراکنش انجام شده])</f>
        <v>0</v>
      </c>
      <c r="P1373" s="164">
        <f>INT(((TDays[[#This Row],[ماه]]-1)*31+TDays[[#This Row],[روز]]+1)/7)+1</f>
        <v>40</v>
      </c>
      <c r="Q1373" s="164">
        <f>SUMIF(TArticle[تاریخ],TDays[[#This Row],[تاریخ]],TArticle[تراکنش برنامه ریزی شده])</f>
        <v>0</v>
      </c>
    </row>
    <row r="1374" spans="1:17" x14ac:dyDescent="0.25">
      <c r="A1374" s="3" t="s">
        <v>1958</v>
      </c>
      <c r="B1374" s="164" t="str">
        <f>RIGHT(TDays[[#This Row],[تاریخ]],2)</f>
        <v>01</v>
      </c>
      <c r="C1374" s="164" t="str">
        <f>RIGHT(LEFT(TDays[[#This Row],[تاریخ]],7),2)</f>
        <v>10</v>
      </c>
      <c r="D1374" s="164" t="str">
        <f>LEFT(TDays[[#This Row],[تاریخ]],4)</f>
        <v>1404</v>
      </c>
      <c r="E1374" s="164" t="str">
        <f>LEFT(TDays[[#This Row],[تاریخ]],7)</f>
        <v>1404-10</v>
      </c>
      <c r="F1374">
        <v>2</v>
      </c>
      <c r="G1374" s="165" t="str">
        <f>VLOOKUP(TDays[[#This Row],[کد روز هفته]],TDaysOfTheWeek[],2,FALSE)</f>
        <v>دوشنبه</v>
      </c>
      <c r="H1374" s="165">
        <f>IFERROR(IF(E1373&lt;&gt;E1374,1,INT(H1373)+IF(TDays[[#This Row],[کد روز هفته]]=0,1,0)),1)</f>
        <v>1</v>
      </c>
      <c r="I1374" s="164">
        <f>-SUMIF(TArticle[تاریخ],TDays[[#This Row],[تاریخ]],TArticle[هزینه])</f>
        <v>0</v>
      </c>
      <c r="J1374" s="164">
        <f>SUMIF(TArticle[تاریخ],TDays[[#This Row],[تاریخ]],TArticle[درآمد تتا])</f>
        <v>0</v>
      </c>
      <c r="K1374" s="164">
        <f>SUMIF(TArticle[تاریخ],TDays[[#This Row],[تاریخ]],TArticle[اسنپ])</f>
        <v>0</v>
      </c>
      <c r="L1374" s="164">
        <f>-SUMIF(TArticle[تاریخ],TDays[[#This Row],[تاریخ]],TArticle[پرداخت بدهی])</f>
        <v>0</v>
      </c>
      <c r="M1374" s="164">
        <f>SUMIF(TArticle[تاریخ],TDays[[#This Row],[تاریخ]],TArticle[افزایش بدهی])</f>
        <v>0</v>
      </c>
      <c r="N1374" s="164">
        <f>-SUMIF(TArticle[تاریخ],TDays[[#This Row],[تاریخ]],TArticle[افزایش سرمایه])</f>
        <v>0</v>
      </c>
      <c r="O1374" s="164">
        <f>SUMIF(TArticle[تاریخ],TDays[[#This Row],[تاریخ]],TArticle[تعداد تراکنش انجام شده])</f>
        <v>0</v>
      </c>
      <c r="P1374" s="164">
        <f>INT(((TDays[[#This Row],[ماه]]-1)*31+TDays[[#This Row],[روز]]+1)/7)+1</f>
        <v>41</v>
      </c>
      <c r="Q1374" s="164">
        <f>SUMIF(TArticle[تاریخ],TDays[[#This Row],[تاریخ]],TArticle[تراکنش برنامه ریزی شده])</f>
        <v>2</v>
      </c>
    </row>
    <row r="1375" spans="1:17" x14ac:dyDescent="0.25">
      <c r="A1375" s="3" t="s">
        <v>1959</v>
      </c>
      <c r="B1375" s="164" t="str">
        <f>RIGHT(TDays[[#This Row],[تاریخ]],2)</f>
        <v>02</v>
      </c>
      <c r="C1375" s="164" t="str">
        <f>RIGHT(LEFT(TDays[[#This Row],[تاریخ]],7),2)</f>
        <v>10</v>
      </c>
      <c r="D1375" s="164" t="str">
        <f>LEFT(TDays[[#This Row],[تاریخ]],4)</f>
        <v>1404</v>
      </c>
      <c r="E1375" s="164" t="str">
        <f>LEFT(TDays[[#This Row],[تاریخ]],7)</f>
        <v>1404-10</v>
      </c>
      <c r="F1375">
        <v>3</v>
      </c>
      <c r="G1375" s="165" t="str">
        <f>VLOOKUP(TDays[[#This Row],[کد روز هفته]],TDaysOfTheWeek[],2,FALSE)</f>
        <v>سه شنبه</v>
      </c>
      <c r="H1375" s="165">
        <f>IFERROR(IF(E1374&lt;&gt;E1375,1,INT(H1374)+IF(TDays[[#This Row],[کد روز هفته]]=0,1,0)),1)</f>
        <v>1</v>
      </c>
      <c r="I1375" s="164">
        <f>-SUMIF(TArticle[تاریخ],TDays[[#This Row],[تاریخ]],TArticle[هزینه])</f>
        <v>0</v>
      </c>
      <c r="J1375" s="164">
        <f>SUMIF(TArticle[تاریخ],TDays[[#This Row],[تاریخ]],TArticle[درآمد تتا])</f>
        <v>0</v>
      </c>
      <c r="K1375" s="164">
        <f>SUMIF(TArticle[تاریخ],TDays[[#This Row],[تاریخ]],TArticle[اسنپ])</f>
        <v>0</v>
      </c>
      <c r="L1375" s="164">
        <f>-SUMIF(TArticle[تاریخ],TDays[[#This Row],[تاریخ]],TArticle[پرداخت بدهی])</f>
        <v>0</v>
      </c>
      <c r="M1375" s="164">
        <f>SUMIF(TArticle[تاریخ],TDays[[#This Row],[تاریخ]],TArticle[افزایش بدهی])</f>
        <v>0</v>
      </c>
      <c r="N1375" s="164">
        <f>-SUMIF(TArticle[تاریخ],TDays[[#This Row],[تاریخ]],TArticle[افزایش سرمایه])</f>
        <v>0</v>
      </c>
      <c r="O1375" s="164">
        <f>SUMIF(TArticle[تاریخ],TDays[[#This Row],[تاریخ]],TArticle[تعداد تراکنش انجام شده])</f>
        <v>0</v>
      </c>
      <c r="P1375" s="164">
        <f>INT(((TDays[[#This Row],[ماه]]-1)*31+TDays[[#This Row],[روز]]+1)/7)+1</f>
        <v>41</v>
      </c>
      <c r="Q1375" s="164">
        <f>SUMIF(TArticle[تاریخ],TDays[[#This Row],[تاریخ]],TArticle[تراکنش برنامه ریزی شده])</f>
        <v>0</v>
      </c>
    </row>
    <row r="1376" spans="1:17" x14ac:dyDescent="0.25">
      <c r="A1376" s="3" t="s">
        <v>1960</v>
      </c>
      <c r="B1376" s="164" t="str">
        <f>RIGHT(TDays[[#This Row],[تاریخ]],2)</f>
        <v>03</v>
      </c>
      <c r="C1376" s="164" t="str">
        <f>RIGHT(LEFT(TDays[[#This Row],[تاریخ]],7),2)</f>
        <v>10</v>
      </c>
      <c r="D1376" s="164" t="str">
        <f>LEFT(TDays[[#This Row],[تاریخ]],4)</f>
        <v>1404</v>
      </c>
      <c r="E1376" s="164" t="str">
        <f>LEFT(TDays[[#This Row],[تاریخ]],7)</f>
        <v>1404-10</v>
      </c>
      <c r="F1376">
        <v>4</v>
      </c>
      <c r="G1376" s="165" t="str">
        <f>VLOOKUP(TDays[[#This Row],[کد روز هفته]],TDaysOfTheWeek[],2,FALSE)</f>
        <v>چهارشنبه</v>
      </c>
      <c r="H1376" s="165">
        <f>IFERROR(IF(E1375&lt;&gt;E1376,1,INT(H1375)+IF(TDays[[#This Row],[کد روز هفته]]=0,1,0)),1)</f>
        <v>1</v>
      </c>
      <c r="I1376" s="164">
        <f>-SUMIF(TArticle[تاریخ],TDays[[#This Row],[تاریخ]],TArticle[هزینه])</f>
        <v>0</v>
      </c>
      <c r="J1376" s="164">
        <f>SUMIF(TArticle[تاریخ],TDays[[#This Row],[تاریخ]],TArticle[درآمد تتا])</f>
        <v>0</v>
      </c>
      <c r="K1376" s="164">
        <f>SUMIF(TArticle[تاریخ],TDays[[#This Row],[تاریخ]],TArticle[اسنپ])</f>
        <v>0</v>
      </c>
      <c r="L1376" s="164">
        <f>-SUMIF(TArticle[تاریخ],TDays[[#This Row],[تاریخ]],TArticle[پرداخت بدهی])</f>
        <v>0</v>
      </c>
      <c r="M1376" s="164">
        <f>SUMIF(TArticle[تاریخ],TDays[[#This Row],[تاریخ]],TArticle[افزایش بدهی])</f>
        <v>0</v>
      </c>
      <c r="N1376" s="164">
        <f>-SUMIF(TArticle[تاریخ],TDays[[#This Row],[تاریخ]],TArticle[افزایش سرمایه])</f>
        <v>0</v>
      </c>
      <c r="O1376" s="164">
        <f>SUMIF(TArticle[تاریخ],TDays[[#This Row],[تاریخ]],TArticle[تعداد تراکنش انجام شده])</f>
        <v>0</v>
      </c>
      <c r="P1376" s="164">
        <f>INT(((TDays[[#This Row],[ماه]]-1)*31+TDays[[#This Row],[روز]]+1)/7)+1</f>
        <v>41</v>
      </c>
      <c r="Q1376" s="164">
        <f>SUMIF(TArticle[تاریخ],TDays[[#This Row],[تاریخ]],TArticle[تراکنش برنامه ریزی شده])</f>
        <v>1</v>
      </c>
    </row>
    <row r="1377" spans="1:17" x14ac:dyDescent="0.25">
      <c r="A1377" s="3" t="s">
        <v>1961</v>
      </c>
      <c r="B1377" s="164" t="str">
        <f>RIGHT(TDays[[#This Row],[تاریخ]],2)</f>
        <v>04</v>
      </c>
      <c r="C1377" s="164" t="str">
        <f>RIGHT(LEFT(TDays[[#This Row],[تاریخ]],7),2)</f>
        <v>10</v>
      </c>
      <c r="D1377" s="164" t="str">
        <f>LEFT(TDays[[#This Row],[تاریخ]],4)</f>
        <v>1404</v>
      </c>
      <c r="E1377" s="164" t="str">
        <f>LEFT(TDays[[#This Row],[تاریخ]],7)</f>
        <v>1404-10</v>
      </c>
      <c r="F1377">
        <v>5</v>
      </c>
      <c r="G1377" s="165" t="str">
        <f>VLOOKUP(TDays[[#This Row],[کد روز هفته]],TDaysOfTheWeek[],2,FALSE)</f>
        <v>پنجشنبه</v>
      </c>
      <c r="H1377" s="165">
        <f>IFERROR(IF(E1376&lt;&gt;E1377,1,INT(H1376)+IF(TDays[[#This Row],[کد روز هفته]]=0,1,0)),1)</f>
        <v>1</v>
      </c>
      <c r="I1377" s="164">
        <f>-SUMIF(TArticle[تاریخ],TDays[[#This Row],[تاریخ]],TArticle[هزینه])</f>
        <v>0</v>
      </c>
      <c r="J1377" s="164">
        <f>SUMIF(TArticle[تاریخ],TDays[[#This Row],[تاریخ]],TArticle[درآمد تتا])</f>
        <v>0</v>
      </c>
      <c r="K1377" s="164">
        <f>SUMIF(TArticle[تاریخ],TDays[[#This Row],[تاریخ]],TArticle[اسنپ])</f>
        <v>0</v>
      </c>
      <c r="L1377" s="164">
        <f>-SUMIF(TArticle[تاریخ],TDays[[#This Row],[تاریخ]],TArticle[پرداخت بدهی])</f>
        <v>0</v>
      </c>
      <c r="M1377" s="164">
        <f>SUMIF(TArticle[تاریخ],TDays[[#This Row],[تاریخ]],TArticle[افزایش بدهی])</f>
        <v>0</v>
      </c>
      <c r="N1377" s="164">
        <f>-SUMIF(TArticle[تاریخ],TDays[[#This Row],[تاریخ]],TArticle[افزایش سرمایه])</f>
        <v>0</v>
      </c>
      <c r="O1377" s="164">
        <f>SUMIF(TArticle[تاریخ],TDays[[#This Row],[تاریخ]],TArticle[تعداد تراکنش انجام شده])</f>
        <v>0</v>
      </c>
      <c r="P1377" s="164">
        <f>INT(((TDays[[#This Row],[ماه]]-1)*31+TDays[[#This Row],[روز]]+1)/7)+1</f>
        <v>41</v>
      </c>
      <c r="Q1377" s="164">
        <f>SUMIF(TArticle[تاریخ],TDays[[#This Row],[تاریخ]],TArticle[تراکنش برنامه ریزی شده])</f>
        <v>0</v>
      </c>
    </row>
    <row r="1378" spans="1:17" x14ac:dyDescent="0.25">
      <c r="A1378" s="3" t="s">
        <v>1689</v>
      </c>
      <c r="B1378" s="164" t="str">
        <f>RIGHT(TDays[[#This Row],[تاریخ]],2)</f>
        <v>05</v>
      </c>
      <c r="C1378" s="164" t="str">
        <f>RIGHT(LEFT(TDays[[#This Row],[تاریخ]],7),2)</f>
        <v>10</v>
      </c>
      <c r="D1378" s="164" t="str">
        <f>LEFT(TDays[[#This Row],[تاریخ]],4)</f>
        <v>1404</v>
      </c>
      <c r="E1378" s="164" t="str">
        <f>LEFT(TDays[[#This Row],[تاریخ]],7)</f>
        <v>1404-10</v>
      </c>
      <c r="F1378">
        <v>6</v>
      </c>
      <c r="G1378" s="165" t="str">
        <f>VLOOKUP(TDays[[#This Row],[کد روز هفته]],TDaysOfTheWeek[],2,FALSE)</f>
        <v>جمعه</v>
      </c>
      <c r="H1378" s="165">
        <f>IFERROR(IF(E1377&lt;&gt;E1378,1,INT(H1377)+IF(TDays[[#This Row],[کد روز هفته]]=0,1,0)),1)</f>
        <v>1</v>
      </c>
      <c r="I1378" s="164">
        <f>-SUMIF(TArticle[تاریخ],TDays[[#This Row],[تاریخ]],TArticle[هزینه])</f>
        <v>0</v>
      </c>
      <c r="J1378" s="164">
        <f>SUMIF(TArticle[تاریخ],TDays[[#This Row],[تاریخ]],TArticle[درآمد تتا])</f>
        <v>0</v>
      </c>
      <c r="K1378" s="164">
        <f>SUMIF(TArticle[تاریخ],TDays[[#This Row],[تاریخ]],TArticle[اسنپ])</f>
        <v>0</v>
      </c>
      <c r="L1378" s="164">
        <f>-SUMIF(TArticle[تاریخ],TDays[[#This Row],[تاریخ]],TArticle[پرداخت بدهی])</f>
        <v>0</v>
      </c>
      <c r="M1378" s="164">
        <f>SUMIF(TArticle[تاریخ],TDays[[#This Row],[تاریخ]],TArticle[افزایش بدهی])</f>
        <v>0</v>
      </c>
      <c r="N1378" s="164">
        <f>-SUMIF(TArticle[تاریخ],TDays[[#This Row],[تاریخ]],TArticle[افزایش سرمایه])</f>
        <v>0</v>
      </c>
      <c r="O1378" s="164">
        <f>SUMIF(TArticle[تاریخ],TDays[[#This Row],[تاریخ]],TArticle[تعداد تراکنش انجام شده])</f>
        <v>0</v>
      </c>
      <c r="P1378" s="164">
        <f>INT(((TDays[[#This Row],[ماه]]-1)*31+TDays[[#This Row],[روز]]+1)/7)+1</f>
        <v>41</v>
      </c>
      <c r="Q1378" s="164">
        <f>SUMIF(TArticle[تاریخ],TDays[[#This Row],[تاریخ]],TArticle[تراکنش برنامه ریزی شده])</f>
        <v>0</v>
      </c>
    </row>
    <row r="1379" spans="1:17" x14ac:dyDescent="0.25">
      <c r="A1379" s="3" t="s">
        <v>1962</v>
      </c>
      <c r="B1379" s="164" t="str">
        <f>RIGHT(TDays[[#This Row],[تاریخ]],2)</f>
        <v>06</v>
      </c>
      <c r="C1379" s="164" t="str">
        <f>RIGHT(LEFT(TDays[[#This Row],[تاریخ]],7),2)</f>
        <v>10</v>
      </c>
      <c r="D1379" s="164" t="str">
        <f>LEFT(TDays[[#This Row],[تاریخ]],4)</f>
        <v>1404</v>
      </c>
      <c r="E1379" s="164" t="str">
        <f>LEFT(TDays[[#This Row],[تاریخ]],7)</f>
        <v>1404-10</v>
      </c>
      <c r="F1379">
        <v>0</v>
      </c>
      <c r="G1379" s="165" t="str">
        <f>VLOOKUP(TDays[[#This Row],[کد روز هفته]],TDaysOfTheWeek[],2,FALSE)</f>
        <v>شنبه</v>
      </c>
      <c r="H1379" s="165">
        <f>IFERROR(IF(E1378&lt;&gt;E1379,1,INT(H1378)+IF(TDays[[#This Row],[کد روز هفته]]=0,1,0)),1)</f>
        <v>2</v>
      </c>
      <c r="I1379" s="164">
        <f>-SUMIF(TArticle[تاریخ],TDays[[#This Row],[تاریخ]],TArticle[هزینه])</f>
        <v>0</v>
      </c>
      <c r="J1379" s="164">
        <f>SUMIF(TArticle[تاریخ],TDays[[#This Row],[تاریخ]],TArticle[درآمد تتا])</f>
        <v>0</v>
      </c>
      <c r="K1379" s="164">
        <f>SUMIF(TArticle[تاریخ],TDays[[#This Row],[تاریخ]],TArticle[اسنپ])</f>
        <v>0</v>
      </c>
      <c r="L1379" s="164">
        <f>-SUMIF(TArticle[تاریخ],TDays[[#This Row],[تاریخ]],TArticle[پرداخت بدهی])</f>
        <v>0</v>
      </c>
      <c r="M1379" s="164">
        <f>SUMIF(TArticle[تاریخ],TDays[[#This Row],[تاریخ]],TArticle[افزایش بدهی])</f>
        <v>0</v>
      </c>
      <c r="N1379" s="164">
        <f>-SUMIF(TArticle[تاریخ],TDays[[#This Row],[تاریخ]],TArticle[افزایش سرمایه])</f>
        <v>0</v>
      </c>
      <c r="O1379" s="164">
        <f>SUMIF(TArticle[تاریخ],TDays[[#This Row],[تاریخ]],TArticle[تعداد تراکنش انجام شده])</f>
        <v>0</v>
      </c>
      <c r="P1379" s="164">
        <f>INT(((TDays[[#This Row],[ماه]]-1)*31+TDays[[#This Row],[روز]]+1)/7)+1</f>
        <v>41</v>
      </c>
      <c r="Q1379" s="164">
        <f>SUMIF(TArticle[تاریخ],TDays[[#This Row],[تاریخ]],TArticle[تراکنش برنامه ریزی شده])</f>
        <v>0</v>
      </c>
    </row>
    <row r="1380" spans="1:17" x14ac:dyDescent="0.25">
      <c r="A1380" s="3" t="s">
        <v>1963</v>
      </c>
      <c r="B1380" s="164" t="str">
        <f>RIGHT(TDays[[#This Row],[تاریخ]],2)</f>
        <v>07</v>
      </c>
      <c r="C1380" s="164" t="str">
        <f>RIGHT(LEFT(TDays[[#This Row],[تاریخ]],7),2)</f>
        <v>10</v>
      </c>
      <c r="D1380" s="164" t="str">
        <f>LEFT(TDays[[#This Row],[تاریخ]],4)</f>
        <v>1404</v>
      </c>
      <c r="E1380" s="164" t="str">
        <f>LEFT(TDays[[#This Row],[تاریخ]],7)</f>
        <v>1404-10</v>
      </c>
      <c r="F1380">
        <v>1</v>
      </c>
      <c r="G1380" s="165" t="str">
        <f>VLOOKUP(TDays[[#This Row],[کد روز هفته]],TDaysOfTheWeek[],2,FALSE)</f>
        <v>یکشنبه</v>
      </c>
      <c r="H1380" s="165">
        <f>IFERROR(IF(E1379&lt;&gt;E1380,1,INT(H1379)+IF(TDays[[#This Row],[کد روز هفته]]=0,1,0)),1)</f>
        <v>2</v>
      </c>
      <c r="I1380" s="164">
        <f>-SUMIF(TArticle[تاریخ],TDays[[#This Row],[تاریخ]],TArticle[هزینه])</f>
        <v>0</v>
      </c>
      <c r="J1380" s="164">
        <f>SUMIF(TArticle[تاریخ],TDays[[#This Row],[تاریخ]],TArticle[درآمد تتا])</f>
        <v>0</v>
      </c>
      <c r="K1380" s="164">
        <f>SUMIF(TArticle[تاریخ],TDays[[#This Row],[تاریخ]],TArticle[اسنپ])</f>
        <v>0</v>
      </c>
      <c r="L1380" s="164">
        <f>-SUMIF(TArticle[تاریخ],TDays[[#This Row],[تاریخ]],TArticle[پرداخت بدهی])</f>
        <v>0</v>
      </c>
      <c r="M1380" s="164">
        <f>SUMIF(TArticle[تاریخ],TDays[[#This Row],[تاریخ]],TArticle[افزایش بدهی])</f>
        <v>0</v>
      </c>
      <c r="N1380" s="164">
        <f>-SUMIF(TArticle[تاریخ],TDays[[#This Row],[تاریخ]],TArticle[افزایش سرمایه])</f>
        <v>0</v>
      </c>
      <c r="O1380" s="164">
        <f>SUMIF(TArticle[تاریخ],TDays[[#This Row],[تاریخ]],TArticle[تعداد تراکنش انجام شده])</f>
        <v>0</v>
      </c>
      <c r="P1380" s="164">
        <f>INT(((TDays[[#This Row],[ماه]]-1)*31+TDays[[#This Row],[روز]]+1)/7)+1</f>
        <v>42</v>
      </c>
      <c r="Q1380" s="164">
        <f>SUMIF(TArticle[تاریخ],TDays[[#This Row],[تاریخ]],TArticle[تراکنش برنامه ریزی شده])</f>
        <v>0</v>
      </c>
    </row>
    <row r="1381" spans="1:17" x14ac:dyDescent="0.25">
      <c r="A1381" s="3" t="s">
        <v>1964</v>
      </c>
      <c r="B1381" s="164" t="str">
        <f>RIGHT(TDays[[#This Row],[تاریخ]],2)</f>
        <v>08</v>
      </c>
      <c r="C1381" s="164" t="str">
        <f>RIGHT(LEFT(TDays[[#This Row],[تاریخ]],7),2)</f>
        <v>10</v>
      </c>
      <c r="D1381" s="164" t="str">
        <f>LEFT(TDays[[#This Row],[تاریخ]],4)</f>
        <v>1404</v>
      </c>
      <c r="E1381" s="164" t="str">
        <f>LEFT(TDays[[#This Row],[تاریخ]],7)</f>
        <v>1404-10</v>
      </c>
      <c r="F1381">
        <v>2</v>
      </c>
      <c r="G1381" s="165" t="str">
        <f>VLOOKUP(TDays[[#This Row],[کد روز هفته]],TDaysOfTheWeek[],2,FALSE)</f>
        <v>دوشنبه</v>
      </c>
      <c r="H1381" s="165">
        <f>IFERROR(IF(E1380&lt;&gt;E1381,1,INT(H1380)+IF(TDays[[#This Row],[کد روز هفته]]=0,1,0)),1)</f>
        <v>2</v>
      </c>
      <c r="I1381" s="164">
        <f>-SUMIF(TArticle[تاریخ],TDays[[#This Row],[تاریخ]],TArticle[هزینه])</f>
        <v>0</v>
      </c>
      <c r="J1381" s="164">
        <f>SUMIF(TArticle[تاریخ],TDays[[#This Row],[تاریخ]],TArticle[درآمد تتا])</f>
        <v>0</v>
      </c>
      <c r="K1381" s="164">
        <f>SUMIF(TArticle[تاریخ],TDays[[#This Row],[تاریخ]],TArticle[اسنپ])</f>
        <v>0</v>
      </c>
      <c r="L1381" s="164">
        <f>-SUMIF(TArticle[تاریخ],TDays[[#This Row],[تاریخ]],TArticle[پرداخت بدهی])</f>
        <v>0</v>
      </c>
      <c r="M1381" s="164">
        <f>SUMIF(TArticle[تاریخ],TDays[[#This Row],[تاریخ]],TArticle[افزایش بدهی])</f>
        <v>0</v>
      </c>
      <c r="N1381" s="164">
        <f>-SUMIF(TArticle[تاریخ],TDays[[#This Row],[تاریخ]],TArticle[افزایش سرمایه])</f>
        <v>0</v>
      </c>
      <c r="O1381" s="164">
        <f>SUMIF(TArticle[تاریخ],TDays[[#This Row],[تاریخ]],TArticle[تعداد تراکنش انجام شده])</f>
        <v>0</v>
      </c>
      <c r="P1381" s="164">
        <f>INT(((TDays[[#This Row],[ماه]]-1)*31+TDays[[#This Row],[روز]]+1)/7)+1</f>
        <v>42</v>
      </c>
      <c r="Q1381" s="164">
        <f>SUMIF(TArticle[تاریخ],TDays[[#This Row],[تاریخ]],TArticle[تراکنش برنامه ریزی شده])</f>
        <v>0</v>
      </c>
    </row>
    <row r="1382" spans="1:17" x14ac:dyDescent="0.25">
      <c r="A1382" s="3" t="s">
        <v>1965</v>
      </c>
      <c r="B1382" s="164" t="str">
        <f>RIGHT(TDays[[#This Row],[تاریخ]],2)</f>
        <v>09</v>
      </c>
      <c r="C1382" s="164" t="str">
        <f>RIGHT(LEFT(TDays[[#This Row],[تاریخ]],7),2)</f>
        <v>10</v>
      </c>
      <c r="D1382" s="164" t="str">
        <f>LEFT(TDays[[#This Row],[تاریخ]],4)</f>
        <v>1404</v>
      </c>
      <c r="E1382" s="164" t="str">
        <f>LEFT(TDays[[#This Row],[تاریخ]],7)</f>
        <v>1404-10</v>
      </c>
      <c r="F1382">
        <v>3</v>
      </c>
      <c r="G1382" s="165" t="str">
        <f>VLOOKUP(TDays[[#This Row],[کد روز هفته]],TDaysOfTheWeek[],2,FALSE)</f>
        <v>سه شنبه</v>
      </c>
      <c r="H1382" s="165">
        <f>IFERROR(IF(E1381&lt;&gt;E1382,1,INT(H1381)+IF(TDays[[#This Row],[کد روز هفته]]=0,1,0)),1)</f>
        <v>2</v>
      </c>
      <c r="I1382" s="164">
        <f>-SUMIF(TArticle[تاریخ],TDays[[#This Row],[تاریخ]],TArticle[هزینه])</f>
        <v>0</v>
      </c>
      <c r="J1382" s="164">
        <f>SUMIF(TArticle[تاریخ],TDays[[#This Row],[تاریخ]],TArticle[درآمد تتا])</f>
        <v>0</v>
      </c>
      <c r="K1382" s="164">
        <f>SUMIF(TArticle[تاریخ],TDays[[#This Row],[تاریخ]],TArticle[اسنپ])</f>
        <v>0</v>
      </c>
      <c r="L1382" s="164">
        <f>-SUMIF(TArticle[تاریخ],TDays[[#This Row],[تاریخ]],TArticle[پرداخت بدهی])</f>
        <v>0</v>
      </c>
      <c r="M1382" s="164">
        <f>SUMIF(TArticle[تاریخ],TDays[[#This Row],[تاریخ]],TArticle[افزایش بدهی])</f>
        <v>0</v>
      </c>
      <c r="N1382" s="164">
        <f>-SUMIF(TArticle[تاریخ],TDays[[#This Row],[تاریخ]],TArticle[افزایش سرمایه])</f>
        <v>0</v>
      </c>
      <c r="O1382" s="164">
        <f>SUMIF(TArticle[تاریخ],TDays[[#This Row],[تاریخ]],TArticle[تعداد تراکنش انجام شده])</f>
        <v>0</v>
      </c>
      <c r="P1382" s="164">
        <f>INT(((TDays[[#This Row],[ماه]]-1)*31+TDays[[#This Row],[روز]]+1)/7)+1</f>
        <v>42</v>
      </c>
      <c r="Q1382" s="164">
        <f>SUMIF(TArticle[تاریخ],TDays[[#This Row],[تاریخ]],TArticle[تراکنش برنامه ریزی شده])</f>
        <v>1</v>
      </c>
    </row>
    <row r="1383" spans="1:17" x14ac:dyDescent="0.25">
      <c r="A1383" s="3" t="s">
        <v>1966</v>
      </c>
      <c r="B1383" s="164" t="str">
        <f>RIGHT(TDays[[#This Row],[تاریخ]],2)</f>
        <v>10</v>
      </c>
      <c r="C1383" s="164" t="str">
        <f>RIGHT(LEFT(TDays[[#This Row],[تاریخ]],7),2)</f>
        <v>10</v>
      </c>
      <c r="D1383" s="164" t="str">
        <f>LEFT(TDays[[#This Row],[تاریخ]],4)</f>
        <v>1404</v>
      </c>
      <c r="E1383" s="164" t="str">
        <f>LEFT(TDays[[#This Row],[تاریخ]],7)</f>
        <v>1404-10</v>
      </c>
      <c r="F1383">
        <v>4</v>
      </c>
      <c r="G1383" s="165" t="str">
        <f>VLOOKUP(TDays[[#This Row],[کد روز هفته]],TDaysOfTheWeek[],2,FALSE)</f>
        <v>چهارشنبه</v>
      </c>
      <c r="H1383" s="165">
        <f>IFERROR(IF(E1382&lt;&gt;E1383,1,INT(H1382)+IF(TDays[[#This Row],[کد روز هفته]]=0,1,0)),1)</f>
        <v>2</v>
      </c>
      <c r="I1383" s="164">
        <f>-SUMIF(TArticle[تاریخ],TDays[[#This Row],[تاریخ]],TArticle[هزینه])</f>
        <v>0</v>
      </c>
      <c r="J1383" s="164">
        <f>SUMIF(TArticle[تاریخ],TDays[[#This Row],[تاریخ]],TArticle[درآمد تتا])</f>
        <v>0</v>
      </c>
      <c r="K1383" s="164">
        <f>SUMIF(TArticle[تاریخ],TDays[[#This Row],[تاریخ]],TArticle[اسنپ])</f>
        <v>0</v>
      </c>
      <c r="L1383" s="164">
        <f>-SUMIF(TArticle[تاریخ],TDays[[#This Row],[تاریخ]],TArticle[پرداخت بدهی])</f>
        <v>0</v>
      </c>
      <c r="M1383" s="164">
        <f>SUMIF(TArticle[تاریخ],TDays[[#This Row],[تاریخ]],TArticle[افزایش بدهی])</f>
        <v>0</v>
      </c>
      <c r="N1383" s="164">
        <f>-SUMIF(TArticle[تاریخ],TDays[[#This Row],[تاریخ]],TArticle[افزایش سرمایه])</f>
        <v>0</v>
      </c>
      <c r="O1383" s="164">
        <f>SUMIF(TArticle[تاریخ],TDays[[#This Row],[تاریخ]],TArticle[تعداد تراکنش انجام شده])</f>
        <v>0</v>
      </c>
      <c r="P1383" s="164">
        <f>INT(((TDays[[#This Row],[ماه]]-1)*31+TDays[[#This Row],[روز]]+1)/7)+1</f>
        <v>42</v>
      </c>
      <c r="Q1383" s="164">
        <f>SUMIF(TArticle[تاریخ],TDays[[#This Row],[تاریخ]],TArticle[تراکنش برنامه ریزی شده])</f>
        <v>0</v>
      </c>
    </row>
    <row r="1384" spans="1:17" x14ac:dyDescent="0.25">
      <c r="A1384" s="3" t="s">
        <v>1967</v>
      </c>
      <c r="B1384" s="164" t="str">
        <f>RIGHT(TDays[[#This Row],[تاریخ]],2)</f>
        <v>11</v>
      </c>
      <c r="C1384" s="164" t="str">
        <f>RIGHT(LEFT(TDays[[#This Row],[تاریخ]],7),2)</f>
        <v>10</v>
      </c>
      <c r="D1384" s="164" t="str">
        <f>LEFT(TDays[[#This Row],[تاریخ]],4)</f>
        <v>1404</v>
      </c>
      <c r="E1384" s="164" t="str">
        <f>LEFT(TDays[[#This Row],[تاریخ]],7)</f>
        <v>1404-10</v>
      </c>
      <c r="F1384">
        <v>5</v>
      </c>
      <c r="G1384" s="165" t="str">
        <f>VLOOKUP(TDays[[#This Row],[کد روز هفته]],TDaysOfTheWeek[],2,FALSE)</f>
        <v>پنجشنبه</v>
      </c>
      <c r="H1384" s="165">
        <f>IFERROR(IF(E1383&lt;&gt;E1384,1,INT(H1383)+IF(TDays[[#This Row],[کد روز هفته]]=0,1,0)),1)</f>
        <v>2</v>
      </c>
      <c r="I1384" s="164">
        <f>-SUMIF(TArticle[تاریخ],TDays[[#This Row],[تاریخ]],TArticle[هزینه])</f>
        <v>0</v>
      </c>
      <c r="J1384" s="164">
        <f>SUMIF(TArticle[تاریخ],TDays[[#This Row],[تاریخ]],TArticle[درآمد تتا])</f>
        <v>0</v>
      </c>
      <c r="K1384" s="164">
        <f>SUMIF(TArticle[تاریخ],TDays[[#This Row],[تاریخ]],TArticle[اسنپ])</f>
        <v>0</v>
      </c>
      <c r="L1384" s="164">
        <f>-SUMIF(TArticle[تاریخ],TDays[[#This Row],[تاریخ]],TArticle[پرداخت بدهی])</f>
        <v>0</v>
      </c>
      <c r="M1384" s="164">
        <f>SUMIF(TArticle[تاریخ],TDays[[#This Row],[تاریخ]],TArticle[افزایش بدهی])</f>
        <v>0</v>
      </c>
      <c r="N1384" s="164">
        <f>-SUMIF(TArticle[تاریخ],TDays[[#This Row],[تاریخ]],TArticle[افزایش سرمایه])</f>
        <v>0</v>
      </c>
      <c r="O1384" s="164">
        <f>SUMIF(TArticle[تاریخ],TDays[[#This Row],[تاریخ]],TArticle[تعداد تراکنش انجام شده])</f>
        <v>0</v>
      </c>
      <c r="P1384" s="164">
        <f>INT(((TDays[[#This Row],[ماه]]-1)*31+TDays[[#This Row],[روز]]+1)/7)+1</f>
        <v>42</v>
      </c>
      <c r="Q1384" s="164">
        <f>SUMIF(TArticle[تاریخ],TDays[[#This Row],[تاریخ]],TArticle[تراکنش برنامه ریزی شده])</f>
        <v>0</v>
      </c>
    </row>
    <row r="1385" spans="1:17" x14ac:dyDescent="0.25">
      <c r="A1385" s="3" t="s">
        <v>1968</v>
      </c>
      <c r="B1385" s="164" t="str">
        <f>RIGHT(TDays[[#This Row],[تاریخ]],2)</f>
        <v>12</v>
      </c>
      <c r="C1385" s="164" t="str">
        <f>RIGHT(LEFT(TDays[[#This Row],[تاریخ]],7),2)</f>
        <v>10</v>
      </c>
      <c r="D1385" s="164" t="str">
        <f>LEFT(TDays[[#This Row],[تاریخ]],4)</f>
        <v>1404</v>
      </c>
      <c r="E1385" s="164" t="str">
        <f>LEFT(TDays[[#This Row],[تاریخ]],7)</f>
        <v>1404-10</v>
      </c>
      <c r="F1385">
        <v>6</v>
      </c>
      <c r="G1385" s="165" t="str">
        <f>VLOOKUP(TDays[[#This Row],[کد روز هفته]],TDaysOfTheWeek[],2,FALSE)</f>
        <v>جمعه</v>
      </c>
      <c r="H1385" s="165">
        <f>IFERROR(IF(E1384&lt;&gt;E1385,1,INT(H1384)+IF(TDays[[#This Row],[کد روز هفته]]=0,1,0)),1)</f>
        <v>2</v>
      </c>
      <c r="I1385" s="164">
        <f>-SUMIF(TArticle[تاریخ],TDays[[#This Row],[تاریخ]],TArticle[هزینه])</f>
        <v>0</v>
      </c>
      <c r="J1385" s="164">
        <f>SUMIF(TArticle[تاریخ],TDays[[#This Row],[تاریخ]],TArticle[درآمد تتا])</f>
        <v>0</v>
      </c>
      <c r="K1385" s="164">
        <f>SUMIF(TArticle[تاریخ],TDays[[#This Row],[تاریخ]],TArticle[اسنپ])</f>
        <v>0</v>
      </c>
      <c r="L1385" s="164">
        <f>-SUMIF(TArticle[تاریخ],TDays[[#This Row],[تاریخ]],TArticle[پرداخت بدهی])</f>
        <v>0</v>
      </c>
      <c r="M1385" s="164">
        <f>SUMIF(TArticle[تاریخ],TDays[[#This Row],[تاریخ]],TArticle[افزایش بدهی])</f>
        <v>0</v>
      </c>
      <c r="N1385" s="164">
        <f>-SUMIF(TArticle[تاریخ],TDays[[#This Row],[تاریخ]],TArticle[افزایش سرمایه])</f>
        <v>0</v>
      </c>
      <c r="O1385" s="164">
        <f>SUMIF(TArticle[تاریخ],TDays[[#This Row],[تاریخ]],TArticle[تعداد تراکنش انجام شده])</f>
        <v>0</v>
      </c>
      <c r="P1385" s="164">
        <f>INT(((TDays[[#This Row],[ماه]]-1)*31+TDays[[#This Row],[روز]]+1)/7)+1</f>
        <v>42</v>
      </c>
      <c r="Q1385" s="164">
        <f>SUMIF(TArticle[تاریخ],TDays[[#This Row],[تاریخ]],TArticle[تراکنش برنامه ریزی شده])</f>
        <v>0</v>
      </c>
    </row>
    <row r="1386" spans="1:17" x14ac:dyDescent="0.25">
      <c r="A1386" s="3" t="s">
        <v>1969</v>
      </c>
      <c r="B1386" s="164" t="str">
        <f>RIGHT(TDays[[#This Row],[تاریخ]],2)</f>
        <v>13</v>
      </c>
      <c r="C1386" s="164" t="str">
        <f>RIGHT(LEFT(TDays[[#This Row],[تاریخ]],7),2)</f>
        <v>10</v>
      </c>
      <c r="D1386" s="164" t="str">
        <f>LEFT(TDays[[#This Row],[تاریخ]],4)</f>
        <v>1404</v>
      </c>
      <c r="E1386" s="164" t="str">
        <f>LEFT(TDays[[#This Row],[تاریخ]],7)</f>
        <v>1404-10</v>
      </c>
      <c r="F1386">
        <v>0</v>
      </c>
      <c r="G1386" s="165" t="str">
        <f>VLOOKUP(TDays[[#This Row],[کد روز هفته]],TDaysOfTheWeek[],2,FALSE)</f>
        <v>شنبه</v>
      </c>
      <c r="H1386" s="165">
        <f>IFERROR(IF(E1385&lt;&gt;E1386,1,INT(H1385)+IF(TDays[[#This Row],[کد روز هفته]]=0,1,0)),1)</f>
        <v>3</v>
      </c>
      <c r="I1386" s="164">
        <f>-SUMIF(TArticle[تاریخ],TDays[[#This Row],[تاریخ]],TArticle[هزینه])</f>
        <v>0</v>
      </c>
      <c r="J1386" s="164">
        <f>SUMIF(TArticle[تاریخ],TDays[[#This Row],[تاریخ]],TArticle[درآمد تتا])</f>
        <v>0</v>
      </c>
      <c r="K1386" s="164">
        <f>SUMIF(TArticle[تاریخ],TDays[[#This Row],[تاریخ]],TArticle[اسنپ])</f>
        <v>0</v>
      </c>
      <c r="L1386" s="164">
        <f>-SUMIF(TArticle[تاریخ],TDays[[#This Row],[تاریخ]],TArticle[پرداخت بدهی])</f>
        <v>0</v>
      </c>
      <c r="M1386" s="164">
        <f>SUMIF(TArticle[تاریخ],TDays[[#This Row],[تاریخ]],TArticle[افزایش بدهی])</f>
        <v>0</v>
      </c>
      <c r="N1386" s="164">
        <f>-SUMIF(TArticle[تاریخ],TDays[[#This Row],[تاریخ]],TArticle[افزایش سرمایه])</f>
        <v>0</v>
      </c>
      <c r="O1386" s="164">
        <f>SUMIF(TArticle[تاریخ],TDays[[#This Row],[تاریخ]],TArticle[تعداد تراکنش انجام شده])</f>
        <v>0</v>
      </c>
      <c r="P1386" s="164">
        <f>INT(((TDays[[#This Row],[ماه]]-1)*31+TDays[[#This Row],[روز]]+1)/7)+1</f>
        <v>42</v>
      </c>
      <c r="Q1386" s="164">
        <f>SUMIF(TArticle[تاریخ],TDays[[#This Row],[تاریخ]],TArticle[تراکنش برنامه ریزی شده])</f>
        <v>0</v>
      </c>
    </row>
    <row r="1387" spans="1:17" x14ac:dyDescent="0.25">
      <c r="A1387" s="3" t="s">
        <v>1970</v>
      </c>
      <c r="B1387" s="164" t="str">
        <f>RIGHT(TDays[[#This Row],[تاریخ]],2)</f>
        <v>14</v>
      </c>
      <c r="C1387" s="164" t="str">
        <f>RIGHT(LEFT(TDays[[#This Row],[تاریخ]],7),2)</f>
        <v>10</v>
      </c>
      <c r="D1387" s="164" t="str">
        <f>LEFT(TDays[[#This Row],[تاریخ]],4)</f>
        <v>1404</v>
      </c>
      <c r="E1387" s="164" t="str">
        <f>LEFT(TDays[[#This Row],[تاریخ]],7)</f>
        <v>1404-10</v>
      </c>
      <c r="F1387">
        <v>1</v>
      </c>
      <c r="G1387" s="165" t="str">
        <f>VLOOKUP(TDays[[#This Row],[کد روز هفته]],TDaysOfTheWeek[],2,FALSE)</f>
        <v>یکشنبه</v>
      </c>
      <c r="H1387" s="165">
        <f>IFERROR(IF(E1386&lt;&gt;E1387,1,INT(H1386)+IF(TDays[[#This Row],[کد روز هفته]]=0,1,0)),1)</f>
        <v>3</v>
      </c>
      <c r="I1387" s="164">
        <f>-SUMIF(TArticle[تاریخ],TDays[[#This Row],[تاریخ]],TArticle[هزینه])</f>
        <v>0</v>
      </c>
      <c r="J1387" s="164">
        <f>SUMIF(TArticle[تاریخ],TDays[[#This Row],[تاریخ]],TArticle[درآمد تتا])</f>
        <v>0</v>
      </c>
      <c r="K1387" s="164">
        <f>SUMIF(TArticle[تاریخ],TDays[[#This Row],[تاریخ]],TArticle[اسنپ])</f>
        <v>0</v>
      </c>
      <c r="L1387" s="164">
        <f>-SUMIF(TArticle[تاریخ],TDays[[#This Row],[تاریخ]],TArticle[پرداخت بدهی])</f>
        <v>0</v>
      </c>
      <c r="M1387" s="164">
        <f>SUMIF(TArticle[تاریخ],TDays[[#This Row],[تاریخ]],TArticle[افزایش بدهی])</f>
        <v>0</v>
      </c>
      <c r="N1387" s="164">
        <f>-SUMIF(TArticle[تاریخ],TDays[[#This Row],[تاریخ]],TArticle[افزایش سرمایه])</f>
        <v>0</v>
      </c>
      <c r="O1387" s="164">
        <f>SUMIF(TArticle[تاریخ],TDays[[#This Row],[تاریخ]],TArticle[تعداد تراکنش انجام شده])</f>
        <v>0</v>
      </c>
      <c r="P1387" s="164">
        <f>INT(((TDays[[#This Row],[ماه]]-1)*31+TDays[[#This Row],[روز]]+1)/7)+1</f>
        <v>43</v>
      </c>
      <c r="Q1387" s="164">
        <f>SUMIF(TArticle[تاریخ],TDays[[#This Row],[تاریخ]],TArticle[تراکنش برنامه ریزی شده])</f>
        <v>0</v>
      </c>
    </row>
    <row r="1388" spans="1:17" x14ac:dyDescent="0.25">
      <c r="A1388" s="3" t="s">
        <v>1971</v>
      </c>
      <c r="B1388" s="164" t="str">
        <f>RIGHT(TDays[[#This Row],[تاریخ]],2)</f>
        <v>15</v>
      </c>
      <c r="C1388" s="164" t="str">
        <f>RIGHT(LEFT(TDays[[#This Row],[تاریخ]],7),2)</f>
        <v>10</v>
      </c>
      <c r="D1388" s="164" t="str">
        <f>LEFT(TDays[[#This Row],[تاریخ]],4)</f>
        <v>1404</v>
      </c>
      <c r="E1388" s="164" t="str">
        <f>LEFT(TDays[[#This Row],[تاریخ]],7)</f>
        <v>1404-10</v>
      </c>
      <c r="F1388">
        <v>2</v>
      </c>
      <c r="G1388" s="165" t="str">
        <f>VLOOKUP(TDays[[#This Row],[کد روز هفته]],TDaysOfTheWeek[],2,FALSE)</f>
        <v>دوشنبه</v>
      </c>
      <c r="H1388" s="165">
        <f>IFERROR(IF(E1387&lt;&gt;E1388,1,INT(H1387)+IF(TDays[[#This Row],[کد روز هفته]]=0,1,0)),1)</f>
        <v>3</v>
      </c>
      <c r="I1388" s="164">
        <f>-SUMIF(TArticle[تاریخ],TDays[[#This Row],[تاریخ]],TArticle[هزینه])</f>
        <v>0</v>
      </c>
      <c r="J1388" s="164">
        <f>SUMIF(TArticle[تاریخ],TDays[[#This Row],[تاریخ]],TArticle[درآمد تتا])</f>
        <v>0</v>
      </c>
      <c r="K1388" s="164">
        <f>SUMIF(TArticle[تاریخ],TDays[[#This Row],[تاریخ]],TArticle[اسنپ])</f>
        <v>0</v>
      </c>
      <c r="L1388" s="164">
        <f>-SUMIF(TArticle[تاریخ],TDays[[#This Row],[تاریخ]],TArticle[پرداخت بدهی])</f>
        <v>0</v>
      </c>
      <c r="M1388" s="164">
        <f>SUMIF(TArticle[تاریخ],TDays[[#This Row],[تاریخ]],TArticle[افزایش بدهی])</f>
        <v>0</v>
      </c>
      <c r="N1388" s="164">
        <f>-SUMIF(TArticle[تاریخ],TDays[[#This Row],[تاریخ]],TArticle[افزایش سرمایه])</f>
        <v>0</v>
      </c>
      <c r="O1388" s="164">
        <f>SUMIF(TArticle[تاریخ],TDays[[#This Row],[تاریخ]],TArticle[تعداد تراکنش انجام شده])</f>
        <v>0</v>
      </c>
      <c r="P1388" s="164">
        <f>INT(((TDays[[#This Row],[ماه]]-1)*31+TDays[[#This Row],[روز]]+1)/7)+1</f>
        <v>43</v>
      </c>
      <c r="Q1388" s="164">
        <f>SUMIF(TArticle[تاریخ],TDays[[#This Row],[تاریخ]],TArticle[تراکنش برنامه ریزی شده])</f>
        <v>0</v>
      </c>
    </row>
    <row r="1389" spans="1:17" x14ac:dyDescent="0.25">
      <c r="A1389" s="3" t="s">
        <v>1972</v>
      </c>
      <c r="B1389" s="164" t="str">
        <f>RIGHT(TDays[[#This Row],[تاریخ]],2)</f>
        <v>16</v>
      </c>
      <c r="C1389" s="164" t="str">
        <f>RIGHT(LEFT(TDays[[#This Row],[تاریخ]],7),2)</f>
        <v>10</v>
      </c>
      <c r="D1389" s="164" t="str">
        <f>LEFT(TDays[[#This Row],[تاریخ]],4)</f>
        <v>1404</v>
      </c>
      <c r="E1389" s="164" t="str">
        <f>LEFT(TDays[[#This Row],[تاریخ]],7)</f>
        <v>1404-10</v>
      </c>
      <c r="F1389">
        <v>3</v>
      </c>
      <c r="G1389" s="165" t="str">
        <f>VLOOKUP(TDays[[#This Row],[کد روز هفته]],TDaysOfTheWeek[],2,FALSE)</f>
        <v>سه شنبه</v>
      </c>
      <c r="H1389" s="165">
        <f>IFERROR(IF(E1388&lt;&gt;E1389,1,INT(H1388)+IF(TDays[[#This Row],[کد روز هفته]]=0,1,0)),1)</f>
        <v>3</v>
      </c>
      <c r="I1389" s="164">
        <f>-SUMIF(TArticle[تاریخ],TDays[[#This Row],[تاریخ]],TArticle[هزینه])</f>
        <v>0</v>
      </c>
      <c r="J1389" s="164">
        <f>SUMIF(TArticle[تاریخ],TDays[[#This Row],[تاریخ]],TArticle[درآمد تتا])</f>
        <v>0</v>
      </c>
      <c r="K1389" s="164">
        <f>SUMIF(TArticle[تاریخ],TDays[[#This Row],[تاریخ]],TArticle[اسنپ])</f>
        <v>0</v>
      </c>
      <c r="L1389" s="164">
        <f>-SUMIF(TArticle[تاریخ],TDays[[#This Row],[تاریخ]],TArticle[پرداخت بدهی])</f>
        <v>0</v>
      </c>
      <c r="M1389" s="164">
        <f>SUMIF(TArticle[تاریخ],TDays[[#This Row],[تاریخ]],TArticle[افزایش بدهی])</f>
        <v>0</v>
      </c>
      <c r="N1389" s="164">
        <f>-SUMIF(TArticle[تاریخ],TDays[[#This Row],[تاریخ]],TArticle[افزایش سرمایه])</f>
        <v>0</v>
      </c>
      <c r="O1389" s="164">
        <f>SUMIF(TArticle[تاریخ],TDays[[#This Row],[تاریخ]],TArticle[تعداد تراکنش انجام شده])</f>
        <v>0</v>
      </c>
      <c r="P1389" s="164">
        <f>INT(((TDays[[#This Row],[ماه]]-1)*31+TDays[[#This Row],[روز]]+1)/7)+1</f>
        <v>43</v>
      </c>
      <c r="Q1389" s="164">
        <f>SUMIF(TArticle[تاریخ],TDays[[#This Row],[تاریخ]],TArticle[تراکنش برنامه ریزی شده])</f>
        <v>0</v>
      </c>
    </row>
    <row r="1390" spans="1:17" x14ac:dyDescent="0.25">
      <c r="A1390" s="3" t="s">
        <v>1973</v>
      </c>
      <c r="B1390" s="164" t="str">
        <f>RIGHT(TDays[[#This Row],[تاریخ]],2)</f>
        <v>17</v>
      </c>
      <c r="C1390" s="164" t="str">
        <f>RIGHT(LEFT(TDays[[#This Row],[تاریخ]],7),2)</f>
        <v>10</v>
      </c>
      <c r="D1390" s="164" t="str">
        <f>LEFT(TDays[[#This Row],[تاریخ]],4)</f>
        <v>1404</v>
      </c>
      <c r="E1390" s="164" t="str">
        <f>LEFT(TDays[[#This Row],[تاریخ]],7)</f>
        <v>1404-10</v>
      </c>
      <c r="F1390">
        <v>4</v>
      </c>
      <c r="G1390" s="165" t="str">
        <f>VLOOKUP(TDays[[#This Row],[کد روز هفته]],TDaysOfTheWeek[],2,FALSE)</f>
        <v>چهارشنبه</v>
      </c>
      <c r="H1390" s="165">
        <f>IFERROR(IF(E1389&lt;&gt;E1390,1,INT(H1389)+IF(TDays[[#This Row],[کد روز هفته]]=0,1,0)),1)</f>
        <v>3</v>
      </c>
      <c r="I1390" s="164">
        <f>-SUMIF(TArticle[تاریخ],TDays[[#This Row],[تاریخ]],TArticle[هزینه])</f>
        <v>0</v>
      </c>
      <c r="J1390" s="164">
        <f>SUMIF(TArticle[تاریخ],TDays[[#This Row],[تاریخ]],TArticle[درآمد تتا])</f>
        <v>0</v>
      </c>
      <c r="K1390" s="164">
        <f>SUMIF(TArticle[تاریخ],TDays[[#This Row],[تاریخ]],TArticle[اسنپ])</f>
        <v>0</v>
      </c>
      <c r="L1390" s="164">
        <f>-SUMIF(TArticle[تاریخ],TDays[[#This Row],[تاریخ]],TArticle[پرداخت بدهی])</f>
        <v>0</v>
      </c>
      <c r="M1390" s="164">
        <f>SUMIF(TArticle[تاریخ],TDays[[#This Row],[تاریخ]],TArticle[افزایش بدهی])</f>
        <v>0</v>
      </c>
      <c r="N1390" s="164">
        <f>-SUMIF(TArticle[تاریخ],TDays[[#This Row],[تاریخ]],TArticle[افزایش سرمایه])</f>
        <v>0</v>
      </c>
      <c r="O1390" s="164">
        <f>SUMIF(TArticle[تاریخ],TDays[[#This Row],[تاریخ]],TArticle[تعداد تراکنش انجام شده])</f>
        <v>0</v>
      </c>
      <c r="P1390" s="164">
        <f>INT(((TDays[[#This Row],[ماه]]-1)*31+TDays[[#This Row],[روز]]+1)/7)+1</f>
        <v>43</v>
      </c>
      <c r="Q1390" s="164">
        <f>SUMIF(TArticle[تاریخ],TDays[[#This Row],[تاریخ]],TArticle[تراکنش برنامه ریزی شده])</f>
        <v>0</v>
      </c>
    </row>
    <row r="1391" spans="1:17" x14ac:dyDescent="0.25">
      <c r="A1391" s="3" t="s">
        <v>1974</v>
      </c>
      <c r="B1391" s="164" t="str">
        <f>RIGHT(TDays[[#This Row],[تاریخ]],2)</f>
        <v>18</v>
      </c>
      <c r="C1391" s="164" t="str">
        <f>RIGHT(LEFT(TDays[[#This Row],[تاریخ]],7),2)</f>
        <v>10</v>
      </c>
      <c r="D1391" s="164" t="str">
        <f>LEFT(TDays[[#This Row],[تاریخ]],4)</f>
        <v>1404</v>
      </c>
      <c r="E1391" s="164" t="str">
        <f>LEFT(TDays[[#This Row],[تاریخ]],7)</f>
        <v>1404-10</v>
      </c>
      <c r="F1391">
        <v>5</v>
      </c>
      <c r="G1391" s="165" t="str">
        <f>VLOOKUP(TDays[[#This Row],[کد روز هفته]],TDaysOfTheWeek[],2,FALSE)</f>
        <v>پنجشنبه</v>
      </c>
      <c r="H1391" s="165">
        <f>IFERROR(IF(E1390&lt;&gt;E1391,1,INT(H1390)+IF(TDays[[#This Row],[کد روز هفته]]=0,1,0)),1)</f>
        <v>3</v>
      </c>
      <c r="I1391" s="164">
        <f>-SUMIF(TArticle[تاریخ],TDays[[#This Row],[تاریخ]],TArticle[هزینه])</f>
        <v>0</v>
      </c>
      <c r="J1391" s="164">
        <f>SUMIF(TArticle[تاریخ],TDays[[#This Row],[تاریخ]],TArticle[درآمد تتا])</f>
        <v>0</v>
      </c>
      <c r="K1391" s="164">
        <f>SUMIF(TArticle[تاریخ],TDays[[#This Row],[تاریخ]],TArticle[اسنپ])</f>
        <v>0</v>
      </c>
      <c r="L1391" s="164">
        <f>-SUMIF(TArticle[تاریخ],TDays[[#This Row],[تاریخ]],TArticle[پرداخت بدهی])</f>
        <v>0</v>
      </c>
      <c r="M1391" s="164">
        <f>SUMIF(TArticle[تاریخ],TDays[[#This Row],[تاریخ]],TArticle[افزایش بدهی])</f>
        <v>0</v>
      </c>
      <c r="N1391" s="164">
        <f>-SUMIF(TArticle[تاریخ],TDays[[#This Row],[تاریخ]],TArticle[افزایش سرمایه])</f>
        <v>0</v>
      </c>
      <c r="O1391" s="164">
        <f>SUMIF(TArticle[تاریخ],TDays[[#This Row],[تاریخ]],TArticle[تعداد تراکنش انجام شده])</f>
        <v>0</v>
      </c>
      <c r="P1391" s="164">
        <f>INT(((TDays[[#This Row],[ماه]]-1)*31+TDays[[#This Row],[روز]]+1)/7)+1</f>
        <v>43</v>
      </c>
      <c r="Q1391" s="164">
        <f>SUMIF(TArticle[تاریخ],TDays[[#This Row],[تاریخ]],TArticle[تراکنش برنامه ریزی شده])</f>
        <v>0</v>
      </c>
    </row>
    <row r="1392" spans="1:17" x14ac:dyDescent="0.25">
      <c r="A1392" s="3" t="s">
        <v>1975</v>
      </c>
      <c r="B1392" s="164" t="str">
        <f>RIGHT(TDays[[#This Row],[تاریخ]],2)</f>
        <v>19</v>
      </c>
      <c r="C1392" s="164" t="str">
        <f>RIGHT(LEFT(TDays[[#This Row],[تاریخ]],7),2)</f>
        <v>10</v>
      </c>
      <c r="D1392" s="164" t="str">
        <f>LEFT(TDays[[#This Row],[تاریخ]],4)</f>
        <v>1404</v>
      </c>
      <c r="E1392" s="164" t="str">
        <f>LEFT(TDays[[#This Row],[تاریخ]],7)</f>
        <v>1404-10</v>
      </c>
      <c r="F1392">
        <v>6</v>
      </c>
      <c r="G1392" s="165" t="str">
        <f>VLOOKUP(TDays[[#This Row],[کد روز هفته]],TDaysOfTheWeek[],2,FALSE)</f>
        <v>جمعه</v>
      </c>
      <c r="H1392" s="165">
        <f>IFERROR(IF(E1391&lt;&gt;E1392,1,INT(H1391)+IF(TDays[[#This Row],[کد روز هفته]]=0,1,0)),1)</f>
        <v>3</v>
      </c>
      <c r="I1392" s="164">
        <f>-SUMIF(TArticle[تاریخ],TDays[[#This Row],[تاریخ]],TArticle[هزینه])</f>
        <v>0</v>
      </c>
      <c r="J1392" s="164">
        <f>SUMIF(TArticle[تاریخ],TDays[[#This Row],[تاریخ]],TArticle[درآمد تتا])</f>
        <v>0</v>
      </c>
      <c r="K1392" s="164">
        <f>SUMIF(TArticle[تاریخ],TDays[[#This Row],[تاریخ]],TArticle[اسنپ])</f>
        <v>0</v>
      </c>
      <c r="L1392" s="164">
        <f>-SUMIF(TArticle[تاریخ],TDays[[#This Row],[تاریخ]],TArticle[پرداخت بدهی])</f>
        <v>0</v>
      </c>
      <c r="M1392" s="164">
        <f>SUMIF(TArticle[تاریخ],TDays[[#This Row],[تاریخ]],TArticle[افزایش بدهی])</f>
        <v>0</v>
      </c>
      <c r="N1392" s="164">
        <f>-SUMIF(TArticle[تاریخ],TDays[[#This Row],[تاریخ]],TArticle[افزایش سرمایه])</f>
        <v>0</v>
      </c>
      <c r="O1392" s="164">
        <f>SUMIF(TArticle[تاریخ],TDays[[#This Row],[تاریخ]],TArticle[تعداد تراکنش انجام شده])</f>
        <v>0</v>
      </c>
      <c r="P1392" s="164">
        <f>INT(((TDays[[#This Row],[ماه]]-1)*31+TDays[[#This Row],[روز]]+1)/7)+1</f>
        <v>43</v>
      </c>
      <c r="Q1392" s="164">
        <f>SUMIF(TArticle[تاریخ],TDays[[#This Row],[تاریخ]],TArticle[تراکنش برنامه ریزی شده])</f>
        <v>0</v>
      </c>
    </row>
    <row r="1393" spans="1:17" x14ac:dyDescent="0.25">
      <c r="A1393" s="3" t="s">
        <v>1976</v>
      </c>
      <c r="B1393" s="164" t="str">
        <f>RIGHT(TDays[[#This Row],[تاریخ]],2)</f>
        <v>20</v>
      </c>
      <c r="C1393" s="164" t="str">
        <f>RIGHT(LEFT(TDays[[#This Row],[تاریخ]],7),2)</f>
        <v>10</v>
      </c>
      <c r="D1393" s="164" t="str">
        <f>LEFT(TDays[[#This Row],[تاریخ]],4)</f>
        <v>1404</v>
      </c>
      <c r="E1393" s="164" t="str">
        <f>LEFT(TDays[[#This Row],[تاریخ]],7)</f>
        <v>1404-10</v>
      </c>
      <c r="F1393">
        <v>0</v>
      </c>
      <c r="G1393" s="165" t="str">
        <f>VLOOKUP(TDays[[#This Row],[کد روز هفته]],TDaysOfTheWeek[],2,FALSE)</f>
        <v>شنبه</v>
      </c>
      <c r="H1393" s="165">
        <f>IFERROR(IF(E1392&lt;&gt;E1393,1,INT(H1392)+IF(TDays[[#This Row],[کد روز هفته]]=0,1,0)),1)</f>
        <v>4</v>
      </c>
      <c r="I1393" s="164">
        <f>-SUMIF(TArticle[تاریخ],TDays[[#This Row],[تاریخ]],TArticle[هزینه])</f>
        <v>0</v>
      </c>
      <c r="J1393" s="164">
        <f>SUMIF(TArticle[تاریخ],TDays[[#This Row],[تاریخ]],TArticle[درآمد تتا])</f>
        <v>0</v>
      </c>
      <c r="K1393" s="164">
        <f>SUMIF(TArticle[تاریخ],TDays[[#This Row],[تاریخ]],TArticle[اسنپ])</f>
        <v>0</v>
      </c>
      <c r="L1393" s="164">
        <f>-SUMIF(TArticle[تاریخ],TDays[[#This Row],[تاریخ]],TArticle[پرداخت بدهی])</f>
        <v>0</v>
      </c>
      <c r="M1393" s="164">
        <f>SUMIF(TArticle[تاریخ],TDays[[#This Row],[تاریخ]],TArticle[افزایش بدهی])</f>
        <v>0</v>
      </c>
      <c r="N1393" s="164">
        <f>-SUMIF(TArticle[تاریخ],TDays[[#This Row],[تاریخ]],TArticle[افزایش سرمایه])</f>
        <v>0</v>
      </c>
      <c r="O1393" s="164">
        <f>SUMIF(TArticle[تاریخ],TDays[[#This Row],[تاریخ]],TArticle[تعداد تراکنش انجام شده])</f>
        <v>0</v>
      </c>
      <c r="P1393" s="164">
        <f>INT(((TDays[[#This Row],[ماه]]-1)*31+TDays[[#This Row],[روز]]+1)/7)+1</f>
        <v>43</v>
      </c>
      <c r="Q1393" s="164">
        <f>SUMIF(TArticle[تاریخ],TDays[[#This Row],[تاریخ]],TArticle[تراکنش برنامه ریزی شده])</f>
        <v>1</v>
      </c>
    </row>
    <row r="1394" spans="1:17" x14ac:dyDescent="0.25">
      <c r="A1394" s="3" t="s">
        <v>1977</v>
      </c>
      <c r="B1394" s="164" t="str">
        <f>RIGHT(TDays[[#This Row],[تاریخ]],2)</f>
        <v>21</v>
      </c>
      <c r="C1394" s="164" t="str">
        <f>RIGHT(LEFT(TDays[[#This Row],[تاریخ]],7),2)</f>
        <v>10</v>
      </c>
      <c r="D1394" s="164" t="str">
        <f>LEFT(TDays[[#This Row],[تاریخ]],4)</f>
        <v>1404</v>
      </c>
      <c r="E1394" s="164" t="str">
        <f>LEFT(TDays[[#This Row],[تاریخ]],7)</f>
        <v>1404-10</v>
      </c>
      <c r="F1394">
        <v>1</v>
      </c>
      <c r="G1394" s="165" t="str">
        <f>VLOOKUP(TDays[[#This Row],[کد روز هفته]],TDaysOfTheWeek[],2,FALSE)</f>
        <v>یکشنبه</v>
      </c>
      <c r="H1394" s="165">
        <f>IFERROR(IF(E1393&lt;&gt;E1394,1,INT(H1393)+IF(TDays[[#This Row],[کد روز هفته]]=0,1,0)),1)</f>
        <v>4</v>
      </c>
      <c r="I1394" s="164">
        <f>-SUMIF(TArticle[تاریخ],TDays[[#This Row],[تاریخ]],TArticle[هزینه])</f>
        <v>0</v>
      </c>
      <c r="J1394" s="164">
        <f>SUMIF(TArticle[تاریخ],TDays[[#This Row],[تاریخ]],TArticle[درآمد تتا])</f>
        <v>0</v>
      </c>
      <c r="K1394" s="164">
        <f>SUMIF(TArticle[تاریخ],TDays[[#This Row],[تاریخ]],TArticle[اسنپ])</f>
        <v>0</v>
      </c>
      <c r="L1394" s="164">
        <f>-SUMIF(TArticle[تاریخ],TDays[[#This Row],[تاریخ]],TArticle[پرداخت بدهی])</f>
        <v>0</v>
      </c>
      <c r="M1394" s="164">
        <f>SUMIF(TArticle[تاریخ],TDays[[#This Row],[تاریخ]],TArticle[افزایش بدهی])</f>
        <v>0</v>
      </c>
      <c r="N1394" s="164">
        <f>-SUMIF(TArticle[تاریخ],TDays[[#This Row],[تاریخ]],TArticle[افزایش سرمایه])</f>
        <v>0</v>
      </c>
      <c r="O1394" s="164">
        <f>SUMIF(TArticle[تاریخ],TDays[[#This Row],[تاریخ]],TArticle[تعداد تراکنش انجام شده])</f>
        <v>0</v>
      </c>
      <c r="P1394" s="164">
        <f>INT(((TDays[[#This Row],[ماه]]-1)*31+TDays[[#This Row],[روز]]+1)/7)+1</f>
        <v>44</v>
      </c>
      <c r="Q1394" s="164">
        <f>SUMIF(TArticle[تاریخ],TDays[[#This Row],[تاریخ]],TArticle[تراکنش برنامه ریزی شده])</f>
        <v>0</v>
      </c>
    </row>
    <row r="1395" spans="1:17" x14ac:dyDescent="0.25">
      <c r="A1395" s="3" t="s">
        <v>1978</v>
      </c>
      <c r="B1395" s="164" t="str">
        <f>RIGHT(TDays[[#This Row],[تاریخ]],2)</f>
        <v>22</v>
      </c>
      <c r="C1395" s="164" t="str">
        <f>RIGHT(LEFT(TDays[[#This Row],[تاریخ]],7),2)</f>
        <v>10</v>
      </c>
      <c r="D1395" s="164" t="str">
        <f>LEFT(TDays[[#This Row],[تاریخ]],4)</f>
        <v>1404</v>
      </c>
      <c r="E1395" s="164" t="str">
        <f>LEFT(TDays[[#This Row],[تاریخ]],7)</f>
        <v>1404-10</v>
      </c>
      <c r="F1395">
        <v>2</v>
      </c>
      <c r="G1395" s="165" t="str">
        <f>VLOOKUP(TDays[[#This Row],[کد روز هفته]],TDaysOfTheWeek[],2,FALSE)</f>
        <v>دوشنبه</v>
      </c>
      <c r="H1395" s="165">
        <f>IFERROR(IF(E1394&lt;&gt;E1395,1,INT(H1394)+IF(TDays[[#This Row],[کد روز هفته]]=0,1,0)),1)</f>
        <v>4</v>
      </c>
      <c r="I1395" s="164">
        <f>-SUMIF(TArticle[تاریخ],TDays[[#This Row],[تاریخ]],TArticle[هزینه])</f>
        <v>0</v>
      </c>
      <c r="J1395" s="164">
        <f>SUMIF(TArticle[تاریخ],TDays[[#This Row],[تاریخ]],TArticle[درآمد تتا])</f>
        <v>0</v>
      </c>
      <c r="K1395" s="164">
        <f>SUMIF(TArticle[تاریخ],TDays[[#This Row],[تاریخ]],TArticle[اسنپ])</f>
        <v>0</v>
      </c>
      <c r="L1395" s="164">
        <f>-SUMIF(TArticle[تاریخ],TDays[[#This Row],[تاریخ]],TArticle[پرداخت بدهی])</f>
        <v>0</v>
      </c>
      <c r="M1395" s="164">
        <f>SUMIF(TArticle[تاریخ],TDays[[#This Row],[تاریخ]],TArticle[افزایش بدهی])</f>
        <v>0</v>
      </c>
      <c r="N1395" s="164">
        <f>-SUMIF(TArticle[تاریخ],TDays[[#This Row],[تاریخ]],TArticle[افزایش سرمایه])</f>
        <v>0</v>
      </c>
      <c r="O1395" s="164">
        <f>SUMIF(TArticle[تاریخ],TDays[[#This Row],[تاریخ]],TArticle[تعداد تراکنش انجام شده])</f>
        <v>0</v>
      </c>
      <c r="P1395" s="164">
        <f>INT(((TDays[[#This Row],[ماه]]-1)*31+TDays[[#This Row],[روز]]+1)/7)+1</f>
        <v>44</v>
      </c>
      <c r="Q1395" s="164">
        <f>SUMIF(TArticle[تاریخ],TDays[[#This Row],[تاریخ]],TArticle[تراکنش برنامه ریزی شده])</f>
        <v>0</v>
      </c>
    </row>
    <row r="1396" spans="1:17" x14ac:dyDescent="0.25">
      <c r="A1396" s="3" t="s">
        <v>1979</v>
      </c>
      <c r="B1396" s="164" t="str">
        <f>RIGHT(TDays[[#This Row],[تاریخ]],2)</f>
        <v>23</v>
      </c>
      <c r="C1396" s="164" t="str">
        <f>RIGHT(LEFT(TDays[[#This Row],[تاریخ]],7),2)</f>
        <v>10</v>
      </c>
      <c r="D1396" s="164" t="str">
        <f>LEFT(TDays[[#This Row],[تاریخ]],4)</f>
        <v>1404</v>
      </c>
      <c r="E1396" s="164" t="str">
        <f>LEFT(TDays[[#This Row],[تاریخ]],7)</f>
        <v>1404-10</v>
      </c>
      <c r="F1396">
        <v>3</v>
      </c>
      <c r="G1396" s="165" t="str">
        <f>VLOOKUP(TDays[[#This Row],[کد روز هفته]],TDaysOfTheWeek[],2,FALSE)</f>
        <v>سه شنبه</v>
      </c>
      <c r="H1396" s="165">
        <f>IFERROR(IF(E1395&lt;&gt;E1396,1,INT(H1395)+IF(TDays[[#This Row],[کد روز هفته]]=0,1,0)),1)</f>
        <v>4</v>
      </c>
      <c r="I1396" s="164">
        <f>-SUMIF(TArticle[تاریخ],TDays[[#This Row],[تاریخ]],TArticle[هزینه])</f>
        <v>0</v>
      </c>
      <c r="J1396" s="164">
        <f>SUMIF(TArticle[تاریخ],TDays[[#This Row],[تاریخ]],TArticle[درآمد تتا])</f>
        <v>0</v>
      </c>
      <c r="K1396" s="164">
        <f>SUMIF(TArticle[تاریخ],TDays[[#This Row],[تاریخ]],TArticle[اسنپ])</f>
        <v>0</v>
      </c>
      <c r="L1396" s="164">
        <f>-SUMIF(TArticle[تاریخ],TDays[[#This Row],[تاریخ]],TArticle[پرداخت بدهی])</f>
        <v>0</v>
      </c>
      <c r="M1396" s="164">
        <f>SUMIF(TArticle[تاریخ],TDays[[#This Row],[تاریخ]],TArticle[افزایش بدهی])</f>
        <v>0</v>
      </c>
      <c r="N1396" s="164">
        <f>-SUMIF(TArticle[تاریخ],TDays[[#This Row],[تاریخ]],TArticle[افزایش سرمایه])</f>
        <v>0</v>
      </c>
      <c r="O1396" s="164">
        <f>SUMIF(TArticle[تاریخ],TDays[[#This Row],[تاریخ]],TArticle[تعداد تراکنش انجام شده])</f>
        <v>0</v>
      </c>
      <c r="P1396" s="164">
        <f>INT(((TDays[[#This Row],[ماه]]-1)*31+TDays[[#This Row],[روز]]+1)/7)+1</f>
        <v>44</v>
      </c>
      <c r="Q1396" s="164">
        <f>SUMIF(TArticle[تاریخ],TDays[[#This Row],[تاریخ]],TArticle[تراکنش برنامه ریزی شده])</f>
        <v>0</v>
      </c>
    </row>
    <row r="1397" spans="1:17" x14ac:dyDescent="0.25">
      <c r="A1397" s="3" t="s">
        <v>1980</v>
      </c>
      <c r="B1397" s="164" t="str">
        <f>RIGHT(TDays[[#This Row],[تاریخ]],2)</f>
        <v>24</v>
      </c>
      <c r="C1397" s="164" t="str">
        <f>RIGHT(LEFT(TDays[[#This Row],[تاریخ]],7),2)</f>
        <v>10</v>
      </c>
      <c r="D1397" s="164" t="str">
        <f>LEFT(TDays[[#This Row],[تاریخ]],4)</f>
        <v>1404</v>
      </c>
      <c r="E1397" s="164" t="str">
        <f>LEFT(TDays[[#This Row],[تاریخ]],7)</f>
        <v>1404-10</v>
      </c>
      <c r="F1397">
        <v>4</v>
      </c>
      <c r="G1397" s="165" t="str">
        <f>VLOOKUP(TDays[[#This Row],[کد روز هفته]],TDaysOfTheWeek[],2,FALSE)</f>
        <v>چهارشنبه</v>
      </c>
      <c r="H1397" s="165">
        <f>IFERROR(IF(E1396&lt;&gt;E1397,1,INT(H1396)+IF(TDays[[#This Row],[کد روز هفته]]=0,1,0)),1)</f>
        <v>4</v>
      </c>
      <c r="I1397" s="164">
        <f>-SUMIF(TArticle[تاریخ],TDays[[#This Row],[تاریخ]],TArticle[هزینه])</f>
        <v>0</v>
      </c>
      <c r="J1397" s="164">
        <f>SUMIF(TArticle[تاریخ],TDays[[#This Row],[تاریخ]],TArticle[درآمد تتا])</f>
        <v>0</v>
      </c>
      <c r="K1397" s="164">
        <f>SUMIF(TArticle[تاریخ],TDays[[#This Row],[تاریخ]],TArticle[اسنپ])</f>
        <v>0</v>
      </c>
      <c r="L1397" s="164">
        <f>-SUMIF(TArticle[تاریخ],TDays[[#This Row],[تاریخ]],TArticle[پرداخت بدهی])</f>
        <v>0</v>
      </c>
      <c r="M1397" s="164">
        <f>SUMIF(TArticle[تاریخ],TDays[[#This Row],[تاریخ]],TArticle[افزایش بدهی])</f>
        <v>0</v>
      </c>
      <c r="N1397" s="164">
        <f>-SUMIF(TArticle[تاریخ],TDays[[#This Row],[تاریخ]],TArticle[افزایش سرمایه])</f>
        <v>0</v>
      </c>
      <c r="O1397" s="164">
        <f>SUMIF(TArticle[تاریخ],TDays[[#This Row],[تاریخ]],TArticle[تعداد تراکنش انجام شده])</f>
        <v>0</v>
      </c>
      <c r="P1397" s="164">
        <f>INT(((TDays[[#This Row],[ماه]]-1)*31+TDays[[#This Row],[روز]]+1)/7)+1</f>
        <v>44</v>
      </c>
      <c r="Q1397" s="164">
        <f>SUMIF(TArticle[تاریخ],TDays[[#This Row],[تاریخ]],TArticle[تراکنش برنامه ریزی شده])</f>
        <v>0</v>
      </c>
    </row>
    <row r="1398" spans="1:17" x14ac:dyDescent="0.25">
      <c r="A1398" s="3" t="s">
        <v>1981</v>
      </c>
      <c r="B1398" s="164" t="str">
        <f>RIGHT(TDays[[#This Row],[تاریخ]],2)</f>
        <v>25</v>
      </c>
      <c r="C1398" s="164" t="str">
        <f>RIGHT(LEFT(TDays[[#This Row],[تاریخ]],7),2)</f>
        <v>10</v>
      </c>
      <c r="D1398" s="164" t="str">
        <f>LEFT(TDays[[#This Row],[تاریخ]],4)</f>
        <v>1404</v>
      </c>
      <c r="E1398" s="164" t="str">
        <f>LEFT(TDays[[#This Row],[تاریخ]],7)</f>
        <v>1404-10</v>
      </c>
      <c r="F1398">
        <v>5</v>
      </c>
      <c r="G1398" s="165" t="str">
        <f>VLOOKUP(TDays[[#This Row],[کد روز هفته]],TDaysOfTheWeek[],2,FALSE)</f>
        <v>پنجشنبه</v>
      </c>
      <c r="H1398" s="165">
        <f>IFERROR(IF(E1397&lt;&gt;E1398,1,INT(H1397)+IF(TDays[[#This Row],[کد روز هفته]]=0,1,0)),1)</f>
        <v>4</v>
      </c>
      <c r="I1398" s="164">
        <f>-SUMIF(TArticle[تاریخ],TDays[[#This Row],[تاریخ]],TArticle[هزینه])</f>
        <v>0</v>
      </c>
      <c r="J1398" s="164">
        <f>SUMIF(TArticle[تاریخ],TDays[[#This Row],[تاریخ]],TArticle[درآمد تتا])</f>
        <v>0</v>
      </c>
      <c r="K1398" s="164">
        <f>SUMIF(TArticle[تاریخ],TDays[[#This Row],[تاریخ]],TArticle[اسنپ])</f>
        <v>0</v>
      </c>
      <c r="L1398" s="164">
        <f>-SUMIF(TArticle[تاریخ],TDays[[#This Row],[تاریخ]],TArticle[پرداخت بدهی])</f>
        <v>0</v>
      </c>
      <c r="M1398" s="164">
        <f>SUMIF(TArticle[تاریخ],TDays[[#This Row],[تاریخ]],TArticle[افزایش بدهی])</f>
        <v>0</v>
      </c>
      <c r="N1398" s="164">
        <f>-SUMIF(TArticle[تاریخ],TDays[[#This Row],[تاریخ]],TArticle[افزایش سرمایه])</f>
        <v>0</v>
      </c>
      <c r="O1398" s="164">
        <f>SUMIF(TArticle[تاریخ],TDays[[#This Row],[تاریخ]],TArticle[تعداد تراکنش انجام شده])</f>
        <v>0</v>
      </c>
      <c r="P1398" s="164">
        <f>INT(((TDays[[#This Row],[ماه]]-1)*31+TDays[[#This Row],[روز]]+1)/7)+1</f>
        <v>44</v>
      </c>
      <c r="Q1398" s="164">
        <f>SUMIF(TArticle[تاریخ],TDays[[#This Row],[تاریخ]],TArticle[تراکنش برنامه ریزی شده])</f>
        <v>0</v>
      </c>
    </row>
    <row r="1399" spans="1:17" x14ac:dyDescent="0.25">
      <c r="A1399" s="3" t="s">
        <v>1982</v>
      </c>
      <c r="B1399" s="164" t="str">
        <f>RIGHT(TDays[[#This Row],[تاریخ]],2)</f>
        <v>26</v>
      </c>
      <c r="C1399" s="164" t="str">
        <f>RIGHT(LEFT(TDays[[#This Row],[تاریخ]],7),2)</f>
        <v>10</v>
      </c>
      <c r="D1399" s="164" t="str">
        <f>LEFT(TDays[[#This Row],[تاریخ]],4)</f>
        <v>1404</v>
      </c>
      <c r="E1399" s="164" t="str">
        <f>LEFT(TDays[[#This Row],[تاریخ]],7)</f>
        <v>1404-10</v>
      </c>
      <c r="F1399">
        <v>6</v>
      </c>
      <c r="G1399" s="165" t="str">
        <f>VLOOKUP(TDays[[#This Row],[کد روز هفته]],TDaysOfTheWeek[],2,FALSE)</f>
        <v>جمعه</v>
      </c>
      <c r="H1399" s="165">
        <f>IFERROR(IF(E1398&lt;&gt;E1399,1,INT(H1398)+IF(TDays[[#This Row],[کد روز هفته]]=0,1,0)),1)</f>
        <v>4</v>
      </c>
      <c r="I1399" s="164">
        <f>-SUMIF(TArticle[تاریخ],TDays[[#This Row],[تاریخ]],TArticle[هزینه])</f>
        <v>0</v>
      </c>
      <c r="J1399" s="164">
        <f>SUMIF(TArticle[تاریخ],TDays[[#This Row],[تاریخ]],TArticle[درآمد تتا])</f>
        <v>0</v>
      </c>
      <c r="K1399" s="164">
        <f>SUMIF(TArticle[تاریخ],TDays[[#This Row],[تاریخ]],TArticle[اسنپ])</f>
        <v>0</v>
      </c>
      <c r="L1399" s="164">
        <f>-SUMIF(TArticle[تاریخ],TDays[[#This Row],[تاریخ]],TArticle[پرداخت بدهی])</f>
        <v>0</v>
      </c>
      <c r="M1399" s="164">
        <f>SUMIF(TArticle[تاریخ],TDays[[#This Row],[تاریخ]],TArticle[افزایش بدهی])</f>
        <v>0</v>
      </c>
      <c r="N1399" s="164">
        <f>-SUMIF(TArticle[تاریخ],TDays[[#This Row],[تاریخ]],TArticle[افزایش سرمایه])</f>
        <v>0</v>
      </c>
      <c r="O1399" s="164">
        <f>SUMIF(TArticle[تاریخ],TDays[[#This Row],[تاریخ]],TArticle[تعداد تراکنش انجام شده])</f>
        <v>0</v>
      </c>
      <c r="P1399" s="164">
        <f>INT(((TDays[[#This Row],[ماه]]-1)*31+TDays[[#This Row],[روز]]+1)/7)+1</f>
        <v>44</v>
      </c>
      <c r="Q1399" s="164">
        <f>SUMIF(TArticle[تاریخ],TDays[[#This Row],[تاریخ]],TArticle[تراکنش برنامه ریزی شده])</f>
        <v>0</v>
      </c>
    </row>
    <row r="1400" spans="1:17" x14ac:dyDescent="0.25">
      <c r="A1400" s="3" t="s">
        <v>1983</v>
      </c>
      <c r="B1400" s="164" t="str">
        <f>RIGHT(TDays[[#This Row],[تاریخ]],2)</f>
        <v>27</v>
      </c>
      <c r="C1400" s="164" t="str">
        <f>RIGHT(LEFT(TDays[[#This Row],[تاریخ]],7),2)</f>
        <v>10</v>
      </c>
      <c r="D1400" s="164" t="str">
        <f>LEFT(TDays[[#This Row],[تاریخ]],4)</f>
        <v>1404</v>
      </c>
      <c r="E1400" s="164" t="str">
        <f>LEFT(TDays[[#This Row],[تاریخ]],7)</f>
        <v>1404-10</v>
      </c>
      <c r="F1400">
        <v>0</v>
      </c>
      <c r="G1400" s="165" t="str">
        <f>VLOOKUP(TDays[[#This Row],[کد روز هفته]],TDaysOfTheWeek[],2,FALSE)</f>
        <v>شنبه</v>
      </c>
      <c r="H1400" s="165">
        <f>IFERROR(IF(E1399&lt;&gt;E1400,1,INT(H1399)+IF(TDays[[#This Row],[کد روز هفته]]=0,1,0)),1)</f>
        <v>5</v>
      </c>
      <c r="I1400" s="164">
        <f>-SUMIF(TArticle[تاریخ],TDays[[#This Row],[تاریخ]],TArticle[هزینه])</f>
        <v>0</v>
      </c>
      <c r="J1400" s="164">
        <f>SUMIF(TArticle[تاریخ],TDays[[#This Row],[تاریخ]],TArticle[درآمد تتا])</f>
        <v>0</v>
      </c>
      <c r="K1400" s="164">
        <f>SUMIF(TArticle[تاریخ],TDays[[#This Row],[تاریخ]],TArticle[اسنپ])</f>
        <v>0</v>
      </c>
      <c r="L1400" s="164">
        <f>-SUMIF(TArticle[تاریخ],TDays[[#This Row],[تاریخ]],TArticle[پرداخت بدهی])</f>
        <v>0</v>
      </c>
      <c r="M1400" s="164">
        <f>SUMIF(TArticle[تاریخ],TDays[[#This Row],[تاریخ]],TArticle[افزایش بدهی])</f>
        <v>0</v>
      </c>
      <c r="N1400" s="164">
        <f>-SUMIF(TArticle[تاریخ],TDays[[#This Row],[تاریخ]],TArticle[افزایش سرمایه])</f>
        <v>0</v>
      </c>
      <c r="O1400" s="164">
        <f>SUMIF(TArticle[تاریخ],TDays[[#This Row],[تاریخ]],TArticle[تعداد تراکنش انجام شده])</f>
        <v>0</v>
      </c>
      <c r="P1400" s="164">
        <f>INT(((TDays[[#This Row],[ماه]]-1)*31+TDays[[#This Row],[روز]]+1)/7)+1</f>
        <v>44</v>
      </c>
      <c r="Q1400" s="164">
        <f>SUMIF(TArticle[تاریخ],TDays[[#This Row],[تاریخ]],TArticle[تراکنش برنامه ریزی شده])</f>
        <v>0</v>
      </c>
    </row>
    <row r="1401" spans="1:17" x14ac:dyDescent="0.25">
      <c r="A1401" s="3" t="s">
        <v>1984</v>
      </c>
      <c r="B1401" s="164" t="str">
        <f>RIGHT(TDays[[#This Row],[تاریخ]],2)</f>
        <v>28</v>
      </c>
      <c r="C1401" s="164" t="str">
        <f>RIGHT(LEFT(TDays[[#This Row],[تاریخ]],7),2)</f>
        <v>10</v>
      </c>
      <c r="D1401" s="164" t="str">
        <f>LEFT(TDays[[#This Row],[تاریخ]],4)</f>
        <v>1404</v>
      </c>
      <c r="E1401" s="164" t="str">
        <f>LEFT(TDays[[#This Row],[تاریخ]],7)</f>
        <v>1404-10</v>
      </c>
      <c r="F1401">
        <v>1</v>
      </c>
      <c r="G1401" s="165" t="str">
        <f>VLOOKUP(TDays[[#This Row],[کد روز هفته]],TDaysOfTheWeek[],2,FALSE)</f>
        <v>یکشنبه</v>
      </c>
      <c r="H1401" s="165">
        <f>IFERROR(IF(E1400&lt;&gt;E1401,1,INT(H1400)+IF(TDays[[#This Row],[کد روز هفته]]=0,1,0)),1)</f>
        <v>5</v>
      </c>
      <c r="I1401" s="164">
        <f>-SUMIF(TArticle[تاریخ],TDays[[#This Row],[تاریخ]],TArticle[هزینه])</f>
        <v>0</v>
      </c>
      <c r="J1401" s="164">
        <f>SUMIF(TArticle[تاریخ],TDays[[#This Row],[تاریخ]],TArticle[درآمد تتا])</f>
        <v>0</v>
      </c>
      <c r="K1401" s="164">
        <f>SUMIF(TArticle[تاریخ],TDays[[#This Row],[تاریخ]],TArticle[اسنپ])</f>
        <v>0</v>
      </c>
      <c r="L1401" s="164">
        <f>-SUMIF(TArticle[تاریخ],TDays[[#This Row],[تاریخ]],TArticle[پرداخت بدهی])</f>
        <v>0</v>
      </c>
      <c r="M1401" s="164">
        <f>SUMIF(TArticle[تاریخ],TDays[[#This Row],[تاریخ]],TArticle[افزایش بدهی])</f>
        <v>0</v>
      </c>
      <c r="N1401" s="164">
        <f>-SUMIF(TArticle[تاریخ],TDays[[#This Row],[تاریخ]],TArticle[افزایش سرمایه])</f>
        <v>0</v>
      </c>
      <c r="O1401" s="164">
        <f>SUMIF(TArticle[تاریخ],TDays[[#This Row],[تاریخ]],TArticle[تعداد تراکنش انجام شده])</f>
        <v>0</v>
      </c>
      <c r="P1401" s="164">
        <f>INT(((TDays[[#This Row],[ماه]]-1)*31+TDays[[#This Row],[روز]]+1)/7)+1</f>
        <v>45</v>
      </c>
      <c r="Q1401" s="164">
        <f>SUMIF(TArticle[تاریخ],TDays[[#This Row],[تاریخ]],TArticle[تراکنش برنامه ریزی شده])</f>
        <v>0</v>
      </c>
    </row>
    <row r="1402" spans="1:17" x14ac:dyDescent="0.25">
      <c r="A1402" s="3" t="s">
        <v>1985</v>
      </c>
      <c r="B1402" s="164" t="str">
        <f>RIGHT(TDays[[#This Row],[تاریخ]],2)</f>
        <v>29</v>
      </c>
      <c r="C1402" s="164" t="str">
        <f>RIGHT(LEFT(TDays[[#This Row],[تاریخ]],7),2)</f>
        <v>10</v>
      </c>
      <c r="D1402" s="164" t="str">
        <f>LEFT(TDays[[#This Row],[تاریخ]],4)</f>
        <v>1404</v>
      </c>
      <c r="E1402" s="164" t="str">
        <f>LEFT(TDays[[#This Row],[تاریخ]],7)</f>
        <v>1404-10</v>
      </c>
      <c r="F1402">
        <v>2</v>
      </c>
      <c r="G1402" s="165" t="str">
        <f>VLOOKUP(TDays[[#This Row],[کد روز هفته]],TDaysOfTheWeek[],2,FALSE)</f>
        <v>دوشنبه</v>
      </c>
      <c r="H1402" s="165">
        <f>IFERROR(IF(E1401&lt;&gt;E1402,1,INT(H1401)+IF(TDays[[#This Row],[کد روز هفته]]=0,1,0)),1)</f>
        <v>5</v>
      </c>
      <c r="I1402" s="164">
        <f>-SUMIF(TArticle[تاریخ],TDays[[#This Row],[تاریخ]],TArticle[هزینه])</f>
        <v>0</v>
      </c>
      <c r="J1402" s="164">
        <f>SUMIF(TArticle[تاریخ],TDays[[#This Row],[تاریخ]],TArticle[درآمد تتا])</f>
        <v>0</v>
      </c>
      <c r="K1402" s="164">
        <f>SUMIF(TArticle[تاریخ],TDays[[#This Row],[تاریخ]],TArticle[اسنپ])</f>
        <v>0</v>
      </c>
      <c r="L1402" s="164">
        <f>-SUMIF(TArticle[تاریخ],TDays[[#This Row],[تاریخ]],TArticle[پرداخت بدهی])</f>
        <v>0</v>
      </c>
      <c r="M1402" s="164">
        <f>SUMIF(TArticle[تاریخ],TDays[[#This Row],[تاریخ]],TArticle[افزایش بدهی])</f>
        <v>0</v>
      </c>
      <c r="N1402" s="164">
        <f>-SUMIF(TArticle[تاریخ],TDays[[#This Row],[تاریخ]],TArticle[افزایش سرمایه])</f>
        <v>0</v>
      </c>
      <c r="O1402" s="164">
        <f>SUMIF(TArticle[تاریخ],TDays[[#This Row],[تاریخ]],TArticle[تعداد تراکنش انجام شده])</f>
        <v>0</v>
      </c>
      <c r="P1402" s="164">
        <f>INT(((TDays[[#This Row],[ماه]]-1)*31+TDays[[#This Row],[روز]]+1)/7)+1</f>
        <v>45</v>
      </c>
      <c r="Q1402" s="164">
        <f>SUMIF(TArticle[تاریخ],TDays[[#This Row],[تاریخ]],TArticle[تراکنش برنامه ریزی شده])</f>
        <v>0</v>
      </c>
    </row>
    <row r="1403" spans="1:17" x14ac:dyDescent="0.25">
      <c r="A1403" s="3" t="s">
        <v>1986</v>
      </c>
      <c r="B1403" s="164" t="str">
        <f>RIGHT(TDays[[#This Row],[تاریخ]],2)</f>
        <v>30</v>
      </c>
      <c r="C1403" s="164" t="str">
        <f>RIGHT(LEFT(TDays[[#This Row],[تاریخ]],7),2)</f>
        <v>10</v>
      </c>
      <c r="D1403" s="164" t="str">
        <f>LEFT(TDays[[#This Row],[تاریخ]],4)</f>
        <v>1404</v>
      </c>
      <c r="E1403" s="164" t="str">
        <f>LEFT(TDays[[#This Row],[تاریخ]],7)</f>
        <v>1404-10</v>
      </c>
      <c r="F1403">
        <v>3</v>
      </c>
      <c r="G1403" s="165" t="str">
        <f>VLOOKUP(TDays[[#This Row],[کد روز هفته]],TDaysOfTheWeek[],2,FALSE)</f>
        <v>سه شنبه</v>
      </c>
      <c r="H1403" s="165">
        <f>IFERROR(IF(E1402&lt;&gt;E1403,1,INT(H1402)+IF(TDays[[#This Row],[کد روز هفته]]=0,1,0)),1)</f>
        <v>5</v>
      </c>
      <c r="I1403" s="164">
        <f>-SUMIF(TArticle[تاریخ],TDays[[#This Row],[تاریخ]],TArticle[هزینه])</f>
        <v>0</v>
      </c>
      <c r="J1403" s="164">
        <f>SUMIF(TArticle[تاریخ],TDays[[#This Row],[تاریخ]],TArticle[درآمد تتا])</f>
        <v>0</v>
      </c>
      <c r="K1403" s="164">
        <f>SUMIF(TArticle[تاریخ],TDays[[#This Row],[تاریخ]],TArticle[اسنپ])</f>
        <v>0</v>
      </c>
      <c r="L1403" s="164">
        <f>-SUMIF(TArticle[تاریخ],TDays[[#This Row],[تاریخ]],TArticle[پرداخت بدهی])</f>
        <v>0</v>
      </c>
      <c r="M1403" s="164">
        <f>SUMIF(TArticle[تاریخ],TDays[[#This Row],[تاریخ]],TArticle[افزایش بدهی])</f>
        <v>0</v>
      </c>
      <c r="N1403" s="164">
        <f>-SUMIF(TArticle[تاریخ],TDays[[#This Row],[تاریخ]],TArticle[افزایش سرمایه])</f>
        <v>0</v>
      </c>
      <c r="O1403" s="164">
        <f>SUMIF(TArticle[تاریخ],TDays[[#This Row],[تاریخ]],TArticle[تعداد تراکنش انجام شده])</f>
        <v>0</v>
      </c>
      <c r="P1403" s="164">
        <f>INT(((TDays[[#This Row],[ماه]]-1)*31+TDays[[#This Row],[روز]]+1)/7)+1</f>
        <v>45</v>
      </c>
      <c r="Q1403" s="164">
        <f>SUMIF(TArticle[تاریخ],TDays[[#This Row],[تاریخ]],TArticle[تراکنش برنامه ریزی شده])</f>
        <v>0</v>
      </c>
    </row>
    <row r="1404" spans="1:17" x14ac:dyDescent="0.25">
      <c r="A1404" s="3" t="s">
        <v>1987</v>
      </c>
      <c r="B1404" s="164" t="str">
        <f>RIGHT(TDays[[#This Row],[تاریخ]],2)</f>
        <v>01</v>
      </c>
      <c r="C1404" s="164" t="str">
        <f>RIGHT(LEFT(TDays[[#This Row],[تاریخ]],7),2)</f>
        <v>11</v>
      </c>
      <c r="D1404" s="164" t="str">
        <f>LEFT(TDays[[#This Row],[تاریخ]],4)</f>
        <v>1404</v>
      </c>
      <c r="E1404" s="164" t="str">
        <f>LEFT(TDays[[#This Row],[تاریخ]],7)</f>
        <v>1404-11</v>
      </c>
      <c r="F1404">
        <v>4</v>
      </c>
      <c r="G1404" s="165" t="str">
        <f>VLOOKUP(TDays[[#This Row],[کد روز هفته]],TDaysOfTheWeek[],2,FALSE)</f>
        <v>چهارشنبه</v>
      </c>
      <c r="H1404" s="165">
        <f>IFERROR(IF(E1403&lt;&gt;E1404,1,INT(H1403)+IF(TDays[[#This Row],[کد روز هفته]]=0,1,0)),1)</f>
        <v>1</v>
      </c>
      <c r="I1404" s="164">
        <f>-SUMIF(TArticle[تاریخ],TDays[[#This Row],[تاریخ]],TArticle[هزینه])</f>
        <v>0</v>
      </c>
      <c r="J1404" s="164">
        <f>SUMIF(TArticle[تاریخ],TDays[[#This Row],[تاریخ]],TArticle[درآمد تتا])</f>
        <v>0</v>
      </c>
      <c r="K1404" s="164">
        <f>SUMIF(TArticle[تاریخ],TDays[[#This Row],[تاریخ]],TArticle[اسنپ])</f>
        <v>0</v>
      </c>
      <c r="L1404" s="164">
        <f>-SUMIF(TArticle[تاریخ],TDays[[#This Row],[تاریخ]],TArticle[پرداخت بدهی])</f>
        <v>0</v>
      </c>
      <c r="M1404" s="164">
        <f>SUMIF(TArticle[تاریخ],TDays[[#This Row],[تاریخ]],TArticle[افزایش بدهی])</f>
        <v>0</v>
      </c>
      <c r="N1404" s="164">
        <f>-SUMIF(TArticle[تاریخ],TDays[[#This Row],[تاریخ]],TArticle[افزایش سرمایه])</f>
        <v>0</v>
      </c>
      <c r="O1404" s="164">
        <f>SUMIF(TArticle[تاریخ],TDays[[#This Row],[تاریخ]],TArticle[تعداد تراکنش انجام شده])</f>
        <v>0</v>
      </c>
      <c r="P1404" s="164">
        <f>INT(((TDays[[#This Row],[ماه]]-1)*31+TDays[[#This Row],[روز]]+1)/7)+1</f>
        <v>45</v>
      </c>
      <c r="Q1404" s="164">
        <f>SUMIF(TArticle[تاریخ],TDays[[#This Row],[تاریخ]],TArticle[تراکنش برنامه ریزی شده])</f>
        <v>2</v>
      </c>
    </row>
    <row r="1405" spans="1:17" x14ac:dyDescent="0.25">
      <c r="A1405" s="3" t="s">
        <v>1988</v>
      </c>
      <c r="B1405" s="164" t="str">
        <f>RIGHT(TDays[[#This Row],[تاریخ]],2)</f>
        <v>02</v>
      </c>
      <c r="C1405" s="164" t="str">
        <f>RIGHT(LEFT(TDays[[#This Row],[تاریخ]],7),2)</f>
        <v>11</v>
      </c>
      <c r="D1405" s="164" t="str">
        <f>LEFT(TDays[[#This Row],[تاریخ]],4)</f>
        <v>1404</v>
      </c>
      <c r="E1405" s="164" t="str">
        <f>LEFT(TDays[[#This Row],[تاریخ]],7)</f>
        <v>1404-11</v>
      </c>
      <c r="F1405">
        <v>5</v>
      </c>
      <c r="G1405" s="165" t="str">
        <f>VLOOKUP(TDays[[#This Row],[کد روز هفته]],TDaysOfTheWeek[],2,FALSE)</f>
        <v>پنجشنبه</v>
      </c>
      <c r="H1405" s="165">
        <f>IFERROR(IF(E1404&lt;&gt;E1405,1,INT(H1404)+IF(TDays[[#This Row],[کد روز هفته]]=0,1,0)),1)</f>
        <v>1</v>
      </c>
      <c r="I1405" s="164">
        <f>-SUMIF(TArticle[تاریخ],TDays[[#This Row],[تاریخ]],TArticle[هزینه])</f>
        <v>0</v>
      </c>
      <c r="J1405" s="164">
        <f>SUMIF(TArticle[تاریخ],TDays[[#This Row],[تاریخ]],TArticle[درآمد تتا])</f>
        <v>0</v>
      </c>
      <c r="K1405" s="164">
        <f>SUMIF(TArticle[تاریخ],TDays[[#This Row],[تاریخ]],TArticle[اسنپ])</f>
        <v>0</v>
      </c>
      <c r="L1405" s="164">
        <f>-SUMIF(TArticle[تاریخ],TDays[[#This Row],[تاریخ]],TArticle[پرداخت بدهی])</f>
        <v>0</v>
      </c>
      <c r="M1405" s="164">
        <f>SUMIF(TArticle[تاریخ],TDays[[#This Row],[تاریخ]],TArticle[افزایش بدهی])</f>
        <v>0</v>
      </c>
      <c r="N1405" s="164">
        <f>-SUMIF(TArticle[تاریخ],TDays[[#This Row],[تاریخ]],TArticle[افزایش سرمایه])</f>
        <v>0</v>
      </c>
      <c r="O1405" s="164">
        <f>SUMIF(TArticle[تاریخ],TDays[[#This Row],[تاریخ]],TArticle[تعداد تراکنش انجام شده])</f>
        <v>0</v>
      </c>
      <c r="P1405" s="164">
        <f>INT(((TDays[[#This Row],[ماه]]-1)*31+TDays[[#This Row],[روز]]+1)/7)+1</f>
        <v>45</v>
      </c>
      <c r="Q1405" s="164">
        <f>SUMIF(TArticle[تاریخ],TDays[[#This Row],[تاریخ]],TArticle[تراکنش برنامه ریزی شده])</f>
        <v>0</v>
      </c>
    </row>
    <row r="1406" spans="1:17" x14ac:dyDescent="0.25">
      <c r="A1406" s="3" t="s">
        <v>1989</v>
      </c>
      <c r="B1406" s="164" t="str">
        <f>RIGHT(TDays[[#This Row],[تاریخ]],2)</f>
        <v>03</v>
      </c>
      <c r="C1406" s="164" t="str">
        <f>RIGHT(LEFT(TDays[[#This Row],[تاریخ]],7),2)</f>
        <v>11</v>
      </c>
      <c r="D1406" s="164" t="str">
        <f>LEFT(TDays[[#This Row],[تاریخ]],4)</f>
        <v>1404</v>
      </c>
      <c r="E1406" s="164" t="str">
        <f>LEFT(TDays[[#This Row],[تاریخ]],7)</f>
        <v>1404-11</v>
      </c>
      <c r="F1406">
        <v>6</v>
      </c>
      <c r="G1406" s="165" t="str">
        <f>VLOOKUP(TDays[[#This Row],[کد روز هفته]],TDaysOfTheWeek[],2,FALSE)</f>
        <v>جمعه</v>
      </c>
      <c r="H1406" s="165">
        <f>IFERROR(IF(E1405&lt;&gt;E1406,1,INT(H1405)+IF(TDays[[#This Row],[کد روز هفته]]=0,1,0)),1)</f>
        <v>1</v>
      </c>
      <c r="I1406" s="164">
        <f>-SUMIF(TArticle[تاریخ],TDays[[#This Row],[تاریخ]],TArticle[هزینه])</f>
        <v>0</v>
      </c>
      <c r="J1406" s="164">
        <f>SUMIF(TArticle[تاریخ],TDays[[#This Row],[تاریخ]],TArticle[درآمد تتا])</f>
        <v>0</v>
      </c>
      <c r="K1406" s="164">
        <f>SUMIF(TArticle[تاریخ],TDays[[#This Row],[تاریخ]],TArticle[اسنپ])</f>
        <v>0</v>
      </c>
      <c r="L1406" s="164">
        <f>-SUMIF(TArticle[تاریخ],TDays[[#This Row],[تاریخ]],TArticle[پرداخت بدهی])</f>
        <v>0</v>
      </c>
      <c r="M1406" s="164">
        <f>SUMIF(TArticle[تاریخ],TDays[[#This Row],[تاریخ]],TArticle[افزایش بدهی])</f>
        <v>0</v>
      </c>
      <c r="N1406" s="164">
        <f>-SUMIF(TArticle[تاریخ],TDays[[#This Row],[تاریخ]],TArticle[افزایش سرمایه])</f>
        <v>0</v>
      </c>
      <c r="O1406" s="164">
        <f>SUMIF(TArticle[تاریخ],TDays[[#This Row],[تاریخ]],TArticle[تعداد تراکنش انجام شده])</f>
        <v>0</v>
      </c>
      <c r="P1406" s="164">
        <f>INT(((TDays[[#This Row],[ماه]]-1)*31+TDays[[#This Row],[روز]]+1)/7)+1</f>
        <v>45</v>
      </c>
      <c r="Q1406" s="164">
        <f>SUMIF(TArticle[تاریخ],TDays[[#This Row],[تاریخ]],TArticle[تراکنش برنامه ریزی شده])</f>
        <v>1</v>
      </c>
    </row>
    <row r="1407" spans="1:17" x14ac:dyDescent="0.25">
      <c r="A1407" s="3" t="s">
        <v>1990</v>
      </c>
      <c r="B1407" s="164" t="str">
        <f>RIGHT(TDays[[#This Row],[تاریخ]],2)</f>
        <v>04</v>
      </c>
      <c r="C1407" s="164" t="str">
        <f>RIGHT(LEFT(TDays[[#This Row],[تاریخ]],7),2)</f>
        <v>11</v>
      </c>
      <c r="D1407" s="164" t="str">
        <f>LEFT(TDays[[#This Row],[تاریخ]],4)</f>
        <v>1404</v>
      </c>
      <c r="E1407" s="164" t="str">
        <f>LEFT(TDays[[#This Row],[تاریخ]],7)</f>
        <v>1404-11</v>
      </c>
      <c r="F1407">
        <v>0</v>
      </c>
      <c r="G1407" s="165" t="str">
        <f>VLOOKUP(TDays[[#This Row],[کد روز هفته]],TDaysOfTheWeek[],2,FALSE)</f>
        <v>شنبه</v>
      </c>
      <c r="H1407" s="165">
        <f>IFERROR(IF(E1406&lt;&gt;E1407,1,INT(H1406)+IF(TDays[[#This Row],[کد روز هفته]]=0,1,0)),1)</f>
        <v>2</v>
      </c>
      <c r="I1407" s="164">
        <f>-SUMIF(TArticle[تاریخ],TDays[[#This Row],[تاریخ]],TArticle[هزینه])</f>
        <v>0</v>
      </c>
      <c r="J1407" s="164">
        <f>SUMIF(TArticle[تاریخ],TDays[[#This Row],[تاریخ]],TArticle[درآمد تتا])</f>
        <v>0</v>
      </c>
      <c r="K1407" s="164">
        <f>SUMIF(TArticle[تاریخ],TDays[[#This Row],[تاریخ]],TArticle[اسنپ])</f>
        <v>0</v>
      </c>
      <c r="L1407" s="164">
        <f>-SUMIF(TArticle[تاریخ],TDays[[#This Row],[تاریخ]],TArticle[پرداخت بدهی])</f>
        <v>0</v>
      </c>
      <c r="M1407" s="164">
        <f>SUMIF(TArticle[تاریخ],TDays[[#This Row],[تاریخ]],TArticle[افزایش بدهی])</f>
        <v>0</v>
      </c>
      <c r="N1407" s="164">
        <f>-SUMIF(TArticle[تاریخ],TDays[[#This Row],[تاریخ]],TArticle[افزایش سرمایه])</f>
        <v>0</v>
      </c>
      <c r="O1407" s="164">
        <f>SUMIF(TArticle[تاریخ],TDays[[#This Row],[تاریخ]],TArticle[تعداد تراکنش انجام شده])</f>
        <v>0</v>
      </c>
      <c r="P1407" s="164">
        <f>INT(((TDays[[#This Row],[ماه]]-1)*31+TDays[[#This Row],[روز]]+1)/7)+1</f>
        <v>46</v>
      </c>
      <c r="Q1407" s="164">
        <f>SUMIF(TArticle[تاریخ],TDays[[#This Row],[تاریخ]],TArticle[تراکنش برنامه ریزی شده])</f>
        <v>0</v>
      </c>
    </row>
    <row r="1408" spans="1:17" x14ac:dyDescent="0.25">
      <c r="A1408" s="3" t="s">
        <v>1690</v>
      </c>
      <c r="B1408" s="164" t="str">
        <f>RIGHT(TDays[[#This Row],[تاریخ]],2)</f>
        <v>05</v>
      </c>
      <c r="C1408" s="164" t="str">
        <f>RIGHT(LEFT(TDays[[#This Row],[تاریخ]],7),2)</f>
        <v>11</v>
      </c>
      <c r="D1408" s="164" t="str">
        <f>LEFT(TDays[[#This Row],[تاریخ]],4)</f>
        <v>1404</v>
      </c>
      <c r="E1408" s="164" t="str">
        <f>LEFT(TDays[[#This Row],[تاریخ]],7)</f>
        <v>1404-11</v>
      </c>
      <c r="F1408">
        <v>1</v>
      </c>
      <c r="G1408" s="165" t="str">
        <f>VLOOKUP(TDays[[#This Row],[کد روز هفته]],TDaysOfTheWeek[],2,FALSE)</f>
        <v>یکشنبه</v>
      </c>
      <c r="H1408" s="165">
        <f>IFERROR(IF(E1407&lt;&gt;E1408,1,INT(H1407)+IF(TDays[[#This Row],[کد روز هفته]]=0,1,0)),1)</f>
        <v>2</v>
      </c>
      <c r="I1408" s="164">
        <f>-SUMIF(TArticle[تاریخ],TDays[[#This Row],[تاریخ]],TArticle[هزینه])</f>
        <v>0</v>
      </c>
      <c r="J1408" s="164">
        <f>SUMIF(TArticle[تاریخ],TDays[[#This Row],[تاریخ]],TArticle[درآمد تتا])</f>
        <v>0</v>
      </c>
      <c r="K1408" s="164">
        <f>SUMIF(TArticle[تاریخ],TDays[[#This Row],[تاریخ]],TArticle[اسنپ])</f>
        <v>0</v>
      </c>
      <c r="L1408" s="164">
        <f>-SUMIF(TArticle[تاریخ],TDays[[#This Row],[تاریخ]],TArticle[پرداخت بدهی])</f>
        <v>0</v>
      </c>
      <c r="M1408" s="164">
        <f>SUMIF(TArticle[تاریخ],TDays[[#This Row],[تاریخ]],TArticle[افزایش بدهی])</f>
        <v>0</v>
      </c>
      <c r="N1408" s="164">
        <f>-SUMIF(TArticle[تاریخ],TDays[[#This Row],[تاریخ]],TArticle[افزایش سرمایه])</f>
        <v>0</v>
      </c>
      <c r="O1408" s="164">
        <f>SUMIF(TArticle[تاریخ],TDays[[#This Row],[تاریخ]],TArticle[تعداد تراکنش انجام شده])</f>
        <v>0</v>
      </c>
      <c r="P1408" s="164">
        <f>INT(((TDays[[#This Row],[ماه]]-1)*31+TDays[[#This Row],[روز]]+1)/7)+1</f>
        <v>46</v>
      </c>
      <c r="Q1408" s="164">
        <f>SUMIF(TArticle[تاریخ],TDays[[#This Row],[تاریخ]],TArticle[تراکنش برنامه ریزی شده])</f>
        <v>0</v>
      </c>
    </row>
    <row r="1409" spans="1:17" x14ac:dyDescent="0.25">
      <c r="A1409" s="3" t="s">
        <v>1991</v>
      </c>
      <c r="B1409" s="164" t="str">
        <f>RIGHT(TDays[[#This Row],[تاریخ]],2)</f>
        <v>06</v>
      </c>
      <c r="C1409" s="164" t="str">
        <f>RIGHT(LEFT(TDays[[#This Row],[تاریخ]],7),2)</f>
        <v>11</v>
      </c>
      <c r="D1409" s="164" t="str">
        <f>LEFT(TDays[[#This Row],[تاریخ]],4)</f>
        <v>1404</v>
      </c>
      <c r="E1409" s="164" t="str">
        <f>LEFT(TDays[[#This Row],[تاریخ]],7)</f>
        <v>1404-11</v>
      </c>
      <c r="F1409">
        <v>2</v>
      </c>
      <c r="G1409" s="165" t="str">
        <f>VLOOKUP(TDays[[#This Row],[کد روز هفته]],TDaysOfTheWeek[],2,FALSE)</f>
        <v>دوشنبه</v>
      </c>
      <c r="H1409" s="165">
        <f>IFERROR(IF(E1408&lt;&gt;E1409,1,INT(H1408)+IF(TDays[[#This Row],[کد روز هفته]]=0,1,0)),1)</f>
        <v>2</v>
      </c>
      <c r="I1409" s="164">
        <f>-SUMIF(TArticle[تاریخ],TDays[[#This Row],[تاریخ]],TArticle[هزینه])</f>
        <v>0</v>
      </c>
      <c r="J1409" s="164">
        <f>SUMIF(TArticle[تاریخ],TDays[[#This Row],[تاریخ]],TArticle[درآمد تتا])</f>
        <v>0</v>
      </c>
      <c r="K1409" s="164">
        <f>SUMIF(TArticle[تاریخ],TDays[[#This Row],[تاریخ]],TArticle[اسنپ])</f>
        <v>0</v>
      </c>
      <c r="L1409" s="164">
        <f>-SUMIF(TArticle[تاریخ],TDays[[#This Row],[تاریخ]],TArticle[پرداخت بدهی])</f>
        <v>0</v>
      </c>
      <c r="M1409" s="164">
        <f>SUMIF(TArticle[تاریخ],TDays[[#This Row],[تاریخ]],TArticle[افزایش بدهی])</f>
        <v>0</v>
      </c>
      <c r="N1409" s="164">
        <f>-SUMIF(TArticle[تاریخ],TDays[[#This Row],[تاریخ]],TArticle[افزایش سرمایه])</f>
        <v>0</v>
      </c>
      <c r="O1409" s="164">
        <f>SUMIF(TArticle[تاریخ],TDays[[#This Row],[تاریخ]],TArticle[تعداد تراکنش انجام شده])</f>
        <v>0</v>
      </c>
      <c r="P1409" s="164">
        <f>INT(((TDays[[#This Row],[ماه]]-1)*31+TDays[[#This Row],[روز]]+1)/7)+1</f>
        <v>46</v>
      </c>
      <c r="Q1409" s="164">
        <f>SUMIF(TArticle[تاریخ],TDays[[#This Row],[تاریخ]],TArticle[تراکنش برنامه ریزی شده])</f>
        <v>0</v>
      </c>
    </row>
    <row r="1410" spans="1:17" x14ac:dyDescent="0.25">
      <c r="A1410" s="3" t="s">
        <v>1992</v>
      </c>
      <c r="B1410" s="164" t="str">
        <f>RIGHT(TDays[[#This Row],[تاریخ]],2)</f>
        <v>07</v>
      </c>
      <c r="C1410" s="164" t="str">
        <f>RIGHT(LEFT(TDays[[#This Row],[تاریخ]],7),2)</f>
        <v>11</v>
      </c>
      <c r="D1410" s="164" t="str">
        <f>LEFT(TDays[[#This Row],[تاریخ]],4)</f>
        <v>1404</v>
      </c>
      <c r="E1410" s="164" t="str">
        <f>LEFT(TDays[[#This Row],[تاریخ]],7)</f>
        <v>1404-11</v>
      </c>
      <c r="F1410">
        <v>3</v>
      </c>
      <c r="G1410" s="165" t="str">
        <f>VLOOKUP(TDays[[#This Row],[کد روز هفته]],TDaysOfTheWeek[],2,FALSE)</f>
        <v>سه شنبه</v>
      </c>
      <c r="H1410" s="165">
        <f>IFERROR(IF(E1409&lt;&gt;E1410,1,INT(H1409)+IF(TDays[[#This Row],[کد روز هفته]]=0,1,0)),1)</f>
        <v>2</v>
      </c>
      <c r="I1410" s="164">
        <f>-SUMIF(TArticle[تاریخ],TDays[[#This Row],[تاریخ]],TArticle[هزینه])</f>
        <v>0</v>
      </c>
      <c r="J1410" s="164">
        <f>SUMIF(TArticle[تاریخ],TDays[[#This Row],[تاریخ]],TArticle[درآمد تتا])</f>
        <v>0</v>
      </c>
      <c r="K1410" s="164">
        <f>SUMIF(TArticle[تاریخ],TDays[[#This Row],[تاریخ]],TArticle[اسنپ])</f>
        <v>0</v>
      </c>
      <c r="L1410" s="164">
        <f>-SUMIF(TArticle[تاریخ],TDays[[#This Row],[تاریخ]],TArticle[پرداخت بدهی])</f>
        <v>0</v>
      </c>
      <c r="M1410" s="164">
        <f>SUMIF(TArticle[تاریخ],TDays[[#This Row],[تاریخ]],TArticle[افزایش بدهی])</f>
        <v>0</v>
      </c>
      <c r="N1410" s="164">
        <f>-SUMIF(TArticle[تاریخ],TDays[[#This Row],[تاریخ]],TArticle[افزایش سرمایه])</f>
        <v>0</v>
      </c>
      <c r="O1410" s="164">
        <f>SUMIF(TArticle[تاریخ],TDays[[#This Row],[تاریخ]],TArticle[تعداد تراکنش انجام شده])</f>
        <v>0</v>
      </c>
      <c r="P1410" s="164">
        <f>INT(((TDays[[#This Row],[ماه]]-1)*31+TDays[[#This Row],[روز]]+1)/7)+1</f>
        <v>46</v>
      </c>
      <c r="Q1410" s="164">
        <f>SUMIF(TArticle[تاریخ],TDays[[#This Row],[تاریخ]],TArticle[تراکنش برنامه ریزی شده])</f>
        <v>0</v>
      </c>
    </row>
    <row r="1411" spans="1:17" x14ac:dyDescent="0.25">
      <c r="A1411" s="3" t="s">
        <v>1993</v>
      </c>
      <c r="B1411" s="164" t="str">
        <f>RIGHT(TDays[[#This Row],[تاریخ]],2)</f>
        <v>08</v>
      </c>
      <c r="C1411" s="164" t="str">
        <f>RIGHT(LEFT(TDays[[#This Row],[تاریخ]],7),2)</f>
        <v>11</v>
      </c>
      <c r="D1411" s="164" t="str">
        <f>LEFT(TDays[[#This Row],[تاریخ]],4)</f>
        <v>1404</v>
      </c>
      <c r="E1411" s="164" t="str">
        <f>LEFT(TDays[[#This Row],[تاریخ]],7)</f>
        <v>1404-11</v>
      </c>
      <c r="F1411">
        <v>4</v>
      </c>
      <c r="G1411" s="165" t="str">
        <f>VLOOKUP(TDays[[#This Row],[کد روز هفته]],TDaysOfTheWeek[],2,FALSE)</f>
        <v>چهارشنبه</v>
      </c>
      <c r="H1411" s="165">
        <f>IFERROR(IF(E1410&lt;&gt;E1411,1,INT(H1410)+IF(TDays[[#This Row],[کد روز هفته]]=0,1,0)),1)</f>
        <v>2</v>
      </c>
      <c r="I1411" s="164">
        <f>-SUMIF(TArticle[تاریخ],TDays[[#This Row],[تاریخ]],TArticle[هزینه])</f>
        <v>0</v>
      </c>
      <c r="J1411" s="164">
        <f>SUMIF(TArticle[تاریخ],TDays[[#This Row],[تاریخ]],TArticle[درآمد تتا])</f>
        <v>0</v>
      </c>
      <c r="K1411" s="164">
        <f>SUMIF(TArticle[تاریخ],TDays[[#This Row],[تاریخ]],TArticle[اسنپ])</f>
        <v>0</v>
      </c>
      <c r="L1411" s="164">
        <f>-SUMIF(TArticle[تاریخ],TDays[[#This Row],[تاریخ]],TArticle[پرداخت بدهی])</f>
        <v>0</v>
      </c>
      <c r="M1411" s="164">
        <f>SUMIF(TArticle[تاریخ],TDays[[#This Row],[تاریخ]],TArticle[افزایش بدهی])</f>
        <v>0</v>
      </c>
      <c r="N1411" s="164">
        <f>-SUMIF(TArticle[تاریخ],TDays[[#This Row],[تاریخ]],TArticle[افزایش سرمایه])</f>
        <v>0</v>
      </c>
      <c r="O1411" s="164">
        <f>SUMIF(TArticle[تاریخ],TDays[[#This Row],[تاریخ]],TArticle[تعداد تراکنش انجام شده])</f>
        <v>0</v>
      </c>
      <c r="P1411" s="164">
        <f>INT(((TDays[[#This Row],[ماه]]-1)*31+TDays[[#This Row],[روز]]+1)/7)+1</f>
        <v>46</v>
      </c>
      <c r="Q1411" s="164">
        <f>SUMIF(TArticle[تاریخ],TDays[[#This Row],[تاریخ]],TArticle[تراکنش برنامه ریزی شده])</f>
        <v>0</v>
      </c>
    </row>
    <row r="1412" spans="1:17" x14ac:dyDescent="0.25">
      <c r="A1412" s="3" t="s">
        <v>1994</v>
      </c>
      <c r="B1412" s="164" t="str">
        <f>RIGHT(TDays[[#This Row],[تاریخ]],2)</f>
        <v>09</v>
      </c>
      <c r="C1412" s="164" t="str">
        <f>RIGHT(LEFT(TDays[[#This Row],[تاریخ]],7),2)</f>
        <v>11</v>
      </c>
      <c r="D1412" s="164" t="str">
        <f>LEFT(TDays[[#This Row],[تاریخ]],4)</f>
        <v>1404</v>
      </c>
      <c r="E1412" s="164" t="str">
        <f>LEFT(TDays[[#This Row],[تاریخ]],7)</f>
        <v>1404-11</v>
      </c>
      <c r="F1412">
        <v>5</v>
      </c>
      <c r="G1412" s="165" t="str">
        <f>VLOOKUP(TDays[[#This Row],[کد روز هفته]],TDaysOfTheWeek[],2,FALSE)</f>
        <v>پنجشنبه</v>
      </c>
      <c r="H1412" s="165">
        <f>IFERROR(IF(E1411&lt;&gt;E1412,1,INT(H1411)+IF(TDays[[#This Row],[کد روز هفته]]=0,1,0)),1)</f>
        <v>2</v>
      </c>
      <c r="I1412" s="164">
        <f>-SUMIF(TArticle[تاریخ],TDays[[#This Row],[تاریخ]],TArticle[هزینه])</f>
        <v>0</v>
      </c>
      <c r="J1412" s="164">
        <f>SUMIF(TArticle[تاریخ],TDays[[#This Row],[تاریخ]],TArticle[درآمد تتا])</f>
        <v>0</v>
      </c>
      <c r="K1412" s="164">
        <f>SUMIF(TArticle[تاریخ],TDays[[#This Row],[تاریخ]],TArticle[اسنپ])</f>
        <v>0</v>
      </c>
      <c r="L1412" s="164">
        <f>-SUMIF(TArticle[تاریخ],TDays[[#This Row],[تاریخ]],TArticle[پرداخت بدهی])</f>
        <v>0</v>
      </c>
      <c r="M1412" s="164">
        <f>SUMIF(TArticle[تاریخ],TDays[[#This Row],[تاریخ]],TArticle[افزایش بدهی])</f>
        <v>0</v>
      </c>
      <c r="N1412" s="164">
        <f>-SUMIF(TArticle[تاریخ],TDays[[#This Row],[تاریخ]],TArticle[افزایش سرمایه])</f>
        <v>0</v>
      </c>
      <c r="O1412" s="164">
        <f>SUMIF(TArticle[تاریخ],TDays[[#This Row],[تاریخ]],TArticle[تعداد تراکنش انجام شده])</f>
        <v>0</v>
      </c>
      <c r="P1412" s="164">
        <f>INT(((TDays[[#This Row],[ماه]]-1)*31+TDays[[#This Row],[روز]]+1)/7)+1</f>
        <v>46</v>
      </c>
      <c r="Q1412" s="164">
        <f>SUMIF(TArticle[تاریخ],TDays[[#This Row],[تاریخ]],TArticle[تراکنش برنامه ریزی شده])</f>
        <v>1</v>
      </c>
    </row>
    <row r="1413" spans="1:17" x14ac:dyDescent="0.25">
      <c r="A1413" s="3" t="s">
        <v>1995</v>
      </c>
      <c r="B1413" s="164" t="str">
        <f>RIGHT(TDays[[#This Row],[تاریخ]],2)</f>
        <v>10</v>
      </c>
      <c r="C1413" s="164" t="str">
        <f>RIGHT(LEFT(TDays[[#This Row],[تاریخ]],7),2)</f>
        <v>11</v>
      </c>
      <c r="D1413" s="164" t="str">
        <f>LEFT(TDays[[#This Row],[تاریخ]],4)</f>
        <v>1404</v>
      </c>
      <c r="E1413" s="164" t="str">
        <f>LEFT(TDays[[#This Row],[تاریخ]],7)</f>
        <v>1404-11</v>
      </c>
      <c r="F1413">
        <v>6</v>
      </c>
      <c r="G1413" s="165" t="str">
        <f>VLOOKUP(TDays[[#This Row],[کد روز هفته]],TDaysOfTheWeek[],2,FALSE)</f>
        <v>جمعه</v>
      </c>
      <c r="H1413" s="165">
        <f>IFERROR(IF(E1412&lt;&gt;E1413,1,INT(H1412)+IF(TDays[[#This Row],[کد روز هفته]]=0,1,0)),1)</f>
        <v>2</v>
      </c>
      <c r="I1413" s="164">
        <f>-SUMIF(TArticle[تاریخ],TDays[[#This Row],[تاریخ]],TArticle[هزینه])</f>
        <v>0</v>
      </c>
      <c r="J1413" s="164">
        <f>SUMIF(TArticle[تاریخ],TDays[[#This Row],[تاریخ]],TArticle[درآمد تتا])</f>
        <v>0</v>
      </c>
      <c r="K1413" s="164">
        <f>SUMIF(TArticle[تاریخ],TDays[[#This Row],[تاریخ]],TArticle[اسنپ])</f>
        <v>0</v>
      </c>
      <c r="L1413" s="164">
        <f>-SUMIF(TArticle[تاریخ],TDays[[#This Row],[تاریخ]],TArticle[پرداخت بدهی])</f>
        <v>0</v>
      </c>
      <c r="M1413" s="164">
        <f>SUMIF(TArticle[تاریخ],TDays[[#This Row],[تاریخ]],TArticle[افزایش بدهی])</f>
        <v>0</v>
      </c>
      <c r="N1413" s="164">
        <f>-SUMIF(TArticle[تاریخ],TDays[[#This Row],[تاریخ]],TArticle[افزایش سرمایه])</f>
        <v>0</v>
      </c>
      <c r="O1413" s="164">
        <f>SUMIF(TArticle[تاریخ],TDays[[#This Row],[تاریخ]],TArticle[تعداد تراکنش انجام شده])</f>
        <v>0</v>
      </c>
      <c r="P1413" s="164">
        <f>INT(((TDays[[#This Row],[ماه]]-1)*31+TDays[[#This Row],[روز]]+1)/7)+1</f>
        <v>46</v>
      </c>
      <c r="Q1413" s="164">
        <f>SUMIF(TArticle[تاریخ],TDays[[#This Row],[تاریخ]],TArticle[تراکنش برنامه ریزی شده])</f>
        <v>0</v>
      </c>
    </row>
    <row r="1414" spans="1:17" x14ac:dyDescent="0.25">
      <c r="A1414" s="3" t="s">
        <v>1996</v>
      </c>
      <c r="B1414" s="164" t="str">
        <f>RIGHT(TDays[[#This Row],[تاریخ]],2)</f>
        <v>11</v>
      </c>
      <c r="C1414" s="164" t="str">
        <f>RIGHT(LEFT(TDays[[#This Row],[تاریخ]],7),2)</f>
        <v>11</v>
      </c>
      <c r="D1414" s="164" t="str">
        <f>LEFT(TDays[[#This Row],[تاریخ]],4)</f>
        <v>1404</v>
      </c>
      <c r="E1414" s="164" t="str">
        <f>LEFT(TDays[[#This Row],[تاریخ]],7)</f>
        <v>1404-11</v>
      </c>
      <c r="F1414">
        <v>0</v>
      </c>
      <c r="G1414" s="165" t="str">
        <f>VLOOKUP(TDays[[#This Row],[کد روز هفته]],TDaysOfTheWeek[],2,FALSE)</f>
        <v>شنبه</v>
      </c>
      <c r="H1414" s="165">
        <f>IFERROR(IF(E1413&lt;&gt;E1414,1,INT(H1413)+IF(TDays[[#This Row],[کد روز هفته]]=0,1,0)),1)</f>
        <v>3</v>
      </c>
      <c r="I1414" s="164">
        <f>-SUMIF(TArticle[تاریخ],TDays[[#This Row],[تاریخ]],TArticle[هزینه])</f>
        <v>0</v>
      </c>
      <c r="J1414" s="164">
        <f>SUMIF(TArticle[تاریخ],TDays[[#This Row],[تاریخ]],TArticle[درآمد تتا])</f>
        <v>0</v>
      </c>
      <c r="K1414" s="164">
        <f>SUMIF(TArticle[تاریخ],TDays[[#This Row],[تاریخ]],TArticle[اسنپ])</f>
        <v>0</v>
      </c>
      <c r="L1414" s="164">
        <f>-SUMIF(TArticle[تاریخ],TDays[[#This Row],[تاریخ]],TArticle[پرداخت بدهی])</f>
        <v>0</v>
      </c>
      <c r="M1414" s="164">
        <f>SUMIF(TArticle[تاریخ],TDays[[#This Row],[تاریخ]],TArticle[افزایش بدهی])</f>
        <v>0</v>
      </c>
      <c r="N1414" s="164">
        <f>-SUMIF(TArticle[تاریخ],TDays[[#This Row],[تاریخ]],TArticle[افزایش سرمایه])</f>
        <v>0</v>
      </c>
      <c r="O1414" s="164">
        <f>SUMIF(TArticle[تاریخ],TDays[[#This Row],[تاریخ]],TArticle[تعداد تراکنش انجام شده])</f>
        <v>0</v>
      </c>
      <c r="P1414" s="164">
        <f>INT(((TDays[[#This Row],[ماه]]-1)*31+TDays[[#This Row],[روز]]+1)/7)+1</f>
        <v>47</v>
      </c>
      <c r="Q1414" s="164">
        <f>SUMIF(TArticle[تاریخ],TDays[[#This Row],[تاریخ]],TArticle[تراکنش برنامه ریزی شده])</f>
        <v>0</v>
      </c>
    </row>
    <row r="1415" spans="1:17" x14ac:dyDescent="0.25">
      <c r="A1415" s="3" t="s">
        <v>1997</v>
      </c>
      <c r="B1415" s="164" t="str">
        <f>RIGHT(TDays[[#This Row],[تاریخ]],2)</f>
        <v>12</v>
      </c>
      <c r="C1415" s="164" t="str">
        <f>RIGHT(LEFT(TDays[[#This Row],[تاریخ]],7),2)</f>
        <v>11</v>
      </c>
      <c r="D1415" s="164" t="str">
        <f>LEFT(TDays[[#This Row],[تاریخ]],4)</f>
        <v>1404</v>
      </c>
      <c r="E1415" s="164" t="str">
        <f>LEFT(TDays[[#This Row],[تاریخ]],7)</f>
        <v>1404-11</v>
      </c>
      <c r="F1415">
        <v>1</v>
      </c>
      <c r="G1415" s="165" t="str">
        <f>VLOOKUP(TDays[[#This Row],[کد روز هفته]],TDaysOfTheWeek[],2,FALSE)</f>
        <v>یکشنبه</v>
      </c>
      <c r="H1415" s="165">
        <f>IFERROR(IF(E1414&lt;&gt;E1415,1,INT(H1414)+IF(TDays[[#This Row],[کد روز هفته]]=0,1,0)),1)</f>
        <v>3</v>
      </c>
      <c r="I1415" s="164">
        <f>-SUMIF(TArticle[تاریخ],TDays[[#This Row],[تاریخ]],TArticle[هزینه])</f>
        <v>0</v>
      </c>
      <c r="J1415" s="164">
        <f>SUMIF(TArticle[تاریخ],TDays[[#This Row],[تاریخ]],TArticle[درآمد تتا])</f>
        <v>0</v>
      </c>
      <c r="K1415" s="164">
        <f>SUMIF(TArticle[تاریخ],TDays[[#This Row],[تاریخ]],TArticle[اسنپ])</f>
        <v>0</v>
      </c>
      <c r="L1415" s="164">
        <f>-SUMIF(TArticle[تاریخ],TDays[[#This Row],[تاریخ]],TArticle[پرداخت بدهی])</f>
        <v>0</v>
      </c>
      <c r="M1415" s="164">
        <f>SUMIF(TArticle[تاریخ],TDays[[#This Row],[تاریخ]],TArticle[افزایش بدهی])</f>
        <v>0</v>
      </c>
      <c r="N1415" s="164">
        <f>-SUMIF(TArticle[تاریخ],TDays[[#This Row],[تاریخ]],TArticle[افزایش سرمایه])</f>
        <v>0</v>
      </c>
      <c r="O1415" s="164">
        <f>SUMIF(TArticle[تاریخ],TDays[[#This Row],[تاریخ]],TArticle[تعداد تراکنش انجام شده])</f>
        <v>0</v>
      </c>
      <c r="P1415" s="164">
        <f>INT(((TDays[[#This Row],[ماه]]-1)*31+TDays[[#This Row],[روز]]+1)/7)+1</f>
        <v>47</v>
      </c>
      <c r="Q1415" s="164">
        <f>SUMIF(TArticle[تاریخ],TDays[[#This Row],[تاریخ]],TArticle[تراکنش برنامه ریزی شده])</f>
        <v>0</v>
      </c>
    </row>
    <row r="1416" spans="1:17" x14ac:dyDescent="0.25">
      <c r="A1416" s="3" t="s">
        <v>1998</v>
      </c>
      <c r="B1416" s="164" t="str">
        <f>RIGHT(TDays[[#This Row],[تاریخ]],2)</f>
        <v>13</v>
      </c>
      <c r="C1416" s="164" t="str">
        <f>RIGHT(LEFT(TDays[[#This Row],[تاریخ]],7),2)</f>
        <v>11</v>
      </c>
      <c r="D1416" s="164" t="str">
        <f>LEFT(TDays[[#This Row],[تاریخ]],4)</f>
        <v>1404</v>
      </c>
      <c r="E1416" s="164" t="str">
        <f>LEFT(TDays[[#This Row],[تاریخ]],7)</f>
        <v>1404-11</v>
      </c>
      <c r="F1416">
        <v>2</v>
      </c>
      <c r="G1416" s="165" t="str">
        <f>VLOOKUP(TDays[[#This Row],[کد روز هفته]],TDaysOfTheWeek[],2,FALSE)</f>
        <v>دوشنبه</v>
      </c>
      <c r="H1416" s="165">
        <f>IFERROR(IF(E1415&lt;&gt;E1416,1,INT(H1415)+IF(TDays[[#This Row],[کد روز هفته]]=0,1,0)),1)</f>
        <v>3</v>
      </c>
      <c r="I1416" s="164">
        <f>-SUMIF(TArticle[تاریخ],TDays[[#This Row],[تاریخ]],TArticle[هزینه])</f>
        <v>0</v>
      </c>
      <c r="J1416" s="164">
        <f>SUMIF(TArticle[تاریخ],TDays[[#This Row],[تاریخ]],TArticle[درآمد تتا])</f>
        <v>0</v>
      </c>
      <c r="K1416" s="164">
        <f>SUMIF(TArticle[تاریخ],TDays[[#This Row],[تاریخ]],TArticle[اسنپ])</f>
        <v>0</v>
      </c>
      <c r="L1416" s="164">
        <f>-SUMIF(TArticle[تاریخ],TDays[[#This Row],[تاریخ]],TArticle[پرداخت بدهی])</f>
        <v>0</v>
      </c>
      <c r="M1416" s="164">
        <f>SUMIF(TArticle[تاریخ],TDays[[#This Row],[تاریخ]],TArticle[افزایش بدهی])</f>
        <v>0</v>
      </c>
      <c r="N1416" s="164">
        <f>-SUMIF(TArticle[تاریخ],TDays[[#This Row],[تاریخ]],TArticle[افزایش سرمایه])</f>
        <v>0</v>
      </c>
      <c r="O1416" s="164">
        <f>SUMIF(TArticle[تاریخ],TDays[[#This Row],[تاریخ]],TArticle[تعداد تراکنش انجام شده])</f>
        <v>0</v>
      </c>
      <c r="P1416" s="164">
        <f>INT(((TDays[[#This Row],[ماه]]-1)*31+TDays[[#This Row],[روز]]+1)/7)+1</f>
        <v>47</v>
      </c>
      <c r="Q1416" s="164">
        <f>SUMIF(TArticle[تاریخ],TDays[[#This Row],[تاریخ]],TArticle[تراکنش برنامه ریزی شده])</f>
        <v>0</v>
      </c>
    </row>
    <row r="1417" spans="1:17" x14ac:dyDescent="0.25">
      <c r="A1417" s="3" t="s">
        <v>1999</v>
      </c>
      <c r="B1417" s="164" t="str">
        <f>RIGHT(TDays[[#This Row],[تاریخ]],2)</f>
        <v>14</v>
      </c>
      <c r="C1417" s="164" t="str">
        <f>RIGHT(LEFT(TDays[[#This Row],[تاریخ]],7),2)</f>
        <v>11</v>
      </c>
      <c r="D1417" s="164" t="str">
        <f>LEFT(TDays[[#This Row],[تاریخ]],4)</f>
        <v>1404</v>
      </c>
      <c r="E1417" s="164" t="str">
        <f>LEFT(TDays[[#This Row],[تاریخ]],7)</f>
        <v>1404-11</v>
      </c>
      <c r="F1417">
        <v>3</v>
      </c>
      <c r="G1417" s="165" t="str">
        <f>VLOOKUP(TDays[[#This Row],[کد روز هفته]],TDaysOfTheWeek[],2,FALSE)</f>
        <v>سه شنبه</v>
      </c>
      <c r="H1417" s="165">
        <f>IFERROR(IF(E1416&lt;&gt;E1417,1,INT(H1416)+IF(TDays[[#This Row],[کد روز هفته]]=0,1,0)),1)</f>
        <v>3</v>
      </c>
      <c r="I1417" s="164">
        <f>-SUMIF(TArticle[تاریخ],TDays[[#This Row],[تاریخ]],TArticle[هزینه])</f>
        <v>0</v>
      </c>
      <c r="J1417" s="164">
        <f>SUMIF(TArticle[تاریخ],TDays[[#This Row],[تاریخ]],TArticle[درآمد تتا])</f>
        <v>0</v>
      </c>
      <c r="K1417" s="164">
        <f>SUMIF(TArticle[تاریخ],TDays[[#This Row],[تاریخ]],TArticle[اسنپ])</f>
        <v>0</v>
      </c>
      <c r="L1417" s="164">
        <f>-SUMIF(TArticle[تاریخ],TDays[[#This Row],[تاریخ]],TArticle[پرداخت بدهی])</f>
        <v>0</v>
      </c>
      <c r="M1417" s="164">
        <f>SUMIF(TArticle[تاریخ],TDays[[#This Row],[تاریخ]],TArticle[افزایش بدهی])</f>
        <v>0</v>
      </c>
      <c r="N1417" s="164">
        <f>-SUMIF(TArticle[تاریخ],TDays[[#This Row],[تاریخ]],TArticle[افزایش سرمایه])</f>
        <v>0</v>
      </c>
      <c r="O1417" s="164">
        <f>SUMIF(TArticle[تاریخ],TDays[[#This Row],[تاریخ]],TArticle[تعداد تراکنش انجام شده])</f>
        <v>0</v>
      </c>
      <c r="P1417" s="164">
        <f>INT(((TDays[[#This Row],[ماه]]-1)*31+TDays[[#This Row],[روز]]+1)/7)+1</f>
        <v>47</v>
      </c>
      <c r="Q1417" s="164">
        <f>SUMIF(TArticle[تاریخ],TDays[[#This Row],[تاریخ]],TArticle[تراکنش برنامه ریزی شده])</f>
        <v>0</v>
      </c>
    </row>
    <row r="1418" spans="1:17" x14ac:dyDescent="0.25">
      <c r="A1418" s="3" t="s">
        <v>2000</v>
      </c>
      <c r="B1418" s="164" t="str">
        <f>RIGHT(TDays[[#This Row],[تاریخ]],2)</f>
        <v>15</v>
      </c>
      <c r="C1418" s="164" t="str">
        <f>RIGHT(LEFT(TDays[[#This Row],[تاریخ]],7),2)</f>
        <v>11</v>
      </c>
      <c r="D1418" s="164" t="str">
        <f>LEFT(TDays[[#This Row],[تاریخ]],4)</f>
        <v>1404</v>
      </c>
      <c r="E1418" s="164" t="str">
        <f>LEFT(TDays[[#This Row],[تاریخ]],7)</f>
        <v>1404-11</v>
      </c>
      <c r="F1418">
        <v>4</v>
      </c>
      <c r="G1418" s="165" t="str">
        <f>VLOOKUP(TDays[[#This Row],[کد روز هفته]],TDaysOfTheWeek[],2,FALSE)</f>
        <v>چهارشنبه</v>
      </c>
      <c r="H1418" s="165">
        <f>IFERROR(IF(E1417&lt;&gt;E1418,1,INT(H1417)+IF(TDays[[#This Row],[کد روز هفته]]=0,1,0)),1)</f>
        <v>3</v>
      </c>
      <c r="I1418" s="164">
        <f>-SUMIF(TArticle[تاریخ],TDays[[#This Row],[تاریخ]],TArticle[هزینه])</f>
        <v>0</v>
      </c>
      <c r="J1418" s="164">
        <f>SUMIF(TArticle[تاریخ],TDays[[#This Row],[تاریخ]],TArticle[درآمد تتا])</f>
        <v>0</v>
      </c>
      <c r="K1418" s="164">
        <f>SUMIF(TArticle[تاریخ],TDays[[#This Row],[تاریخ]],TArticle[اسنپ])</f>
        <v>0</v>
      </c>
      <c r="L1418" s="164">
        <f>-SUMIF(TArticle[تاریخ],TDays[[#This Row],[تاریخ]],TArticle[پرداخت بدهی])</f>
        <v>0</v>
      </c>
      <c r="M1418" s="164">
        <f>SUMIF(TArticle[تاریخ],TDays[[#This Row],[تاریخ]],TArticle[افزایش بدهی])</f>
        <v>0</v>
      </c>
      <c r="N1418" s="164">
        <f>-SUMIF(TArticle[تاریخ],TDays[[#This Row],[تاریخ]],TArticle[افزایش سرمایه])</f>
        <v>0</v>
      </c>
      <c r="O1418" s="164">
        <f>SUMIF(TArticle[تاریخ],TDays[[#This Row],[تاریخ]],TArticle[تعداد تراکنش انجام شده])</f>
        <v>0</v>
      </c>
      <c r="P1418" s="164">
        <f>INT(((TDays[[#This Row],[ماه]]-1)*31+TDays[[#This Row],[روز]]+1)/7)+1</f>
        <v>47</v>
      </c>
      <c r="Q1418" s="164">
        <f>SUMIF(TArticle[تاریخ],TDays[[#This Row],[تاریخ]],TArticle[تراکنش برنامه ریزی شده])</f>
        <v>0</v>
      </c>
    </row>
    <row r="1419" spans="1:17" x14ac:dyDescent="0.25">
      <c r="A1419" s="3" t="s">
        <v>2001</v>
      </c>
      <c r="B1419" s="164" t="str">
        <f>RIGHT(TDays[[#This Row],[تاریخ]],2)</f>
        <v>16</v>
      </c>
      <c r="C1419" s="164" t="str">
        <f>RIGHT(LEFT(TDays[[#This Row],[تاریخ]],7),2)</f>
        <v>11</v>
      </c>
      <c r="D1419" s="164" t="str">
        <f>LEFT(TDays[[#This Row],[تاریخ]],4)</f>
        <v>1404</v>
      </c>
      <c r="E1419" s="164" t="str">
        <f>LEFT(TDays[[#This Row],[تاریخ]],7)</f>
        <v>1404-11</v>
      </c>
      <c r="F1419">
        <v>5</v>
      </c>
      <c r="G1419" s="165" t="str">
        <f>VLOOKUP(TDays[[#This Row],[کد روز هفته]],TDaysOfTheWeek[],2,FALSE)</f>
        <v>پنجشنبه</v>
      </c>
      <c r="H1419" s="165">
        <f>IFERROR(IF(E1418&lt;&gt;E1419,1,INT(H1418)+IF(TDays[[#This Row],[کد روز هفته]]=0,1,0)),1)</f>
        <v>3</v>
      </c>
      <c r="I1419" s="164">
        <f>-SUMIF(TArticle[تاریخ],TDays[[#This Row],[تاریخ]],TArticle[هزینه])</f>
        <v>0</v>
      </c>
      <c r="J1419" s="164">
        <f>SUMIF(TArticle[تاریخ],TDays[[#This Row],[تاریخ]],TArticle[درآمد تتا])</f>
        <v>0</v>
      </c>
      <c r="K1419" s="164">
        <f>SUMIF(TArticle[تاریخ],TDays[[#This Row],[تاریخ]],TArticle[اسنپ])</f>
        <v>0</v>
      </c>
      <c r="L1419" s="164">
        <f>-SUMIF(TArticle[تاریخ],TDays[[#This Row],[تاریخ]],TArticle[پرداخت بدهی])</f>
        <v>0</v>
      </c>
      <c r="M1419" s="164">
        <f>SUMIF(TArticle[تاریخ],TDays[[#This Row],[تاریخ]],TArticle[افزایش بدهی])</f>
        <v>0</v>
      </c>
      <c r="N1419" s="164">
        <f>-SUMIF(TArticle[تاریخ],TDays[[#This Row],[تاریخ]],TArticle[افزایش سرمایه])</f>
        <v>0</v>
      </c>
      <c r="O1419" s="164">
        <f>SUMIF(TArticle[تاریخ],TDays[[#This Row],[تاریخ]],TArticle[تعداد تراکنش انجام شده])</f>
        <v>0</v>
      </c>
      <c r="P1419" s="164">
        <f>INT(((TDays[[#This Row],[ماه]]-1)*31+TDays[[#This Row],[روز]]+1)/7)+1</f>
        <v>47</v>
      </c>
      <c r="Q1419" s="164">
        <f>SUMIF(TArticle[تاریخ],TDays[[#This Row],[تاریخ]],TArticle[تراکنش برنامه ریزی شده])</f>
        <v>0</v>
      </c>
    </row>
    <row r="1420" spans="1:17" x14ac:dyDescent="0.25">
      <c r="A1420" s="3" t="s">
        <v>2002</v>
      </c>
      <c r="B1420" s="164" t="str">
        <f>RIGHT(TDays[[#This Row],[تاریخ]],2)</f>
        <v>17</v>
      </c>
      <c r="C1420" s="164" t="str">
        <f>RIGHT(LEFT(TDays[[#This Row],[تاریخ]],7),2)</f>
        <v>11</v>
      </c>
      <c r="D1420" s="164" t="str">
        <f>LEFT(TDays[[#This Row],[تاریخ]],4)</f>
        <v>1404</v>
      </c>
      <c r="E1420" s="164" t="str">
        <f>LEFT(TDays[[#This Row],[تاریخ]],7)</f>
        <v>1404-11</v>
      </c>
      <c r="F1420">
        <v>6</v>
      </c>
      <c r="G1420" s="165" t="str">
        <f>VLOOKUP(TDays[[#This Row],[کد روز هفته]],TDaysOfTheWeek[],2,FALSE)</f>
        <v>جمعه</v>
      </c>
      <c r="H1420" s="165">
        <f>IFERROR(IF(E1419&lt;&gt;E1420,1,INT(H1419)+IF(TDays[[#This Row],[کد روز هفته]]=0,1,0)),1)</f>
        <v>3</v>
      </c>
      <c r="I1420" s="164">
        <f>-SUMIF(TArticle[تاریخ],TDays[[#This Row],[تاریخ]],TArticle[هزینه])</f>
        <v>0</v>
      </c>
      <c r="J1420" s="164">
        <f>SUMIF(TArticle[تاریخ],TDays[[#This Row],[تاریخ]],TArticle[درآمد تتا])</f>
        <v>0</v>
      </c>
      <c r="K1420" s="164">
        <f>SUMIF(TArticle[تاریخ],TDays[[#This Row],[تاریخ]],TArticle[اسنپ])</f>
        <v>0</v>
      </c>
      <c r="L1420" s="164">
        <f>-SUMIF(TArticle[تاریخ],TDays[[#This Row],[تاریخ]],TArticle[پرداخت بدهی])</f>
        <v>0</v>
      </c>
      <c r="M1420" s="164">
        <f>SUMIF(TArticle[تاریخ],TDays[[#This Row],[تاریخ]],TArticle[افزایش بدهی])</f>
        <v>0</v>
      </c>
      <c r="N1420" s="164">
        <f>-SUMIF(TArticle[تاریخ],TDays[[#This Row],[تاریخ]],TArticle[افزایش سرمایه])</f>
        <v>0</v>
      </c>
      <c r="O1420" s="164">
        <f>SUMIF(TArticle[تاریخ],TDays[[#This Row],[تاریخ]],TArticle[تعداد تراکنش انجام شده])</f>
        <v>0</v>
      </c>
      <c r="P1420" s="164">
        <f>INT(((TDays[[#This Row],[ماه]]-1)*31+TDays[[#This Row],[روز]]+1)/7)+1</f>
        <v>47</v>
      </c>
      <c r="Q1420" s="164">
        <f>SUMIF(TArticle[تاریخ],TDays[[#This Row],[تاریخ]],TArticle[تراکنش برنامه ریزی شده])</f>
        <v>0</v>
      </c>
    </row>
    <row r="1421" spans="1:17" x14ac:dyDescent="0.25">
      <c r="A1421" s="3" t="s">
        <v>2003</v>
      </c>
      <c r="B1421" s="164" t="str">
        <f>RIGHT(TDays[[#This Row],[تاریخ]],2)</f>
        <v>18</v>
      </c>
      <c r="C1421" s="164" t="str">
        <f>RIGHT(LEFT(TDays[[#This Row],[تاریخ]],7),2)</f>
        <v>11</v>
      </c>
      <c r="D1421" s="164" t="str">
        <f>LEFT(TDays[[#This Row],[تاریخ]],4)</f>
        <v>1404</v>
      </c>
      <c r="E1421" s="164" t="str">
        <f>LEFT(TDays[[#This Row],[تاریخ]],7)</f>
        <v>1404-11</v>
      </c>
      <c r="F1421">
        <v>0</v>
      </c>
      <c r="G1421" s="165" t="str">
        <f>VLOOKUP(TDays[[#This Row],[کد روز هفته]],TDaysOfTheWeek[],2,FALSE)</f>
        <v>شنبه</v>
      </c>
      <c r="H1421" s="165">
        <f>IFERROR(IF(E1420&lt;&gt;E1421,1,INT(H1420)+IF(TDays[[#This Row],[کد روز هفته]]=0,1,0)),1)</f>
        <v>4</v>
      </c>
      <c r="I1421" s="164">
        <f>-SUMIF(TArticle[تاریخ],TDays[[#This Row],[تاریخ]],TArticle[هزینه])</f>
        <v>0</v>
      </c>
      <c r="J1421" s="164">
        <f>SUMIF(TArticle[تاریخ],TDays[[#This Row],[تاریخ]],TArticle[درآمد تتا])</f>
        <v>0</v>
      </c>
      <c r="K1421" s="164">
        <f>SUMIF(TArticle[تاریخ],TDays[[#This Row],[تاریخ]],TArticle[اسنپ])</f>
        <v>0</v>
      </c>
      <c r="L1421" s="164">
        <f>-SUMIF(TArticle[تاریخ],TDays[[#This Row],[تاریخ]],TArticle[پرداخت بدهی])</f>
        <v>0</v>
      </c>
      <c r="M1421" s="164">
        <f>SUMIF(TArticle[تاریخ],TDays[[#This Row],[تاریخ]],TArticle[افزایش بدهی])</f>
        <v>0</v>
      </c>
      <c r="N1421" s="164">
        <f>-SUMIF(TArticle[تاریخ],TDays[[#This Row],[تاریخ]],TArticle[افزایش سرمایه])</f>
        <v>0</v>
      </c>
      <c r="O1421" s="164">
        <f>SUMIF(TArticle[تاریخ],TDays[[#This Row],[تاریخ]],TArticle[تعداد تراکنش انجام شده])</f>
        <v>0</v>
      </c>
      <c r="P1421" s="164">
        <f>INT(((TDays[[#This Row],[ماه]]-1)*31+TDays[[#This Row],[روز]]+1)/7)+1</f>
        <v>48</v>
      </c>
      <c r="Q1421" s="164">
        <f>SUMIF(TArticle[تاریخ],TDays[[#This Row],[تاریخ]],TArticle[تراکنش برنامه ریزی شده])</f>
        <v>0</v>
      </c>
    </row>
    <row r="1422" spans="1:17" x14ac:dyDescent="0.25">
      <c r="A1422" s="3" t="s">
        <v>2004</v>
      </c>
      <c r="B1422" s="164" t="str">
        <f>RIGHT(TDays[[#This Row],[تاریخ]],2)</f>
        <v>19</v>
      </c>
      <c r="C1422" s="164" t="str">
        <f>RIGHT(LEFT(TDays[[#This Row],[تاریخ]],7),2)</f>
        <v>11</v>
      </c>
      <c r="D1422" s="164" t="str">
        <f>LEFT(TDays[[#This Row],[تاریخ]],4)</f>
        <v>1404</v>
      </c>
      <c r="E1422" s="164" t="str">
        <f>LEFT(TDays[[#This Row],[تاریخ]],7)</f>
        <v>1404-11</v>
      </c>
      <c r="F1422">
        <v>1</v>
      </c>
      <c r="G1422" s="165" t="str">
        <f>VLOOKUP(TDays[[#This Row],[کد روز هفته]],TDaysOfTheWeek[],2,FALSE)</f>
        <v>یکشنبه</v>
      </c>
      <c r="H1422" s="165">
        <f>IFERROR(IF(E1421&lt;&gt;E1422,1,INT(H1421)+IF(TDays[[#This Row],[کد روز هفته]]=0,1,0)),1)</f>
        <v>4</v>
      </c>
      <c r="I1422" s="164">
        <f>-SUMIF(TArticle[تاریخ],TDays[[#This Row],[تاریخ]],TArticle[هزینه])</f>
        <v>0</v>
      </c>
      <c r="J1422" s="164">
        <f>SUMIF(TArticle[تاریخ],TDays[[#This Row],[تاریخ]],TArticle[درآمد تتا])</f>
        <v>0</v>
      </c>
      <c r="K1422" s="164">
        <f>SUMIF(TArticle[تاریخ],TDays[[#This Row],[تاریخ]],TArticle[اسنپ])</f>
        <v>0</v>
      </c>
      <c r="L1422" s="164">
        <f>-SUMIF(TArticle[تاریخ],TDays[[#This Row],[تاریخ]],TArticle[پرداخت بدهی])</f>
        <v>0</v>
      </c>
      <c r="M1422" s="164">
        <f>SUMIF(TArticle[تاریخ],TDays[[#This Row],[تاریخ]],TArticle[افزایش بدهی])</f>
        <v>0</v>
      </c>
      <c r="N1422" s="164">
        <f>-SUMIF(TArticle[تاریخ],TDays[[#This Row],[تاریخ]],TArticle[افزایش سرمایه])</f>
        <v>0</v>
      </c>
      <c r="O1422" s="164">
        <f>SUMIF(TArticle[تاریخ],TDays[[#This Row],[تاریخ]],TArticle[تعداد تراکنش انجام شده])</f>
        <v>0</v>
      </c>
      <c r="P1422" s="164">
        <f>INT(((TDays[[#This Row],[ماه]]-1)*31+TDays[[#This Row],[روز]]+1)/7)+1</f>
        <v>48</v>
      </c>
      <c r="Q1422" s="164">
        <f>SUMIF(TArticle[تاریخ],TDays[[#This Row],[تاریخ]],TArticle[تراکنش برنامه ریزی شده])</f>
        <v>0</v>
      </c>
    </row>
    <row r="1423" spans="1:17" x14ac:dyDescent="0.25">
      <c r="A1423" s="3" t="s">
        <v>2005</v>
      </c>
      <c r="B1423" s="164" t="str">
        <f>RIGHT(TDays[[#This Row],[تاریخ]],2)</f>
        <v>20</v>
      </c>
      <c r="C1423" s="164" t="str">
        <f>RIGHT(LEFT(TDays[[#This Row],[تاریخ]],7),2)</f>
        <v>11</v>
      </c>
      <c r="D1423" s="164" t="str">
        <f>LEFT(TDays[[#This Row],[تاریخ]],4)</f>
        <v>1404</v>
      </c>
      <c r="E1423" s="164" t="str">
        <f>LEFT(TDays[[#This Row],[تاریخ]],7)</f>
        <v>1404-11</v>
      </c>
      <c r="F1423">
        <v>2</v>
      </c>
      <c r="G1423" s="165" t="str">
        <f>VLOOKUP(TDays[[#This Row],[کد روز هفته]],TDaysOfTheWeek[],2,FALSE)</f>
        <v>دوشنبه</v>
      </c>
      <c r="H1423" s="165">
        <f>IFERROR(IF(E1422&lt;&gt;E1423,1,INT(H1422)+IF(TDays[[#This Row],[کد روز هفته]]=0,1,0)),1)</f>
        <v>4</v>
      </c>
      <c r="I1423" s="164">
        <f>-SUMIF(TArticle[تاریخ],TDays[[#This Row],[تاریخ]],TArticle[هزینه])</f>
        <v>0</v>
      </c>
      <c r="J1423" s="164">
        <f>SUMIF(TArticle[تاریخ],TDays[[#This Row],[تاریخ]],TArticle[درآمد تتا])</f>
        <v>0</v>
      </c>
      <c r="K1423" s="164">
        <f>SUMIF(TArticle[تاریخ],TDays[[#This Row],[تاریخ]],TArticle[اسنپ])</f>
        <v>0</v>
      </c>
      <c r="L1423" s="164">
        <f>-SUMIF(TArticle[تاریخ],TDays[[#This Row],[تاریخ]],TArticle[پرداخت بدهی])</f>
        <v>0</v>
      </c>
      <c r="M1423" s="164">
        <f>SUMIF(TArticle[تاریخ],TDays[[#This Row],[تاریخ]],TArticle[افزایش بدهی])</f>
        <v>0</v>
      </c>
      <c r="N1423" s="164">
        <f>-SUMIF(TArticle[تاریخ],TDays[[#This Row],[تاریخ]],TArticle[افزایش سرمایه])</f>
        <v>0</v>
      </c>
      <c r="O1423" s="164">
        <f>SUMIF(TArticle[تاریخ],TDays[[#This Row],[تاریخ]],TArticle[تعداد تراکنش انجام شده])</f>
        <v>0</v>
      </c>
      <c r="P1423" s="164">
        <f>INT(((TDays[[#This Row],[ماه]]-1)*31+TDays[[#This Row],[روز]]+1)/7)+1</f>
        <v>48</v>
      </c>
      <c r="Q1423" s="164">
        <f>SUMIF(TArticle[تاریخ],TDays[[#This Row],[تاریخ]],TArticle[تراکنش برنامه ریزی شده])</f>
        <v>1</v>
      </c>
    </row>
    <row r="1424" spans="1:17" x14ac:dyDescent="0.25">
      <c r="A1424" s="3" t="s">
        <v>2006</v>
      </c>
      <c r="B1424" s="164" t="str">
        <f>RIGHT(TDays[[#This Row],[تاریخ]],2)</f>
        <v>21</v>
      </c>
      <c r="C1424" s="164" t="str">
        <f>RIGHT(LEFT(TDays[[#This Row],[تاریخ]],7),2)</f>
        <v>11</v>
      </c>
      <c r="D1424" s="164" t="str">
        <f>LEFT(TDays[[#This Row],[تاریخ]],4)</f>
        <v>1404</v>
      </c>
      <c r="E1424" s="164" t="str">
        <f>LEFT(TDays[[#This Row],[تاریخ]],7)</f>
        <v>1404-11</v>
      </c>
      <c r="F1424">
        <v>3</v>
      </c>
      <c r="G1424" s="165" t="str">
        <f>VLOOKUP(TDays[[#This Row],[کد روز هفته]],TDaysOfTheWeek[],2,FALSE)</f>
        <v>سه شنبه</v>
      </c>
      <c r="H1424" s="165">
        <f>IFERROR(IF(E1423&lt;&gt;E1424,1,INT(H1423)+IF(TDays[[#This Row],[کد روز هفته]]=0,1,0)),1)</f>
        <v>4</v>
      </c>
      <c r="I1424" s="164">
        <f>-SUMIF(TArticle[تاریخ],TDays[[#This Row],[تاریخ]],TArticle[هزینه])</f>
        <v>0</v>
      </c>
      <c r="J1424" s="164">
        <f>SUMIF(TArticle[تاریخ],TDays[[#This Row],[تاریخ]],TArticle[درآمد تتا])</f>
        <v>0</v>
      </c>
      <c r="K1424" s="164">
        <f>SUMIF(TArticle[تاریخ],TDays[[#This Row],[تاریخ]],TArticle[اسنپ])</f>
        <v>0</v>
      </c>
      <c r="L1424" s="164">
        <f>-SUMIF(TArticle[تاریخ],TDays[[#This Row],[تاریخ]],TArticle[پرداخت بدهی])</f>
        <v>0</v>
      </c>
      <c r="M1424" s="164">
        <f>SUMIF(TArticle[تاریخ],TDays[[#This Row],[تاریخ]],TArticle[افزایش بدهی])</f>
        <v>0</v>
      </c>
      <c r="N1424" s="164">
        <f>-SUMIF(TArticle[تاریخ],TDays[[#This Row],[تاریخ]],TArticle[افزایش سرمایه])</f>
        <v>0</v>
      </c>
      <c r="O1424" s="164">
        <f>SUMIF(TArticle[تاریخ],TDays[[#This Row],[تاریخ]],TArticle[تعداد تراکنش انجام شده])</f>
        <v>0</v>
      </c>
      <c r="P1424" s="164">
        <f>INT(((TDays[[#This Row],[ماه]]-1)*31+TDays[[#This Row],[روز]]+1)/7)+1</f>
        <v>48</v>
      </c>
      <c r="Q1424" s="164">
        <f>SUMIF(TArticle[تاریخ],TDays[[#This Row],[تاریخ]],TArticle[تراکنش برنامه ریزی شده])</f>
        <v>0</v>
      </c>
    </row>
    <row r="1425" spans="1:17" x14ac:dyDescent="0.25">
      <c r="A1425" s="3" t="s">
        <v>2007</v>
      </c>
      <c r="B1425" s="164" t="str">
        <f>RIGHT(TDays[[#This Row],[تاریخ]],2)</f>
        <v>22</v>
      </c>
      <c r="C1425" s="164" t="str">
        <f>RIGHT(LEFT(TDays[[#This Row],[تاریخ]],7),2)</f>
        <v>11</v>
      </c>
      <c r="D1425" s="164" t="str">
        <f>LEFT(TDays[[#This Row],[تاریخ]],4)</f>
        <v>1404</v>
      </c>
      <c r="E1425" s="164" t="str">
        <f>LEFT(TDays[[#This Row],[تاریخ]],7)</f>
        <v>1404-11</v>
      </c>
      <c r="F1425">
        <v>4</v>
      </c>
      <c r="G1425" s="165" t="str">
        <f>VLOOKUP(TDays[[#This Row],[کد روز هفته]],TDaysOfTheWeek[],2,FALSE)</f>
        <v>چهارشنبه</v>
      </c>
      <c r="H1425" s="165">
        <f>IFERROR(IF(E1424&lt;&gt;E1425,1,INT(H1424)+IF(TDays[[#This Row],[کد روز هفته]]=0,1,0)),1)</f>
        <v>4</v>
      </c>
      <c r="I1425" s="164">
        <f>-SUMIF(TArticle[تاریخ],TDays[[#This Row],[تاریخ]],TArticle[هزینه])</f>
        <v>0</v>
      </c>
      <c r="J1425" s="164">
        <f>SUMIF(TArticle[تاریخ],TDays[[#This Row],[تاریخ]],TArticle[درآمد تتا])</f>
        <v>0</v>
      </c>
      <c r="K1425" s="164">
        <f>SUMIF(TArticle[تاریخ],TDays[[#This Row],[تاریخ]],TArticle[اسنپ])</f>
        <v>0</v>
      </c>
      <c r="L1425" s="164">
        <f>-SUMIF(TArticle[تاریخ],TDays[[#This Row],[تاریخ]],TArticle[پرداخت بدهی])</f>
        <v>0</v>
      </c>
      <c r="M1425" s="164">
        <f>SUMIF(TArticle[تاریخ],TDays[[#This Row],[تاریخ]],TArticle[افزایش بدهی])</f>
        <v>0</v>
      </c>
      <c r="N1425" s="164">
        <f>-SUMIF(TArticle[تاریخ],TDays[[#This Row],[تاریخ]],TArticle[افزایش سرمایه])</f>
        <v>0</v>
      </c>
      <c r="O1425" s="164">
        <f>SUMIF(TArticle[تاریخ],TDays[[#This Row],[تاریخ]],TArticle[تعداد تراکنش انجام شده])</f>
        <v>0</v>
      </c>
      <c r="P1425" s="164">
        <f>INT(((TDays[[#This Row],[ماه]]-1)*31+TDays[[#This Row],[روز]]+1)/7)+1</f>
        <v>48</v>
      </c>
      <c r="Q1425" s="164">
        <f>SUMIF(TArticle[تاریخ],TDays[[#This Row],[تاریخ]],TArticle[تراکنش برنامه ریزی شده])</f>
        <v>0</v>
      </c>
    </row>
    <row r="1426" spans="1:17" x14ac:dyDescent="0.25">
      <c r="A1426" s="3" t="s">
        <v>2008</v>
      </c>
      <c r="B1426" s="164" t="str">
        <f>RIGHT(TDays[[#This Row],[تاریخ]],2)</f>
        <v>23</v>
      </c>
      <c r="C1426" s="164" t="str">
        <f>RIGHT(LEFT(TDays[[#This Row],[تاریخ]],7),2)</f>
        <v>11</v>
      </c>
      <c r="D1426" s="164" t="str">
        <f>LEFT(TDays[[#This Row],[تاریخ]],4)</f>
        <v>1404</v>
      </c>
      <c r="E1426" s="164" t="str">
        <f>LEFT(TDays[[#This Row],[تاریخ]],7)</f>
        <v>1404-11</v>
      </c>
      <c r="F1426">
        <v>5</v>
      </c>
      <c r="G1426" s="165" t="str">
        <f>VLOOKUP(TDays[[#This Row],[کد روز هفته]],TDaysOfTheWeek[],2,FALSE)</f>
        <v>پنجشنبه</v>
      </c>
      <c r="H1426" s="165">
        <f>IFERROR(IF(E1425&lt;&gt;E1426,1,INT(H1425)+IF(TDays[[#This Row],[کد روز هفته]]=0,1,0)),1)</f>
        <v>4</v>
      </c>
      <c r="I1426" s="164">
        <f>-SUMIF(TArticle[تاریخ],TDays[[#This Row],[تاریخ]],TArticle[هزینه])</f>
        <v>0</v>
      </c>
      <c r="J1426" s="164">
        <f>SUMIF(TArticle[تاریخ],TDays[[#This Row],[تاریخ]],TArticle[درآمد تتا])</f>
        <v>0</v>
      </c>
      <c r="K1426" s="164">
        <f>SUMIF(TArticle[تاریخ],TDays[[#This Row],[تاریخ]],TArticle[اسنپ])</f>
        <v>0</v>
      </c>
      <c r="L1426" s="164">
        <f>-SUMIF(TArticle[تاریخ],TDays[[#This Row],[تاریخ]],TArticle[پرداخت بدهی])</f>
        <v>0</v>
      </c>
      <c r="M1426" s="164">
        <f>SUMIF(TArticle[تاریخ],TDays[[#This Row],[تاریخ]],TArticle[افزایش بدهی])</f>
        <v>0</v>
      </c>
      <c r="N1426" s="164">
        <f>-SUMIF(TArticle[تاریخ],TDays[[#This Row],[تاریخ]],TArticle[افزایش سرمایه])</f>
        <v>0</v>
      </c>
      <c r="O1426" s="164">
        <f>SUMIF(TArticle[تاریخ],TDays[[#This Row],[تاریخ]],TArticle[تعداد تراکنش انجام شده])</f>
        <v>0</v>
      </c>
      <c r="P1426" s="164">
        <f>INT(((TDays[[#This Row],[ماه]]-1)*31+TDays[[#This Row],[روز]]+1)/7)+1</f>
        <v>48</v>
      </c>
      <c r="Q1426" s="164">
        <f>SUMIF(TArticle[تاریخ],TDays[[#This Row],[تاریخ]],TArticle[تراکنش برنامه ریزی شده])</f>
        <v>0</v>
      </c>
    </row>
    <row r="1427" spans="1:17" x14ac:dyDescent="0.25">
      <c r="A1427" s="3" t="s">
        <v>2009</v>
      </c>
      <c r="B1427" s="164" t="str">
        <f>RIGHT(TDays[[#This Row],[تاریخ]],2)</f>
        <v>24</v>
      </c>
      <c r="C1427" s="164" t="str">
        <f>RIGHT(LEFT(TDays[[#This Row],[تاریخ]],7),2)</f>
        <v>11</v>
      </c>
      <c r="D1427" s="164" t="str">
        <f>LEFT(TDays[[#This Row],[تاریخ]],4)</f>
        <v>1404</v>
      </c>
      <c r="E1427" s="164" t="str">
        <f>LEFT(TDays[[#This Row],[تاریخ]],7)</f>
        <v>1404-11</v>
      </c>
      <c r="F1427">
        <v>6</v>
      </c>
      <c r="G1427" s="165" t="str">
        <f>VLOOKUP(TDays[[#This Row],[کد روز هفته]],TDaysOfTheWeek[],2,FALSE)</f>
        <v>جمعه</v>
      </c>
      <c r="H1427" s="165">
        <f>IFERROR(IF(E1426&lt;&gt;E1427,1,INT(H1426)+IF(TDays[[#This Row],[کد روز هفته]]=0,1,0)),1)</f>
        <v>4</v>
      </c>
      <c r="I1427" s="164">
        <f>-SUMIF(TArticle[تاریخ],TDays[[#This Row],[تاریخ]],TArticle[هزینه])</f>
        <v>0</v>
      </c>
      <c r="J1427" s="164">
        <f>SUMIF(TArticle[تاریخ],TDays[[#This Row],[تاریخ]],TArticle[درآمد تتا])</f>
        <v>0</v>
      </c>
      <c r="K1427" s="164">
        <f>SUMIF(TArticle[تاریخ],TDays[[#This Row],[تاریخ]],TArticle[اسنپ])</f>
        <v>0</v>
      </c>
      <c r="L1427" s="164">
        <f>-SUMIF(TArticle[تاریخ],TDays[[#This Row],[تاریخ]],TArticle[پرداخت بدهی])</f>
        <v>0</v>
      </c>
      <c r="M1427" s="164">
        <f>SUMIF(TArticle[تاریخ],TDays[[#This Row],[تاریخ]],TArticle[افزایش بدهی])</f>
        <v>0</v>
      </c>
      <c r="N1427" s="164">
        <f>-SUMIF(TArticle[تاریخ],TDays[[#This Row],[تاریخ]],TArticle[افزایش سرمایه])</f>
        <v>0</v>
      </c>
      <c r="O1427" s="164">
        <f>SUMIF(TArticle[تاریخ],TDays[[#This Row],[تاریخ]],TArticle[تعداد تراکنش انجام شده])</f>
        <v>0</v>
      </c>
      <c r="P1427" s="164">
        <f>INT(((TDays[[#This Row],[ماه]]-1)*31+TDays[[#This Row],[روز]]+1)/7)+1</f>
        <v>48</v>
      </c>
      <c r="Q1427" s="164">
        <f>SUMIF(TArticle[تاریخ],TDays[[#This Row],[تاریخ]],TArticle[تراکنش برنامه ریزی شده])</f>
        <v>0</v>
      </c>
    </row>
    <row r="1428" spans="1:17" x14ac:dyDescent="0.25">
      <c r="A1428" s="3" t="s">
        <v>2010</v>
      </c>
      <c r="B1428" s="164" t="str">
        <f>RIGHT(TDays[[#This Row],[تاریخ]],2)</f>
        <v>25</v>
      </c>
      <c r="C1428" s="164" t="str">
        <f>RIGHT(LEFT(TDays[[#This Row],[تاریخ]],7),2)</f>
        <v>11</v>
      </c>
      <c r="D1428" s="164" t="str">
        <f>LEFT(TDays[[#This Row],[تاریخ]],4)</f>
        <v>1404</v>
      </c>
      <c r="E1428" s="164" t="str">
        <f>LEFT(TDays[[#This Row],[تاریخ]],7)</f>
        <v>1404-11</v>
      </c>
      <c r="F1428">
        <v>0</v>
      </c>
      <c r="G1428" s="165" t="str">
        <f>VLOOKUP(TDays[[#This Row],[کد روز هفته]],TDaysOfTheWeek[],2,FALSE)</f>
        <v>شنبه</v>
      </c>
      <c r="H1428" s="165">
        <f>IFERROR(IF(E1427&lt;&gt;E1428,1,INT(H1427)+IF(TDays[[#This Row],[کد روز هفته]]=0,1,0)),1)</f>
        <v>5</v>
      </c>
      <c r="I1428" s="164">
        <f>-SUMIF(TArticle[تاریخ],TDays[[#This Row],[تاریخ]],TArticle[هزینه])</f>
        <v>0</v>
      </c>
      <c r="J1428" s="164">
        <f>SUMIF(TArticle[تاریخ],TDays[[#This Row],[تاریخ]],TArticle[درآمد تتا])</f>
        <v>0</v>
      </c>
      <c r="K1428" s="164">
        <f>SUMIF(TArticle[تاریخ],TDays[[#This Row],[تاریخ]],TArticle[اسنپ])</f>
        <v>0</v>
      </c>
      <c r="L1428" s="164">
        <f>-SUMIF(TArticle[تاریخ],TDays[[#This Row],[تاریخ]],TArticle[پرداخت بدهی])</f>
        <v>0</v>
      </c>
      <c r="M1428" s="164">
        <f>SUMIF(TArticle[تاریخ],TDays[[#This Row],[تاریخ]],TArticle[افزایش بدهی])</f>
        <v>0</v>
      </c>
      <c r="N1428" s="164">
        <f>-SUMIF(TArticle[تاریخ],TDays[[#This Row],[تاریخ]],TArticle[افزایش سرمایه])</f>
        <v>0</v>
      </c>
      <c r="O1428" s="164">
        <f>SUMIF(TArticle[تاریخ],TDays[[#This Row],[تاریخ]],TArticle[تعداد تراکنش انجام شده])</f>
        <v>0</v>
      </c>
      <c r="P1428" s="164">
        <f>INT(((TDays[[#This Row],[ماه]]-1)*31+TDays[[#This Row],[روز]]+1)/7)+1</f>
        <v>49</v>
      </c>
      <c r="Q1428" s="164">
        <f>SUMIF(TArticle[تاریخ],TDays[[#This Row],[تاریخ]],TArticle[تراکنش برنامه ریزی شده])</f>
        <v>0</v>
      </c>
    </row>
    <row r="1429" spans="1:17" x14ac:dyDescent="0.25">
      <c r="A1429" s="3" t="s">
        <v>2011</v>
      </c>
      <c r="B1429" s="164" t="str">
        <f>RIGHT(TDays[[#This Row],[تاریخ]],2)</f>
        <v>26</v>
      </c>
      <c r="C1429" s="164" t="str">
        <f>RIGHT(LEFT(TDays[[#This Row],[تاریخ]],7),2)</f>
        <v>11</v>
      </c>
      <c r="D1429" s="164" t="str">
        <f>LEFT(TDays[[#This Row],[تاریخ]],4)</f>
        <v>1404</v>
      </c>
      <c r="E1429" s="164" t="str">
        <f>LEFT(TDays[[#This Row],[تاریخ]],7)</f>
        <v>1404-11</v>
      </c>
      <c r="F1429">
        <v>1</v>
      </c>
      <c r="G1429" s="165" t="str">
        <f>VLOOKUP(TDays[[#This Row],[کد روز هفته]],TDaysOfTheWeek[],2,FALSE)</f>
        <v>یکشنبه</v>
      </c>
      <c r="H1429" s="165">
        <f>IFERROR(IF(E1428&lt;&gt;E1429,1,INT(H1428)+IF(TDays[[#This Row],[کد روز هفته]]=0,1,0)),1)</f>
        <v>5</v>
      </c>
      <c r="I1429" s="164">
        <f>-SUMIF(TArticle[تاریخ],TDays[[#This Row],[تاریخ]],TArticle[هزینه])</f>
        <v>0</v>
      </c>
      <c r="J1429" s="164">
        <f>SUMIF(TArticle[تاریخ],TDays[[#This Row],[تاریخ]],TArticle[درآمد تتا])</f>
        <v>0</v>
      </c>
      <c r="K1429" s="164">
        <f>SUMIF(TArticle[تاریخ],TDays[[#This Row],[تاریخ]],TArticle[اسنپ])</f>
        <v>0</v>
      </c>
      <c r="L1429" s="164">
        <f>-SUMIF(TArticle[تاریخ],TDays[[#This Row],[تاریخ]],TArticle[پرداخت بدهی])</f>
        <v>0</v>
      </c>
      <c r="M1429" s="164">
        <f>SUMIF(TArticle[تاریخ],TDays[[#This Row],[تاریخ]],TArticle[افزایش بدهی])</f>
        <v>0</v>
      </c>
      <c r="N1429" s="164">
        <f>-SUMIF(TArticle[تاریخ],TDays[[#This Row],[تاریخ]],TArticle[افزایش سرمایه])</f>
        <v>0</v>
      </c>
      <c r="O1429" s="164">
        <f>SUMIF(TArticle[تاریخ],TDays[[#This Row],[تاریخ]],TArticle[تعداد تراکنش انجام شده])</f>
        <v>0</v>
      </c>
      <c r="P1429" s="164">
        <f>INT(((TDays[[#This Row],[ماه]]-1)*31+TDays[[#This Row],[روز]]+1)/7)+1</f>
        <v>49</v>
      </c>
      <c r="Q1429" s="164">
        <f>SUMIF(TArticle[تاریخ],TDays[[#This Row],[تاریخ]],TArticle[تراکنش برنامه ریزی شده])</f>
        <v>0</v>
      </c>
    </row>
    <row r="1430" spans="1:17" x14ac:dyDescent="0.25">
      <c r="A1430" s="3" t="s">
        <v>2012</v>
      </c>
      <c r="B1430" s="164" t="str">
        <f>RIGHT(TDays[[#This Row],[تاریخ]],2)</f>
        <v>27</v>
      </c>
      <c r="C1430" s="164" t="str">
        <f>RIGHT(LEFT(TDays[[#This Row],[تاریخ]],7),2)</f>
        <v>11</v>
      </c>
      <c r="D1430" s="164" t="str">
        <f>LEFT(TDays[[#This Row],[تاریخ]],4)</f>
        <v>1404</v>
      </c>
      <c r="E1430" s="164" t="str">
        <f>LEFT(TDays[[#This Row],[تاریخ]],7)</f>
        <v>1404-11</v>
      </c>
      <c r="F1430">
        <v>2</v>
      </c>
      <c r="G1430" s="165" t="str">
        <f>VLOOKUP(TDays[[#This Row],[کد روز هفته]],TDaysOfTheWeek[],2,FALSE)</f>
        <v>دوشنبه</v>
      </c>
      <c r="H1430" s="165">
        <f>IFERROR(IF(E1429&lt;&gt;E1430,1,INT(H1429)+IF(TDays[[#This Row],[کد روز هفته]]=0,1,0)),1)</f>
        <v>5</v>
      </c>
      <c r="I1430" s="164">
        <f>-SUMIF(TArticle[تاریخ],TDays[[#This Row],[تاریخ]],TArticle[هزینه])</f>
        <v>0</v>
      </c>
      <c r="J1430" s="164">
        <f>SUMIF(TArticle[تاریخ],TDays[[#This Row],[تاریخ]],TArticle[درآمد تتا])</f>
        <v>0</v>
      </c>
      <c r="K1430" s="164">
        <f>SUMIF(TArticle[تاریخ],TDays[[#This Row],[تاریخ]],TArticle[اسنپ])</f>
        <v>0</v>
      </c>
      <c r="L1430" s="164">
        <f>-SUMIF(TArticle[تاریخ],TDays[[#This Row],[تاریخ]],TArticle[پرداخت بدهی])</f>
        <v>0</v>
      </c>
      <c r="M1430" s="164">
        <f>SUMIF(TArticle[تاریخ],TDays[[#This Row],[تاریخ]],TArticle[افزایش بدهی])</f>
        <v>0</v>
      </c>
      <c r="N1430" s="164">
        <f>-SUMIF(TArticle[تاریخ],TDays[[#This Row],[تاریخ]],TArticle[افزایش سرمایه])</f>
        <v>0</v>
      </c>
      <c r="O1430" s="164">
        <f>SUMIF(TArticle[تاریخ],TDays[[#This Row],[تاریخ]],TArticle[تعداد تراکنش انجام شده])</f>
        <v>0</v>
      </c>
      <c r="P1430" s="164">
        <f>INT(((TDays[[#This Row],[ماه]]-1)*31+TDays[[#This Row],[روز]]+1)/7)+1</f>
        <v>49</v>
      </c>
      <c r="Q1430" s="164">
        <f>SUMIF(TArticle[تاریخ],TDays[[#This Row],[تاریخ]],TArticle[تراکنش برنامه ریزی شده])</f>
        <v>0</v>
      </c>
    </row>
    <row r="1431" spans="1:17" x14ac:dyDescent="0.25">
      <c r="A1431" s="3" t="s">
        <v>2013</v>
      </c>
      <c r="B1431" s="164" t="str">
        <f>RIGHT(TDays[[#This Row],[تاریخ]],2)</f>
        <v>28</v>
      </c>
      <c r="C1431" s="164" t="str">
        <f>RIGHT(LEFT(TDays[[#This Row],[تاریخ]],7),2)</f>
        <v>11</v>
      </c>
      <c r="D1431" s="164" t="str">
        <f>LEFT(TDays[[#This Row],[تاریخ]],4)</f>
        <v>1404</v>
      </c>
      <c r="E1431" s="164" t="str">
        <f>LEFT(TDays[[#This Row],[تاریخ]],7)</f>
        <v>1404-11</v>
      </c>
      <c r="F1431">
        <v>3</v>
      </c>
      <c r="G1431" s="165" t="str">
        <f>VLOOKUP(TDays[[#This Row],[کد روز هفته]],TDaysOfTheWeek[],2,FALSE)</f>
        <v>سه شنبه</v>
      </c>
      <c r="H1431" s="165">
        <f>IFERROR(IF(E1430&lt;&gt;E1431,1,INT(H1430)+IF(TDays[[#This Row],[کد روز هفته]]=0,1,0)),1)</f>
        <v>5</v>
      </c>
      <c r="I1431" s="164">
        <f>-SUMIF(TArticle[تاریخ],TDays[[#This Row],[تاریخ]],TArticle[هزینه])</f>
        <v>0</v>
      </c>
      <c r="J1431" s="164">
        <f>SUMIF(TArticle[تاریخ],TDays[[#This Row],[تاریخ]],TArticle[درآمد تتا])</f>
        <v>0</v>
      </c>
      <c r="K1431" s="164">
        <f>SUMIF(TArticle[تاریخ],TDays[[#This Row],[تاریخ]],TArticle[اسنپ])</f>
        <v>0</v>
      </c>
      <c r="L1431" s="164">
        <f>-SUMIF(TArticle[تاریخ],TDays[[#This Row],[تاریخ]],TArticle[پرداخت بدهی])</f>
        <v>0</v>
      </c>
      <c r="M1431" s="164">
        <f>SUMIF(TArticle[تاریخ],TDays[[#This Row],[تاریخ]],TArticle[افزایش بدهی])</f>
        <v>0</v>
      </c>
      <c r="N1431" s="164">
        <f>-SUMIF(TArticle[تاریخ],TDays[[#This Row],[تاریخ]],TArticle[افزایش سرمایه])</f>
        <v>0</v>
      </c>
      <c r="O1431" s="164">
        <f>SUMIF(TArticle[تاریخ],TDays[[#This Row],[تاریخ]],TArticle[تعداد تراکنش انجام شده])</f>
        <v>0</v>
      </c>
      <c r="P1431" s="164">
        <f>INT(((TDays[[#This Row],[ماه]]-1)*31+TDays[[#This Row],[روز]]+1)/7)+1</f>
        <v>49</v>
      </c>
      <c r="Q1431" s="164">
        <f>SUMIF(TArticle[تاریخ],TDays[[#This Row],[تاریخ]],TArticle[تراکنش برنامه ریزی شده])</f>
        <v>0</v>
      </c>
    </row>
    <row r="1432" spans="1:17" x14ac:dyDescent="0.25">
      <c r="A1432" s="3" t="s">
        <v>2014</v>
      </c>
      <c r="B1432" s="164" t="str">
        <f>RIGHT(TDays[[#This Row],[تاریخ]],2)</f>
        <v>29</v>
      </c>
      <c r="C1432" s="164" t="str">
        <f>RIGHT(LEFT(TDays[[#This Row],[تاریخ]],7),2)</f>
        <v>11</v>
      </c>
      <c r="D1432" s="164" t="str">
        <f>LEFT(TDays[[#This Row],[تاریخ]],4)</f>
        <v>1404</v>
      </c>
      <c r="E1432" s="164" t="str">
        <f>LEFT(TDays[[#This Row],[تاریخ]],7)</f>
        <v>1404-11</v>
      </c>
      <c r="F1432">
        <v>4</v>
      </c>
      <c r="G1432" s="165" t="str">
        <f>VLOOKUP(TDays[[#This Row],[کد روز هفته]],TDaysOfTheWeek[],2,FALSE)</f>
        <v>چهارشنبه</v>
      </c>
      <c r="H1432" s="165">
        <f>IFERROR(IF(E1431&lt;&gt;E1432,1,INT(H1431)+IF(TDays[[#This Row],[کد روز هفته]]=0,1,0)),1)</f>
        <v>5</v>
      </c>
      <c r="I1432" s="164">
        <f>-SUMIF(TArticle[تاریخ],TDays[[#This Row],[تاریخ]],TArticle[هزینه])</f>
        <v>0</v>
      </c>
      <c r="J1432" s="164">
        <f>SUMIF(TArticle[تاریخ],TDays[[#This Row],[تاریخ]],TArticle[درآمد تتا])</f>
        <v>0</v>
      </c>
      <c r="K1432" s="164">
        <f>SUMIF(TArticle[تاریخ],TDays[[#This Row],[تاریخ]],TArticle[اسنپ])</f>
        <v>0</v>
      </c>
      <c r="L1432" s="164">
        <f>-SUMIF(TArticle[تاریخ],TDays[[#This Row],[تاریخ]],TArticle[پرداخت بدهی])</f>
        <v>0</v>
      </c>
      <c r="M1432" s="164">
        <f>SUMIF(TArticle[تاریخ],TDays[[#This Row],[تاریخ]],TArticle[افزایش بدهی])</f>
        <v>0</v>
      </c>
      <c r="N1432" s="164">
        <f>-SUMIF(TArticle[تاریخ],TDays[[#This Row],[تاریخ]],TArticle[افزایش سرمایه])</f>
        <v>0</v>
      </c>
      <c r="O1432" s="164">
        <f>SUMIF(TArticle[تاریخ],TDays[[#This Row],[تاریخ]],TArticle[تعداد تراکنش انجام شده])</f>
        <v>0</v>
      </c>
      <c r="P1432" s="164">
        <f>INT(((TDays[[#This Row],[ماه]]-1)*31+TDays[[#This Row],[روز]]+1)/7)+1</f>
        <v>49</v>
      </c>
      <c r="Q1432" s="164">
        <f>SUMIF(TArticle[تاریخ],TDays[[#This Row],[تاریخ]],TArticle[تراکنش برنامه ریزی شده])</f>
        <v>0</v>
      </c>
    </row>
    <row r="1433" spans="1:17" x14ac:dyDescent="0.25">
      <c r="A1433" s="3" t="s">
        <v>2015</v>
      </c>
      <c r="B1433" s="164" t="str">
        <f>RIGHT(TDays[[#This Row],[تاریخ]],2)</f>
        <v>30</v>
      </c>
      <c r="C1433" s="164" t="str">
        <f>RIGHT(LEFT(TDays[[#This Row],[تاریخ]],7),2)</f>
        <v>11</v>
      </c>
      <c r="D1433" s="164" t="str">
        <f>LEFT(TDays[[#This Row],[تاریخ]],4)</f>
        <v>1404</v>
      </c>
      <c r="E1433" s="164" t="str">
        <f>LEFT(TDays[[#This Row],[تاریخ]],7)</f>
        <v>1404-11</v>
      </c>
      <c r="F1433">
        <v>5</v>
      </c>
      <c r="G1433" s="165" t="str">
        <f>VLOOKUP(TDays[[#This Row],[کد روز هفته]],TDaysOfTheWeek[],2,FALSE)</f>
        <v>پنجشنبه</v>
      </c>
      <c r="H1433" s="165">
        <f>IFERROR(IF(E1432&lt;&gt;E1433,1,INT(H1432)+IF(TDays[[#This Row],[کد روز هفته]]=0,1,0)),1)</f>
        <v>5</v>
      </c>
      <c r="I1433" s="164">
        <f>-SUMIF(TArticle[تاریخ],TDays[[#This Row],[تاریخ]],TArticle[هزینه])</f>
        <v>0</v>
      </c>
      <c r="J1433" s="164">
        <f>SUMIF(TArticle[تاریخ],TDays[[#This Row],[تاریخ]],TArticle[درآمد تتا])</f>
        <v>0</v>
      </c>
      <c r="K1433" s="164">
        <f>SUMIF(TArticle[تاریخ],TDays[[#This Row],[تاریخ]],TArticle[اسنپ])</f>
        <v>0</v>
      </c>
      <c r="L1433" s="164">
        <f>-SUMIF(TArticle[تاریخ],TDays[[#This Row],[تاریخ]],TArticle[پرداخت بدهی])</f>
        <v>0</v>
      </c>
      <c r="M1433" s="164">
        <f>SUMIF(TArticle[تاریخ],TDays[[#This Row],[تاریخ]],TArticle[افزایش بدهی])</f>
        <v>0</v>
      </c>
      <c r="N1433" s="164">
        <f>-SUMIF(TArticle[تاریخ],TDays[[#This Row],[تاریخ]],TArticle[افزایش سرمایه])</f>
        <v>0</v>
      </c>
      <c r="O1433" s="164">
        <f>SUMIF(TArticle[تاریخ],TDays[[#This Row],[تاریخ]],TArticle[تعداد تراکنش انجام شده])</f>
        <v>0</v>
      </c>
      <c r="P1433" s="164">
        <f>INT(((TDays[[#This Row],[ماه]]-1)*31+TDays[[#This Row],[روز]]+1)/7)+1</f>
        <v>49</v>
      </c>
      <c r="Q1433" s="164">
        <f>SUMIF(TArticle[تاریخ],TDays[[#This Row],[تاریخ]],TArticle[تراکنش برنامه ریزی شده])</f>
        <v>0</v>
      </c>
    </row>
    <row r="1434" spans="1:17" x14ac:dyDescent="0.25">
      <c r="A1434" s="3" t="s">
        <v>2016</v>
      </c>
      <c r="B1434" s="164" t="str">
        <f>RIGHT(TDays[[#This Row],[تاریخ]],2)</f>
        <v>01</v>
      </c>
      <c r="C1434" s="164" t="str">
        <f>RIGHT(LEFT(TDays[[#This Row],[تاریخ]],7),2)</f>
        <v>12</v>
      </c>
      <c r="D1434" s="164" t="str">
        <f>LEFT(TDays[[#This Row],[تاریخ]],4)</f>
        <v>1404</v>
      </c>
      <c r="E1434" s="164" t="str">
        <f>LEFT(TDays[[#This Row],[تاریخ]],7)</f>
        <v>1404-12</v>
      </c>
      <c r="F1434">
        <v>6</v>
      </c>
      <c r="G1434" s="165" t="str">
        <f>VLOOKUP(TDays[[#This Row],[کد روز هفته]],TDaysOfTheWeek[],2,FALSE)</f>
        <v>جمعه</v>
      </c>
      <c r="H1434" s="165">
        <f>IFERROR(IF(E1433&lt;&gt;E1434,1,INT(H1433)+IF(TDays[[#This Row],[کد روز هفته]]=0,1,0)),1)</f>
        <v>1</v>
      </c>
      <c r="I1434" s="164">
        <f>-SUMIF(TArticle[تاریخ],TDays[[#This Row],[تاریخ]],TArticle[هزینه])</f>
        <v>0</v>
      </c>
      <c r="J1434" s="164">
        <f>SUMIF(TArticle[تاریخ],TDays[[#This Row],[تاریخ]],TArticle[درآمد تتا])</f>
        <v>0</v>
      </c>
      <c r="K1434" s="164">
        <f>SUMIF(TArticle[تاریخ],TDays[[#This Row],[تاریخ]],TArticle[اسنپ])</f>
        <v>0</v>
      </c>
      <c r="L1434" s="164">
        <f>-SUMIF(TArticle[تاریخ],TDays[[#This Row],[تاریخ]],TArticle[پرداخت بدهی])</f>
        <v>0</v>
      </c>
      <c r="M1434" s="164">
        <f>SUMIF(TArticle[تاریخ],TDays[[#This Row],[تاریخ]],TArticle[افزایش بدهی])</f>
        <v>0</v>
      </c>
      <c r="N1434" s="164">
        <f>-SUMIF(TArticle[تاریخ],TDays[[#This Row],[تاریخ]],TArticle[افزایش سرمایه])</f>
        <v>0</v>
      </c>
      <c r="O1434" s="164">
        <f>SUMIF(TArticle[تاریخ],TDays[[#This Row],[تاریخ]],TArticle[تعداد تراکنش انجام شده])</f>
        <v>0</v>
      </c>
      <c r="P1434" s="164">
        <f>INT(((TDays[[#This Row],[ماه]]-1)*31+TDays[[#This Row],[روز]]+1)/7)+1</f>
        <v>50</v>
      </c>
      <c r="Q1434" s="164">
        <f>SUMIF(TArticle[تاریخ],TDays[[#This Row],[تاریخ]],TArticle[تراکنش برنامه ریزی شده])</f>
        <v>2</v>
      </c>
    </row>
    <row r="1435" spans="1:17" x14ac:dyDescent="0.25">
      <c r="A1435" s="3" t="s">
        <v>2017</v>
      </c>
      <c r="B1435" s="164" t="str">
        <f>RIGHT(TDays[[#This Row],[تاریخ]],2)</f>
        <v>02</v>
      </c>
      <c r="C1435" s="164" t="str">
        <f>RIGHT(LEFT(TDays[[#This Row],[تاریخ]],7),2)</f>
        <v>12</v>
      </c>
      <c r="D1435" s="164" t="str">
        <f>LEFT(TDays[[#This Row],[تاریخ]],4)</f>
        <v>1404</v>
      </c>
      <c r="E1435" s="164" t="str">
        <f>LEFT(TDays[[#This Row],[تاریخ]],7)</f>
        <v>1404-12</v>
      </c>
      <c r="F1435">
        <v>0</v>
      </c>
      <c r="G1435" s="165" t="str">
        <f>VLOOKUP(TDays[[#This Row],[کد روز هفته]],TDaysOfTheWeek[],2,FALSE)</f>
        <v>شنبه</v>
      </c>
      <c r="H1435" s="165">
        <f>IFERROR(IF(E1434&lt;&gt;E1435,1,INT(H1434)+IF(TDays[[#This Row],[کد روز هفته]]=0,1,0)),1)</f>
        <v>2</v>
      </c>
      <c r="I1435" s="164">
        <f>-SUMIF(TArticle[تاریخ],TDays[[#This Row],[تاریخ]],TArticle[هزینه])</f>
        <v>0</v>
      </c>
      <c r="J1435" s="164">
        <f>SUMIF(TArticle[تاریخ],TDays[[#This Row],[تاریخ]],TArticle[درآمد تتا])</f>
        <v>0</v>
      </c>
      <c r="K1435" s="164">
        <f>SUMIF(TArticle[تاریخ],TDays[[#This Row],[تاریخ]],TArticle[اسنپ])</f>
        <v>0</v>
      </c>
      <c r="L1435" s="164">
        <f>-SUMIF(TArticle[تاریخ],TDays[[#This Row],[تاریخ]],TArticle[پرداخت بدهی])</f>
        <v>0</v>
      </c>
      <c r="M1435" s="164">
        <f>SUMIF(TArticle[تاریخ],TDays[[#This Row],[تاریخ]],TArticle[افزایش بدهی])</f>
        <v>0</v>
      </c>
      <c r="N1435" s="164">
        <f>-SUMIF(TArticle[تاریخ],TDays[[#This Row],[تاریخ]],TArticle[افزایش سرمایه])</f>
        <v>0</v>
      </c>
      <c r="O1435" s="164">
        <f>SUMIF(TArticle[تاریخ],TDays[[#This Row],[تاریخ]],TArticle[تعداد تراکنش انجام شده])</f>
        <v>0</v>
      </c>
      <c r="P1435" s="164">
        <f>INT(((TDays[[#This Row],[ماه]]-1)*31+TDays[[#This Row],[روز]]+1)/7)+1</f>
        <v>50</v>
      </c>
      <c r="Q1435" s="164">
        <f>SUMIF(TArticle[تاریخ],TDays[[#This Row],[تاریخ]],TArticle[تراکنش برنامه ریزی شده])</f>
        <v>0</v>
      </c>
    </row>
    <row r="1436" spans="1:17" x14ac:dyDescent="0.25">
      <c r="A1436" s="3" t="s">
        <v>2018</v>
      </c>
      <c r="B1436" s="164" t="str">
        <f>RIGHT(TDays[[#This Row],[تاریخ]],2)</f>
        <v>03</v>
      </c>
      <c r="C1436" s="164" t="str">
        <f>RIGHT(LEFT(TDays[[#This Row],[تاریخ]],7),2)</f>
        <v>12</v>
      </c>
      <c r="D1436" s="164" t="str">
        <f>LEFT(TDays[[#This Row],[تاریخ]],4)</f>
        <v>1404</v>
      </c>
      <c r="E1436" s="164" t="str">
        <f>LEFT(TDays[[#This Row],[تاریخ]],7)</f>
        <v>1404-12</v>
      </c>
      <c r="F1436">
        <v>1</v>
      </c>
      <c r="G1436" s="165" t="str">
        <f>VLOOKUP(TDays[[#This Row],[کد روز هفته]],TDaysOfTheWeek[],2,FALSE)</f>
        <v>یکشنبه</v>
      </c>
      <c r="H1436" s="165">
        <f>IFERROR(IF(E1435&lt;&gt;E1436,1,INT(H1435)+IF(TDays[[#This Row],[کد روز هفته]]=0,1,0)),1)</f>
        <v>2</v>
      </c>
      <c r="I1436" s="164">
        <f>-SUMIF(TArticle[تاریخ],TDays[[#This Row],[تاریخ]],TArticle[هزینه])</f>
        <v>0</v>
      </c>
      <c r="J1436" s="164">
        <f>SUMIF(TArticle[تاریخ],TDays[[#This Row],[تاریخ]],TArticle[درآمد تتا])</f>
        <v>0</v>
      </c>
      <c r="K1436" s="164">
        <f>SUMIF(TArticle[تاریخ],TDays[[#This Row],[تاریخ]],TArticle[اسنپ])</f>
        <v>0</v>
      </c>
      <c r="L1436" s="164">
        <f>-SUMIF(TArticle[تاریخ],TDays[[#This Row],[تاریخ]],TArticle[پرداخت بدهی])</f>
        <v>0</v>
      </c>
      <c r="M1436" s="164">
        <f>SUMIF(TArticle[تاریخ],TDays[[#This Row],[تاریخ]],TArticle[افزایش بدهی])</f>
        <v>0</v>
      </c>
      <c r="N1436" s="164">
        <f>-SUMIF(TArticle[تاریخ],TDays[[#This Row],[تاریخ]],TArticle[افزایش سرمایه])</f>
        <v>0</v>
      </c>
      <c r="O1436" s="164">
        <f>SUMIF(TArticle[تاریخ],TDays[[#This Row],[تاریخ]],TArticle[تعداد تراکنش انجام شده])</f>
        <v>0</v>
      </c>
      <c r="P1436" s="164">
        <f>INT(((TDays[[#This Row],[ماه]]-1)*31+TDays[[#This Row],[روز]]+1)/7)+1</f>
        <v>50</v>
      </c>
      <c r="Q1436" s="164">
        <f>SUMIF(TArticle[تاریخ],TDays[[#This Row],[تاریخ]],TArticle[تراکنش برنامه ریزی شده])</f>
        <v>1</v>
      </c>
    </row>
    <row r="1437" spans="1:17" x14ac:dyDescent="0.25">
      <c r="A1437" s="3" t="s">
        <v>2019</v>
      </c>
      <c r="B1437" s="164" t="str">
        <f>RIGHT(TDays[[#This Row],[تاریخ]],2)</f>
        <v>04</v>
      </c>
      <c r="C1437" s="164" t="str">
        <f>RIGHT(LEFT(TDays[[#This Row],[تاریخ]],7),2)</f>
        <v>12</v>
      </c>
      <c r="D1437" s="164" t="str">
        <f>LEFT(TDays[[#This Row],[تاریخ]],4)</f>
        <v>1404</v>
      </c>
      <c r="E1437" s="164" t="str">
        <f>LEFT(TDays[[#This Row],[تاریخ]],7)</f>
        <v>1404-12</v>
      </c>
      <c r="F1437">
        <v>2</v>
      </c>
      <c r="G1437" s="165" t="str">
        <f>VLOOKUP(TDays[[#This Row],[کد روز هفته]],TDaysOfTheWeek[],2,FALSE)</f>
        <v>دوشنبه</v>
      </c>
      <c r="H1437" s="165">
        <f>IFERROR(IF(E1436&lt;&gt;E1437,1,INT(H1436)+IF(TDays[[#This Row],[کد روز هفته]]=0,1,0)),1)</f>
        <v>2</v>
      </c>
      <c r="I1437" s="164">
        <f>-SUMIF(TArticle[تاریخ],TDays[[#This Row],[تاریخ]],TArticle[هزینه])</f>
        <v>0</v>
      </c>
      <c r="J1437" s="164">
        <f>SUMIF(TArticle[تاریخ],TDays[[#This Row],[تاریخ]],TArticle[درآمد تتا])</f>
        <v>0</v>
      </c>
      <c r="K1437" s="164">
        <f>SUMIF(TArticle[تاریخ],TDays[[#This Row],[تاریخ]],TArticle[اسنپ])</f>
        <v>0</v>
      </c>
      <c r="L1437" s="164">
        <f>-SUMIF(TArticle[تاریخ],TDays[[#This Row],[تاریخ]],TArticle[پرداخت بدهی])</f>
        <v>0</v>
      </c>
      <c r="M1437" s="164">
        <f>SUMIF(TArticle[تاریخ],TDays[[#This Row],[تاریخ]],TArticle[افزایش بدهی])</f>
        <v>0</v>
      </c>
      <c r="N1437" s="164">
        <f>-SUMIF(TArticle[تاریخ],TDays[[#This Row],[تاریخ]],TArticle[افزایش سرمایه])</f>
        <v>0</v>
      </c>
      <c r="O1437" s="164">
        <f>SUMIF(TArticle[تاریخ],TDays[[#This Row],[تاریخ]],TArticle[تعداد تراکنش انجام شده])</f>
        <v>0</v>
      </c>
      <c r="P1437" s="164">
        <f>INT(((TDays[[#This Row],[ماه]]-1)*31+TDays[[#This Row],[روز]]+1)/7)+1</f>
        <v>50</v>
      </c>
      <c r="Q1437" s="164">
        <f>SUMIF(TArticle[تاریخ],TDays[[#This Row],[تاریخ]],TArticle[تراکنش برنامه ریزی شده])</f>
        <v>0</v>
      </c>
    </row>
    <row r="1438" spans="1:17" x14ac:dyDescent="0.25">
      <c r="A1438" s="3" t="s">
        <v>2020</v>
      </c>
      <c r="B1438" s="164" t="str">
        <f>RIGHT(TDays[[#This Row],[تاریخ]],2)</f>
        <v>05</v>
      </c>
      <c r="C1438" s="164" t="str">
        <f>RIGHT(LEFT(TDays[[#This Row],[تاریخ]],7),2)</f>
        <v>12</v>
      </c>
      <c r="D1438" s="164" t="str">
        <f>LEFT(TDays[[#This Row],[تاریخ]],4)</f>
        <v>1404</v>
      </c>
      <c r="E1438" s="164" t="str">
        <f>LEFT(TDays[[#This Row],[تاریخ]],7)</f>
        <v>1404-12</v>
      </c>
      <c r="F1438">
        <v>3</v>
      </c>
      <c r="G1438" s="165" t="str">
        <f>VLOOKUP(TDays[[#This Row],[کد روز هفته]],TDaysOfTheWeek[],2,FALSE)</f>
        <v>سه شنبه</v>
      </c>
      <c r="H1438" s="165">
        <f>IFERROR(IF(E1437&lt;&gt;E1438,1,INT(H1437)+IF(TDays[[#This Row],[کد روز هفته]]=0,1,0)),1)</f>
        <v>2</v>
      </c>
      <c r="I1438" s="164">
        <f>-SUMIF(TArticle[تاریخ],TDays[[#This Row],[تاریخ]],TArticle[هزینه])</f>
        <v>0</v>
      </c>
      <c r="J1438" s="164">
        <f>SUMIF(TArticle[تاریخ],TDays[[#This Row],[تاریخ]],TArticle[درآمد تتا])</f>
        <v>0</v>
      </c>
      <c r="K1438" s="164">
        <f>SUMIF(TArticle[تاریخ],TDays[[#This Row],[تاریخ]],TArticle[اسنپ])</f>
        <v>0</v>
      </c>
      <c r="L1438" s="164">
        <f>-SUMIF(TArticle[تاریخ],TDays[[#This Row],[تاریخ]],TArticle[پرداخت بدهی])</f>
        <v>0</v>
      </c>
      <c r="M1438" s="164">
        <f>SUMIF(TArticle[تاریخ],TDays[[#This Row],[تاریخ]],TArticle[افزایش بدهی])</f>
        <v>0</v>
      </c>
      <c r="N1438" s="164">
        <f>-SUMIF(TArticle[تاریخ],TDays[[#This Row],[تاریخ]],TArticle[افزایش سرمایه])</f>
        <v>0</v>
      </c>
      <c r="O1438" s="164">
        <f>SUMIF(TArticle[تاریخ],TDays[[#This Row],[تاریخ]],TArticle[تعداد تراکنش انجام شده])</f>
        <v>0</v>
      </c>
      <c r="P1438" s="164">
        <f>INT(((TDays[[#This Row],[ماه]]-1)*31+TDays[[#This Row],[روز]]+1)/7)+1</f>
        <v>50</v>
      </c>
      <c r="Q1438" s="164">
        <f>SUMIF(TArticle[تاریخ],TDays[[#This Row],[تاریخ]],TArticle[تراکنش برنامه ریزی شده])</f>
        <v>0</v>
      </c>
    </row>
    <row r="1439" spans="1:17" x14ac:dyDescent="0.25">
      <c r="A1439" s="3" t="s">
        <v>2021</v>
      </c>
      <c r="B1439" s="164" t="str">
        <f>RIGHT(TDays[[#This Row],[تاریخ]],2)</f>
        <v>06</v>
      </c>
      <c r="C1439" s="164" t="str">
        <f>RIGHT(LEFT(TDays[[#This Row],[تاریخ]],7),2)</f>
        <v>12</v>
      </c>
      <c r="D1439" s="164" t="str">
        <f>LEFT(TDays[[#This Row],[تاریخ]],4)</f>
        <v>1404</v>
      </c>
      <c r="E1439" s="164" t="str">
        <f>LEFT(TDays[[#This Row],[تاریخ]],7)</f>
        <v>1404-12</v>
      </c>
      <c r="F1439">
        <v>4</v>
      </c>
      <c r="G1439" s="165" t="str">
        <f>VLOOKUP(TDays[[#This Row],[کد روز هفته]],TDaysOfTheWeek[],2,FALSE)</f>
        <v>چهارشنبه</v>
      </c>
      <c r="H1439" s="165">
        <f>IFERROR(IF(E1438&lt;&gt;E1439,1,INT(H1438)+IF(TDays[[#This Row],[کد روز هفته]]=0,1,0)),1)</f>
        <v>2</v>
      </c>
      <c r="I1439" s="164">
        <f>-SUMIF(TArticle[تاریخ],TDays[[#This Row],[تاریخ]],TArticle[هزینه])</f>
        <v>0</v>
      </c>
      <c r="J1439" s="164">
        <f>SUMIF(TArticle[تاریخ],TDays[[#This Row],[تاریخ]],TArticle[درآمد تتا])</f>
        <v>0</v>
      </c>
      <c r="K1439" s="164">
        <f>SUMIF(TArticle[تاریخ],TDays[[#This Row],[تاریخ]],TArticle[اسنپ])</f>
        <v>0</v>
      </c>
      <c r="L1439" s="164">
        <f>-SUMIF(TArticle[تاریخ],TDays[[#This Row],[تاریخ]],TArticle[پرداخت بدهی])</f>
        <v>0</v>
      </c>
      <c r="M1439" s="164">
        <f>SUMIF(TArticle[تاریخ],TDays[[#This Row],[تاریخ]],TArticle[افزایش بدهی])</f>
        <v>0</v>
      </c>
      <c r="N1439" s="164">
        <f>-SUMIF(TArticle[تاریخ],TDays[[#This Row],[تاریخ]],TArticle[افزایش سرمایه])</f>
        <v>0</v>
      </c>
      <c r="O1439" s="164">
        <f>SUMIF(TArticle[تاریخ],TDays[[#This Row],[تاریخ]],TArticle[تعداد تراکنش انجام شده])</f>
        <v>0</v>
      </c>
      <c r="P1439" s="164">
        <f>INT(((TDays[[#This Row],[ماه]]-1)*31+TDays[[#This Row],[روز]]+1)/7)+1</f>
        <v>50</v>
      </c>
      <c r="Q1439" s="164">
        <f>SUMIF(TArticle[تاریخ],TDays[[#This Row],[تاریخ]],TArticle[تراکنش برنامه ریزی شده])</f>
        <v>0</v>
      </c>
    </row>
    <row r="1440" spans="1:17" x14ac:dyDescent="0.25">
      <c r="A1440" s="3" t="s">
        <v>2022</v>
      </c>
      <c r="B1440" s="164" t="str">
        <f>RIGHT(TDays[[#This Row],[تاریخ]],2)</f>
        <v>07</v>
      </c>
      <c r="C1440" s="164" t="str">
        <f>RIGHT(LEFT(TDays[[#This Row],[تاریخ]],7),2)</f>
        <v>12</v>
      </c>
      <c r="D1440" s="164" t="str">
        <f>LEFT(TDays[[#This Row],[تاریخ]],4)</f>
        <v>1404</v>
      </c>
      <c r="E1440" s="164" t="str">
        <f>LEFT(TDays[[#This Row],[تاریخ]],7)</f>
        <v>1404-12</v>
      </c>
      <c r="F1440">
        <v>5</v>
      </c>
      <c r="G1440" s="165" t="str">
        <f>VLOOKUP(TDays[[#This Row],[کد روز هفته]],TDaysOfTheWeek[],2,FALSE)</f>
        <v>پنجشنبه</v>
      </c>
      <c r="H1440" s="165">
        <f>IFERROR(IF(E1439&lt;&gt;E1440,1,INT(H1439)+IF(TDays[[#This Row],[کد روز هفته]]=0,1,0)),1)</f>
        <v>2</v>
      </c>
      <c r="I1440" s="164">
        <f>-SUMIF(TArticle[تاریخ],TDays[[#This Row],[تاریخ]],TArticle[هزینه])</f>
        <v>0</v>
      </c>
      <c r="J1440" s="164">
        <f>SUMIF(TArticle[تاریخ],TDays[[#This Row],[تاریخ]],TArticle[درآمد تتا])</f>
        <v>0</v>
      </c>
      <c r="K1440" s="164">
        <f>SUMIF(TArticle[تاریخ],TDays[[#This Row],[تاریخ]],TArticle[اسنپ])</f>
        <v>0</v>
      </c>
      <c r="L1440" s="164">
        <f>-SUMIF(TArticle[تاریخ],TDays[[#This Row],[تاریخ]],TArticle[پرداخت بدهی])</f>
        <v>0</v>
      </c>
      <c r="M1440" s="164">
        <f>SUMIF(TArticle[تاریخ],TDays[[#This Row],[تاریخ]],TArticle[افزایش بدهی])</f>
        <v>0</v>
      </c>
      <c r="N1440" s="164">
        <f>-SUMIF(TArticle[تاریخ],TDays[[#This Row],[تاریخ]],TArticle[افزایش سرمایه])</f>
        <v>0</v>
      </c>
      <c r="O1440" s="164">
        <f>SUMIF(TArticle[تاریخ],TDays[[#This Row],[تاریخ]],TArticle[تعداد تراکنش انجام شده])</f>
        <v>0</v>
      </c>
      <c r="P1440" s="164">
        <f>INT(((TDays[[#This Row],[ماه]]-1)*31+TDays[[#This Row],[روز]]+1)/7)+1</f>
        <v>50</v>
      </c>
      <c r="Q1440" s="164">
        <f>SUMIF(TArticle[تاریخ],TDays[[#This Row],[تاریخ]],TArticle[تراکنش برنامه ریزی شده])</f>
        <v>0</v>
      </c>
    </row>
    <row r="1441" spans="1:17" x14ac:dyDescent="0.25">
      <c r="A1441" s="3" t="s">
        <v>2023</v>
      </c>
      <c r="B1441" s="164" t="str">
        <f>RIGHT(TDays[[#This Row],[تاریخ]],2)</f>
        <v>08</v>
      </c>
      <c r="C1441" s="164" t="str">
        <f>RIGHT(LEFT(TDays[[#This Row],[تاریخ]],7),2)</f>
        <v>12</v>
      </c>
      <c r="D1441" s="164" t="str">
        <f>LEFT(TDays[[#This Row],[تاریخ]],4)</f>
        <v>1404</v>
      </c>
      <c r="E1441" s="164" t="str">
        <f>LEFT(TDays[[#This Row],[تاریخ]],7)</f>
        <v>1404-12</v>
      </c>
      <c r="F1441">
        <v>6</v>
      </c>
      <c r="G1441" s="165" t="str">
        <f>VLOOKUP(TDays[[#This Row],[کد روز هفته]],TDaysOfTheWeek[],2,FALSE)</f>
        <v>جمعه</v>
      </c>
      <c r="H1441" s="165">
        <f>IFERROR(IF(E1440&lt;&gt;E1441,1,INT(H1440)+IF(TDays[[#This Row],[کد روز هفته]]=0,1,0)),1)</f>
        <v>2</v>
      </c>
      <c r="I1441" s="164">
        <f>-SUMIF(TArticle[تاریخ],TDays[[#This Row],[تاریخ]],TArticle[هزینه])</f>
        <v>0</v>
      </c>
      <c r="J1441" s="164">
        <f>SUMIF(TArticle[تاریخ],TDays[[#This Row],[تاریخ]],TArticle[درآمد تتا])</f>
        <v>0</v>
      </c>
      <c r="K1441" s="164">
        <f>SUMIF(TArticle[تاریخ],TDays[[#This Row],[تاریخ]],TArticle[اسنپ])</f>
        <v>0</v>
      </c>
      <c r="L1441" s="164">
        <f>-SUMIF(TArticle[تاریخ],TDays[[#This Row],[تاریخ]],TArticle[پرداخت بدهی])</f>
        <v>0</v>
      </c>
      <c r="M1441" s="164">
        <f>SUMIF(TArticle[تاریخ],TDays[[#This Row],[تاریخ]],TArticle[افزایش بدهی])</f>
        <v>0</v>
      </c>
      <c r="N1441" s="164">
        <f>-SUMIF(TArticle[تاریخ],TDays[[#This Row],[تاریخ]],TArticle[افزایش سرمایه])</f>
        <v>0</v>
      </c>
      <c r="O1441" s="164">
        <f>SUMIF(TArticle[تاریخ],TDays[[#This Row],[تاریخ]],TArticle[تعداد تراکنش انجام شده])</f>
        <v>0</v>
      </c>
      <c r="P1441" s="164">
        <f>INT(((TDays[[#This Row],[ماه]]-1)*31+TDays[[#This Row],[روز]]+1)/7)+1</f>
        <v>51</v>
      </c>
      <c r="Q1441" s="164">
        <f>SUMIF(TArticle[تاریخ],TDays[[#This Row],[تاریخ]],TArticle[تراکنش برنامه ریزی شده])</f>
        <v>0</v>
      </c>
    </row>
    <row r="1442" spans="1:17" x14ac:dyDescent="0.25">
      <c r="A1442" s="3" t="s">
        <v>2024</v>
      </c>
      <c r="B1442" s="164" t="str">
        <f>RIGHT(TDays[[#This Row],[تاریخ]],2)</f>
        <v>09</v>
      </c>
      <c r="C1442" s="164" t="str">
        <f>RIGHT(LEFT(TDays[[#This Row],[تاریخ]],7),2)</f>
        <v>12</v>
      </c>
      <c r="D1442" s="164" t="str">
        <f>LEFT(TDays[[#This Row],[تاریخ]],4)</f>
        <v>1404</v>
      </c>
      <c r="E1442" s="164" t="str">
        <f>LEFT(TDays[[#This Row],[تاریخ]],7)</f>
        <v>1404-12</v>
      </c>
      <c r="F1442">
        <v>0</v>
      </c>
      <c r="G1442" s="165" t="str">
        <f>VLOOKUP(TDays[[#This Row],[کد روز هفته]],TDaysOfTheWeek[],2,FALSE)</f>
        <v>شنبه</v>
      </c>
      <c r="H1442" s="165">
        <f>IFERROR(IF(E1441&lt;&gt;E1442,1,INT(H1441)+IF(TDays[[#This Row],[کد روز هفته]]=0,1,0)),1)</f>
        <v>3</v>
      </c>
      <c r="I1442" s="164">
        <f>-SUMIF(TArticle[تاریخ],TDays[[#This Row],[تاریخ]],TArticle[هزینه])</f>
        <v>0</v>
      </c>
      <c r="J1442" s="164">
        <f>SUMIF(TArticle[تاریخ],TDays[[#This Row],[تاریخ]],TArticle[درآمد تتا])</f>
        <v>0</v>
      </c>
      <c r="K1442" s="164">
        <f>SUMIF(TArticle[تاریخ],TDays[[#This Row],[تاریخ]],TArticle[اسنپ])</f>
        <v>0</v>
      </c>
      <c r="L1442" s="164">
        <f>-SUMIF(TArticle[تاریخ],TDays[[#This Row],[تاریخ]],TArticle[پرداخت بدهی])</f>
        <v>0</v>
      </c>
      <c r="M1442" s="164">
        <f>SUMIF(TArticle[تاریخ],TDays[[#This Row],[تاریخ]],TArticle[افزایش بدهی])</f>
        <v>0</v>
      </c>
      <c r="N1442" s="164">
        <f>-SUMIF(TArticle[تاریخ],TDays[[#This Row],[تاریخ]],TArticle[افزایش سرمایه])</f>
        <v>0</v>
      </c>
      <c r="O1442" s="164">
        <f>SUMIF(TArticle[تاریخ],TDays[[#This Row],[تاریخ]],TArticle[تعداد تراکنش انجام شده])</f>
        <v>0</v>
      </c>
      <c r="P1442" s="164">
        <f>INT(((TDays[[#This Row],[ماه]]-1)*31+TDays[[#This Row],[روز]]+1)/7)+1</f>
        <v>51</v>
      </c>
      <c r="Q1442" s="164">
        <f>SUMIF(TArticle[تاریخ],TDays[[#This Row],[تاریخ]],TArticle[تراکنش برنامه ریزی شده])</f>
        <v>0</v>
      </c>
    </row>
    <row r="1443" spans="1:17" x14ac:dyDescent="0.25">
      <c r="A1443" s="3" t="s">
        <v>2025</v>
      </c>
      <c r="B1443" s="164" t="str">
        <f>RIGHT(TDays[[#This Row],[تاریخ]],2)</f>
        <v>10</v>
      </c>
      <c r="C1443" s="164" t="str">
        <f>RIGHT(LEFT(TDays[[#This Row],[تاریخ]],7),2)</f>
        <v>12</v>
      </c>
      <c r="D1443" s="164" t="str">
        <f>LEFT(TDays[[#This Row],[تاریخ]],4)</f>
        <v>1404</v>
      </c>
      <c r="E1443" s="164" t="str">
        <f>LEFT(TDays[[#This Row],[تاریخ]],7)</f>
        <v>1404-12</v>
      </c>
      <c r="F1443">
        <v>1</v>
      </c>
      <c r="G1443" s="165" t="str">
        <f>VLOOKUP(TDays[[#This Row],[کد روز هفته]],TDaysOfTheWeek[],2,FALSE)</f>
        <v>یکشنبه</v>
      </c>
      <c r="H1443" s="165">
        <f>IFERROR(IF(E1442&lt;&gt;E1443,1,INT(H1442)+IF(TDays[[#This Row],[کد روز هفته]]=0,1,0)),1)</f>
        <v>3</v>
      </c>
      <c r="I1443" s="164">
        <f>-SUMIF(TArticle[تاریخ],TDays[[#This Row],[تاریخ]],TArticle[هزینه])</f>
        <v>0</v>
      </c>
      <c r="J1443" s="164">
        <f>SUMIF(TArticle[تاریخ],TDays[[#This Row],[تاریخ]],TArticle[درآمد تتا])</f>
        <v>0</v>
      </c>
      <c r="K1443" s="164">
        <f>SUMIF(TArticle[تاریخ],TDays[[#This Row],[تاریخ]],TArticle[اسنپ])</f>
        <v>0</v>
      </c>
      <c r="L1443" s="164">
        <f>-SUMIF(TArticle[تاریخ],TDays[[#This Row],[تاریخ]],TArticle[پرداخت بدهی])</f>
        <v>0</v>
      </c>
      <c r="M1443" s="164">
        <f>SUMIF(TArticle[تاریخ],TDays[[#This Row],[تاریخ]],TArticle[افزایش بدهی])</f>
        <v>0</v>
      </c>
      <c r="N1443" s="164">
        <f>-SUMIF(TArticle[تاریخ],TDays[[#This Row],[تاریخ]],TArticle[افزایش سرمایه])</f>
        <v>0</v>
      </c>
      <c r="O1443" s="164">
        <f>SUMIF(TArticle[تاریخ],TDays[[#This Row],[تاریخ]],TArticle[تعداد تراکنش انجام شده])</f>
        <v>0</v>
      </c>
      <c r="P1443" s="164">
        <f>INT(((TDays[[#This Row],[ماه]]-1)*31+TDays[[#This Row],[روز]]+1)/7)+1</f>
        <v>51</v>
      </c>
      <c r="Q1443" s="164">
        <f>SUMIF(TArticle[تاریخ],TDays[[#This Row],[تاریخ]],TArticle[تراکنش برنامه ریزی شده])</f>
        <v>0</v>
      </c>
    </row>
    <row r="1444" spans="1:17" x14ac:dyDescent="0.25">
      <c r="A1444" s="3" t="s">
        <v>2026</v>
      </c>
      <c r="B1444" s="164" t="str">
        <f>RIGHT(TDays[[#This Row],[تاریخ]],2)</f>
        <v>11</v>
      </c>
      <c r="C1444" s="164" t="str">
        <f>RIGHT(LEFT(TDays[[#This Row],[تاریخ]],7),2)</f>
        <v>12</v>
      </c>
      <c r="D1444" s="164" t="str">
        <f>LEFT(TDays[[#This Row],[تاریخ]],4)</f>
        <v>1404</v>
      </c>
      <c r="E1444" s="164" t="str">
        <f>LEFT(TDays[[#This Row],[تاریخ]],7)</f>
        <v>1404-12</v>
      </c>
      <c r="F1444">
        <v>2</v>
      </c>
      <c r="G1444" s="165" t="str">
        <f>VLOOKUP(TDays[[#This Row],[کد روز هفته]],TDaysOfTheWeek[],2,FALSE)</f>
        <v>دوشنبه</v>
      </c>
      <c r="H1444" s="165">
        <f>IFERROR(IF(E1443&lt;&gt;E1444,1,INT(H1443)+IF(TDays[[#This Row],[کد روز هفته]]=0,1,0)),1)</f>
        <v>3</v>
      </c>
      <c r="I1444" s="164">
        <f>-SUMIF(TArticle[تاریخ],TDays[[#This Row],[تاریخ]],TArticle[هزینه])</f>
        <v>0</v>
      </c>
      <c r="J1444" s="164">
        <f>SUMIF(TArticle[تاریخ],TDays[[#This Row],[تاریخ]],TArticle[درآمد تتا])</f>
        <v>0</v>
      </c>
      <c r="K1444" s="164">
        <f>SUMIF(TArticle[تاریخ],TDays[[#This Row],[تاریخ]],TArticle[اسنپ])</f>
        <v>0</v>
      </c>
      <c r="L1444" s="164">
        <f>-SUMIF(TArticle[تاریخ],TDays[[#This Row],[تاریخ]],TArticle[پرداخت بدهی])</f>
        <v>0</v>
      </c>
      <c r="M1444" s="164">
        <f>SUMIF(TArticle[تاریخ],TDays[[#This Row],[تاریخ]],TArticle[افزایش بدهی])</f>
        <v>0</v>
      </c>
      <c r="N1444" s="164">
        <f>-SUMIF(TArticle[تاریخ],TDays[[#This Row],[تاریخ]],TArticle[افزایش سرمایه])</f>
        <v>0</v>
      </c>
      <c r="O1444" s="164">
        <f>SUMIF(TArticle[تاریخ],TDays[[#This Row],[تاریخ]],TArticle[تعداد تراکنش انجام شده])</f>
        <v>0</v>
      </c>
      <c r="P1444" s="164">
        <f>INT(((TDays[[#This Row],[ماه]]-1)*31+TDays[[#This Row],[روز]]+1)/7)+1</f>
        <v>51</v>
      </c>
      <c r="Q1444" s="164">
        <f>SUMIF(TArticle[تاریخ],TDays[[#This Row],[تاریخ]],TArticle[تراکنش برنامه ریزی شده])</f>
        <v>0</v>
      </c>
    </row>
    <row r="1445" spans="1:17" x14ac:dyDescent="0.25">
      <c r="A1445" s="3" t="s">
        <v>2027</v>
      </c>
      <c r="B1445" s="164" t="str">
        <f>RIGHT(TDays[[#This Row],[تاریخ]],2)</f>
        <v>12</v>
      </c>
      <c r="C1445" s="164" t="str">
        <f>RIGHT(LEFT(TDays[[#This Row],[تاریخ]],7),2)</f>
        <v>12</v>
      </c>
      <c r="D1445" s="164" t="str">
        <f>LEFT(TDays[[#This Row],[تاریخ]],4)</f>
        <v>1404</v>
      </c>
      <c r="E1445" s="164" t="str">
        <f>LEFT(TDays[[#This Row],[تاریخ]],7)</f>
        <v>1404-12</v>
      </c>
      <c r="F1445">
        <v>3</v>
      </c>
      <c r="G1445" s="165" t="str">
        <f>VLOOKUP(TDays[[#This Row],[کد روز هفته]],TDaysOfTheWeek[],2,FALSE)</f>
        <v>سه شنبه</v>
      </c>
      <c r="H1445" s="165">
        <f>IFERROR(IF(E1444&lt;&gt;E1445,1,INT(H1444)+IF(TDays[[#This Row],[کد روز هفته]]=0,1,0)),1)</f>
        <v>3</v>
      </c>
      <c r="I1445" s="164">
        <f>-SUMIF(TArticle[تاریخ],TDays[[#This Row],[تاریخ]],TArticle[هزینه])</f>
        <v>0</v>
      </c>
      <c r="J1445" s="164">
        <f>SUMIF(TArticle[تاریخ],TDays[[#This Row],[تاریخ]],TArticle[درآمد تتا])</f>
        <v>0</v>
      </c>
      <c r="K1445" s="164">
        <f>SUMIF(TArticle[تاریخ],TDays[[#This Row],[تاریخ]],TArticle[اسنپ])</f>
        <v>0</v>
      </c>
      <c r="L1445" s="164">
        <f>-SUMIF(TArticle[تاریخ],TDays[[#This Row],[تاریخ]],TArticle[پرداخت بدهی])</f>
        <v>0</v>
      </c>
      <c r="M1445" s="164">
        <f>SUMIF(TArticle[تاریخ],TDays[[#This Row],[تاریخ]],TArticle[افزایش بدهی])</f>
        <v>0</v>
      </c>
      <c r="N1445" s="164">
        <f>-SUMIF(TArticle[تاریخ],TDays[[#This Row],[تاریخ]],TArticle[افزایش سرمایه])</f>
        <v>0</v>
      </c>
      <c r="O1445" s="164">
        <f>SUMIF(TArticle[تاریخ],TDays[[#This Row],[تاریخ]],TArticle[تعداد تراکنش انجام شده])</f>
        <v>0</v>
      </c>
      <c r="P1445" s="164">
        <f>INT(((TDays[[#This Row],[ماه]]-1)*31+TDays[[#This Row],[روز]]+1)/7)+1</f>
        <v>51</v>
      </c>
      <c r="Q1445" s="164">
        <f>SUMIF(TArticle[تاریخ],TDays[[#This Row],[تاریخ]],TArticle[تراکنش برنامه ریزی شده])</f>
        <v>0</v>
      </c>
    </row>
    <row r="1446" spans="1:17" x14ac:dyDescent="0.25">
      <c r="A1446" s="3" t="s">
        <v>2028</v>
      </c>
      <c r="B1446" s="164" t="str">
        <f>RIGHT(TDays[[#This Row],[تاریخ]],2)</f>
        <v>13</v>
      </c>
      <c r="C1446" s="164" t="str">
        <f>RIGHT(LEFT(TDays[[#This Row],[تاریخ]],7),2)</f>
        <v>12</v>
      </c>
      <c r="D1446" s="164" t="str">
        <f>LEFT(TDays[[#This Row],[تاریخ]],4)</f>
        <v>1404</v>
      </c>
      <c r="E1446" s="164" t="str">
        <f>LEFT(TDays[[#This Row],[تاریخ]],7)</f>
        <v>1404-12</v>
      </c>
      <c r="F1446">
        <v>4</v>
      </c>
      <c r="G1446" s="165" t="str">
        <f>VLOOKUP(TDays[[#This Row],[کد روز هفته]],TDaysOfTheWeek[],2,FALSE)</f>
        <v>چهارشنبه</v>
      </c>
      <c r="H1446" s="165">
        <f>IFERROR(IF(E1445&lt;&gt;E1446,1,INT(H1445)+IF(TDays[[#This Row],[کد روز هفته]]=0,1,0)),1)</f>
        <v>3</v>
      </c>
      <c r="I1446" s="164">
        <f>-SUMIF(TArticle[تاریخ],TDays[[#This Row],[تاریخ]],TArticle[هزینه])</f>
        <v>0</v>
      </c>
      <c r="J1446" s="164">
        <f>SUMIF(TArticle[تاریخ],TDays[[#This Row],[تاریخ]],TArticle[درآمد تتا])</f>
        <v>0</v>
      </c>
      <c r="K1446" s="164">
        <f>SUMIF(TArticle[تاریخ],TDays[[#This Row],[تاریخ]],TArticle[اسنپ])</f>
        <v>0</v>
      </c>
      <c r="L1446" s="164">
        <f>-SUMIF(TArticle[تاریخ],TDays[[#This Row],[تاریخ]],TArticle[پرداخت بدهی])</f>
        <v>0</v>
      </c>
      <c r="M1446" s="164">
        <f>SUMIF(TArticle[تاریخ],TDays[[#This Row],[تاریخ]],TArticle[افزایش بدهی])</f>
        <v>0</v>
      </c>
      <c r="N1446" s="164">
        <f>-SUMIF(TArticle[تاریخ],TDays[[#This Row],[تاریخ]],TArticle[افزایش سرمایه])</f>
        <v>0</v>
      </c>
      <c r="O1446" s="164">
        <f>SUMIF(TArticle[تاریخ],TDays[[#This Row],[تاریخ]],TArticle[تعداد تراکنش انجام شده])</f>
        <v>0</v>
      </c>
      <c r="P1446" s="164">
        <f>INT(((TDays[[#This Row],[ماه]]-1)*31+TDays[[#This Row],[روز]]+1)/7)+1</f>
        <v>51</v>
      </c>
      <c r="Q1446" s="164">
        <f>SUMIF(TArticle[تاریخ],TDays[[#This Row],[تاریخ]],TArticle[تراکنش برنامه ریزی شده])</f>
        <v>0</v>
      </c>
    </row>
    <row r="1447" spans="1:17" x14ac:dyDescent="0.25">
      <c r="A1447" s="3" t="s">
        <v>2029</v>
      </c>
      <c r="B1447" s="164" t="str">
        <f>RIGHT(TDays[[#This Row],[تاریخ]],2)</f>
        <v>14</v>
      </c>
      <c r="C1447" s="164" t="str">
        <f>RIGHT(LEFT(TDays[[#This Row],[تاریخ]],7),2)</f>
        <v>12</v>
      </c>
      <c r="D1447" s="164" t="str">
        <f>LEFT(TDays[[#This Row],[تاریخ]],4)</f>
        <v>1404</v>
      </c>
      <c r="E1447" s="164" t="str">
        <f>LEFT(TDays[[#This Row],[تاریخ]],7)</f>
        <v>1404-12</v>
      </c>
      <c r="F1447">
        <v>5</v>
      </c>
      <c r="G1447" s="165" t="str">
        <f>VLOOKUP(TDays[[#This Row],[کد روز هفته]],TDaysOfTheWeek[],2,FALSE)</f>
        <v>پنجشنبه</v>
      </c>
      <c r="H1447" s="165">
        <f>IFERROR(IF(E1446&lt;&gt;E1447,1,INT(H1446)+IF(TDays[[#This Row],[کد روز هفته]]=0,1,0)),1)</f>
        <v>3</v>
      </c>
      <c r="I1447" s="164">
        <f>-SUMIF(TArticle[تاریخ],TDays[[#This Row],[تاریخ]],TArticle[هزینه])</f>
        <v>0</v>
      </c>
      <c r="J1447" s="164">
        <f>SUMIF(TArticle[تاریخ],TDays[[#This Row],[تاریخ]],TArticle[درآمد تتا])</f>
        <v>0</v>
      </c>
      <c r="K1447" s="164">
        <f>SUMIF(TArticle[تاریخ],TDays[[#This Row],[تاریخ]],TArticle[اسنپ])</f>
        <v>0</v>
      </c>
      <c r="L1447" s="164">
        <f>-SUMIF(TArticle[تاریخ],TDays[[#This Row],[تاریخ]],TArticle[پرداخت بدهی])</f>
        <v>0</v>
      </c>
      <c r="M1447" s="164">
        <f>SUMIF(TArticle[تاریخ],TDays[[#This Row],[تاریخ]],TArticle[افزایش بدهی])</f>
        <v>0</v>
      </c>
      <c r="N1447" s="164">
        <f>-SUMIF(TArticle[تاریخ],TDays[[#This Row],[تاریخ]],TArticle[افزایش سرمایه])</f>
        <v>0</v>
      </c>
      <c r="O1447" s="164">
        <f>SUMIF(TArticle[تاریخ],TDays[[#This Row],[تاریخ]],TArticle[تعداد تراکنش انجام شده])</f>
        <v>0</v>
      </c>
      <c r="P1447" s="164">
        <f>INT(((TDays[[#This Row],[ماه]]-1)*31+TDays[[#This Row],[روز]]+1)/7)+1</f>
        <v>51</v>
      </c>
      <c r="Q1447" s="164">
        <f>SUMIF(TArticle[تاریخ],TDays[[#This Row],[تاریخ]],TArticle[تراکنش برنامه ریزی شده])</f>
        <v>0</v>
      </c>
    </row>
    <row r="1448" spans="1:17" x14ac:dyDescent="0.25">
      <c r="A1448" s="3" t="s">
        <v>2030</v>
      </c>
      <c r="B1448" s="164" t="str">
        <f>RIGHT(TDays[[#This Row],[تاریخ]],2)</f>
        <v>15</v>
      </c>
      <c r="C1448" s="164" t="str">
        <f>RIGHT(LEFT(TDays[[#This Row],[تاریخ]],7),2)</f>
        <v>12</v>
      </c>
      <c r="D1448" s="164" t="str">
        <f>LEFT(TDays[[#This Row],[تاریخ]],4)</f>
        <v>1404</v>
      </c>
      <c r="E1448" s="164" t="str">
        <f>LEFT(TDays[[#This Row],[تاریخ]],7)</f>
        <v>1404-12</v>
      </c>
      <c r="F1448">
        <v>6</v>
      </c>
      <c r="G1448" s="165" t="str">
        <f>VLOOKUP(TDays[[#This Row],[کد روز هفته]],TDaysOfTheWeek[],2,FALSE)</f>
        <v>جمعه</v>
      </c>
      <c r="H1448" s="165">
        <f>IFERROR(IF(E1447&lt;&gt;E1448,1,INT(H1447)+IF(TDays[[#This Row],[کد روز هفته]]=0,1,0)),1)</f>
        <v>3</v>
      </c>
      <c r="I1448" s="164">
        <f>-SUMIF(TArticle[تاریخ],TDays[[#This Row],[تاریخ]],TArticle[هزینه])</f>
        <v>0</v>
      </c>
      <c r="J1448" s="164">
        <f>SUMIF(TArticle[تاریخ],TDays[[#This Row],[تاریخ]],TArticle[درآمد تتا])</f>
        <v>0</v>
      </c>
      <c r="K1448" s="164">
        <f>SUMIF(TArticle[تاریخ],TDays[[#This Row],[تاریخ]],TArticle[اسنپ])</f>
        <v>0</v>
      </c>
      <c r="L1448" s="164">
        <f>-SUMIF(TArticle[تاریخ],TDays[[#This Row],[تاریخ]],TArticle[پرداخت بدهی])</f>
        <v>0</v>
      </c>
      <c r="M1448" s="164">
        <f>SUMIF(TArticle[تاریخ],TDays[[#This Row],[تاریخ]],TArticle[افزایش بدهی])</f>
        <v>0</v>
      </c>
      <c r="N1448" s="164">
        <f>-SUMIF(TArticle[تاریخ],TDays[[#This Row],[تاریخ]],TArticle[افزایش سرمایه])</f>
        <v>0</v>
      </c>
      <c r="O1448" s="164">
        <f>SUMIF(TArticle[تاریخ],TDays[[#This Row],[تاریخ]],TArticle[تعداد تراکنش انجام شده])</f>
        <v>0</v>
      </c>
      <c r="P1448" s="164">
        <f>INT(((TDays[[#This Row],[ماه]]-1)*31+TDays[[#This Row],[روز]]+1)/7)+1</f>
        <v>52</v>
      </c>
      <c r="Q1448" s="164">
        <f>SUMIF(TArticle[تاریخ],TDays[[#This Row],[تاریخ]],TArticle[تراکنش برنامه ریزی شده])</f>
        <v>0</v>
      </c>
    </row>
    <row r="1449" spans="1:17" x14ac:dyDescent="0.25">
      <c r="A1449" s="3" t="s">
        <v>2031</v>
      </c>
      <c r="B1449" s="164" t="str">
        <f>RIGHT(TDays[[#This Row],[تاریخ]],2)</f>
        <v>16</v>
      </c>
      <c r="C1449" s="164" t="str">
        <f>RIGHT(LEFT(TDays[[#This Row],[تاریخ]],7),2)</f>
        <v>12</v>
      </c>
      <c r="D1449" s="164" t="str">
        <f>LEFT(TDays[[#This Row],[تاریخ]],4)</f>
        <v>1404</v>
      </c>
      <c r="E1449" s="164" t="str">
        <f>LEFT(TDays[[#This Row],[تاریخ]],7)</f>
        <v>1404-12</v>
      </c>
      <c r="F1449">
        <v>0</v>
      </c>
      <c r="G1449" s="165" t="str">
        <f>VLOOKUP(TDays[[#This Row],[کد روز هفته]],TDaysOfTheWeek[],2,FALSE)</f>
        <v>شنبه</v>
      </c>
      <c r="H1449" s="165">
        <f>IFERROR(IF(E1448&lt;&gt;E1449,1,INT(H1448)+IF(TDays[[#This Row],[کد روز هفته]]=0,1,0)),1)</f>
        <v>4</v>
      </c>
      <c r="I1449" s="164">
        <f>-SUMIF(TArticle[تاریخ],TDays[[#This Row],[تاریخ]],TArticle[هزینه])</f>
        <v>0</v>
      </c>
      <c r="J1449" s="164">
        <f>SUMIF(TArticle[تاریخ],TDays[[#This Row],[تاریخ]],TArticle[درآمد تتا])</f>
        <v>0</v>
      </c>
      <c r="K1449" s="164">
        <f>SUMIF(TArticle[تاریخ],TDays[[#This Row],[تاریخ]],TArticle[اسنپ])</f>
        <v>0</v>
      </c>
      <c r="L1449" s="164">
        <f>-SUMIF(TArticle[تاریخ],TDays[[#This Row],[تاریخ]],TArticle[پرداخت بدهی])</f>
        <v>0</v>
      </c>
      <c r="M1449" s="164">
        <f>SUMIF(TArticle[تاریخ],TDays[[#This Row],[تاریخ]],TArticle[افزایش بدهی])</f>
        <v>0</v>
      </c>
      <c r="N1449" s="164">
        <f>-SUMIF(TArticle[تاریخ],TDays[[#This Row],[تاریخ]],TArticle[افزایش سرمایه])</f>
        <v>0</v>
      </c>
      <c r="O1449" s="164">
        <f>SUMIF(TArticle[تاریخ],TDays[[#This Row],[تاریخ]],TArticle[تعداد تراکنش انجام شده])</f>
        <v>0</v>
      </c>
      <c r="P1449" s="164">
        <f>INT(((TDays[[#This Row],[ماه]]-1)*31+TDays[[#This Row],[روز]]+1)/7)+1</f>
        <v>52</v>
      </c>
      <c r="Q1449" s="164">
        <f>SUMIF(TArticle[تاریخ],TDays[[#This Row],[تاریخ]],TArticle[تراکنش برنامه ریزی شده])</f>
        <v>0</v>
      </c>
    </row>
    <row r="1450" spans="1:17" x14ac:dyDescent="0.25">
      <c r="A1450" s="3" t="s">
        <v>2032</v>
      </c>
      <c r="B1450" s="164" t="str">
        <f>RIGHT(TDays[[#This Row],[تاریخ]],2)</f>
        <v>17</v>
      </c>
      <c r="C1450" s="164" t="str">
        <f>RIGHT(LEFT(TDays[[#This Row],[تاریخ]],7),2)</f>
        <v>12</v>
      </c>
      <c r="D1450" s="164" t="str">
        <f>LEFT(TDays[[#This Row],[تاریخ]],4)</f>
        <v>1404</v>
      </c>
      <c r="E1450" s="164" t="str">
        <f>LEFT(TDays[[#This Row],[تاریخ]],7)</f>
        <v>1404-12</v>
      </c>
      <c r="F1450">
        <v>1</v>
      </c>
      <c r="G1450" s="165" t="str">
        <f>VLOOKUP(TDays[[#This Row],[کد روز هفته]],TDaysOfTheWeek[],2,FALSE)</f>
        <v>یکشنبه</v>
      </c>
      <c r="H1450" s="165">
        <f>IFERROR(IF(E1449&lt;&gt;E1450,1,INT(H1449)+IF(TDays[[#This Row],[کد روز هفته]]=0,1,0)),1)</f>
        <v>4</v>
      </c>
      <c r="I1450" s="164">
        <f>-SUMIF(TArticle[تاریخ],TDays[[#This Row],[تاریخ]],TArticle[هزینه])</f>
        <v>0</v>
      </c>
      <c r="J1450" s="164">
        <f>SUMIF(TArticle[تاریخ],TDays[[#This Row],[تاریخ]],TArticle[درآمد تتا])</f>
        <v>0</v>
      </c>
      <c r="K1450" s="164">
        <f>SUMIF(TArticle[تاریخ],TDays[[#This Row],[تاریخ]],TArticle[اسنپ])</f>
        <v>0</v>
      </c>
      <c r="L1450" s="164">
        <f>-SUMIF(TArticle[تاریخ],TDays[[#This Row],[تاریخ]],TArticle[پرداخت بدهی])</f>
        <v>0</v>
      </c>
      <c r="M1450" s="164">
        <f>SUMIF(TArticle[تاریخ],TDays[[#This Row],[تاریخ]],TArticle[افزایش بدهی])</f>
        <v>0</v>
      </c>
      <c r="N1450" s="164">
        <f>-SUMIF(TArticle[تاریخ],TDays[[#This Row],[تاریخ]],TArticle[افزایش سرمایه])</f>
        <v>0</v>
      </c>
      <c r="O1450" s="164">
        <f>SUMIF(TArticle[تاریخ],TDays[[#This Row],[تاریخ]],TArticle[تعداد تراکنش انجام شده])</f>
        <v>0</v>
      </c>
      <c r="P1450" s="164">
        <f>INT(((TDays[[#This Row],[ماه]]-1)*31+TDays[[#This Row],[روز]]+1)/7)+1</f>
        <v>52</v>
      </c>
      <c r="Q1450" s="164">
        <f>SUMIF(TArticle[تاریخ],TDays[[#This Row],[تاریخ]],TArticle[تراکنش برنامه ریزی شده])</f>
        <v>0</v>
      </c>
    </row>
    <row r="1451" spans="1:17" x14ac:dyDescent="0.25">
      <c r="A1451" s="3" t="s">
        <v>2033</v>
      </c>
      <c r="B1451" s="164" t="str">
        <f>RIGHT(TDays[[#This Row],[تاریخ]],2)</f>
        <v>18</v>
      </c>
      <c r="C1451" s="164" t="str">
        <f>RIGHT(LEFT(TDays[[#This Row],[تاریخ]],7),2)</f>
        <v>12</v>
      </c>
      <c r="D1451" s="164" t="str">
        <f>LEFT(TDays[[#This Row],[تاریخ]],4)</f>
        <v>1404</v>
      </c>
      <c r="E1451" s="164" t="str">
        <f>LEFT(TDays[[#This Row],[تاریخ]],7)</f>
        <v>1404-12</v>
      </c>
      <c r="F1451">
        <v>2</v>
      </c>
      <c r="G1451" s="165" t="str">
        <f>VLOOKUP(TDays[[#This Row],[کد روز هفته]],TDaysOfTheWeek[],2,FALSE)</f>
        <v>دوشنبه</v>
      </c>
      <c r="H1451" s="165">
        <f>IFERROR(IF(E1450&lt;&gt;E1451,1,INT(H1450)+IF(TDays[[#This Row],[کد روز هفته]]=0,1,0)),1)</f>
        <v>4</v>
      </c>
      <c r="I1451" s="164">
        <f>-SUMIF(TArticle[تاریخ],TDays[[#This Row],[تاریخ]],TArticle[هزینه])</f>
        <v>0</v>
      </c>
      <c r="J1451" s="164">
        <f>SUMIF(TArticle[تاریخ],TDays[[#This Row],[تاریخ]],TArticle[درآمد تتا])</f>
        <v>0</v>
      </c>
      <c r="K1451" s="164">
        <f>SUMIF(TArticle[تاریخ],TDays[[#This Row],[تاریخ]],TArticle[اسنپ])</f>
        <v>0</v>
      </c>
      <c r="L1451" s="164">
        <f>-SUMIF(TArticle[تاریخ],TDays[[#This Row],[تاریخ]],TArticle[پرداخت بدهی])</f>
        <v>0</v>
      </c>
      <c r="M1451" s="164">
        <f>SUMIF(TArticle[تاریخ],TDays[[#This Row],[تاریخ]],TArticle[افزایش بدهی])</f>
        <v>0</v>
      </c>
      <c r="N1451" s="164">
        <f>-SUMIF(TArticle[تاریخ],TDays[[#This Row],[تاریخ]],TArticle[افزایش سرمایه])</f>
        <v>0</v>
      </c>
      <c r="O1451" s="164">
        <f>SUMIF(TArticle[تاریخ],TDays[[#This Row],[تاریخ]],TArticle[تعداد تراکنش انجام شده])</f>
        <v>0</v>
      </c>
      <c r="P1451" s="164">
        <f>INT(((TDays[[#This Row],[ماه]]-1)*31+TDays[[#This Row],[روز]]+1)/7)+1</f>
        <v>52</v>
      </c>
      <c r="Q1451" s="164">
        <f>SUMIF(TArticle[تاریخ],TDays[[#This Row],[تاریخ]],TArticle[تراکنش برنامه ریزی شده])</f>
        <v>0</v>
      </c>
    </row>
    <row r="1452" spans="1:17" x14ac:dyDescent="0.25">
      <c r="A1452" s="3" t="s">
        <v>2034</v>
      </c>
      <c r="B1452" s="164" t="str">
        <f>RIGHT(TDays[[#This Row],[تاریخ]],2)</f>
        <v>19</v>
      </c>
      <c r="C1452" s="164" t="str">
        <f>RIGHT(LEFT(TDays[[#This Row],[تاریخ]],7),2)</f>
        <v>12</v>
      </c>
      <c r="D1452" s="164" t="str">
        <f>LEFT(TDays[[#This Row],[تاریخ]],4)</f>
        <v>1404</v>
      </c>
      <c r="E1452" s="164" t="str">
        <f>LEFT(TDays[[#This Row],[تاریخ]],7)</f>
        <v>1404-12</v>
      </c>
      <c r="F1452">
        <v>3</v>
      </c>
      <c r="G1452" s="165" t="str">
        <f>VLOOKUP(TDays[[#This Row],[کد روز هفته]],TDaysOfTheWeek[],2,FALSE)</f>
        <v>سه شنبه</v>
      </c>
      <c r="H1452" s="165">
        <f>IFERROR(IF(E1451&lt;&gt;E1452,1,INT(H1451)+IF(TDays[[#This Row],[کد روز هفته]]=0,1,0)),1)</f>
        <v>4</v>
      </c>
      <c r="I1452" s="164">
        <f>-SUMIF(TArticle[تاریخ],TDays[[#This Row],[تاریخ]],TArticle[هزینه])</f>
        <v>0</v>
      </c>
      <c r="J1452" s="164">
        <f>SUMIF(TArticle[تاریخ],TDays[[#This Row],[تاریخ]],TArticle[درآمد تتا])</f>
        <v>0</v>
      </c>
      <c r="K1452" s="164">
        <f>SUMIF(TArticle[تاریخ],TDays[[#This Row],[تاریخ]],TArticle[اسنپ])</f>
        <v>0</v>
      </c>
      <c r="L1452" s="164">
        <f>-SUMIF(TArticle[تاریخ],TDays[[#This Row],[تاریخ]],TArticle[پرداخت بدهی])</f>
        <v>0</v>
      </c>
      <c r="M1452" s="164">
        <f>SUMIF(TArticle[تاریخ],TDays[[#This Row],[تاریخ]],TArticle[افزایش بدهی])</f>
        <v>0</v>
      </c>
      <c r="N1452" s="164">
        <f>-SUMIF(TArticle[تاریخ],TDays[[#This Row],[تاریخ]],TArticle[افزایش سرمایه])</f>
        <v>0</v>
      </c>
      <c r="O1452" s="164">
        <f>SUMIF(TArticle[تاریخ],TDays[[#This Row],[تاریخ]],TArticle[تعداد تراکنش انجام شده])</f>
        <v>0</v>
      </c>
      <c r="P1452" s="164">
        <f>INT(((TDays[[#This Row],[ماه]]-1)*31+TDays[[#This Row],[روز]]+1)/7)+1</f>
        <v>52</v>
      </c>
      <c r="Q1452" s="164">
        <f>SUMIF(TArticle[تاریخ],TDays[[#This Row],[تاریخ]],TArticle[تراکنش برنامه ریزی شده])</f>
        <v>0</v>
      </c>
    </row>
    <row r="1453" spans="1:17" x14ac:dyDescent="0.25">
      <c r="A1453" s="3" t="s">
        <v>2035</v>
      </c>
      <c r="B1453" s="164" t="str">
        <f>RIGHT(TDays[[#This Row],[تاریخ]],2)</f>
        <v>20</v>
      </c>
      <c r="C1453" s="164" t="str">
        <f>RIGHT(LEFT(TDays[[#This Row],[تاریخ]],7),2)</f>
        <v>12</v>
      </c>
      <c r="D1453" s="164" t="str">
        <f>LEFT(TDays[[#This Row],[تاریخ]],4)</f>
        <v>1404</v>
      </c>
      <c r="E1453" s="164" t="str">
        <f>LEFT(TDays[[#This Row],[تاریخ]],7)</f>
        <v>1404-12</v>
      </c>
      <c r="F1453">
        <v>4</v>
      </c>
      <c r="G1453" s="165" t="str">
        <f>VLOOKUP(TDays[[#This Row],[کد روز هفته]],TDaysOfTheWeek[],2,FALSE)</f>
        <v>چهارشنبه</v>
      </c>
      <c r="H1453" s="165">
        <f>IFERROR(IF(E1452&lt;&gt;E1453,1,INT(H1452)+IF(TDays[[#This Row],[کد روز هفته]]=0,1,0)),1)</f>
        <v>4</v>
      </c>
      <c r="I1453" s="164">
        <f>-SUMIF(TArticle[تاریخ],TDays[[#This Row],[تاریخ]],TArticle[هزینه])</f>
        <v>0</v>
      </c>
      <c r="J1453" s="164">
        <f>SUMIF(TArticle[تاریخ],TDays[[#This Row],[تاریخ]],TArticle[درآمد تتا])</f>
        <v>0</v>
      </c>
      <c r="K1453" s="164">
        <f>SUMIF(TArticle[تاریخ],TDays[[#This Row],[تاریخ]],TArticle[اسنپ])</f>
        <v>0</v>
      </c>
      <c r="L1453" s="164">
        <f>-SUMIF(TArticle[تاریخ],TDays[[#This Row],[تاریخ]],TArticle[پرداخت بدهی])</f>
        <v>0</v>
      </c>
      <c r="M1453" s="164">
        <f>SUMIF(TArticle[تاریخ],TDays[[#This Row],[تاریخ]],TArticle[افزایش بدهی])</f>
        <v>0</v>
      </c>
      <c r="N1453" s="164">
        <f>-SUMIF(TArticle[تاریخ],TDays[[#This Row],[تاریخ]],TArticle[افزایش سرمایه])</f>
        <v>0</v>
      </c>
      <c r="O1453" s="164">
        <f>SUMIF(TArticle[تاریخ],TDays[[#This Row],[تاریخ]],TArticle[تعداد تراکنش انجام شده])</f>
        <v>0</v>
      </c>
      <c r="P1453" s="164">
        <f>INT(((TDays[[#This Row],[ماه]]-1)*31+TDays[[#This Row],[روز]]+1)/7)+1</f>
        <v>52</v>
      </c>
      <c r="Q1453" s="164">
        <f>SUMIF(TArticle[تاریخ],TDays[[#This Row],[تاریخ]],TArticle[تراکنش برنامه ریزی شده])</f>
        <v>1</v>
      </c>
    </row>
    <row r="1454" spans="1:17" x14ac:dyDescent="0.25">
      <c r="A1454" s="3" t="s">
        <v>2036</v>
      </c>
      <c r="B1454" s="164" t="str">
        <f>RIGHT(TDays[[#This Row],[تاریخ]],2)</f>
        <v>21</v>
      </c>
      <c r="C1454" s="164" t="str">
        <f>RIGHT(LEFT(TDays[[#This Row],[تاریخ]],7),2)</f>
        <v>12</v>
      </c>
      <c r="D1454" s="164" t="str">
        <f>LEFT(TDays[[#This Row],[تاریخ]],4)</f>
        <v>1404</v>
      </c>
      <c r="E1454" s="164" t="str">
        <f>LEFT(TDays[[#This Row],[تاریخ]],7)</f>
        <v>1404-12</v>
      </c>
      <c r="F1454">
        <v>5</v>
      </c>
      <c r="G1454" s="165" t="str">
        <f>VLOOKUP(TDays[[#This Row],[کد روز هفته]],TDaysOfTheWeek[],2,FALSE)</f>
        <v>پنجشنبه</v>
      </c>
      <c r="H1454" s="165">
        <f>IFERROR(IF(E1453&lt;&gt;E1454,1,INT(H1453)+IF(TDays[[#This Row],[کد روز هفته]]=0,1,0)),1)</f>
        <v>4</v>
      </c>
      <c r="I1454" s="164">
        <f>-SUMIF(TArticle[تاریخ],TDays[[#This Row],[تاریخ]],TArticle[هزینه])</f>
        <v>0</v>
      </c>
      <c r="J1454" s="164">
        <f>SUMIF(TArticle[تاریخ],TDays[[#This Row],[تاریخ]],TArticle[درآمد تتا])</f>
        <v>0</v>
      </c>
      <c r="K1454" s="164">
        <f>SUMIF(TArticle[تاریخ],TDays[[#This Row],[تاریخ]],TArticle[اسنپ])</f>
        <v>0</v>
      </c>
      <c r="L1454" s="164">
        <f>-SUMIF(TArticle[تاریخ],TDays[[#This Row],[تاریخ]],TArticle[پرداخت بدهی])</f>
        <v>0</v>
      </c>
      <c r="M1454" s="164">
        <f>SUMIF(TArticle[تاریخ],TDays[[#This Row],[تاریخ]],TArticle[افزایش بدهی])</f>
        <v>0</v>
      </c>
      <c r="N1454" s="164">
        <f>-SUMIF(TArticle[تاریخ],TDays[[#This Row],[تاریخ]],TArticle[افزایش سرمایه])</f>
        <v>0</v>
      </c>
      <c r="O1454" s="164">
        <f>SUMIF(TArticle[تاریخ],TDays[[#This Row],[تاریخ]],TArticle[تعداد تراکنش انجام شده])</f>
        <v>0</v>
      </c>
      <c r="P1454" s="164">
        <f>INT(((TDays[[#This Row],[ماه]]-1)*31+TDays[[#This Row],[روز]]+1)/7)+1</f>
        <v>52</v>
      </c>
      <c r="Q1454" s="164">
        <f>SUMIF(TArticle[تاریخ],TDays[[#This Row],[تاریخ]],TArticle[تراکنش برنامه ریزی شده])</f>
        <v>0</v>
      </c>
    </row>
    <row r="1455" spans="1:17" x14ac:dyDescent="0.25">
      <c r="A1455" s="3" t="s">
        <v>2037</v>
      </c>
      <c r="B1455" s="164" t="str">
        <f>RIGHT(TDays[[#This Row],[تاریخ]],2)</f>
        <v>22</v>
      </c>
      <c r="C1455" s="164" t="str">
        <f>RIGHT(LEFT(TDays[[#This Row],[تاریخ]],7),2)</f>
        <v>12</v>
      </c>
      <c r="D1455" s="164" t="str">
        <f>LEFT(TDays[[#This Row],[تاریخ]],4)</f>
        <v>1404</v>
      </c>
      <c r="E1455" s="164" t="str">
        <f>LEFT(TDays[[#This Row],[تاریخ]],7)</f>
        <v>1404-12</v>
      </c>
      <c r="F1455">
        <v>6</v>
      </c>
      <c r="G1455" s="165" t="str">
        <f>VLOOKUP(TDays[[#This Row],[کد روز هفته]],TDaysOfTheWeek[],2,FALSE)</f>
        <v>جمعه</v>
      </c>
      <c r="H1455" s="165">
        <f>IFERROR(IF(E1454&lt;&gt;E1455,1,INT(H1454)+IF(TDays[[#This Row],[کد روز هفته]]=0,1,0)),1)</f>
        <v>4</v>
      </c>
      <c r="I1455" s="164">
        <f>-SUMIF(TArticle[تاریخ],TDays[[#This Row],[تاریخ]],TArticle[هزینه])</f>
        <v>0</v>
      </c>
      <c r="J1455" s="164">
        <f>SUMIF(TArticle[تاریخ],TDays[[#This Row],[تاریخ]],TArticle[درآمد تتا])</f>
        <v>0</v>
      </c>
      <c r="K1455" s="164">
        <f>SUMIF(TArticle[تاریخ],TDays[[#This Row],[تاریخ]],TArticle[اسنپ])</f>
        <v>0</v>
      </c>
      <c r="L1455" s="164">
        <f>-SUMIF(TArticle[تاریخ],TDays[[#This Row],[تاریخ]],TArticle[پرداخت بدهی])</f>
        <v>0</v>
      </c>
      <c r="M1455" s="164">
        <f>SUMIF(TArticle[تاریخ],TDays[[#This Row],[تاریخ]],TArticle[افزایش بدهی])</f>
        <v>0</v>
      </c>
      <c r="N1455" s="164">
        <f>-SUMIF(TArticle[تاریخ],TDays[[#This Row],[تاریخ]],TArticle[افزایش سرمایه])</f>
        <v>0</v>
      </c>
      <c r="O1455" s="164">
        <f>SUMIF(TArticle[تاریخ],TDays[[#This Row],[تاریخ]],TArticle[تعداد تراکنش انجام شده])</f>
        <v>0</v>
      </c>
      <c r="P1455" s="164">
        <f>INT(((TDays[[#This Row],[ماه]]-1)*31+TDays[[#This Row],[روز]]+1)/7)+1</f>
        <v>53</v>
      </c>
      <c r="Q1455" s="164">
        <f>SUMIF(TArticle[تاریخ],TDays[[#This Row],[تاریخ]],TArticle[تراکنش برنامه ریزی شده])</f>
        <v>0</v>
      </c>
    </row>
    <row r="1456" spans="1:17" x14ac:dyDescent="0.25">
      <c r="A1456" s="3" t="s">
        <v>2038</v>
      </c>
      <c r="B1456" s="164" t="str">
        <f>RIGHT(TDays[[#This Row],[تاریخ]],2)</f>
        <v>23</v>
      </c>
      <c r="C1456" s="164" t="str">
        <f>RIGHT(LEFT(TDays[[#This Row],[تاریخ]],7),2)</f>
        <v>12</v>
      </c>
      <c r="D1456" s="164" t="str">
        <f>LEFT(TDays[[#This Row],[تاریخ]],4)</f>
        <v>1404</v>
      </c>
      <c r="E1456" s="164" t="str">
        <f>LEFT(TDays[[#This Row],[تاریخ]],7)</f>
        <v>1404-12</v>
      </c>
      <c r="F1456">
        <v>0</v>
      </c>
      <c r="G1456" s="165" t="str">
        <f>VLOOKUP(TDays[[#This Row],[کد روز هفته]],TDaysOfTheWeek[],2,FALSE)</f>
        <v>شنبه</v>
      </c>
      <c r="H1456" s="165">
        <f>IFERROR(IF(E1455&lt;&gt;E1456,1,INT(H1455)+IF(TDays[[#This Row],[کد روز هفته]]=0,1,0)),1)</f>
        <v>5</v>
      </c>
      <c r="I1456" s="164">
        <f>-SUMIF(TArticle[تاریخ],TDays[[#This Row],[تاریخ]],TArticle[هزینه])</f>
        <v>0</v>
      </c>
      <c r="J1456" s="164">
        <f>SUMIF(TArticle[تاریخ],TDays[[#This Row],[تاریخ]],TArticle[درآمد تتا])</f>
        <v>0</v>
      </c>
      <c r="K1456" s="164">
        <f>SUMIF(TArticle[تاریخ],TDays[[#This Row],[تاریخ]],TArticle[اسنپ])</f>
        <v>0</v>
      </c>
      <c r="L1456" s="164">
        <f>-SUMIF(TArticle[تاریخ],TDays[[#This Row],[تاریخ]],TArticle[پرداخت بدهی])</f>
        <v>0</v>
      </c>
      <c r="M1456" s="164">
        <f>SUMIF(TArticle[تاریخ],TDays[[#This Row],[تاریخ]],TArticle[افزایش بدهی])</f>
        <v>0</v>
      </c>
      <c r="N1456" s="164">
        <f>-SUMIF(TArticle[تاریخ],TDays[[#This Row],[تاریخ]],TArticle[افزایش سرمایه])</f>
        <v>0</v>
      </c>
      <c r="O1456" s="164">
        <f>SUMIF(TArticle[تاریخ],TDays[[#This Row],[تاریخ]],TArticle[تعداد تراکنش انجام شده])</f>
        <v>0</v>
      </c>
      <c r="P1456" s="164">
        <f>INT(((TDays[[#This Row],[ماه]]-1)*31+TDays[[#This Row],[روز]]+1)/7)+1</f>
        <v>53</v>
      </c>
      <c r="Q1456" s="164">
        <f>SUMIF(TArticle[تاریخ],TDays[[#This Row],[تاریخ]],TArticle[تراکنش برنامه ریزی شده])</f>
        <v>0</v>
      </c>
    </row>
    <row r="1457" spans="1:17" x14ac:dyDescent="0.25">
      <c r="A1457" s="3" t="s">
        <v>2039</v>
      </c>
      <c r="B1457" s="164" t="str">
        <f>RIGHT(TDays[[#This Row],[تاریخ]],2)</f>
        <v>24</v>
      </c>
      <c r="C1457" s="164" t="str">
        <f>RIGHT(LEFT(TDays[[#This Row],[تاریخ]],7),2)</f>
        <v>12</v>
      </c>
      <c r="D1457" s="164" t="str">
        <f>LEFT(TDays[[#This Row],[تاریخ]],4)</f>
        <v>1404</v>
      </c>
      <c r="E1457" s="164" t="str">
        <f>LEFT(TDays[[#This Row],[تاریخ]],7)</f>
        <v>1404-12</v>
      </c>
      <c r="F1457">
        <v>1</v>
      </c>
      <c r="G1457" s="165" t="str">
        <f>VLOOKUP(TDays[[#This Row],[کد روز هفته]],TDaysOfTheWeek[],2,FALSE)</f>
        <v>یکشنبه</v>
      </c>
      <c r="H1457" s="165">
        <f>IFERROR(IF(E1456&lt;&gt;E1457,1,INT(H1456)+IF(TDays[[#This Row],[کد روز هفته]]=0,1,0)),1)</f>
        <v>5</v>
      </c>
      <c r="I1457" s="164">
        <f>-SUMIF(TArticle[تاریخ],TDays[[#This Row],[تاریخ]],TArticle[هزینه])</f>
        <v>0</v>
      </c>
      <c r="J1457" s="164">
        <f>SUMIF(TArticle[تاریخ],TDays[[#This Row],[تاریخ]],TArticle[درآمد تتا])</f>
        <v>0</v>
      </c>
      <c r="K1457" s="164">
        <f>SUMIF(TArticle[تاریخ],TDays[[#This Row],[تاریخ]],TArticle[اسنپ])</f>
        <v>0</v>
      </c>
      <c r="L1457" s="164">
        <f>-SUMIF(TArticle[تاریخ],TDays[[#This Row],[تاریخ]],TArticle[پرداخت بدهی])</f>
        <v>0</v>
      </c>
      <c r="M1457" s="164">
        <f>SUMIF(TArticle[تاریخ],TDays[[#This Row],[تاریخ]],TArticle[افزایش بدهی])</f>
        <v>0</v>
      </c>
      <c r="N1457" s="164">
        <f>-SUMIF(TArticle[تاریخ],TDays[[#This Row],[تاریخ]],TArticle[افزایش سرمایه])</f>
        <v>0</v>
      </c>
      <c r="O1457" s="164">
        <f>SUMIF(TArticle[تاریخ],TDays[[#This Row],[تاریخ]],TArticle[تعداد تراکنش انجام شده])</f>
        <v>0</v>
      </c>
      <c r="P1457" s="164">
        <f>INT(((TDays[[#This Row],[ماه]]-1)*31+TDays[[#This Row],[روز]]+1)/7)+1</f>
        <v>53</v>
      </c>
      <c r="Q1457" s="164">
        <f>SUMIF(TArticle[تاریخ],TDays[[#This Row],[تاریخ]],TArticle[تراکنش برنامه ریزی شده])</f>
        <v>0</v>
      </c>
    </row>
    <row r="1458" spans="1:17" x14ac:dyDescent="0.25">
      <c r="A1458" s="3" t="s">
        <v>2040</v>
      </c>
      <c r="B1458" s="164" t="str">
        <f>RIGHT(TDays[[#This Row],[تاریخ]],2)</f>
        <v>25</v>
      </c>
      <c r="C1458" s="164" t="str">
        <f>RIGHT(LEFT(TDays[[#This Row],[تاریخ]],7),2)</f>
        <v>12</v>
      </c>
      <c r="D1458" s="164" t="str">
        <f>LEFT(TDays[[#This Row],[تاریخ]],4)</f>
        <v>1404</v>
      </c>
      <c r="E1458" s="164" t="str">
        <f>LEFT(TDays[[#This Row],[تاریخ]],7)</f>
        <v>1404-12</v>
      </c>
      <c r="F1458">
        <v>2</v>
      </c>
      <c r="G1458" s="165" t="str">
        <f>VLOOKUP(TDays[[#This Row],[کد روز هفته]],TDaysOfTheWeek[],2,FALSE)</f>
        <v>دوشنبه</v>
      </c>
      <c r="H1458" s="165">
        <f>IFERROR(IF(E1457&lt;&gt;E1458,1,INT(H1457)+IF(TDays[[#This Row],[کد روز هفته]]=0,1,0)),1)</f>
        <v>5</v>
      </c>
      <c r="I1458" s="164">
        <f>-SUMIF(TArticle[تاریخ],TDays[[#This Row],[تاریخ]],TArticle[هزینه])</f>
        <v>0</v>
      </c>
      <c r="J1458" s="164">
        <f>SUMIF(TArticle[تاریخ],TDays[[#This Row],[تاریخ]],TArticle[درآمد تتا])</f>
        <v>0</v>
      </c>
      <c r="K1458" s="164">
        <f>SUMIF(TArticle[تاریخ],TDays[[#This Row],[تاریخ]],TArticle[اسنپ])</f>
        <v>0</v>
      </c>
      <c r="L1458" s="164">
        <f>-SUMIF(TArticle[تاریخ],TDays[[#This Row],[تاریخ]],TArticle[پرداخت بدهی])</f>
        <v>0</v>
      </c>
      <c r="M1458" s="164">
        <f>SUMIF(TArticle[تاریخ],TDays[[#This Row],[تاریخ]],TArticle[افزایش بدهی])</f>
        <v>0</v>
      </c>
      <c r="N1458" s="164">
        <f>-SUMIF(TArticle[تاریخ],TDays[[#This Row],[تاریخ]],TArticle[افزایش سرمایه])</f>
        <v>0</v>
      </c>
      <c r="O1458" s="164">
        <f>SUMIF(TArticle[تاریخ],TDays[[#This Row],[تاریخ]],TArticle[تعداد تراکنش انجام شده])</f>
        <v>0</v>
      </c>
      <c r="P1458" s="164">
        <f>INT(((TDays[[#This Row],[ماه]]-1)*31+TDays[[#This Row],[روز]]+1)/7)+1</f>
        <v>53</v>
      </c>
      <c r="Q1458" s="164">
        <f>SUMIF(TArticle[تاریخ],TDays[[#This Row],[تاریخ]],TArticle[تراکنش برنامه ریزی شده])</f>
        <v>0</v>
      </c>
    </row>
    <row r="1459" spans="1:17" x14ac:dyDescent="0.25">
      <c r="A1459" s="3" t="s">
        <v>2041</v>
      </c>
      <c r="B1459" s="164" t="str">
        <f>RIGHT(TDays[[#This Row],[تاریخ]],2)</f>
        <v>26</v>
      </c>
      <c r="C1459" s="164" t="str">
        <f>RIGHT(LEFT(TDays[[#This Row],[تاریخ]],7),2)</f>
        <v>12</v>
      </c>
      <c r="D1459" s="164" t="str">
        <f>LEFT(TDays[[#This Row],[تاریخ]],4)</f>
        <v>1404</v>
      </c>
      <c r="E1459" s="164" t="str">
        <f>LEFT(TDays[[#This Row],[تاریخ]],7)</f>
        <v>1404-12</v>
      </c>
      <c r="F1459" s="164">
        <v>3</v>
      </c>
      <c r="G1459" s="165" t="str">
        <f>VLOOKUP(TDays[[#This Row],[کد روز هفته]],TDaysOfTheWeek[],2,FALSE)</f>
        <v>سه شنبه</v>
      </c>
      <c r="H1459" s="165">
        <f>IFERROR(IF(E1458&lt;&gt;E1459,1,INT(H1458)+IF(TDays[[#This Row],[کد روز هفته]]=0,1,0)),1)</f>
        <v>5</v>
      </c>
      <c r="I1459" s="164">
        <f>-SUMIF(TArticle[تاریخ],TDays[[#This Row],[تاریخ]],TArticle[هزینه])</f>
        <v>0</v>
      </c>
      <c r="J1459" s="164">
        <f>SUMIF(TArticle[تاریخ],TDays[[#This Row],[تاریخ]],TArticle[درآمد تتا])</f>
        <v>0</v>
      </c>
      <c r="K1459" s="164">
        <f>SUMIF(TArticle[تاریخ],TDays[[#This Row],[تاریخ]],TArticle[اسنپ])</f>
        <v>0</v>
      </c>
      <c r="L1459" s="164">
        <f>-SUMIF(TArticle[تاریخ],TDays[[#This Row],[تاریخ]],TArticle[پرداخت بدهی])</f>
        <v>0</v>
      </c>
      <c r="M1459" s="164">
        <f>SUMIF(TArticle[تاریخ],TDays[[#This Row],[تاریخ]],TArticle[افزایش بدهی])</f>
        <v>0</v>
      </c>
      <c r="N1459" s="164">
        <f>-SUMIF(TArticle[تاریخ],TDays[[#This Row],[تاریخ]],TArticle[افزایش سرمایه])</f>
        <v>0</v>
      </c>
      <c r="O1459" s="164">
        <f>SUMIF(TArticle[تاریخ],TDays[[#This Row],[تاریخ]],TArticle[تعداد تراکنش انجام شده])</f>
        <v>0</v>
      </c>
      <c r="P1459" s="164">
        <f>INT(((TDays[[#This Row],[ماه]]-1)*31+TDays[[#This Row],[روز]]+1)/7)+1</f>
        <v>53</v>
      </c>
      <c r="Q1459" s="164">
        <f>SUMIF(TArticle[تاریخ],TDays[[#This Row],[تاریخ]],TArticle[تراکنش برنامه ریزی شده])</f>
        <v>0</v>
      </c>
    </row>
    <row r="1460" spans="1:17" x14ac:dyDescent="0.25">
      <c r="A1460" s="3" t="s">
        <v>2042</v>
      </c>
      <c r="B1460" s="164" t="str">
        <f>RIGHT(TDays[[#This Row],[تاریخ]],2)</f>
        <v>27</v>
      </c>
      <c r="C1460" s="164" t="str">
        <f>RIGHT(LEFT(TDays[[#This Row],[تاریخ]],7),2)</f>
        <v>12</v>
      </c>
      <c r="D1460" s="164" t="str">
        <f>LEFT(TDays[[#This Row],[تاریخ]],4)</f>
        <v>1404</v>
      </c>
      <c r="E1460" s="164" t="str">
        <f>LEFT(TDays[[#This Row],[تاریخ]],7)</f>
        <v>1404-12</v>
      </c>
      <c r="F1460" s="164">
        <v>4</v>
      </c>
      <c r="G1460" s="165" t="str">
        <f>VLOOKUP(TDays[[#This Row],[کد روز هفته]],TDaysOfTheWeek[],2,FALSE)</f>
        <v>چهارشنبه</v>
      </c>
      <c r="H1460" s="165">
        <f>IFERROR(IF(E1459&lt;&gt;E1460,1,INT(H1459)+IF(TDays[[#This Row],[کد روز هفته]]=0,1,0)),1)</f>
        <v>5</v>
      </c>
      <c r="I1460" s="164">
        <f>-SUMIF(TArticle[تاریخ],TDays[[#This Row],[تاریخ]],TArticle[هزینه])</f>
        <v>0</v>
      </c>
      <c r="J1460" s="164">
        <f>SUMIF(TArticle[تاریخ],TDays[[#This Row],[تاریخ]],TArticle[درآمد تتا])</f>
        <v>0</v>
      </c>
      <c r="K1460" s="164">
        <f>SUMIF(TArticle[تاریخ],TDays[[#This Row],[تاریخ]],TArticle[اسنپ])</f>
        <v>0</v>
      </c>
      <c r="L1460" s="164">
        <f>-SUMIF(TArticle[تاریخ],TDays[[#This Row],[تاریخ]],TArticle[پرداخت بدهی])</f>
        <v>0</v>
      </c>
      <c r="M1460" s="164">
        <f>SUMIF(TArticle[تاریخ],TDays[[#This Row],[تاریخ]],TArticle[افزایش بدهی])</f>
        <v>0</v>
      </c>
      <c r="N1460" s="164">
        <f>-SUMIF(TArticle[تاریخ],TDays[[#This Row],[تاریخ]],TArticle[افزایش سرمایه])</f>
        <v>0</v>
      </c>
      <c r="O1460" s="164">
        <f>SUMIF(TArticle[تاریخ],TDays[[#This Row],[تاریخ]],TArticle[تعداد تراکنش انجام شده])</f>
        <v>0</v>
      </c>
      <c r="P1460" s="164">
        <f>INT(((TDays[[#This Row],[ماه]]-1)*31+TDays[[#This Row],[روز]]+1)/7)+1</f>
        <v>53</v>
      </c>
      <c r="Q1460" s="164">
        <f>SUMIF(TArticle[تاریخ],TDays[[#This Row],[تاریخ]],TArticle[تراکنش برنامه ریزی شده])</f>
        <v>0</v>
      </c>
    </row>
    <row r="1461" spans="1:17" x14ac:dyDescent="0.25">
      <c r="A1461" s="3" t="s">
        <v>2043</v>
      </c>
      <c r="B1461" s="164" t="str">
        <f>RIGHT(TDays[[#This Row],[تاریخ]],2)</f>
        <v>28</v>
      </c>
      <c r="C1461" s="164" t="str">
        <f>RIGHT(LEFT(TDays[[#This Row],[تاریخ]],7),2)</f>
        <v>12</v>
      </c>
      <c r="D1461" s="164" t="str">
        <f>LEFT(TDays[[#This Row],[تاریخ]],4)</f>
        <v>1404</v>
      </c>
      <c r="E1461" s="164" t="str">
        <f>LEFT(TDays[[#This Row],[تاریخ]],7)</f>
        <v>1404-12</v>
      </c>
      <c r="F1461">
        <v>5</v>
      </c>
      <c r="G1461" s="165" t="str">
        <f>VLOOKUP(TDays[[#This Row],[کد روز هفته]],TDaysOfTheWeek[],2,FALSE)</f>
        <v>پنجشنبه</v>
      </c>
      <c r="H1461" s="165">
        <f>IFERROR(IF(E1460&lt;&gt;E1461,1,INT(H1460)+IF(TDays[[#This Row],[کد روز هفته]]=0,1,0)),1)</f>
        <v>5</v>
      </c>
      <c r="I1461" s="164">
        <f>-SUMIF(TArticle[تاریخ],TDays[[#This Row],[تاریخ]],TArticle[هزینه])</f>
        <v>0</v>
      </c>
      <c r="J1461" s="164">
        <f>SUMIF(TArticle[تاریخ],TDays[[#This Row],[تاریخ]],TArticle[درآمد تتا])</f>
        <v>0</v>
      </c>
      <c r="K1461" s="164">
        <f>SUMIF(TArticle[تاریخ],TDays[[#This Row],[تاریخ]],TArticle[اسنپ])</f>
        <v>0</v>
      </c>
      <c r="L1461" s="164">
        <f>-SUMIF(TArticle[تاریخ],TDays[[#This Row],[تاریخ]],TArticle[پرداخت بدهی])</f>
        <v>0</v>
      </c>
      <c r="M1461" s="164">
        <f>SUMIF(TArticle[تاریخ],TDays[[#This Row],[تاریخ]],TArticle[افزایش بدهی])</f>
        <v>0</v>
      </c>
      <c r="N1461" s="164">
        <f>-SUMIF(TArticle[تاریخ],TDays[[#This Row],[تاریخ]],TArticle[افزایش سرمایه])</f>
        <v>0</v>
      </c>
      <c r="O1461" s="164">
        <f>SUMIF(TArticle[تاریخ],TDays[[#This Row],[تاریخ]],TArticle[تعداد تراکنش انجام شده])</f>
        <v>0</v>
      </c>
      <c r="P1461" s="164">
        <f>INT(((TDays[[#This Row],[ماه]]-1)*31+TDays[[#This Row],[روز]]+1)/7)+1</f>
        <v>53</v>
      </c>
      <c r="Q1461" s="164">
        <f>SUMIF(TArticle[تاریخ],TDays[[#This Row],[تاریخ]],TArticle[تراکنش برنامه ریزی شده])</f>
        <v>0</v>
      </c>
    </row>
    <row r="1462" spans="1:17" x14ac:dyDescent="0.25">
      <c r="A1462" s="3" t="s">
        <v>2045</v>
      </c>
      <c r="B1462" s="164" t="str">
        <f>RIGHT(TDays[[#This Row],[تاریخ]],2)</f>
        <v>01</v>
      </c>
      <c r="C1462" s="164" t="str">
        <f>RIGHT(LEFT(TDays[[#This Row],[تاریخ]],7),2)</f>
        <v>01</v>
      </c>
      <c r="D1462" s="164" t="str">
        <f>LEFT(TDays[[#This Row],[تاریخ]],4)</f>
        <v>1405</v>
      </c>
      <c r="E1462" s="164" t="str">
        <f>LEFT(TDays[[#This Row],[تاریخ]],7)</f>
        <v>1405-01</v>
      </c>
      <c r="F1462">
        <v>6</v>
      </c>
      <c r="G1462" s="165" t="str">
        <f>VLOOKUP(TDays[[#This Row],[کد روز هفته]],TDaysOfTheWeek[],2,FALSE)</f>
        <v>جمعه</v>
      </c>
      <c r="H1462" s="165">
        <f>IFERROR(IF(E1461&lt;&gt;E1462,1,INT(H1461)+IF(TDays[[#This Row],[کد روز هفته]]=0,1,0)),1)</f>
        <v>1</v>
      </c>
      <c r="I1462" s="164">
        <f>-SUMIF(TArticle[تاریخ],TDays[[#This Row],[تاریخ]],TArticle[هزینه])</f>
        <v>0</v>
      </c>
      <c r="J1462" s="164">
        <f>SUMIF(TArticle[تاریخ],TDays[[#This Row],[تاریخ]],TArticle[درآمد تتا])</f>
        <v>0</v>
      </c>
      <c r="K1462" s="164">
        <f>SUMIF(TArticle[تاریخ],TDays[[#This Row],[تاریخ]],TArticle[اسنپ])</f>
        <v>0</v>
      </c>
      <c r="L1462" s="164">
        <f>-SUMIF(TArticle[تاریخ],TDays[[#This Row],[تاریخ]],TArticle[پرداخت بدهی])</f>
        <v>0</v>
      </c>
      <c r="M1462" s="164">
        <f>SUMIF(TArticle[تاریخ],TDays[[#This Row],[تاریخ]],TArticle[افزایش بدهی])</f>
        <v>0</v>
      </c>
      <c r="N1462" s="164">
        <f>-SUMIF(TArticle[تاریخ],TDays[[#This Row],[تاریخ]],TArticle[افزایش سرمایه])</f>
        <v>0</v>
      </c>
      <c r="O1462" s="164">
        <f>SUMIF(TArticle[تاریخ],TDays[[#This Row],[تاریخ]],TArticle[تعداد تراکنش انجام شده])</f>
        <v>0</v>
      </c>
      <c r="P1462" s="164">
        <f>INT(((TDays[[#This Row],[ماه]]-1)*31+TDays[[#This Row],[روز]]+1)/7)+1</f>
        <v>1</v>
      </c>
      <c r="Q1462" s="164">
        <f>SUMIF(TArticle[تاریخ],TDays[[#This Row],[تاریخ]],TArticle[تراکنش برنامه ریزی شده])</f>
        <v>0</v>
      </c>
    </row>
    <row r="1463" spans="1:17" x14ac:dyDescent="0.25">
      <c r="A1463" s="3" t="s">
        <v>2046</v>
      </c>
      <c r="B1463" s="164" t="str">
        <f>RIGHT(TDays[[#This Row],[تاریخ]],2)</f>
        <v>02</v>
      </c>
      <c r="C1463" s="164" t="str">
        <f>RIGHT(LEFT(TDays[[#This Row],[تاریخ]],7),2)</f>
        <v>01</v>
      </c>
      <c r="D1463" s="164" t="str">
        <f>LEFT(TDays[[#This Row],[تاریخ]],4)</f>
        <v>1405</v>
      </c>
      <c r="E1463" s="164" t="str">
        <f>LEFT(TDays[[#This Row],[تاریخ]],7)</f>
        <v>1405-01</v>
      </c>
      <c r="F1463">
        <v>0</v>
      </c>
      <c r="G1463" s="165" t="str">
        <f>VLOOKUP(TDays[[#This Row],[کد روز هفته]],TDaysOfTheWeek[],2,FALSE)</f>
        <v>شنبه</v>
      </c>
      <c r="H1463" s="165">
        <f>IFERROR(IF(E1462&lt;&gt;E1463,1,INT(H1462)+IF(TDays[[#This Row],[کد روز هفته]]=0,1,0)),1)</f>
        <v>2</v>
      </c>
      <c r="I1463" s="164">
        <f>-SUMIF(TArticle[تاریخ],TDays[[#This Row],[تاریخ]],TArticle[هزینه])</f>
        <v>0</v>
      </c>
      <c r="J1463" s="164">
        <f>SUMIF(TArticle[تاریخ],TDays[[#This Row],[تاریخ]],TArticle[درآمد تتا])</f>
        <v>0</v>
      </c>
      <c r="K1463" s="164">
        <f>SUMIF(TArticle[تاریخ],TDays[[#This Row],[تاریخ]],TArticle[اسنپ])</f>
        <v>0</v>
      </c>
      <c r="L1463" s="164">
        <f>-SUMIF(TArticle[تاریخ],TDays[[#This Row],[تاریخ]],TArticle[پرداخت بدهی])</f>
        <v>0</v>
      </c>
      <c r="M1463" s="164">
        <f>SUMIF(TArticle[تاریخ],TDays[[#This Row],[تاریخ]],TArticle[افزایش بدهی])</f>
        <v>0</v>
      </c>
      <c r="N1463" s="164">
        <f>-SUMIF(TArticle[تاریخ],TDays[[#This Row],[تاریخ]],TArticle[افزایش سرمایه])</f>
        <v>0</v>
      </c>
      <c r="O1463" s="164">
        <f>SUMIF(TArticle[تاریخ],TDays[[#This Row],[تاریخ]],TArticle[تعداد تراکنش انجام شده])</f>
        <v>0</v>
      </c>
      <c r="P1463" s="164">
        <f>INT(((TDays[[#This Row],[ماه]]-1)*31+TDays[[#This Row],[روز]]+1)/7)+1</f>
        <v>1</v>
      </c>
      <c r="Q1463" s="164">
        <f>SUMIF(TArticle[تاریخ],TDays[[#This Row],[تاریخ]],TArticle[تراکنش برنامه ریزی شده])</f>
        <v>0</v>
      </c>
    </row>
    <row r="1464" spans="1:17" x14ac:dyDescent="0.25">
      <c r="A1464" s="3" t="s">
        <v>2047</v>
      </c>
      <c r="B1464" s="164" t="str">
        <f>RIGHT(TDays[[#This Row],[تاریخ]],2)</f>
        <v>03</v>
      </c>
      <c r="C1464" s="164" t="str">
        <f>RIGHT(LEFT(TDays[[#This Row],[تاریخ]],7),2)</f>
        <v>01</v>
      </c>
      <c r="D1464" s="164" t="str">
        <f>LEFT(TDays[[#This Row],[تاریخ]],4)</f>
        <v>1405</v>
      </c>
      <c r="E1464" s="164" t="str">
        <f>LEFT(TDays[[#This Row],[تاریخ]],7)</f>
        <v>1405-01</v>
      </c>
      <c r="F1464">
        <v>1</v>
      </c>
      <c r="G1464" s="165" t="str">
        <f>VLOOKUP(TDays[[#This Row],[کد روز هفته]],TDaysOfTheWeek[],2,FALSE)</f>
        <v>یکشنبه</v>
      </c>
      <c r="H1464" s="165">
        <f>IFERROR(IF(E1463&lt;&gt;E1464,1,INT(H1463)+IF(TDays[[#This Row],[کد روز هفته]]=0,1,0)),1)</f>
        <v>2</v>
      </c>
      <c r="I1464" s="164">
        <f>-SUMIF(TArticle[تاریخ],TDays[[#This Row],[تاریخ]],TArticle[هزینه])</f>
        <v>0</v>
      </c>
      <c r="J1464" s="164">
        <f>SUMIF(TArticle[تاریخ],TDays[[#This Row],[تاریخ]],TArticle[درآمد تتا])</f>
        <v>0</v>
      </c>
      <c r="K1464" s="164">
        <f>SUMIF(TArticle[تاریخ],TDays[[#This Row],[تاریخ]],TArticle[اسنپ])</f>
        <v>0</v>
      </c>
      <c r="L1464" s="164">
        <f>-SUMIF(TArticle[تاریخ],TDays[[#This Row],[تاریخ]],TArticle[پرداخت بدهی])</f>
        <v>0</v>
      </c>
      <c r="M1464" s="164">
        <f>SUMIF(TArticle[تاریخ],TDays[[#This Row],[تاریخ]],TArticle[افزایش بدهی])</f>
        <v>0</v>
      </c>
      <c r="N1464" s="164">
        <f>-SUMIF(TArticle[تاریخ],TDays[[#This Row],[تاریخ]],TArticle[افزایش سرمایه])</f>
        <v>0</v>
      </c>
      <c r="O1464" s="164">
        <f>SUMIF(TArticle[تاریخ],TDays[[#This Row],[تاریخ]],TArticle[تعداد تراکنش انجام شده])</f>
        <v>0</v>
      </c>
      <c r="P1464" s="164">
        <f>INT(((TDays[[#This Row],[ماه]]-1)*31+TDays[[#This Row],[روز]]+1)/7)+1</f>
        <v>1</v>
      </c>
      <c r="Q1464" s="164">
        <f>SUMIF(TArticle[تاریخ],TDays[[#This Row],[تاریخ]],TArticle[تراکنش برنامه ریزی شده])</f>
        <v>1</v>
      </c>
    </row>
    <row r="1465" spans="1:17" x14ac:dyDescent="0.25">
      <c r="A1465" s="3" t="s">
        <v>2048</v>
      </c>
      <c r="B1465" s="164" t="str">
        <f>RIGHT(TDays[[#This Row],[تاریخ]],2)</f>
        <v>04</v>
      </c>
      <c r="C1465" s="164" t="str">
        <f>RIGHT(LEFT(TDays[[#This Row],[تاریخ]],7),2)</f>
        <v>01</v>
      </c>
      <c r="D1465" s="164" t="str">
        <f>LEFT(TDays[[#This Row],[تاریخ]],4)</f>
        <v>1405</v>
      </c>
      <c r="E1465" s="164" t="str">
        <f>LEFT(TDays[[#This Row],[تاریخ]],7)</f>
        <v>1405-01</v>
      </c>
      <c r="F1465">
        <v>2</v>
      </c>
      <c r="G1465" s="165" t="str">
        <f>VLOOKUP(TDays[[#This Row],[کد روز هفته]],TDaysOfTheWeek[],2,FALSE)</f>
        <v>دوشنبه</v>
      </c>
      <c r="H1465" s="165">
        <f>IFERROR(IF(E1464&lt;&gt;E1465,1,INT(H1464)+IF(TDays[[#This Row],[کد روز هفته]]=0,1,0)),1)</f>
        <v>2</v>
      </c>
      <c r="I1465" s="164">
        <f>-SUMIF(TArticle[تاریخ],TDays[[#This Row],[تاریخ]],TArticle[هزینه])</f>
        <v>0</v>
      </c>
      <c r="J1465" s="164">
        <f>SUMIF(TArticle[تاریخ],TDays[[#This Row],[تاریخ]],TArticle[درآمد تتا])</f>
        <v>0</v>
      </c>
      <c r="K1465" s="164">
        <f>SUMIF(TArticle[تاریخ],TDays[[#This Row],[تاریخ]],TArticle[اسنپ])</f>
        <v>0</v>
      </c>
      <c r="L1465" s="164">
        <f>-SUMIF(TArticle[تاریخ],TDays[[#This Row],[تاریخ]],TArticle[پرداخت بدهی])</f>
        <v>0</v>
      </c>
      <c r="M1465" s="164">
        <f>SUMIF(TArticle[تاریخ],TDays[[#This Row],[تاریخ]],TArticle[افزایش بدهی])</f>
        <v>0</v>
      </c>
      <c r="N1465" s="164">
        <f>-SUMIF(TArticle[تاریخ],TDays[[#This Row],[تاریخ]],TArticle[افزایش سرمایه])</f>
        <v>0</v>
      </c>
      <c r="O1465" s="164">
        <f>SUMIF(TArticle[تاریخ],TDays[[#This Row],[تاریخ]],TArticle[تعداد تراکنش انجام شده])</f>
        <v>0</v>
      </c>
      <c r="P1465" s="164">
        <f>INT(((TDays[[#This Row],[ماه]]-1)*31+TDays[[#This Row],[روز]]+1)/7)+1</f>
        <v>1</v>
      </c>
      <c r="Q1465" s="164">
        <f>SUMIF(TArticle[تاریخ],TDays[[#This Row],[تاریخ]],TArticle[تراکنش برنامه ریزی شده])</f>
        <v>0</v>
      </c>
    </row>
    <row r="1466" spans="1:17" x14ac:dyDescent="0.25">
      <c r="A1466" s="3" t="s">
        <v>2049</v>
      </c>
      <c r="B1466" s="164" t="str">
        <f>RIGHT(TDays[[#This Row],[تاریخ]],2)</f>
        <v>05</v>
      </c>
      <c r="C1466" s="164" t="str">
        <f>RIGHT(LEFT(TDays[[#This Row],[تاریخ]],7),2)</f>
        <v>01</v>
      </c>
      <c r="D1466" s="164" t="str">
        <f>LEFT(TDays[[#This Row],[تاریخ]],4)</f>
        <v>1405</v>
      </c>
      <c r="E1466" s="164" t="str">
        <f>LEFT(TDays[[#This Row],[تاریخ]],7)</f>
        <v>1405-01</v>
      </c>
      <c r="F1466">
        <v>3</v>
      </c>
      <c r="G1466" s="165" t="str">
        <f>VLOOKUP(TDays[[#This Row],[کد روز هفته]],TDaysOfTheWeek[],2,FALSE)</f>
        <v>سه شنبه</v>
      </c>
      <c r="H1466" s="165">
        <f>IFERROR(IF(E1465&lt;&gt;E1466,1,INT(H1465)+IF(TDays[[#This Row],[کد روز هفته]]=0,1,0)),1)</f>
        <v>2</v>
      </c>
      <c r="I1466" s="164">
        <f>-SUMIF(TArticle[تاریخ],TDays[[#This Row],[تاریخ]],TArticle[هزینه])</f>
        <v>0</v>
      </c>
      <c r="J1466" s="164">
        <f>SUMIF(TArticle[تاریخ],TDays[[#This Row],[تاریخ]],TArticle[درآمد تتا])</f>
        <v>0</v>
      </c>
      <c r="K1466" s="164">
        <f>SUMIF(TArticle[تاریخ],TDays[[#This Row],[تاریخ]],TArticle[اسنپ])</f>
        <v>0</v>
      </c>
      <c r="L1466" s="164">
        <f>-SUMIF(TArticle[تاریخ],TDays[[#This Row],[تاریخ]],TArticle[پرداخت بدهی])</f>
        <v>0</v>
      </c>
      <c r="M1466" s="164">
        <f>SUMIF(TArticle[تاریخ],TDays[[#This Row],[تاریخ]],TArticle[افزایش بدهی])</f>
        <v>0</v>
      </c>
      <c r="N1466" s="164">
        <f>-SUMIF(TArticle[تاریخ],TDays[[#This Row],[تاریخ]],TArticle[افزایش سرمایه])</f>
        <v>0</v>
      </c>
      <c r="O1466" s="164">
        <f>SUMIF(TArticle[تاریخ],TDays[[#This Row],[تاریخ]],TArticle[تعداد تراکنش انجام شده])</f>
        <v>0</v>
      </c>
      <c r="P1466" s="164">
        <f>INT(((TDays[[#This Row],[ماه]]-1)*31+TDays[[#This Row],[روز]]+1)/7)+1</f>
        <v>1</v>
      </c>
      <c r="Q1466" s="164">
        <f>SUMIF(TArticle[تاریخ],TDays[[#This Row],[تاریخ]],TArticle[تراکنش برنامه ریزی شده])</f>
        <v>0</v>
      </c>
    </row>
    <row r="1467" spans="1:17" x14ac:dyDescent="0.25">
      <c r="A1467" s="3" t="s">
        <v>2050</v>
      </c>
      <c r="B1467" s="164" t="str">
        <f>RIGHT(TDays[[#This Row],[تاریخ]],2)</f>
        <v>06</v>
      </c>
      <c r="C1467" s="164" t="str">
        <f>RIGHT(LEFT(TDays[[#This Row],[تاریخ]],7),2)</f>
        <v>01</v>
      </c>
      <c r="D1467" s="164" t="str">
        <f>LEFT(TDays[[#This Row],[تاریخ]],4)</f>
        <v>1405</v>
      </c>
      <c r="E1467" s="164" t="str">
        <f>LEFT(TDays[[#This Row],[تاریخ]],7)</f>
        <v>1405-01</v>
      </c>
      <c r="F1467">
        <v>4</v>
      </c>
      <c r="G1467" s="165" t="str">
        <f>VLOOKUP(TDays[[#This Row],[کد روز هفته]],TDaysOfTheWeek[],2,FALSE)</f>
        <v>چهارشنبه</v>
      </c>
      <c r="H1467" s="165">
        <f>IFERROR(IF(E1466&lt;&gt;E1467,1,INT(H1466)+IF(TDays[[#This Row],[کد روز هفته]]=0,1,0)),1)</f>
        <v>2</v>
      </c>
      <c r="I1467" s="164">
        <f>-SUMIF(TArticle[تاریخ],TDays[[#This Row],[تاریخ]],TArticle[هزینه])</f>
        <v>0</v>
      </c>
      <c r="J1467" s="164">
        <f>SUMIF(TArticle[تاریخ],TDays[[#This Row],[تاریخ]],TArticle[درآمد تتا])</f>
        <v>0</v>
      </c>
      <c r="K1467" s="164">
        <f>SUMIF(TArticle[تاریخ],TDays[[#This Row],[تاریخ]],TArticle[اسنپ])</f>
        <v>0</v>
      </c>
      <c r="L1467" s="164">
        <f>-SUMIF(TArticle[تاریخ],TDays[[#This Row],[تاریخ]],TArticle[پرداخت بدهی])</f>
        <v>0</v>
      </c>
      <c r="M1467" s="164">
        <f>SUMIF(TArticle[تاریخ],TDays[[#This Row],[تاریخ]],TArticle[افزایش بدهی])</f>
        <v>0</v>
      </c>
      <c r="N1467" s="164">
        <f>-SUMIF(TArticle[تاریخ],TDays[[#This Row],[تاریخ]],TArticle[افزایش سرمایه])</f>
        <v>0</v>
      </c>
      <c r="O1467" s="164">
        <f>SUMIF(TArticle[تاریخ],TDays[[#This Row],[تاریخ]],TArticle[تعداد تراکنش انجام شده])</f>
        <v>0</v>
      </c>
      <c r="P1467" s="164">
        <f>INT(((TDays[[#This Row],[ماه]]-1)*31+TDays[[#This Row],[روز]]+1)/7)+1</f>
        <v>2</v>
      </c>
      <c r="Q1467" s="164">
        <f>SUMIF(TArticle[تاریخ],TDays[[#This Row],[تاریخ]],TArticle[تراکنش برنامه ریزی شده])</f>
        <v>0</v>
      </c>
    </row>
    <row r="1468" spans="1:17" x14ac:dyDescent="0.25">
      <c r="A1468" s="3" t="s">
        <v>2051</v>
      </c>
      <c r="B1468" s="164" t="str">
        <f>RIGHT(TDays[[#This Row],[تاریخ]],2)</f>
        <v>07</v>
      </c>
      <c r="C1468" s="164" t="str">
        <f>RIGHT(LEFT(TDays[[#This Row],[تاریخ]],7),2)</f>
        <v>01</v>
      </c>
      <c r="D1468" s="164" t="str">
        <f>LEFT(TDays[[#This Row],[تاریخ]],4)</f>
        <v>1405</v>
      </c>
      <c r="E1468" s="164" t="str">
        <f>LEFT(TDays[[#This Row],[تاریخ]],7)</f>
        <v>1405-01</v>
      </c>
      <c r="F1468">
        <v>5</v>
      </c>
      <c r="G1468" s="165" t="str">
        <f>VLOOKUP(TDays[[#This Row],[کد روز هفته]],TDaysOfTheWeek[],2,FALSE)</f>
        <v>پنجشنبه</v>
      </c>
      <c r="H1468" s="165">
        <f>IFERROR(IF(E1467&lt;&gt;E1468,1,INT(H1467)+IF(TDays[[#This Row],[کد روز هفته]]=0,1,0)),1)</f>
        <v>2</v>
      </c>
      <c r="I1468" s="164">
        <f>-SUMIF(TArticle[تاریخ],TDays[[#This Row],[تاریخ]],TArticle[هزینه])</f>
        <v>0</v>
      </c>
      <c r="J1468" s="164">
        <f>SUMIF(TArticle[تاریخ],TDays[[#This Row],[تاریخ]],TArticle[درآمد تتا])</f>
        <v>0</v>
      </c>
      <c r="K1468" s="164">
        <f>SUMIF(TArticle[تاریخ],TDays[[#This Row],[تاریخ]],TArticle[اسنپ])</f>
        <v>0</v>
      </c>
      <c r="L1468" s="164">
        <f>-SUMIF(TArticle[تاریخ],TDays[[#This Row],[تاریخ]],TArticle[پرداخت بدهی])</f>
        <v>0</v>
      </c>
      <c r="M1468" s="164">
        <f>SUMIF(TArticle[تاریخ],TDays[[#This Row],[تاریخ]],TArticle[افزایش بدهی])</f>
        <v>0</v>
      </c>
      <c r="N1468" s="164">
        <f>-SUMIF(TArticle[تاریخ],TDays[[#This Row],[تاریخ]],TArticle[افزایش سرمایه])</f>
        <v>0</v>
      </c>
      <c r="O1468" s="164">
        <f>SUMIF(TArticle[تاریخ],TDays[[#This Row],[تاریخ]],TArticle[تعداد تراکنش انجام شده])</f>
        <v>0</v>
      </c>
      <c r="P1468" s="164">
        <f>INT(((TDays[[#This Row],[ماه]]-1)*31+TDays[[#This Row],[روز]]+1)/7)+1</f>
        <v>2</v>
      </c>
      <c r="Q1468" s="164">
        <f>SUMIF(TArticle[تاریخ],TDays[[#This Row],[تاریخ]],TArticle[تراکنش برنامه ریزی شده])</f>
        <v>0</v>
      </c>
    </row>
    <row r="1469" spans="1:17" x14ac:dyDescent="0.25">
      <c r="A1469" s="3" t="s">
        <v>2052</v>
      </c>
      <c r="B1469" s="164" t="str">
        <f>RIGHT(TDays[[#This Row],[تاریخ]],2)</f>
        <v>08</v>
      </c>
      <c r="C1469" s="164" t="str">
        <f>RIGHT(LEFT(TDays[[#This Row],[تاریخ]],7),2)</f>
        <v>01</v>
      </c>
      <c r="D1469" s="164" t="str">
        <f>LEFT(TDays[[#This Row],[تاریخ]],4)</f>
        <v>1405</v>
      </c>
      <c r="E1469" s="164" t="str">
        <f>LEFT(TDays[[#This Row],[تاریخ]],7)</f>
        <v>1405-01</v>
      </c>
      <c r="F1469">
        <v>6</v>
      </c>
      <c r="G1469" s="165" t="str">
        <f>VLOOKUP(TDays[[#This Row],[کد روز هفته]],TDaysOfTheWeek[],2,FALSE)</f>
        <v>جمعه</v>
      </c>
      <c r="H1469" s="165">
        <f>IFERROR(IF(E1468&lt;&gt;E1469,1,INT(H1468)+IF(TDays[[#This Row],[کد روز هفته]]=0,1,0)),1)</f>
        <v>2</v>
      </c>
      <c r="I1469" s="164">
        <f>-SUMIF(TArticle[تاریخ],TDays[[#This Row],[تاریخ]],TArticle[هزینه])</f>
        <v>0</v>
      </c>
      <c r="J1469" s="164">
        <f>SUMIF(TArticle[تاریخ],TDays[[#This Row],[تاریخ]],TArticle[درآمد تتا])</f>
        <v>0</v>
      </c>
      <c r="K1469" s="164">
        <f>SUMIF(TArticle[تاریخ],TDays[[#This Row],[تاریخ]],TArticle[اسنپ])</f>
        <v>0</v>
      </c>
      <c r="L1469" s="164">
        <f>-SUMIF(TArticle[تاریخ],TDays[[#This Row],[تاریخ]],TArticle[پرداخت بدهی])</f>
        <v>0</v>
      </c>
      <c r="M1469" s="164">
        <f>SUMIF(TArticle[تاریخ],TDays[[#This Row],[تاریخ]],TArticle[افزایش بدهی])</f>
        <v>0</v>
      </c>
      <c r="N1469" s="164">
        <f>-SUMIF(TArticle[تاریخ],TDays[[#This Row],[تاریخ]],TArticle[افزایش سرمایه])</f>
        <v>0</v>
      </c>
      <c r="O1469" s="164">
        <f>SUMIF(TArticle[تاریخ],TDays[[#This Row],[تاریخ]],TArticle[تعداد تراکنش انجام شده])</f>
        <v>0</v>
      </c>
      <c r="P1469" s="164">
        <f>INT(((TDays[[#This Row],[ماه]]-1)*31+TDays[[#This Row],[روز]]+1)/7)+1</f>
        <v>2</v>
      </c>
      <c r="Q1469" s="164">
        <f>SUMIF(TArticle[تاریخ],TDays[[#This Row],[تاریخ]],TArticle[تراکنش برنامه ریزی شده])</f>
        <v>0</v>
      </c>
    </row>
    <row r="1470" spans="1:17" x14ac:dyDescent="0.25">
      <c r="A1470" s="3" t="s">
        <v>2053</v>
      </c>
      <c r="B1470" s="164" t="str">
        <f>RIGHT(TDays[[#This Row],[تاریخ]],2)</f>
        <v>09</v>
      </c>
      <c r="C1470" s="164" t="str">
        <f>RIGHT(LEFT(TDays[[#This Row],[تاریخ]],7),2)</f>
        <v>01</v>
      </c>
      <c r="D1470" s="164" t="str">
        <f>LEFT(TDays[[#This Row],[تاریخ]],4)</f>
        <v>1405</v>
      </c>
      <c r="E1470" s="164" t="str">
        <f>LEFT(TDays[[#This Row],[تاریخ]],7)</f>
        <v>1405-01</v>
      </c>
      <c r="F1470">
        <v>0</v>
      </c>
      <c r="G1470" s="165" t="str">
        <f>VLOOKUP(TDays[[#This Row],[کد روز هفته]],TDaysOfTheWeek[],2,FALSE)</f>
        <v>شنبه</v>
      </c>
      <c r="H1470" s="165">
        <f>IFERROR(IF(E1469&lt;&gt;E1470,1,INT(H1469)+IF(TDays[[#This Row],[کد روز هفته]]=0,1,0)),1)</f>
        <v>3</v>
      </c>
      <c r="I1470" s="164">
        <f>-SUMIF(TArticle[تاریخ],TDays[[#This Row],[تاریخ]],TArticle[هزینه])</f>
        <v>0</v>
      </c>
      <c r="J1470" s="164">
        <f>SUMIF(TArticle[تاریخ],TDays[[#This Row],[تاریخ]],TArticle[درآمد تتا])</f>
        <v>0</v>
      </c>
      <c r="K1470" s="164">
        <f>SUMIF(TArticle[تاریخ],TDays[[#This Row],[تاریخ]],TArticle[اسنپ])</f>
        <v>0</v>
      </c>
      <c r="L1470" s="164">
        <f>-SUMIF(TArticle[تاریخ],TDays[[#This Row],[تاریخ]],TArticle[پرداخت بدهی])</f>
        <v>0</v>
      </c>
      <c r="M1470" s="164">
        <f>SUMIF(TArticle[تاریخ],TDays[[#This Row],[تاریخ]],TArticle[افزایش بدهی])</f>
        <v>0</v>
      </c>
      <c r="N1470" s="164">
        <f>-SUMIF(TArticle[تاریخ],TDays[[#This Row],[تاریخ]],TArticle[افزایش سرمایه])</f>
        <v>0</v>
      </c>
      <c r="O1470" s="164">
        <f>SUMIF(TArticle[تاریخ],TDays[[#This Row],[تاریخ]],TArticle[تعداد تراکنش انجام شده])</f>
        <v>0</v>
      </c>
      <c r="P1470" s="164">
        <f>INT(((TDays[[#This Row],[ماه]]-1)*31+TDays[[#This Row],[روز]]+1)/7)+1</f>
        <v>2</v>
      </c>
      <c r="Q1470" s="164">
        <f>SUMIF(TArticle[تاریخ],TDays[[#This Row],[تاریخ]],TArticle[تراکنش برنامه ریزی شده])</f>
        <v>0</v>
      </c>
    </row>
    <row r="1471" spans="1:17" x14ac:dyDescent="0.25">
      <c r="A1471" s="3" t="s">
        <v>2054</v>
      </c>
      <c r="B1471" s="164" t="str">
        <f>RIGHT(TDays[[#This Row],[تاریخ]],2)</f>
        <v>10</v>
      </c>
      <c r="C1471" s="164" t="str">
        <f>RIGHT(LEFT(TDays[[#This Row],[تاریخ]],7),2)</f>
        <v>01</v>
      </c>
      <c r="D1471" s="164" t="str">
        <f>LEFT(TDays[[#This Row],[تاریخ]],4)</f>
        <v>1405</v>
      </c>
      <c r="E1471" s="164" t="str">
        <f>LEFT(TDays[[#This Row],[تاریخ]],7)</f>
        <v>1405-01</v>
      </c>
      <c r="F1471">
        <v>1</v>
      </c>
      <c r="G1471" s="165" t="str">
        <f>VLOOKUP(TDays[[#This Row],[کد روز هفته]],TDaysOfTheWeek[],2,FALSE)</f>
        <v>یکشنبه</v>
      </c>
      <c r="H1471" s="165">
        <f>IFERROR(IF(E1470&lt;&gt;E1471,1,INT(H1470)+IF(TDays[[#This Row],[کد روز هفته]]=0,1,0)),1)</f>
        <v>3</v>
      </c>
      <c r="I1471" s="164">
        <f>-SUMIF(TArticle[تاریخ],TDays[[#This Row],[تاریخ]],TArticle[هزینه])</f>
        <v>0</v>
      </c>
      <c r="J1471" s="164">
        <f>SUMIF(TArticle[تاریخ],TDays[[#This Row],[تاریخ]],TArticle[درآمد تتا])</f>
        <v>0</v>
      </c>
      <c r="K1471" s="164">
        <f>SUMIF(TArticle[تاریخ],TDays[[#This Row],[تاریخ]],TArticle[اسنپ])</f>
        <v>0</v>
      </c>
      <c r="L1471" s="164">
        <f>-SUMIF(TArticle[تاریخ],TDays[[#This Row],[تاریخ]],TArticle[پرداخت بدهی])</f>
        <v>0</v>
      </c>
      <c r="M1471" s="164">
        <f>SUMIF(TArticle[تاریخ],TDays[[#This Row],[تاریخ]],TArticle[افزایش بدهی])</f>
        <v>0</v>
      </c>
      <c r="N1471" s="164">
        <f>-SUMIF(TArticle[تاریخ],TDays[[#This Row],[تاریخ]],TArticle[افزایش سرمایه])</f>
        <v>0</v>
      </c>
      <c r="O1471" s="164">
        <f>SUMIF(TArticle[تاریخ],TDays[[#This Row],[تاریخ]],TArticle[تعداد تراکنش انجام شده])</f>
        <v>0</v>
      </c>
      <c r="P1471" s="164">
        <f>INT(((TDays[[#This Row],[ماه]]-1)*31+TDays[[#This Row],[روز]]+1)/7)+1</f>
        <v>2</v>
      </c>
      <c r="Q1471" s="164">
        <f>SUMIF(TArticle[تاریخ],TDays[[#This Row],[تاریخ]],TArticle[تراکنش برنامه ریزی شده])</f>
        <v>0</v>
      </c>
    </row>
    <row r="1472" spans="1:17" x14ac:dyDescent="0.25">
      <c r="A1472" s="3" t="s">
        <v>2055</v>
      </c>
      <c r="B1472" s="164" t="str">
        <f>RIGHT(TDays[[#This Row],[تاریخ]],2)</f>
        <v>11</v>
      </c>
      <c r="C1472" s="164" t="str">
        <f>RIGHT(LEFT(TDays[[#This Row],[تاریخ]],7),2)</f>
        <v>01</v>
      </c>
      <c r="D1472" s="164" t="str">
        <f>LEFT(TDays[[#This Row],[تاریخ]],4)</f>
        <v>1405</v>
      </c>
      <c r="E1472" s="164" t="str">
        <f>LEFT(TDays[[#This Row],[تاریخ]],7)</f>
        <v>1405-01</v>
      </c>
      <c r="F1472">
        <v>2</v>
      </c>
      <c r="G1472" s="165" t="str">
        <f>VLOOKUP(TDays[[#This Row],[کد روز هفته]],TDaysOfTheWeek[],2,FALSE)</f>
        <v>دوشنبه</v>
      </c>
      <c r="H1472" s="165">
        <f>IFERROR(IF(E1471&lt;&gt;E1472,1,INT(H1471)+IF(TDays[[#This Row],[کد روز هفته]]=0,1,0)),1)</f>
        <v>3</v>
      </c>
      <c r="I1472" s="164">
        <f>-SUMIF(TArticle[تاریخ],TDays[[#This Row],[تاریخ]],TArticle[هزینه])</f>
        <v>0</v>
      </c>
      <c r="J1472" s="164">
        <f>SUMIF(TArticle[تاریخ],TDays[[#This Row],[تاریخ]],TArticle[درآمد تتا])</f>
        <v>0</v>
      </c>
      <c r="K1472" s="164">
        <f>SUMIF(TArticle[تاریخ],TDays[[#This Row],[تاریخ]],TArticle[اسنپ])</f>
        <v>0</v>
      </c>
      <c r="L1472" s="164">
        <f>-SUMIF(TArticle[تاریخ],TDays[[#This Row],[تاریخ]],TArticle[پرداخت بدهی])</f>
        <v>0</v>
      </c>
      <c r="M1472" s="164">
        <f>SUMIF(TArticle[تاریخ],TDays[[#This Row],[تاریخ]],TArticle[افزایش بدهی])</f>
        <v>0</v>
      </c>
      <c r="N1472" s="164">
        <f>-SUMIF(TArticle[تاریخ],TDays[[#This Row],[تاریخ]],TArticle[افزایش سرمایه])</f>
        <v>0</v>
      </c>
      <c r="O1472" s="164">
        <f>SUMIF(TArticle[تاریخ],TDays[[#This Row],[تاریخ]],TArticle[تعداد تراکنش انجام شده])</f>
        <v>0</v>
      </c>
      <c r="P1472" s="164">
        <f>INT(((TDays[[#This Row],[ماه]]-1)*31+TDays[[#This Row],[روز]]+1)/7)+1</f>
        <v>2</v>
      </c>
      <c r="Q1472" s="164">
        <f>SUMIF(TArticle[تاریخ],TDays[[#This Row],[تاریخ]],TArticle[تراکنش برنامه ریزی شده])</f>
        <v>0</v>
      </c>
    </row>
    <row r="1473" spans="1:17" x14ac:dyDescent="0.25">
      <c r="A1473" s="3" t="s">
        <v>2056</v>
      </c>
      <c r="B1473" s="164" t="str">
        <f>RIGHT(TDays[[#This Row],[تاریخ]],2)</f>
        <v>12</v>
      </c>
      <c r="C1473" s="164" t="str">
        <f>RIGHT(LEFT(TDays[[#This Row],[تاریخ]],7),2)</f>
        <v>01</v>
      </c>
      <c r="D1473" s="164" t="str">
        <f>LEFT(TDays[[#This Row],[تاریخ]],4)</f>
        <v>1405</v>
      </c>
      <c r="E1473" s="164" t="str">
        <f>LEFT(TDays[[#This Row],[تاریخ]],7)</f>
        <v>1405-01</v>
      </c>
      <c r="F1473">
        <v>3</v>
      </c>
      <c r="G1473" s="165" t="str">
        <f>VLOOKUP(TDays[[#This Row],[کد روز هفته]],TDaysOfTheWeek[],2,FALSE)</f>
        <v>سه شنبه</v>
      </c>
      <c r="H1473" s="165">
        <f>IFERROR(IF(E1472&lt;&gt;E1473,1,INT(H1472)+IF(TDays[[#This Row],[کد روز هفته]]=0,1,0)),1)</f>
        <v>3</v>
      </c>
      <c r="I1473" s="164">
        <f>-SUMIF(TArticle[تاریخ],TDays[[#This Row],[تاریخ]],TArticle[هزینه])</f>
        <v>0</v>
      </c>
      <c r="J1473" s="164">
        <f>SUMIF(TArticle[تاریخ],TDays[[#This Row],[تاریخ]],TArticle[درآمد تتا])</f>
        <v>0</v>
      </c>
      <c r="K1473" s="164">
        <f>SUMIF(TArticle[تاریخ],TDays[[#This Row],[تاریخ]],TArticle[اسنپ])</f>
        <v>0</v>
      </c>
      <c r="L1473" s="164">
        <f>-SUMIF(TArticle[تاریخ],TDays[[#This Row],[تاریخ]],TArticle[پرداخت بدهی])</f>
        <v>0</v>
      </c>
      <c r="M1473" s="164">
        <f>SUMIF(TArticle[تاریخ],TDays[[#This Row],[تاریخ]],TArticle[افزایش بدهی])</f>
        <v>0</v>
      </c>
      <c r="N1473" s="164">
        <f>-SUMIF(TArticle[تاریخ],TDays[[#This Row],[تاریخ]],TArticle[افزایش سرمایه])</f>
        <v>0</v>
      </c>
      <c r="O1473" s="164">
        <f>SUMIF(TArticle[تاریخ],TDays[[#This Row],[تاریخ]],TArticle[تعداد تراکنش انجام شده])</f>
        <v>0</v>
      </c>
      <c r="P1473" s="164">
        <f>INT(((TDays[[#This Row],[ماه]]-1)*31+TDays[[#This Row],[روز]]+1)/7)+1</f>
        <v>2</v>
      </c>
      <c r="Q1473" s="164">
        <f>SUMIF(TArticle[تاریخ],TDays[[#This Row],[تاریخ]],TArticle[تراکنش برنامه ریزی شده])</f>
        <v>0</v>
      </c>
    </row>
    <row r="1474" spans="1:17" x14ac:dyDescent="0.25">
      <c r="A1474" s="3" t="s">
        <v>2057</v>
      </c>
      <c r="B1474" s="164" t="str">
        <f>RIGHT(TDays[[#This Row],[تاریخ]],2)</f>
        <v>13</v>
      </c>
      <c r="C1474" s="164" t="str">
        <f>RIGHT(LEFT(TDays[[#This Row],[تاریخ]],7),2)</f>
        <v>01</v>
      </c>
      <c r="D1474" s="164" t="str">
        <f>LEFT(TDays[[#This Row],[تاریخ]],4)</f>
        <v>1405</v>
      </c>
      <c r="E1474" s="164" t="str">
        <f>LEFT(TDays[[#This Row],[تاریخ]],7)</f>
        <v>1405-01</v>
      </c>
      <c r="F1474">
        <v>4</v>
      </c>
      <c r="G1474" s="165" t="str">
        <f>VLOOKUP(TDays[[#This Row],[کد روز هفته]],TDaysOfTheWeek[],2,FALSE)</f>
        <v>چهارشنبه</v>
      </c>
      <c r="H1474" s="165">
        <f>IFERROR(IF(E1473&lt;&gt;E1474,1,INT(H1473)+IF(TDays[[#This Row],[کد روز هفته]]=0,1,0)),1)</f>
        <v>3</v>
      </c>
      <c r="I1474" s="164">
        <f>-SUMIF(TArticle[تاریخ],TDays[[#This Row],[تاریخ]],TArticle[هزینه])</f>
        <v>0</v>
      </c>
      <c r="J1474" s="164">
        <f>SUMIF(TArticle[تاریخ],TDays[[#This Row],[تاریخ]],TArticle[درآمد تتا])</f>
        <v>0</v>
      </c>
      <c r="K1474" s="164">
        <f>SUMIF(TArticle[تاریخ],TDays[[#This Row],[تاریخ]],TArticle[اسنپ])</f>
        <v>0</v>
      </c>
      <c r="L1474" s="164">
        <f>-SUMIF(TArticle[تاریخ],TDays[[#This Row],[تاریخ]],TArticle[پرداخت بدهی])</f>
        <v>0</v>
      </c>
      <c r="M1474" s="164">
        <f>SUMIF(TArticle[تاریخ],TDays[[#This Row],[تاریخ]],TArticle[افزایش بدهی])</f>
        <v>0</v>
      </c>
      <c r="N1474" s="164">
        <f>-SUMIF(TArticle[تاریخ],TDays[[#This Row],[تاریخ]],TArticle[افزایش سرمایه])</f>
        <v>0</v>
      </c>
      <c r="O1474" s="164">
        <f>SUMIF(TArticle[تاریخ],TDays[[#This Row],[تاریخ]],TArticle[تعداد تراکنش انجام شده])</f>
        <v>0</v>
      </c>
      <c r="P1474" s="164">
        <f>INT(((TDays[[#This Row],[ماه]]-1)*31+TDays[[#This Row],[روز]]+1)/7)+1</f>
        <v>3</v>
      </c>
      <c r="Q1474" s="164">
        <f>SUMIF(TArticle[تاریخ],TDays[[#This Row],[تاریخ]],TArticle[تراکنش برنامه ریزی شده])</f>
        <v>0</v>
      </c>
    </row>
    <row r="1475" spans="1:17" x14ac:dyDescent="0.25">
      <c r="A1475" s="3" t="s">
        <v>2058</v>
      </c>
      <c r="B1475" s="164" t="str">
        <f>RIGHT(TDays[[#This Row],[تاریخ]],2)</f>
        <v>14</v>
      </c>
      <c r="C1475" s="164" t="str">
        <f>RIGHT(LEFT(TDays[[#This Row],[تاریخ]],7),2)</f>
        <v>01</v>
      </c>
      <c r="D1475" s="164" t="str">
        <f>LEFT(TDays[[#This Row],[تاریخ]],4)</f>
        <v>1405</v>
      </c>
      <c r="E1475" s="164" t="str">
        <f>LEFT(TDays[[#This Row],[تاریخ]],7)</f>
        <v>1405-01</v>
      </c>
      <c r="F1475">
        <v>5</v>
      </c>
      <c r="G1475" s="165" t="str">
        <f>VLOOKUP(TDays[[#This Row],[کد روز هفته]],TDaysOfTheWeek[],2,FALSE)</f>
        <v>پنجشنبه</v>
      </c>
      <c r="H1475" s="165">
        <f>IFERROR(IF(E1474&lt;&gt;E1475,1,INT(H1474)+IF(TDays[[#This Row],[کد روز هفته]]=0,1,0)),1)</f>
        <v>3</v>
      </c>
      <c r="I1475" s="164">
        <f>-SUMIF(TArticle[تاریخ],TDays[[#This Row],[تاریخ]],TArticle[هزینه])</f>
        <v>0</v>
      </c>
      <c r="J1475" s="164">
        <f>SUMIF(TArticle[تاریخ],TDays[[#This Row],[تاریخ]],TArticle[درآمد تتا])</f>
        <v>0</v>
      </c>
      <c r="K1475" s="164">
        <f>SUMIF(TArticle[تاریخ],TDays[[#This Row],[تاریخ]],TArticle[اسنپ])</f>
        <v>0</v>
      </c>
      <c r="L1475" s="164">
        <f>-SUMIF(TArticle[تاریخ],TDays[[#This Row],[تاریخ]],TArticle[پرداخت بدهی])</f>
        <v>0</v>
      </c>
      <c r="M1475" s="164">
        <f>SUMIF(TArticle[تاریخ],TDays[[#This Row],[تاریخ]],TArticle[افزایش بدهی])</f>
        <v>0</v>
      </c>
      <c r="N1475" s="164">
        <f>-SUMIF(TArticle[تاریخ],TDays[[#This Row],[تاریخ]],TArticle[افزایش سرمایه])</f>
        <v>0</v>
      </c>
      <c r="O1475" s="164">
        <f>SUMIF(TArticle[تاریخ],TDays[[#This Row],[تاریخ]],TArticle[تعداد تراکنش انجام شده])</f>
        <v>0</v>
      </c>
      <c r="P1475" s="164">
        <f>INT(((TDays[[#This Row],[ماه]]-1)*31+TDays[[#This Row],[روز]]+1)/7)+1</f>
        <v>3</v>
      </c>
      <c r="Q1475" s="164">
        <f>SUMIF(TArticle[تاریخ],TDays[[#This Row],[تاریخ]],TArticle[تراکنش برنامه ریزی شده])</f>
        <v>0</v>
      </c>
    </row>
    <row r="1476" spans="1:17" x14ac:dyDescent="0.25">
      <c r="A1476" s="3" t="s">
        <v>2059</v>
      </c>
      <c r="B1476" s="164" t="str">
        <f>RIGHT(TDays[[#This Row],[تاریخ]],2)</f>
        <v>15</v>
      </c>
      <c r="C1476" s="164" t="str">
        <f>RIGHT(LEFT(TDays[[#This Row],[تاریخ]],7),2)</f>
        <v>01</v>
      </c>
      <c r="D1476" s="164" t="str">
        <f>LEFT(TDays[[#This Row],[تاریخ]],4)</f>
        <v>1405</v>
      </c>
      <c r="E1476" s="164" t="str">
        <f>LEFT(TDays[[#This Row],[تاریخ]],7)</f>
        <v>1405-01</v>
      </c>
      <c r="F1476">
        <v>6</v>
      </c>
      <c r="G1476" s="165" t="str">
        <f>VLOOKUP(TDays[[#This Row],[کد روز هفته]],TDaysOfTheWeek[],2,FALSE)</f>
        <v>جمعه</v>
      </c>
      <c r="H1476" s="165">
        <f>IFERROR(IF(E1475&lt;&gt;E1476,1,INT(H1475)+IF(TDays[[#This Row],[کد روز هفته]]=0,1,0)),1)</f>
        <v>3</v>
      </c>
      <c r="I1476" s="164">
        <f>-SUMIF(TArticle[تاریخ],TDays[[#This Row],[تاریخ]],TArticle[هزینه])</f>
        <v>0</v>
      </c>
      <c r="J1476" s="164">
        <f>SUMIF(TArticle[تاریخ],TDays[[#This Row],[تاریخ]],TArticle[درآمد تتا])</f>
        <v>0</v>
      </c>
      <c r="K1476" s="164">
        <f>SUMIF(TArticle[تاریخ],TDays[[#This Row],[تاریخ]],TArticle[اسنپ])</f>
        <v>0</v>
      </c>
      <c r="L1476" s="164">
        <f>-SUMIF(TArticle[تاریخ],TDays[[#This Row],[تاریخ]],TArticle[پرداخت بدهی])</f>
        <v>0</v>
      </c>
      <c r="M1476" s="164">
        <f>SUMIF(TArticle[تاریخ],TDays[[#This Row],[تاریخ]],TArticle[افزایش بدهی])</f>
        <v>0</v>
      </c>
      <c r="N1476" s="164">
        <f>-SUMIF(TArticle[تاریخ],TDays[[#This Row],[تاریخ]],TArticle[افزایش سرمایه])</f>
        <v>0</v>
      </c>
      <c r="O1476" s="164">
        <f>SUMIF(TArticle[تاریخ],TDays[[#This Row],[تاریخ]],TArticle[تعداد تراکنش انجام شده])</f>
        <v>0</v>
      </c>
      <c r="P1476" s="164">
        <f>INT(((TDays[[#This Row],[ماه]]-1)*31+TDays[[#This Row],[روز]]+1)/7)+1</f>
        <v>3</v>
      </c>
      <c r="Q1476" s="164">
        <f>SUMIF(TArticle[تاریخ],TDays[[#This Row],[تاریخ]],TArticle[تراکنش برنامه ریزی شده])</f>
        <v>0</v>
      </c>
    </row>
    <row r="1477" spans="1:17" x14ac:dyDescent="0.25">
      <c r="A1477" s="3" t="s">
        <v>2060</v>
      </c>
      <c r="B1477" s="164" t="str">
        <f>RIGHT(TDays[[#This Row],[تاریخ]],2)</f>
        <v>16</v>
      </c>
      <c r="C1477" s="164" t="str">
        <f>RIGHT(LEFT(TDays[[#This Row],[تاریخ]],7),2)</f>
        <v>01</v>
      </c>
      <c r="D1477" s="164" t="str">
        <f>LEFT(TDays[[#This Row],[تاریخ]],4)</f>
        <v>1405</v>
      </c>
      <c r="E1477" s="164" t="str">
        <f>LEFT(TDays[[#This Row],[تاریخ]],7)</f>
        <v>1405-01</v>
      </c>
      <c r="F1477">
        <v>0</v>
      </c>
      <c r="G1477" s="165" t="str">
        <f>VLOOKUP(TDays[[#This Row],[کد روز هفته]],TDaysOfTheWeek[],2,FALSE)</f>
        <v>شنبه</v>
      </c>
      <c r="H1477" s="165">
        <f>IFERROR(IF(E1476&lt;&gt;E1477,1,INT(H1476)+IF(TDays[[#This Row],[کد روز هفته]]=0,1,0)),1)</f>
        <v>4</v>
      </c>
      <c r="I1477" s="164">
        <f>-SUMIF(TArticle[تاریخ],TDays[[#This Row],[تاریخ]],TArticle[هزینه])</f>
        <v>0</v>
      </c>
      <c r="J1477" s="164">
        <f>SUMIF(TArticle[تاریخ],TDays[[#This Row],[تاریخ]],TArticle[درآمد تتا])</f>
        <v>0</v>
      </c>
      <c r="K1477" s="164">
        <f>SUMIF(TArticle[تاریخ],TDays[[#This Row],[تاریخ]],TArticle[اسنپ])</f>
        <v>0</v>
      </c>
      <c r="L1477" s="164">
        <f>-SUMIF(TArticle[تاریخ],TDays[[#This Row],[تاریخ]],TArticle[پرداخت بدهی])</f>
        <v>0</v>
      </c>
      <c r="M1477" s="164">
        <f>SUMIF(TArticle[تاریخ],TDays[[#This Row],[تاریخ]],TArticle[افزایش بدهی])</f>
        <v>0</v>
      </c>
      <c r="N1477" s="164">
        <f>-SUMIF(TArticle[تاریخ],TDays[[#This Row],[تاریخ]],TArticle[افزایش سرمایه])</f>
        <v>0</v>
      </c>
      <c r="O1477" s="164">
        <f>SUMIF(TArticle[تاریخ],TDays[[#This Row],[تاریخ]],TArticle[تعداد تراکنش انجام شده])</f>
        <v>0</v>
      </c>
      <c r="P1477" s="164">
        <f>INT(((TDays[[#This Row],[ماه]]-1)*31+TDays[[#This Row],[روز]]+1)/7)+1</f>
        <v>3</v>
      </c>
      <c r="Q1477" s="164">
        <f>SUMIF(TArticle[تاریخ],TDays[[#This Row],[تاریخ]],TArticle[تراکنش برنامه ریزی شده])</f>
        <v>0</v>
      </c>
    </row>
    <row r="1478" spans="1:17" x14ac:dyDescent="0.25">
      <c r="A1478" s="3" t="s">
        <v>2061</v>
      </c>
      <c r="B1478" s="164" t="str">
        <f>RIGHT(TDays[[#This Row],[تاریخ]],2)</f>
        <v>17</v>
      </c>
      <c r="C1478" s="164" t="str">
        <f>RIGHT(LEFT(TDays[[#This Row],[تاریخ]],7),2)</f>
        <v>01</v>
      </c>
      <c r="D1478" s="164" t="str">
        <f>LEFT(TDays[[#This Row],[تاریخ]],4)</f>
        <v>1405</v>
      </c>
      <c r="E1478" s="164" t="str">
        <f>LEFT(TDays[[#This Row],[تاریخ]],7)</f>
        <v>1405-01</v>
      </c>
      <c r="F1478">
        <v>1</v>
      </c>
      <c r="G1478" s="165" t="str">
        <f>VLOOKUP(TDays[[#This Row],[کد روز هفته]],TDaysOfTheWeek[],2,FALSE)</f>
        <v>یکشنبه</v>
      </c>
      <c r="H1478" s="165">
        <f>IFERROR(IF(E1477&lt;&gt;E1478,1,INT(H1477)+IF(TDays[[#This Row],[کد روز هفته]]=0,1,0)),1)</f>
        <v>4</v>
      </c>
      <c r="I1478" s="164">
        <f>-SUMIF(TArticle[تاریخ],TDays[[#This Row],[تاریخ]],TArticle[هزینه])</f>
        <v>0</v>
      </c>
      <c r="J1478" s="164">
        <f>SUMIF(TArticle[تاریخ],TDays[[#This Row],[تاریخ]],TArticle[درآمد تتا])</f>
        <v>0</v>
      </c>
      <c r="K1478" s="164">
        <f>SUMIF(TArticle[تاریخ],TDays[[#This Row],[تاریخ]],TArticle[اسنپ])</f>
        <v>0</v>
      </c>
      <c r="L1478" s="164">
        <f>-SUMIF(TArticle[تاریخ],TDays[[#This Row],[تاریخ]],TArticle[پرداخت بدهی])</f>
        <v>0</v>
      </c>
      <c r="M1478" s="164">
        <f>SUMIF(TArticle[تاریخ],TDays[[#This Row],[تاریخ]],TArticle[افزایش بدهی])</f>
        <v>0</v>
      </c>
      <c r="N1478" s="164">
        <f>-SUMIF(TArticle[تاریخ],TDays[[#This Row],[تاریخ]],TArticle[افزایش سرمایه])</f>
        <v>0</v>
      </c>
      <c r="O1478" s="164">
        <f>SUMIF(TArticle[تاریخ],TDays[[#This Row],[تاریخ]],TArticle[تعداد تراکنش انجام شده])</f>
        <v>0</v>
      </c>
      <c r="P1478" s="164">
        <f>INT(((TDays[[#This Row],[ماه]]-1)*31+TDays[[#This Row],[روز]]+1)/7)+1</f>
        <v>3</v>
      </c>
      <c r="Q1478" s="164">
        <f>SUMIF(TArticle[تاریخ],TDays[[#This Row],[تاریخ]],TArticle[تراکنش برنامه ریزی شده])</f>
        <v>0</v>
      </c>
    </row>
    <row r="1479" spans="1:17" x14ac:dyDescent="0.25">
      <c r="A1479" s="3" t="s">
        <v>2062</v>
      </c>
      <c r="B1479" s="164" t="str">
        <f>RIGHT(TDays[[#This Row],[تاریخ]],2)</f>
        <v>18</v>
      </c>
      <c r="C1479" s="164" t="str">
        <f>RIGHT(LEFT(TDays[[#This Row],[تاریخ]],7),2)</f>
        <v>01</v>
      </c>
      <c r="D1479" s="164" t="str">
        <f>LEFT(TDays[[#This Row],[تاریخ]],4)</f>
        <v>1405</v>
      </c>
      <c r="E1479" s="164" t="str">
        <f>LEFT(TDays[[#This Row],[تاریخ]],7)</f>
        <v>1405-01</v>
      </c>
      <c r="F1479">
        <v>2</v>
      </c>
      <c r="G1479" s="165" t="str">
        <f>VLOOKUP(TDays[[#This Row],[کد روز هفته]],TDaysOfTheWeek[],2,FALSE)</f>
        <v>دوشنبه</v>
      </c>
      <c r="H1479" s="165">
        <f>IFERROR(IF(E1478&lt;&gt;E1479,1,INT(H1478)+IF(TDays[[#This Row],[کد روز هفته]]=0,1,0)),1)</f>
        <v>4</v>
      </c>
      <c r="I1479" s="164">
        <f>-SUMIF(TArticle[تاریخ],TDays[[#This Row],[تاریخ]],TArticle[هزینه])</f>
        <v>0</v>
      </c>
      <c r="J1479" s="164">
        <f>SUMIF(TArticle[تاریخ],TDays[[#This Row],[تاریخ]],TArticle[درآمد تتا])</f>
        <v>0</v>
      </c>
      <c r="K1479" s="164">
        <f>SUMIF(TArticle[تاریخ],TDays[[#This Row],[تاریخ]],TArticle[اسنپ])</f>
        <v>0</v>
      </c>
      <c r="L1479" s="164">
        <f>-SUMIF(TArticle[تاریخ],TDays[[#This Row],[تاریخ]],TArticle[پرداخت بدهی])</f>
        <v>0</v>
      </c>
      <c r="M1479" s="164">
        <f>SUMIF(TArticle[تاریخ],TDays[[#This Row],[تاریخ]],TArticle[افزایش بدهی])</f>
        <v>0</v>
      </c>
      <c r="N1479" s="164">
        <f>-SUMIF(TArticle[تاریخ],TDays[[#This Row],[تاریخ]],TArticle[افزایش سرمایه])</f>
        <v>0</v>
      </c>
      <c r="O1479" s="164">
        <f>SUMIF(TArticle[تاریخ],TDays[[#This Row],[تاریخ]],TArticle[تعداد تراکنش انجام شده])</f>
        <v>0</v>
      </c>
      <c r="P1479" s="164">
        <f>INT(((TDays[[#This Row],[ماه]]-1)*31+TDays[[#This Row],[روز]]+1)/7)+1</f>
        <v>3</v>
      </c>
      <c r="Q1479" s="164">
        <f>SUMIF(TArticle[تاریخ],TDays[[#This Row],[تاریخ]],TArticle[تراکنش برنامه ریزی شده])</f>
        <v>0</v>
      </c>
    </row>
    <row r="1480" spans="1:17" x14ac:dyDescent="0.25">
      <c r="A1480" s="3" t="s">
        <v>2063</v>
      </c>
      <c r="B1480" s="164" t="str">
        <f>RIGHT(TDays[[#This Row],[تاریخ]],2)</f>
        <v>19</v>
      </c>
      <c r="C1480" s="164" t="str">
        <f>RIGHT(LEFT(TDays[[#This Row],[تاریخ]],7),2)</f>
        <v>01</v>
      </c>
      <c r="D1480" s="164" t="str">
        <f>LEFT(TDays[[#This Row],[تاریخ]],4)</f>
        <v>1405</v>
      </c>
      <c r="E1480" s="164" t="str">
        <f>LEFT(TDays[[#This Row],[تاریخ]],7)</f>
        <v>1405-01</v>
      </c>
      <c r="F1480">
        <v>3</v>
      </c>
      <c r="G1480" s="165" t="str">
        <f>VLOOKUP(TDays[[#This Row],[کد روز هفته]],TDaysOfTheWeek[],2,FALSE)</f>
        <v>سه شنبه</v>
      </c>
      <c r="H1480" s="165">
        <f>IFERROR(IF(E1479&lt;&gt;E1480,1,INT(H1479)+IF(TDays[[#This Row],[کد روز هفته]]=0,1,0)),1)</f>
        <v>4</v>
      </c>
      <c r="I1480" s="164">
        <f>-SUMIF(TArticle[تاریخ],TDays[[#This Row],[تاریخ]],TArticle[هزینه])</f>
        <v>0</v>
      </c>
      <c r="J1480" s="164">
        <f>SUMIF(TArticle[تاریخ],TDays[[#This Row],[تاریخ]],TArticle[درآمد تتا])</f>
        <v>0</v>
      </c>
      <c r="K1480" s="164">
        <f>SUMIF(TArticle[تاریخ],TDays[[#This Row],[تاریخ]],TArticle[اسنپ])</f>
        <v>0</v>
      </c>
      <c r="L1480" s="164">
        <f>-SUMIF(TArticle[تاریخ],TDays[[#This Row],[تاریخ]],TArticle[پرداخت بدهی])</f>
        <v>0</v>
      </c>
      <c r="M1480" s="164">
        <f>SUMIF(TArticle[تاریخ],TDays[[#This Row],[تاریخ]],TArticle[افزایش بدهی])</f>
        <v>0</v>
      </c>
      <c r="N1480" s="164">
        <f>-SUMIF(TArticle[تاریخ],TDays[[#This Row],[تاریخ]],TArticle[افزایش سرمایه])</f>
        <v>0</v>
      </c>
      <c r="O1480" s="164">
        <f>SUMIF(TArticle[تاریخ],TDays[[#This Row],[تاریخ]],TArticle[تعداد تراکنش انجام شده])</f>
        <v>0</v>
      </c>
      <c r="P1480" s="164">
        <f>INT(((TDays[[#This Row],[ماه]]-1)*31+TDays[[#This Row],[روز]]+1)/7)+1</f>
        <v>3</v>
      </c>
      <c r="Q1480" s="164">
        <f>SUMIF(TArticle[تاریخ],TDays[[#This Row],[تاریخ]],TArticle[تراکنش برنامه ریزی شده])</f>
        <v>0</v>
      </c>
    </row>
    <row r="1481" spans="1:17" x14ac:dyDescent="0.25">
      <c r="A1481" s="3" t="s">
        <v>2064</v>
      </c>
      <c r="B1481" s="164" t="str">
        <f>RIGHT(TDays[[#This Row],[تاریخ]],2)</f>
        <v>20</v>
      </c>
      <c r="C1481" s="164" t="str">
        <f>RIGHT(LEFT(TDays[[#This Row],[تاریخ]],7),2)</f>
        <v>01</v>
      </c>
      <c r="D1481" s="164" t="str">
        <f>LEFT(TDays[[#This Row],[تاریخ]],4)</f>
        <v>1405</v>
      </c>
      <c r="E1481" s="164" t="str">
        <f>LEFT(TDays[[#This Row],[تاریخ]],7)</f>
        <v>1405-01</v>
      </c>
      <c r="F1481">
        <v>4</v>
      </c>
      <c r="G1481" s="165" t="str">
        <f>VLOOKUP(TDays[[#This Row],[کد روز هفته]],TDaysOfTheWeek[],2,FALSE)</f>
        <v>چهارشنبه</v>
      </c>
      <c r="H1481" s="165">
        <f>IFERROR(IF(E1480&lt;&gt;E1481,1,INT(H1480)+IF(TDays[[#This Row],[کد روز هفته]]=0,1,0)),1)</f>
        <v>4</v>
      </c>
      <c r="I1481" s="164">
        <f>-SUMIF(TArticle[تاریخ],TDays[[#This Row],[تاریخ]],TArticle[هزینه])</f>
        <v>0</v>
      </c>
      <c r="J1481" s="164">
        <f>SUMIF(TArticle[تاریخ],TDays[[#This Row],[تاریخ]],TArticle[درآمد تتا])</f>
        <v>0</v>
      </c>
      <c r="K1481" s="164">
        <f>SUMIF(TArticle[تاریخ],TDays[[#This Row],[تاریخ]],TArticle[اسنپ])</f>
        <v>0</v>
      </c>
      <c r="L1481" s="164">
        <f>-SUMIF(TArticle[تاریخ],TDays[[#This Row],[تاریخ]],TArticle[پرداخت بدهی])</f>
        <v>0</v>
      </c>
      <c r="M1481" s="164">
        <f>SUMIF(TArticle[تاریخ],TDays[[#This Row],[تاریخ]],TArticle[افزایش بدهی])</f>
        <v>0</v>
      </c>
      <c r="N1481" s="164">
        <f>-SUMIF(TArticle[تاریخ],TDays[[#This Row],[تاریخ]],TArticle[افزایش سرمایه])</f>
        <v>0</v>
      </c>
      <c r="O1481" s="164">
        <f>SUMIF(TArticle[تاریخ],TDays[[#This Row],[تاریخ]],TArticle[تعداد تراکنش انجام شده])</f>
        <v>0</v>
      </c>
      <c r="P1481" s="164">
        <f>INT(((TDays[[#This Row],[ماه]]-1)*31+TDays[[#This Row],[روز]]+1)/7)+1</f>
        <v>4</v>
      </c>
      <c r="Q1481" s="164">
        <f>SUMIF(TArticle[تاریخ],TDays[[#This Row],[تاریخ]],TArticle[تراکنش برنامه ریزی شده])</f>
        <v>0</v>
      </c>
    </row>
    <row r="1482" spans="1:17" x14ac:dyDescent="0.25">
      <c r="A1482" s="3" t="s">
        <v>2065</v>
      </c>
      <c r="B1482" s="164" t="str">
        <f>RIGHT(TDays[[#This Row],[تاریخ]],2)</f>
        <v>21</v>
      </c>
      <c r="C1482" s="164" t="str">
        <f>RIGHT(LEFT(TDays[[#This Row],[تاریخ]],7),2)</f>
        <v>01</v>
      </c>
      <c r="D1482" s="164" t="str">
        <f>LEFT(TDays[[#This Row],[تاریخ]],4)</f>
        <v>1405</v>
      </c>
      <c r="E1482" s="164" t="str">
        <f>LEFT(TDays[[#This Row],[تاریخ]],7)</f>
        <v>1405-01</v>
      </c>
      <c r="F1482">
        <v>5</v>
      </c>
      <c r="G1482" s="165" t="str">
        <f>VLOOKUP(TDays[[#This Row],[کد روز هفته]],TDaysOfTheWeek[],2,FALSE)</f>
        <v>پنجشنبه</v>
      </c>
      <c r="H1482" s="165">
        <f>IFERROR(IF(E1481&lt;&gt;E1482,1,INT(H1481)+IF(TDays[[#This Row],[کد روز هفته]]=0,1,0)),1)</f>
        <v>4</v>
      </c>
      <c r="I1482" s="164">
        <f>-SUMIF(TArticle[تاریخ],TDays[[#This Row],[تاریخ]],TArticle[هزینه])</f>
        <v>0</v>
      </c>
      <c r="J1482" s="164">
        <f>SUMIF(TArticle[تاریخ],TDays[[#This Row],[تاریخ]],TArticle[درآمد تتا])</f>
        <v>0</v>
      </c>
      <c r="K1482" s="164">
        <f>SUMIF(TArticle[تاریخ],TDays[[#This Row],[تاریخ]],TArticle[اسنپ])</f>
        <v>0</v>
      </c>
      <c r="L1482" s="164">
        <f>-SUMIF(TArticle[تاریخ],TDays[[#This Row],[تاریخ]],TArticle[پرداخت بدهی])</f>
        <v>0</v>
      </c>
      <c r="M1482" s="164">
        <f>SUMIF(TArticle[تاریخ],TDays[[#This Row],[تاریخ]],TArticle[افزایش بدهی])</f>
        <v>0</v>
      </c>
      <c r="N1482" s="164">
        <f>-SUMIF(TArticle[تاریخ],TDays[[#This Row],[تاریخ]],TArticle[افزایش سرمایه])</f>
        <v>0</v>
      </c>
      <c r="O1482" s="164">
        <f>SUMIF(TArticle[تاریخ],TDays[[#This Row],[تاریخ]],TArticle[تعداد تراکنش انجام شده])</f>
        <v>0</v>
      </c>
      <c r="P1482" s="164">
        <f>INT(((TDays[[#This Row],[ماه]]-1)*31+TDays[[#This Row],[روز]]+1)/7)+1</f>
        <v>4</v>
      </c>
      <c r="Q1482" s="164">
        <f>SUMIF(TArticle[تاریخ],TDays[[#This Row],[تاریخ]],TArticle[تراکنش برنامه ریزی شده])</f>
        <v>0</v>
      </c>
    </row>
    <row r="1483" spans="1:17" x14ac:dyDescent="0.25">
      <c r="A1483" s="3" t="s">
        <v>2066</v>
      </c>
      <c r="B1483" s="164" t="str">
        <f>RIGHT(TDays[[#This Row],[تاریخ]],2)</f>
        <v>22</v>
      </c>
      <c r="C1483" s="164" t="str">
        <f>RIGHT(LEFT(TDays[[#This Row],[تاریخ]],7),2)</f>
        <v>01</v>
      </c>
      <c r="D1483" s="164" t="str">
        <f>LEFT(TDays[[#This Row],[تاریخ]],4)</f>
        <v>1405</v>
      </c>
      <c r="E1483" s="164" t="str">
        <f>LEFT(TDays[[#This Row],[تاریخ]],7)</f>
        <v>1405-01</v>
      </c>
      <c r="F1483">
        <v>6</v>
      </c>
      <c r="G1483" s="165" t="str">
        <f>VLOOKUP(TDays[[#This Row],[کد روز هفته]],TDaysOfTheWeek[],2,FALSE)</f>
        <v>جمعه</v>
      </c>
      <c r="H1483" s="165">
        <f>IFERROR(IF(E1482&lt;&gt;E1483,1,INT(H1482)+IF(TDays[[#This Row],[کد روز هفته]]=0,1,0)),1)</f>
        <v>4</v>
      </c>
      <c r="I1483" s="164">
        <f>-SUMIF(TArticle[تاریخ],TDays[[#This Row],[تاریخ]],TArticle[هزینه])</f>
        <v>0</v>
      </c>
      <c r="J1483" s="164">
        <f>SUMIF(TArticle[تاریخ],TDays[[#This Row],[تاریخ]],TArticle[درآمد تتا])</f>
        <v>0</v>
      </c>
      <c r="K1483" s="164">
        <f>SUMIF(TArticle[تاریخ],TDays[[#This Row],[تاریخ]],TArticle[اسنپ])</f>
        <v>0</v>
      </c>
      <c r="L1483" s="164">
        <f>-SUMIF(TArticle[تاریخ],TDays[[#This Row],[تاریخ]],TArticle[پرداخت بدهی])</f>
        <v>0</v>
      </c>
      <c r="M1483" s="164">
        <f>SUMIF(TArticle[تاریخ],TDays[[#This Row],[تاریخ]],TArticle[افزایش بدهی])</f>
        <v>0</v>
      </c>
      <c r="N1483" s="164">
        <f>-SUMIF(TArticle[تاریخ],TDays[[#This Row],[تاریخ]],TArticle[افزایش سرمایه])</f>
        <v>0</v>
      </c>
      <c r="O1483" s="164">
        <f>SUMIF(TArticle[تاریخ],TDays[[#This Row],[تاریخ]],TArticle[تعداد تراکنش انجام شده])</f>
        <v>0</v>
      </c>
      <c r="P1483" s="164">
        <f>INT(((TDays[[#This Row],[ماه]]-1)*31+TDays[[#This Row],[روز]]+1)/7)+1</f>
        <v>4</v>
      </c>
      <c r="Q1483" s="164">
        <f>SUMIF(TArticle[تاریخ],TDays[[#This Row],[تاریخ]],TArticle[تراکنش برنامه ریزی شده])</f>
        <v>0</v>
      </c>
    </row>
    <row r="1484" spans="1:17" x14ac:dyDescent="0.25">
      <c r="A1484" s="3" t="s">
        <v>2067</v>
      </c>
      <c r="B1484" s="164" t="str">
        <f>RIGHT(TDays[[#This Row],[تاریخ]],2)</f>
        <v>23</v>
      </c>
      <c r="C1484" s="164" t="str">
        <f>RIGHT(LEFT(TDays[[#This Row],[تاریخ]],7),2)</f>
        <v>01</v>
      </c>
      <c r="D1484" s="164" t="str">
        <f>LEFT(TDays[[#This Row],[تاریخ]],4)</f>
        <v>1405</v>
      </c>
      <c r="E1484" s="164" t="str">
        <f>LEFT(TDays[[#This Row],[تاریخ]],7)</f>
        <v>1405-01</v>
      </c>
      <c r="F1484">
        <v>0</v>
      </c>
      <c r="G1484" s="165" t="str">
        <f>VLOOKUP(TDays[[#This Row],[کد روز هفته]],TDaysOfTheWeek[],2,FALSE)</f>
        <v>شنبه</v>
      </c>
      <c r="H1484" s="165">
        <f>IFERROR(IF(E1483&lt;&gt;E1484,1,INT(H1483)+IF(TDays[[#This Row],[کد روز هفته]]=0,1,0)),1)</f>
        <v>5</v>
      </c>
      <c r="I1484" s="164">
        <f>-SUMIF(TArticle[تاریخ],TDays[[#This Row],[تاریخ]],TArticle[هزینه])</f>
        <v>0</v>
      </c>
      <c r="J1484" s="164">
        <f>SUMIF(TArticle[تاریخ],TDays[[#This Row],[تاریخ]],TArticle[درآمد تتا])</f>
        <v>0</v>
      </c>
      <c r="K1484" s="164">
        <f>SUMIF(TArticle[تاریخ],TDays[[#This Row],[تاریخ]],TArticle[اسنپ])</f>
        <v>0</v>
      </c>
      <c r="L1484" s="164">
        <f>-SUMIF(TArticle[تاریخ],TDays[[#This Row],[تاریخ]],TArticle[پرداخت بدهی])</f>
        <v>0</v>
      </c>
      <c r="M1484" s="164">
        <f>SUMIF(TArticle[تاریخ],TDays[[#This Row],[تاریخ]],TArticle[افزایش بدهی])</f>
        <v>0</v>
      </c>
      <c r="N1484" s="164">
        <f>-SUMIF(TArticle[تاریخ],TDays[[#This Row],[تاریخ]],TArticle[افزایش سرمایه])</f>
        <v>0</v>
      </c>
      <c r="O1484" s="164">
        <f>SUMIF(TArticle[تاریخ],TDays[[#This Row],[تاریخ]],TArticle[تعداد تراکنش انجام شده])</f>
        <v>0</v>
      </c>
      <c r="P1484" s="164">
        <f>INT(((TDays[[#This Row],[ماه]]-1)*31+TDays[[#This Row],[روز]]+1)/7)+1</f>
        <v>4</v>
      </c>
      <c r="Q1484" s="164">
        <f>SUMIF(TArticle[تاریخ],TDays[[#This Row],[تاریخ]],TArticle[تراکنش برنامه ریزی شده])</f>
        <v>0</v>
      </c>
    </row>
    <row r="1485" spans="1:17" x14ac:dyDescent="0.25">
      <c r="A1485" s="3" t="s">
        <v>2068</v>
      </c>
      <c r="B1485" s="164" t="str">
        <f>RIGHT(TDays[[#This Row],[تاریخ]],2)</f>
        <v>24</v>
      </c>
      <c r="C1485" s="164" t="str">
        <f>RIGHT(LEFT(TDays[[#This Row],[تاریخ]],7),2)</f>
        <v>01</v>
      </c>
      <c r="D1485" s="164" t="str">
        <f>LEFT(TDays[[#This Row],[تاریخ]],4)</f>
        <v>1405</v>
      </c>
      <c r="E1485" s="164" t="str">
        <f>LEFT(TDays[[#This Row],[تاریخ]],7)</f>
        <v>1405-01</v>
      </c>
      <c r="F1485">
        <v>1</v>
      </c>
      <c r="G1485" s="165" t="str">
        <f>VLOOKUP(TDays[[#This Row],[کد روز هفته]],TDaysOfTheWeek[],2,FALSE)</f>
        <v>یکشنبه</v>
      </c>
      <c r="H1485" s="165">
        <f>IFERROR(IF(E1484&lt;&gt;E1485,1,INT(H1484)+IF(TDays[[#This Row],[کد روز هفته]]=0,1,0)),1)</f>
        <v>5</v>
      </c>
      <c r="I1485" s="164">
        <f>-SUMIF(TArticle[تاریخ],TDays[[#This Row],[تاریخ]],TArticle[هزینه])</f>
        <v>0</v>
      </c>
      <c r="J1485" s="164">
        <f>SUMIF(TArticle[تاریخ],TDays[[#This Row],[تاریخ]],TArticle[درآمد تتا])</f>
        <v>0</v>
      </c>
      <c r="K1485" s="164">
        <f>SUMIF(TArticle[تاریخ],TDays[[#This Row],[تاریخ]],TArticle[اسنپ])</f>
        <v>0</v>
      </c>
      <c r="L1485" s="164">
        <f>-SUMIF(TArticle[تاریخ],TDays[[#This Row],[تاریخ]],TArticle[پرداخت بدهی])</f>
        <v>0</v>
      </c>
      <c r="M1485" s="164">
        <f>SUMIF(TArticle[تاریخ],TDays[[#This Row],[تاریخ]],TArticle[افزایش بدهی])</f>
        <v>0</v>
      </c>
      <c r="N1485" s="164">
        <f>-SUMIF(TArticle[تاریخ],TDays[[#This Row],[تاریخ]],TArticle[افزایش سرمایه])</f>
        <v>0</v>
      </c>
      <c r="O1485" s="164">
        <f>SUMIF(TArticle[تاریخ],TDays[[#This Row],[تاریخ]],TArticle[تعداد تراکنش انجام شده])</f>
        <v>0</v>
      </c>
      <c r="P1485" s="164">
        <f>INT(((TDays[[#This Row],[ماه]]-1)*31+TDays[[#This Row],[روز]]+1)/7)+1</f>
        <v>4</v>
      </c>
      <c r="Q1485" s="164">
        <f>SUMIF(TArticle[تاریخ],TDays[[#This Row],[تاریخ]],TArticle[تراکنش برنامه ریزی شده])</f>
        <v>0</v>
      </c>
    </row>
    <row r="1486" spans="1:17" x14ac:dyDescent="0.25">
      <c r="A1486" s="3" t="s">
        <v>2069</v>
      </c>
      <c r="B1486" s="164" t="str">
        <f>RIGHT(TDays[[#This Row],[تاریخ]],2)</f>
        <v>25</v>
      </c>
      <c r="C1486" s="164" t="str">
        <f>RIGHT(LEFT(TDays[[#This Row],[تاریخ]],7),2)</f>
        <v>01</v>
      </c>
      <c r="D1486" s="164" t="str">
        <f>LEFT(TDays[[#This Row],[تاریخ]],4)</f>
        <v>1405</v>
      </c>
      <c r="E1486" s="164" t="str">
        <f>LEFT(TDays[[#This Row],[تاریخ]],7)</f>
        <v>1405-01</v>
      </c>
      <c r="F1486">
        <v>2</v>
      </c>
      <c r="G1486" s="165" t="str">
        <f>VLOOKUP(TDays[[#This Row],[کد روز هفته]],TDaysOfTheWeek[],2,FALSE)</f>
        <v>دوشنبه</v>
      </c>
      <c r="H1486" s="165">
        <f>IFERROR(IF(E1485&lt;&gt;E1486,1,INT(H1485)+IF(TDays[[#This Row],[کد روز هفته]]=0,1,0)),1)</f>
        <v>5</v>
      </c>
      <c r="I1486" s="164">
        <f>-SUMIF(TArticle[تاریخ],TDays[[#This Row],[تاریخ]],TArticle[هزینه])</f>
        <v>0</v>
      </c>
      <c r="J1486" s="164">
        <f>SUMIF(TArticle[تاریخ],TDays[[#This Row],[تاریخ]],TArticle[درآمد تتا])</f>
        <v>0</v>
      </c>
      <c r="K1486" s="164">
        <f>SUMIF(TArticle[تاریخ],TDays[[#This Row],[تاریخ]],TArticle[اسنپ])</f>
        <v>0</v>
      </c>
      <c r="L1486" s="164">
        <f>-SUMIF(TArticle[تاریخ],TDays[[#This Row],[تاریخ]],TArticle[پرداخت بدهی])</f>
        <v>0</v>
      </c>
      <c r="M1486" s="164">
        <f>SUMIF(TArticle[تاریخ],TDays[[#This Row],[تاریخ]],TArticle[افزایش بدهی])</f>
        <v>0</v>
      </c>
      <c r="N1486" s="164">
        <f>-SUMIF(TArticle[تاریخ],TDays[[#This Row],[تاریخ]],TArticle[افزایش سرمایه])</f>
        <v>0</v>
      </c>
      <c r="O1486" s="164">
        <f>SUMIF(TArticle[تاریخ],TDays[[#This Row],[تاریخ]],TArticle[تعداد تراکنش انجام شده])</f>
        <v>0</v>
      </c>
      <c r="P1486" s="164">
        <f>INT(((TDays[[#This Row],[ماه]]-1)*31+TDays[[#This Row],[روز]]+1)/7)+1</f>
        <v>4</v>
      </c>
      <c r="Q1486" s="164">
        <f>SUMIF(TArticle[تاریخ],TDays[[#This Row],[تاریخ]],TArticle[تراکنش برنامه ریزی شده])</f>
        <v>0</v>
      </c>
    </row>
    <row r="1487" spans="1:17" x14ac:dyDescent="0.25">
      <c r="A1487" s="3" t="s">
        <v>2070</v>
      </c>
      <c r="B1487" s="164" t="str">
        <f>RIGHT(TDays[[#This Row],[تاریخ]],2)</f>
        <v>26</v>
      </c>
      <c r="C1487" s="164" t="str">
        <f>RIGHT(LEFT(TDays[[#This Row],[تاریخ]],7),2)</f>
        <v>01</v>
      </c>
      <c r="D1487" s="164" t="str">
        <f>LEFT(TDays[[#This Row],[تاریخ]],4)</f>
        <v>1405</v>
      </c>
      <c r="E1487" s="164" t="str">
        <f>LEFT(TDays[[#This Row],[تاریخ]],7)</f>
        <v>1405-01</v>
      </c>
      <c r="F1487" s="164">
        <v>3</v>
      </c>
      <c r="G1487" s="165" t="str">
        <f>VLOOKUP(TDays[[#This Row],[کد روز هفته]],TDaysOfTheWeek[],2,FALSE)</f>
        <v>سه شنبه</v>
      </c>
      <c r="H1487" s="165">
        <f>IFERROR(IF(E1486&lt;&gt;E1487,1,INT(H1486)+IF(TDays[[#This Row],[کد روز هفته]]=0,1,0)),1)</f>
        <v>5</v>
      </c>
      <c r="I1487" s="164">
        <f>-SUMIF(TArticle[تاریخ],TDays[[#This Row],[تاریخ]],TArticle[هزینه])</f>
        <v>0</v>
      </c>
      <c r="J1487" s="164">
        <f>SUMIF(TArticle[تاریخ],TDays[[#This Row],[تاریخ]],TArticle[درآمد تتا])</f>
        <v>0</v>
      </c>
      <c r="K1487" s="164">
        <f>SUMIF(TArticle[تاریخ],TDays[[#This Row],[تاریخ]],TArticle[اسنپ])</f>
        <v>0</v>
      </c>
      <c r="L1487" s="164">
        <f>-SUMIF(TArticle[تاریخ],TDays[[#This Row],[تاریخ]],TArticle[پرداخت بدهی])</f>
        <v>0</v>
      </c>
      <c r="M1487" s="164">
        <f>SUMIF(TArticle[تاریخ],TDays[[#This Row],[تاریخ]],TArticle[افزایش بدهی])</f>
        <v>0</v>
      </c>
      <c r="N1487" s="164">
        <f>-SUMIF(TArticle[تاریخ],TDays[[#This Row],[تاریخ]],TArticle[افزایش سرمایه])</f>
        <v>0</v>
      </c>
      <c r="O1487" s="164">
        <f>SUMIF(TArticle[تاریخ],TDays[[#This Row],[تاریخ]],TArticle[تعداد تراکنش انجام شده])</f>
        <v>0</v>
      </c>
      <c r="P1487" s="164">
        <f>INT(((TDays[[#This Row],[ماه]]-1)*31+TDays[[#This Row],[روز]]+1)/7)+1</f>
        <v>4</v>
      </c>
      <c r="Q1487" s="164">
        <f>SUMIF(TArticle[تاریخ],TDays[[#This Row],[تاریخ]],TArticle[تراکنش برنامه ریزی شده])</f>
        <v>0</v>
      </c>
    </row>
    <row r="1488" spans="1:17" x14ac:dyDescent="0.25">
      <c r="A1488" s="3" t="s">
        <v>2071</v>
      </c>
      <c r="B1488" s="164" t="str">
        <f>RIGHT(TDays[[#This Row],[تاریخ]],2)</f>
        <v>27</v>
      </c>
      <c r="C1488" s="164" t="str">
        <f>RIGHT(LEFT(TDays[[#This Row],[تاریخ]],7),2)</f>
        <v>01</v>
      </c>
      <c r="D1488" s="164" t="str">
        <f>LEFT(TDays[[#This Row],[تاریخ]],4)</f>
        <v>1405</v>
      </c>
      <c r="E1488" s="164" t="str">
        <f>LEFT(TDays[[#This Row],[تاریخ]],7)</f>
        <v>1405-01</v>
      </c>
      <c r="F1488" s="164">
        <v>4</v>
      </c>
      <c r="G1488" s="165" t="str">
        <f>VLOOKUP(TDays[[#This Row],[کد روز هفته]],TDaysOfTheWeek[],2,FALSE)</f>
        <v>چهارشنبه</v>
      </c>
      <c r="H1488" s="165">
        <f>IFERROR(IF(E1487&lt;&gt;E1488,1,INT(H1487)+IF(TDays[[#This Row],[کد روز هفته]]=0,1,0)),1)</f>
        <v>5</v>
      </c>
      <c r="I1488" s="164">
        <f>-SUMIF(TArticle[تاریخ],TDays[[#This Row],[تاریخ]],TArticle[هزینه])</f>
        <v>0</v>
      </c>
      <c r="J1488" s="164">
        <f>SUMIF(TArticle[تاریخ],TDays[[#This Row],[تاریخ]],TArticle[درآمد تتا])</f>
        <v>0</v>
      </c>
      <c r="K1488" s="164">
        <f>SUMIF(TArticle[تاریخ],TDays[[#This Row],[تاریخ]],TArticle[اسنپ])</f>
        <v>0</v>
      </c>
      <c r="L1488" s="164">
        <f>-SUMIF(TArticle[تاریخ],TDays[[#This Row],[تاریخ]],TArticle[پرداخت بدهی])</f>
        <v>0</v>
      </c>
      <c r="M1488" s="164">
        <f>SUMIF(TArticle[تاریخ],TDays[[#This Row],[تاریخ]],TArticle[افزایش بدهی])</f>
        <v>0</v>
      </c>
      <c r="N1488" s="164">
        <f>-SUMIF(TArticle[تاریخ],TDays[[#This Row],[تاریخ]],TArticle[افزایش سرمایه])</f>
        <v>0</v>
      </c>
      <c r="O1488" s="164">
        <f>SUMIF(TArticle[تاریخ],TDays[[#This Row],[تاریخ]],TArticle[تعداد تراکنش انجام شده])</f>
        <v>0</v>
      </c>
      <c r="P1488" s="164">
        <f>INT(((TDays[[#This Row],[ماه]]-1)*31+TDays[[#This Row],[روز]]+1)/7)+1</f>
        <v>5</v>
      </c>
      <c r="Q1488" s="164">
        <f>SUMIF(TArticle[تاریخ],TDays[[#This Row],[تاریخ]],TArticle[تراکنش برنامه ریزی شده])</f>
        <v>0</v>
      </c>
    </row>
    <row r="1489" spans="1:17" x14ac:dyDescent="0.25">
      <c r="A1489" s="3" t="s">
        <v>2072</v>
      </c>
      <c r="B1489" s="164" t="str">
        <f>RIGHT(TDays[[#This Row],[تاریخ]],2)</f>
        <v>28</v>
      </c>
      <c r="C1489" s="164" t="str">
        <f>RIGHT(LEFT(TDays[[#This Row],[تاریخ]],7),2)</f>
        <v>01</v>
      </c>
      <c r="D1489" s="164" t="str">
        <f>LEFT(TDays[[#This Row],[تاریخ]],4)</f>
        <v>1405</v>
      </c>
      <c r="E1489" s="164" t="str">
        <f>LEFT(TDays[[#This Row],[تاریخ]],7)</f>
        <v>1405-01</v>
      </c>
      <c r="F1489">
        <v>5</v>
      </c>
      <c r="G1489" s="165" t="str">
        <f>VLOOKUP(TDays[[#This Row],[کد روز هفته]],TDaysOfTheWeek[],2,FALSE)</f>
        <v>پنجشنبه</v>
      </c>
      <c r="H1489" s="165">
        <f>IFERROR(IF(E1488&lt;&gt;E1489,1,INT(H1488)+IF(TDays[[#This Row],[کد روز هفته]]=0,1,0)),1)</f>
        <v>5</v>
      </c>
      <c r="I1489" s="164">
        <f>-SUMIF(TArticle[تاریخ],TDays[[#This Row],[تاریخ]],TArticle[هزینه])</f>
        <v>0</v>
      </c>
      <c r="J1489" s="164">
        <f>SUMIF(TArticle[تاریخ],TDays[[#This Row],[تاریخ]],TArticle[درآمد تتا])</f>
        <v>0</v>
      </c>
      <c r="K1489" s="164">
        <f>SUMIF(TArticle[تاریخ],TDays[[#This Row],[تاریخ]],TArticle[اسنپ])</f>
        <v>0</v>
      </c>
      <c r="L1489" s="164">
        <f>-SUMIF(TArticle[تاریخ],TDays[[#This Row],[تاریخ]],TArticle[پرداخت بدهی])</f>
        <v>0</v>
      </c>
      <c r="M1489" s="164">
        <f>SUMIF(TArticle[تاریخ],TDays[[#This Row],[تاریخ]],TArticle[افزایش بدهی])</f>
        <v>0</v>
      </c>
      <c r="N1489" s="164">
        <f>-SUMIF(TArticle[تاریخ],TDays[[#This Row],[تاریخ]],TArticle[افزایش سرمایه])</f>
        <v>0</v>
      </c>
      <c r="O1489" s="164">
        <f>SUMIF(TArticle[تاریخ],TDays[[#This Row],[تاریخ]],TArticle[تعداد تراکنش انجام شده])</f>
        <v>0</v>
      </c>
      <c r="P1489" s="164">
        <f>INT(((TDays[[#This Row],[ماه]]-1)*31+TDays[[#This Row],[روز]]+1)/7)+1</f>
        <v>5</v>
      </c>
      <c r="Q1489" s="164">
        <f>SUMIF(TArticle[تاریخ],TDays[[#This Row],[تاریخ]],TArticle[تراکنش برنامه ریزی شده])</f>
        <v>0</v>
      </c>
    </row>
    <row r="1490" spans="1:17" x14ac:dyDescent="0.25">
      <c r="A1490" s="3" t="s">
        <v>2073</v>
      </c>
      <c r="B1490" s="164" t="str">
        <f>RIGHT(TDays[[#This Row],[تاریخ]],2)</f>
        <v>29</v>
      </c>
      <c r="C1490" s="164" t="str">
        <f>RIGHT(LEFT(TDays[[#This Row],[تاریخ]],7),2)</f>
        <v>01</v>
      </c>
      <c r="D1490" s="164" t="str">
        <f>LEFT(TDays[[#This Row],[تاریخ]],4)</f>
        <v>1405</v>
      </c>
      <c r="E1490" s="164" t="str">
        <f>LEFT(TDays[[#This Row],[تاریخ]],7)</f>
        <v>1405-01</v>
      </c>
      <c r="F1490">
        <v>6</v>
      </c>
      <c r="G1490" s="165" t="str">
        <f>VLOOKUP(TDays[[#This Row],[کد روز هفته]],TDaysOfTheWeek[],2,FALSE)</f>
        <v>جمعه</v>
      </c>
      <c r="H1490" s="165">
        <f>IFERROR(IF(E1489&lt;&gt;E1490,1,INT(H1489)+IF(TDays[[#This Row],[کد روز هفته]]=0,1,0)),1)</f>
        <v>5</v>
      </c>
      <c r="I1490" s="164">
        <f>-SUMIF(TArticle[تاریخ],TDays[[#This Row],[تاریخ]],TArticle[هزینه])</f>
        <v>0</v>
      </c>
      <c r="J1490" s="164">
        <f>SUMIF(TArticle[تاریخ],TDays[[#This Row],[تاریخ]],TArticle[درآمد تتا])</f>
        <v>0</v>
      </c>
      <c r="K1490" s="164">
        <f>SUMIF(TArticle[تاریخ],TDays[[#This Row],[تاریخ]],TArticle[اسنپ])</f>
        <v>0</v>
      </c>
      <c r="L1490" s="164">
        <f>-SUMIF(TArticle[تاریخ],TDays[[#This Row],[تاریخ]],TArticle[پرداخت بدهی])</f>
        <v>0</v>
      </c>
      <c r="M1490" s="164">
        <f>SUMIF(TArticle[تاریخ],TDays[[#This Row],[تاریخ]],TArticle[افزایش بدهی])</f>
        <v>0</v>
      </c>
      <c r="N1490" s="164">
        <f>-SUMIF(TArticle[تاریخ],TDays[[#This Row],[تاریخ]],TArticle[افزایش سرمایه])</f>
        <v>0</v>
      </c>
      <c r="O1490" s="164">
        <f>SUMIF(TArticle[تاریخ],TDays[[#This Row],[تاریخ]],TArticle[تعداد تراکنش انجام شده])</f>
        <v>0</v>
      </c>
      <c r="P1490" s="164">
        <f>INT(((TDays[[#This Row],[ماه]]-1)*31+TDays[[#This Row],[روز]]+1)/7)+1</f>
        <v>5</v>
      </c>
      <c r="Q1490" s="164">
        <f>SUMIF(TArticle[تاریخ],TDays[[#This Row],[تاریخ]],TArticle[تراکنش برنامه ریزی شده])</f>
        <v>0</v>
      </c>
    </row>
    <row r="1491" spans="1:17" x14ac:dyDescent="0.25">
      <c r="A1491" s="3" t="s">
        <v>2074</v>
      </c>
      <c r="B1491" s="164" t="str">
        <f>RIGHT(TDays[[#This Row],[تاریخ]],2)</f>
        <v>30</v>
      </c>
      <c r="C1491" s="164" t="str">
        <f>RIGHT(LEFT(TDays[[#This Row],[تاریخ]],7),2)</f>
        <v>01</v>
      </c>
      <c r="D1491" s="164" t="str">
        <f>LEFT(TDays[[#This Row],[تاریخ]],4)</f>
        <v>1405</v>
      </c>
      <c r="E1491" s="164" t="str">
        <f>LEFT(TDays[[#This Row],[تاریخ]],7)</f>
        <v>1405-01</v>
      </c>
      <c r="F1491">
        <v>0</v>
      </c>
      <c r="G1491" s="165" t="str">
        <f>VLOOKUP(TDays[[#This Row],[کد روز هفته]],TDaysOfTheWeek[],2,FALSE)</f>
        <v>شنبه</v>
      </c>
      <c r="H1491" s="165">
        <f>IFERROR(IF(E1490&lt;&gt;E1491,1,INT(H1490)+IF(TDays[[#This Row],[کد روز هفته]]=0,1,0)),1)</f>
        <v>6</v>
      </c>
      <c r="I1491" s="164">
        <f>-SUMIF(TArticle[تاریخ],TDays[[#This Row],[تاریخ]],TArticle[هزینه])</f>
        <v>0</v>
      </c>
      <c r="J1491" s="164">
        <f>SUMIF(TArticle[تاریخ],TDays[[#This Row],[تاریخ]],TArticle[درآمد تتا])</f>
        <v>0</v>
      </c>
      <c r="K1491" s="164">
        <f>SUMIF(TArticle[تاریخ],TDays[[#This Row],[تاریخ]],TArticle[اسنپ])</f>
        <v>0</v>
      </c>
      <c r="L1491" s="164">
        <f>-SUMIF(TArticle[تاریخ],TDays[[#This Row],[تاریخ]],TArticle[پرداخت بدهی])</f>
        <v>0</v>
      </c>
      <c r="M1491" s="164">
        <f>SUMIF(TArticle[تاریخ],TDays[[#This Row],[تاریخ]],TArticle[افزایش بدهی])</f>
        <v>0</v>
      </c>
      <c r="N1491" s="164">
        <f>-SUMIF(TArticle[تاریخ],TDays[[#This Row],[تاریخ]],TArticle[افزایش سرمایه])</f>
        <v>0</v>
      </c>
      <c r="O1491" s="164">
        <f>SUMIF(TArticle[تاریخ],TDays[[#This Row],[تاریخ]],TArticle[تعداد تراکنش انجام شده])</f>
        <v>0</v>
      </c>
      <c r="P1491" s="164">
        <f>INT(((TDays[[#This Row],[ماه]]-1)*31+TDays[[#This Row],[روز]]+1)/7)+1</f>
        <v>5</v>
      </c>
      <c r="Q1491" s="164">
        <f>SUMIF(TArticle[تاریخ],TDays[[#This Row],[تاریخ]],TArticle[تراکنش برنامه ریزی شده])</f>
        <v>0</v>
      </c>
    </row>
    <row r="1492" spans="1:17" x14ac:dyDescent="0.25">
      <c r="A1492" s="3" t="s">
        <v>2075</v>
      </c>
      <c r="B1492" s="164" t="str">
        <f>RIGHT(TDays[[#This Row],[تاریخ]],2)</f>
        <v>31</v>
      </c>
      <c r="C1492" s="164" t="str">
        <f>RIGHT(LEFT(TDays[[#This Row],[تاریخ]],7),2)</f>
        <v>01</v>
      </c>
      <c r="D1492" s="164" t="str">
        <f>LEFT(TDays[[#This Row],[تاریخ]],4)</f>
        <v>1405</v>
      </c>
      <c r="E1492" s="164" t="str">
        <f>LEFT(TDays[[#This Row],[تاریخ]],7)</f>
        <v>1405-01</v>
      </c>
      <c r="F1492">
        <v>1</v>
      </c>
      <c r="G1492" s="165" t="str">
        <f>VLOOKUP(TDays[[#This Row],[کد روز هفته]],TDaysOfTheWeek[],2,FALSE)</f>
        <v>یکشنبه</v>
      </c>
      <c r="H1492" s="165">
        <f>IFERROR(IF(E1491&lt;&gt;E1492,1,INT(H1491)+IF(TDays[[#This Row],[کد روز هفته]]=0,1,0)),1)</f>
        <v>6</v>
      </c>
      <c r="I1492" s="164">
        <f>-SUMIF(TArticle[تاریخ],TDays[[#This Row],[تاریخ]],TArticle[هزینه])</f>
        <v>0</v>
      </c>
      <c r="J1492" s="164">
        <f>SUMIF(TArticle[تاریخ],TDays[[#This Row],[تاریخ]],TArticle[درآمد تتا])</f>
        <v>0</v>
      </c>
      <c r="K1492" s="164">
        <f>SUMIF(TArticle[تاریخ],TDays[[#This Row],[تاریخ]],TArticle[اسنپ])</f>
        <v>0</v>
      </c>
      <c r="L1492" s="164">
        <f>-SUMIF(TArticle[تاریخ],TDays[[#This Row],[تاریخ]],TArticle[پرداخت بدهی])</f>
        <v>0</v>
      </c>
      <c r="M1492" s="164">
        <f>SUMIF(TArticle[تاریخ],TDays[[#This Row],[تاریخ]],TArticle[افزایش بدهی])</f>
        <v>0</v>
      </c>
      <c r="N1492" s="164">
        <f>-SUMIF(TArticle[تاریخ],TDays[[#This Row],[تاریخ]],TArticle[افزایش سرمایه])</f>
        <v>0</v>
      </c>
      <c r="O1492" s="164">
        <f>SUMIF(TArticle[تاریخ],TDays[[#This Row],[تاریخ]],TArticle[تعداد تراکنش انجام شده])</f>
        <v>0</v>
      </c>
      <c r="P1492" s="164">
        <f>INT(((TDays[[#This Row],[ماه]]-1)*31+TDays[[#This Row],[روز]]+1)/7)+1</f>
        <v>5</v>
      </c>
      <c r="Q1492" s="164">
        <f>SUMIF(TArticle[تاریخ],TDays[[#This Row],[تاریخ]],TArticle[تراکنش برنامه ریزی شده])</f>
        <v>0</v>
      </c>
    </row>
    <row r="1493" spans="1:17" x14ac:dyDescent="0.25">
      <c r="A1493" s="3" t="s">
        <v>2076</v>
      </c>
      <c r="B1493" s="164" t="str">
        <f>RIGHT(TDays[[#This Row],[تاریخ]],2)</f>
        <v>01</v>
      </c>
      <c r="C1493" s="164" t="str">
        <f>RIGHT(LEFT(TDays[[#This Row],[تاریخ]],7),2)</f>
        <v>02</v>
      </c>
      <c r="D1493" s="164" t="str">
        <f>LEFT(TDays[[#This Row],[تاریخ]],4)</f>
        <v>1405</v>
      </c>
      <c r="E1493" s="164" t="str">
        <f>LEFT(TDays[[#This Row],[تاریخ]],7)</f>
        <v>1405-02</v>
      </c>
      <c r="F1493">
        <v>2</v>
      </c>
      <c r="G1493" s="165" t="str">
        <f>VLOOKUP(TDays[[#This Row],[کد روز هفته]],TDaysOfTheWeek[],2,FALSE)</f>
        <v>دوشنبه</v>
      </c>
      <c r="H1493" s="165">
        <f>IFERROR(IF(E1492&lt;&gt;E1493,1,INT(H1492)+IF(TDays[[#This Row],[کد روز هفته]]=0,1,0)),1)</f>
        <v>1</v>
      </c>
      <c r="I1493" s="164">
        <f>-SUMIF(TArticle[تاریخ],TDays[[#This Row],[تاریخ]],TArticle[هزینه])</f>
        <v>0</v>
      </c>
      <c r="J1493" s="164">
        <f>SUMIF(TArticle[تاریخ],TDays[[#This Row],[تاریخ]],TArticle[درآمد تتا])</f>
        <v>0</v>
      </c>
      <c r="K1493" s="164">
        <f>SUMIF(TArticle[تاریخ],TDays[[#This Row],[تاریخ]],TArticle[اسنپ])</f>
        <v>0</v>
      </c>
      <c r="L1493" s="164">
        <f>-SUMIF(TArticle[تاریخ],TDays[[#This Row],[تاریخ]],TArticle[پرداخت بدهی])</f>
        <v>0</v>
      </c>
      <c r="M1493" s="164">
        <f>SUMIF(TArticle[تاریخ],TDays[[#This Row],[تاریخ]],TArticle[افزایش بدهی])</f>
        <v>0</v>
      </c>
      <c r="N1493" s="164">
        <f>-SUMIF(TArticle[تاریخ],TDays[[#This Row],[تاریخ]],TArticle[افزایش سرمایه])</f>
        <v>0</v>
      </c>
      <c r="O1493" s="164">
        <f>SUMIF(TArticle[تاریخ],TDays[[#This Row],[تاریخ]],TArticle[تعداد تراکنش انجام شده])</f>
        <v>0</v>
      </c>
      <c r="P1493" s="164">
        <f>INT(((TDays[[#This Row],[ماه]]-1)*31+TDays[[#This Row],[روز]]+1)/7)+1</f>
        <v>5</v>
      </c>
      <c r="Q1493" s="164">
        <f>SUMIF(TArticle[تاریخ],TDays[[#This Row],[تاریخ]],TArticle[تراکنش برنامه ریزی شده])</f>
        <v>0</v>
      </c>
    </row>
    <row r="1494" spans="1:17" x14ac:dyDescent="0.25">
      <c r="A1494" s="3" t="s">
        <v>2077</v>
      </c>
      <c r="B1494" s="164" t="str">
        <f>RIGHT(TDays[[#This Row],[تاریخ]],2)</f>
        <v>02</v>
      </c>
      <c r="C1494" s="164" t="str">
        <f>RIGHT(LEFT(TDays[[#This Row],[تاریخ]],7),2)</f>
        <v>02</v>
      </c>
      <c r="D1494" s="164" t="str">
        <f>LEFT(TDays[[#This Row],[تاریخ]],4)</f>
        <v>1405</v>
      </c>
      <c r="E1494" s="164" t="str">
        <f>LEFT(TDays[[#This Row],[تاریخ]],7)</f>
        <v>1405-02</v>
      </c>
      <c r="F1494">
        <v>3</v>
      </c>
      <c r="G1494" s="165" t="str">
        <f>VLOOKUP(TDays[[#This Row],[کد روز هفته]],TDaysOfTheWeek[],2,FALSE)</f>
        <v>سه شنبه</v>
      </c>
      <c r="H1494" s="165">
        <f>IFERROR(IF(E1493&lt;&gt;E1494,1,INT(H1493)+IF(TDays[[#This Row],[کد روز هفته]]=0,1,0)),1)</f>
        <v>1</v>
      </c>
      <c r="I1494" s="164">
        <f>-SUMIF(TArticle[تاریخ],TDays[[#This Row],[تاریخ]],TArticle[هزینه])</f>
        <v>0</v>
      </c>
      <c r="J1494" s="164">
        <f>SUMIF(TArticle[تاریخ],TDays[[#This Row],[تاریخ]],TArticle[درآمد تتا])</f>
        <v>0</v>
      </c>
      <c r="K1494" s="164">
        <f>SUMIF(TArticle[تاریخ],TDays[[#This Row],[تاریخ]],TArticle[اسنپ])</f>
        <v>0</v>
      </c>
      <c r="L1494" s="164">
        <f>-SUMIF(TArticle[تاریخ],TDays[[#This Row],[تاریخ]],TArticle[پرداخت بدهی])</f>
        <v>0</v>
      </c>
      <c r="M1494" s="164">
        <f>SUMIF(TArticle[تاریخ],TDays[[#This Row],[تاریخ]],TArticle[افزایش بدهی])</f>
        <v>0</v>
      </c>
      <c r="N1494" s="164">
        <f>-SUMIF(TArticle[تاریخ],TDays[[#This Row],[تاریخ]],TArticle[افزایش سرمایه])</f>
        <v>0</v>
      </c>
      <c r="O1494" s="164">
        <f>SUMIF(TArticle[تاریخ],TDays[[#This Row],[تاریخ]],TArticle[تعداد تراکنش انجام شده])</f>
        <v>0</v>
      </c>
      <c r="P1494" s="164">
        <f>INT(((TDays[[#This Row],[ماه]]-1)*31+TDays[[#This Row],[روز]]+1)/7)+1</f>
        <v>5</v>
      </c>
      <c r="Q1494" s="164">
        <f>SUMIF(TArticle[تاریخ],TDays[[#This Row],[تاریخ]],TArticle[تراکنش برنامه ریزی شده])</f>
        <v>0</v>
      </c>
    </row>
    <row r="1495" spans="1:17" x14ac:dyDescent="0.25">
      <c r="A1495" s="3" t="s">
        <v>2078</v>
      </c>
      <c r="B1495" s="164" t="str">
        <f>RIGHT(TDays[[#This Row],[تاریخ]],2)</f>
        <v>03</v>
      </c>
      <c r="C1495" s="164" t="str">
        <f>RIGHT(LEFT(TDays[[#This Row],[تاریخ]],7),2)</f>
        <v>02</v>
      </c>
      <c r="D1495" s="164" t="str">
        <f>LEFT(TDays[[#This Row],[تاریخ]],4)</f>
        <v>1405</v>
      </c>
      <c r="E1495" s="164" t="str">
        <f>LEFT(TDays[[#This Row],[تاریخ]],7)</f>
        <v>1405-02</v>
      </c>
      <c r="F1495">
        <v>4</v>
      </c>
      <c r="G1495" s="165" t="str">
        <f>VLOOKUP(TDays[[#This Row],[کد روز هفته]],TDaysOfTheWeek[],2,FALSE)</f>
        <v>چهارشنبه</v>
      </c>
      <c r="H1495" s="165">
        <f>IFERROR(IF(E1494&lt;&gt;E1495,1,INT(H1494)+IF(TDays[[#This Row],[کد روز هفته]]=0,1,0)),1)</f>
        <v>1</v>
      </c>
      <c r="I1495" s="164">
        <f>-SUMIF(TArticle[تاریخ],TDays[[#This Row],[تاریخ]],TArticle[هزینه])</f>
        <v>0</v>
      </c>
      <c r="J1495" s="164">
        <f>SUMIF(TArticle[تاریخ],TDays[[#This Row],[تاریخ]],TArticle[درآمد تتا])</f>
        <v>0</v>
      </c>
      <c r="K1495" s="164">
        <f>SUMIF(TArticle[تاریخ],TDays[[#This Row],[تاریخ]],TArticle[اسنپ])</f>
        <v>0</v>
      </c>
      <c r="L1495" s="164">
        <f>-SUMIF(TArticle[تاریخ],TDays[[#This Row],[تاریخ]],TArticle[پرداخت بدهی])</f>
        <v>0</v>
      </c>
      <c r="M1495" s="164">
        <f>SUMIF(TArticle[تاریخ],TDays[[#This Row],[تاریخ]],TArticle[افزایش بدهی])</f>
        <v>0</v>
      </c>
      <c r="N1495" s="164">
        <f>-SUMIF(TArticle[تاریخ],TDays[[#This Row],[تاریخ]],TArticle[افزایش سرمایه])</f>
        <v>0</v>
      </c>
      <c r="O1495" s="164">
        <f>SUMIF(TArticle[تاریخ],TDays[[#This Row],[تاریخ]],TArticle[تعداد تراکنش انجام شده])</f>
        <v>0</v>
      </c>
      <c r="P1495" s="164">
        <f>INT(((TDays[[#This Row],[ماه]]-1)*31+TDays[[#This Row],[روز]]+1)/7)+1</f>
        <v>6</v>
      </c>
      <c r="Q1495" s="164">
        <f>SUMIF(TArticle[تاریخ],TDays[[#This Row],[تاریخ]],TArticle[تراکنش برنامه ریزی شده])</f>
        <v>1</v>
      </c>
    </row>
    <row r="1496" spans="1:17" x14ac:dyDescent="0.25">
      <c r="A1496" s="3" t="s">
        <v>2079</v>
      </c>
      <c r="B1496" s="164" t="str">
        <f>RIGHT(TDays[[#This Row],[تاریخ]],2)</f>
        <v>04</v>
      </c>
      <c r="C1496" s="164" t="str">
        <f>RIGHT(LEFT(TDays[[#This Row],[تاریخ]],7),2)</f>
        <v>02</v>
      </c>
      <c r="D1496" s="164" t="str">
        <f>LEFT(TDays[[#This Row],[تاریخ]],4)</f>
        <v>1405</v>
      </c>
      <c r="E1496" s="164" t="str">
        <f>LEFT(TDays[[#This Row],[تاریخ]],7)</f>
        <v>1405-02</v>
      </c>
      <c r="F1496">
        <v>5</v>
      </c>
      <c r="G1496" s="165" t="str">
        <f>VLOOKUP(TDays[[#This Row],[کد روز هفته]],TDaysOfTheWeek[],2,FALSE)</f>
        <v>پنجشنبه</v>
      </c>
      <c r="H1496" s="165">
        <f>IFERROR(IF(E1495&lt;&gt;E1496,1,INT(H1495)+IF(TDays[[#This Row],[کد روز هفته]]=0,1,0)),1)</f>
        <v>1</v>
      </c>
      <c r="I1496" s="164">
        <f>-SUMIF(TArticle[تاریخ],TDays[[#This Row],[تاریخ]],TArticle[هزینه])</f>
        <v>0</v>
      </c>
      <c r="J1496" s="164">
        <f>SUMIF(TArticle[تاریخ],TDays[[#This Row],[تاریخ]],TArticle[درآمد تتا])</f>
        <v>0</v>
      </c>
      <c r="K1496" s="164">
        <f>SUMIF(TArticle[تاریخ],TDays[[#This Row],[تاریخ]],TArticle[اسنپ])</f>
        <v>0</v>
      </c>
      <c r="L1496" s="164">
        <f>-SUMIF(TArticle[تاریخ],TDays[[#This Row],[تاریخ]],TArticle[پرداخت بدهی])</f>
        <v>0</v>
      </c>
      <c r="M1496" s="164">
        <f>SUMIF(TArticle[تاریخ],TDays[[#This Row],[تاریخ]],TArticle[افزایش بدهی])</f>
        <v>0</v>
      </c>
      <c r="N1496" s="164">
        <f>-SUMIF(TArticle[تاریخ],TDays[[#This Row],[تاریخ]],TArticle[افزایش سرمایه])</f>
        <v>0</v>
      </c>
      <c r="O1496" s="164">
        <f>SUMIF(TArticle[تاریخ],TDays[[#This Row],[تاریخ]],TArticle[تعداد تراکنش انجام شده])</f>
        <v>0</v>
      </c>
      <c r="P1496" s="164">
        <f>INT(((TDays[[#This Row],[ماه]]-1)*31+TDays[[#This Row],[روز]]+1)/7)+1</f>
        <v>6</v>
      </c>
      <c r="Q1496" s="164">
        <f>SUMIF(TArticle[تاریخ],TDays[[#This Row],[تاریخ]],TArticle[تراکنش برنامه ریزی شده])</f>
        <v>0</v>
      </c>
    </row>
    <row r="1497" spans="1:17" x14ac:dyDescent="0.25">
      <c r="A1497" s="3" t="s">
        <v>2080</v>
      </c>
      <c r="B1497" s="164" t="str">
        <f>RIGHT(TDays[[#This Row],[تاریخ]],2)</f>
        <v>05</v>
      </c>
      <c r="C1497" s="164" t="str">
        <f>RIGHT(LEFT(TDays[[#This Row],[تاریخ]],7),2)</f>
        <v>02</v>
      </c>
      <c r="D1497" s="164" t="str">
        <f>LEFT(TDays[[#This Row],[تاریخ]],4)</f>
        <v>1405</v>
      </c>
      <c r="E1497" s="164" t="str">
        <f>LEFT(TDays[[#This Row],[تاریخ]],7)</f>
        <v>1405-02</v>
      </c>
      <c r="F1497">
        <v>6</v>
      </c>
      <c r="G1497" s="165" t="str">
        <f>VLOOKUP(TDays[[#This Row],[کد روز هفته]],TDaysOfTheWeek[],2,FALSE)</f>
        <v>جمعه</v>
      </c>
      <c r="H1497" s="165">
        <f>IFERROR(IF(E1496&lt;&gt;E1497,1,INT(H1496)+IF(TDays[[#This Row],[کد روز هفته]]=0,1,0)),1)</f>
        <v>1</v>
      </c>
      <c r="I1497" s="164">
        <f>-SUMIF(TArticle[تاریخ],TDays[[#This Row],[تاریخ]],TArticle[هزینه])</f>
        <v>0</v>
      </c>
      <c r="J1497" s="164">
        <f>SUMIF(TArticle[تاریخ],TDays[[#This Row],[تاریخ]],TArticle[درآمد تتا])</f>
        <v>0</v>
      </c>
      <c r="K1497" s="164">
        <f>SUMIF(TArticle[تاریخ],TDays[[#This Row],[تاریخ]],TArticle[اسنپ])</f>
        <v>0</v>
      </c>
      <c r="L1497" s="164">
        <f>-SUMIF(TArticle[تاریخ],TDays[[#This Row],[تاریخ]],TArticle[پرداخت بدهی])</f>
        <v>0</v>
      </c>
      <c r="M1497" s="164">
        <f>SUMIF(TArticle[تاریخ],TDays[[#This Row],[تاریخ]],TArticle[افزایش بدهی])</f>
        <v>0</v>
      </c>
      <c r="N1497" s="164">
        <f>-SUMIF(TArticle[تاریخ],TDays[[#This Row],[تاریخ]],TArticle[افزایش سرمایه])</f>
        <v>0</v>
      </c>
      <c r="O1497" s="164">
        <f>SUMIF(TArticle[تاریخ],TDays[[#This Row],[تاریخ]],TArticle[تعداد تراکنش انجام شده])</f>
        <v>0</v>
      </c>
      <c r="P1497" s="164">
        <f>INT(((TDays[[#This Row],[ماه]]-1)*31+TDays[[#This Row],[روز]]+1)/7)+1</f>
        <v>6</v>
      </c>
      <c r="Q1497" s="164">
        <f>SUMIF(TArticle[تاریخ],TDays[[#This Row],[تاریخ]],TArticle[تراکنش برنامه ریزی شده])</f>
        <v>0</v>
      </c>
    </row>
    <row r="1498" spans="1:17" x14ac:dyDescent="0.25">
      <c r="A1498" s="3" t="s">
        <v>2081</v>
      </c>
      <c r="B1498" s="164" t="str">
        <f>RIGHT(TDays[[#This Row],[تاریخ]],2)</f>
        <v>06</v>
      </c>
      <c r="C1498" s="164" t="str">
        <f>RIGHT(LEFT(TDays[[#This Row],[تاریخ]],7),2)</f>
        <v>02</v>
      </c>
      <c r="D1498" s="164" t="str">
        <f>LEFT(TDays[[#This Row],[تاریخ]],4)</f>
        <v>1405</v>
      </c>
      <c r="E1498" s="164" t="str">
        <f>LEFT(TDays[[#This Row],[تاریخ]],7)</f>
        <v>1405-02</v>
      </c>
      <c r="F1498">
        <v>0</v>
      </c>
      <c r="G1498" s="165" t="str">
        <f>VLOOKUP(TDays[[#This Row],[کد روز هفته]],TDaysOfTheWeek[],2,FALSE)</f>
        <v>شنبه</v>
      </c>
      <c r="H1498" s="165">
        <f>IFERROR(IF(E1497&lt;&gt;E1498,1,INT(H1497)+IF(TDays[[#This Row],[کد روز هفته]]=0,1,0)),1)</f>
        <v>2</v>
      </c>
      <c r="I1498" s="164">
        <f>-SUMIF(TArticle[تاریخ],TDays[[#This Row],[تاریخ]],TArticle[هزینه])</f>
        <v>0</v>
      </c>
      <c r="J1498" s="164">
        <f>SUMIF(TArticle[تاریخ],TDays[[#This Row],[تاریخ]],TArticle[درآمد تتا])</f>
        <v>0</v>
      </c>
      <c r="K1498" s="164">
        <f>SUMIF(TArticle[تاریخ],TDays[[#This Row],[تاریخ]],TArticle[اسنپ])</f>
        <v>0</v>
      </c>
      <c r="L1498" s="164">
        <f>-SUMIF(TArticle[تاریخ],TDays[[#This Row],[تاریخ]],TArticle[پرداخت بدهی])</f>
        <v>0</v>
      </c>
      <c r="M1498" s="164">
        <f>SUMIF(TArticle[تاریخ],TDays[[#This Row],[تاریخ]],TArticle[افزایش بدهی])</f>
        <v>0</v>
      </c>
      <c r="N1498" s="164">
        <f>-SUMIF(TArticle[تاریخ],TDays[[#This Row],[تاریخ]],TArticle[افزایش سرمایه])</f>
        <v>0</v>
      </c>
      <c r="O1498" s="164">
        <f>SUMIF(TArticle[تاریخ],TDays[[#This Row],[تاریخ]],TArticle[تعداد تراکنش انجام شده])</f>
        <v>0</v>
      </c>
      <c r="P1498" s="164">
        <f>INT(((TDays[[#This Row],[ماه]]-1)*31+TDays[[#This Row],[روز]]+1)/7)+1</f>
        <v>6</v>
      </c>
      <c r="Q1498" s="164">
        <f>SUMIF(TArticle[تاریخ],TDays[[#This Row],[تاریخ]],TArticle[تراکنش برنامه ریزی شده])</f>
        <v>0</v>
      </c>
    </row>
    <row r="1499" spans="1:17" x14ac:dyDescent="0.25">
      <c r="A1499" s="3" t="s">
        <v>2082</v>
      </c>
      <c r="B1499" s="164" t="str">
        <f>RIGHT(TDays[[#This Row],[تاریخ]],2)</f>
        <v>07</v>
      </c>
      <c r="C1499" s="164" t="str">
        <f>RIGHT(LEFT(TDays[[#This Row],[تاریخ]],7),2)</f>
        <v>02</v>
      </c>
      <c r="D1499" s="164" t="str">
        <f>LEFT(TDays[[#This Row],[تاریخ]],4)</f>
        <v>1405</v>
      </c>
      <c r="E1499" s="164" t="str">
        <f>LEFT(TDays[[#This Row],[تاریخ]],7)</f>
        <v>1405-02</v>
      </c>
      <c r="F1499">
        <v>1</v>
      </c>
      <c r="G1499" s="165" t="str">
        <f>VLOOKUP(TDays[[#This Row],[کد روز هفته]],TDaysOfTheWeek[],2,FALSE)</f>
        <v>یکشنبه</v>
      </c>
      <c r="H1499" s="165">
        <f>IFERROR(IF(E1498&lt;&gt;E1499,1,INT(H1498)+IF(TDays[[#This Row],[کد روز هفته]]=0,1,0)),1)</f>
        <v>2</v>
      </c>
      <c r="I1499" s="164">
        <f>-SUMIF(TArticle[تاریخ],TDays[[#This Row],[تاریخ]],TArticle[هزینه])</f>
        <v>0</v>
      </c>
      <c r="J1499" s="164">
        <f>SUMIF(TArticle[تاریخ],TDays[[#This Row],[تاریخ]],TArticle[درآمد تتا])</f>
        <v>0</v>
      </c>
      <c r="K1499" s="164">
        <f>SUMIF(TArticle[تاریخ],TDays[[#This Row],[تاریخ]],TArticle[اسنپ])</f>
        <v>0</v>
      </c>
      <c r="L1499" s="164">
        <f>-SUMIF(TArticle[تاریخ],TDays[[#This Row],[تاریخ]],TArticle[پرداخت بدهی])</f>
        <v>0</v>
      </c>
      <c r="M1499" s="164">
        <f>SUMIF(TArticle[تاریخ],TDays[[#This Row],[تاریخ]],TArticle[افزایش بدهی])</f>
        <v>0</v>
      </c>
      <c r="N1499" s="164">
        <f>-SUMIF(TArticle[تاریخ],TDays[[#This Row],[تاریخ]],TArticle[افزایش سرمایه])</f>
        <v>0</v>
      </c>
      <c r="O1499" s="164">
        <f>SUMIF(TArticle[تاریخ],TDays[[#This Row],[تاریخ]],TArticle[تعداد تراکنش انجام شده])</f>
        <v>0</v>
      </c>
      <c r="P1499" s="164">
        <f>INT(((TDays[[#This Row],[ماه]]-1)*31+TDays[[#This Row],[روز]]+1)/7)+1</f>
        <v>6</v>
      </c>
      <c r="Q1499" s="164">
        <f>SUMIF(TArticle[تاریخ],TDays[[#This Row],[تاریخ]],TArticle[تراکنش برنامه ریزی شده])</f>
        <v>0</v>
      </c>
    </row>
    <row r="1500" spans="1:17" x14ac:dyDescent="0.25">
      <c r="A1500" s="3" t="s">
        <v>2083</v>
      </c>
      <c r="B1500" s="164" t="str">
        <f>RIGHT(TDays[[#This Row],[تاریخ]],2)</f>
        <v>08</v>
      </c>
      <c r="C1500" s="164" t="str">
        <f>RIGHT(LEFT(TDays[[#This Row],[تاریخ]],7),2)</f>
        <v>02</v>
      </c>
      <c r="D1500" s="164" t="str">
        <f>LEFT(TDays[[#This Row],[تاریخ]],4)</f>
        <v>1405</v>
      </c>
      <c r="E1500" s="164" t="str">
        <f>LEFT(TDays[[#This Row],[تاریخ]],7)</f>
        <v>1405-02</v>
      </c>
      <c r="F1500">
        <v>2</v>
      </c>
      <c r="G1500" s="165" t="str">
        <f>VLOOKUP(TDays[[#This Row],[کد روز هفته]],TDaysOfTheWeek[],2,FALSE)</f>
        <v>دوشنبه</v>
      </c>
      <c r="H1500" s="165">
        <f>IFERROR(IF(E1499&lt;&gt;E1500,1,INT(H1499)+IF(TDays[[#This Row],[کد روز هفته]]=0,1,0)),1)</f>
        <v>2</v>
      </c>
      <c r="I1500" s="164">
        <f>-SUMIF(TArticle[تاریخ],TDays[[#This Row],[تاریخ]],TArticle[هزینه])</f>
        <v>0</v>
      </c>
      <c r="J1500" s="164">
        <f>SUMIF(TArticle[تاریخ],TDays[[#This Row],[تاریخ]],TArticle[درآمد تتا])</f>
        <v>0</v>
      </c>
      <c r="K1500" s="164">
        <f>SUMIF(TArticle[تاریخ],TDays[[#This Row],[تاریخ]],TArticle[اسنپ])</f>
        <v>0</v>
      </c>
      <c r="L1500" s="164">
        <f>-SUMIF(TArticle[تاریخ],TDays[[#This Row],[تاریخ]],TArticle[پرداخت بدهی])</f>
        <v>0</v>
      </c>
      <c r="M1500" s="164">
        <f>SUMIF(TArticle[تاریخ],TDays[[#This Row],[تاریخ]],TArticle[افزایش بدهی])</f>
        <v>0</v>
      </c>
      <c r="N1500" s="164">
        <f>-SUMIF(TArticle[تاریخ],TDays[[#This Row],[تاریخ]],TArticle[افزایش سرمایه])</f>
        <v>0</v>
      </c>
      <c r="O1500" s="164">
        <f>SUMIF(TArticle[تاریخ],TDays[[#This Row],[تاریخ]],TArticle[تعداد تراکنش انجام شده])</f>
        <v>0</v>
      </c>
      <c r="P1500" s="164">
        <f>INT(((TDays[[#This Row],[ماه]]-1)*31+TDays[[#This Row],[روز]]+1)/7)+1</f>
        <v>6</v>
      </c>
      <c r="Q1500" s="164">
        <f>SUMIF(TArticle[تاریخ],TDays[[#This Row],[تاریخ]],TArticle[تراکنش برنامه ریزی شده])</f>
        <v>0</v>
      </c>
    </row>
    <row r="1501" spans="1:17" x14ac:dyDescent="0.25">
      <c r="A1501" s="3" t="s">
        <v>2084</v>
      </c>
      <c r="B1501" s="164" t="str">
        <f>RIGHT(TDays[[#This Row],[تاریخ]],2)</f>
        <v>09</v>
      </c>
      <c r="C1501" s="164" t="str">
        <f>RIGHT(LEFT(TDays[[#This Row],[تاریخ]],7),2)</f>
        <v>02</v>
      </c>
      <c r="D1501" s="164" t="str">
        <f>LEFT(TDays[[#This Row],[تاریخ]],4)</f>
        <v>1405</v>
      </c>
      <c r="E1501" s="164" t="str">
        <f>LEFT(TDays[[#This Row],[تاریخ]],7)</f>
        <v>1405-02</v>
      </c>
      <c r="F1501">
        <v>3</v>
      </c>
      <c r="G1501" s="165" t="str">
        <f>VLOOKUP(TDays[[#This Row],[کد روز هفته]],TDaysOfTheWeek[],2,FALSE)</f>
        <v>سه شنبه</v>
      </c>
      <c r="H1501" s="165">
        <f>IFERROR(IF(E1500&lt;&gt;E1501,1,INT(H1500)+IF(TDays[[#This Row],[کد روز هفته]]=0,1,0)),1)</f>
        <v>2</v>
      </c>
      <c r="I1501" s="164">
        <f>-SUMIF(TArticle[تاریخ],TDays[[#This Row],[تاریخ]],TArticle[هزینه])</f>
        <v>0</v>
      </c>
      <c r="J1501" s="164">
        <f>SUMIF(TArticle[تاریخ],TDays[[#This Row],[تاریخ]],TArticle[درآمد تتا])</f>
        <v>0</v>
      </c>
      <c r="K1501" s="164">
        <f>SUMIF(TArticle[تاریخ],TDays[[#This Row],[تاریخ]],TArticle[اسنپ])</f>
        <v>0</v>
      </c>
      <c r="L1501" s="164">
        <f>-SUMIF(TArticle[تاریخ],TDays[[#This Row],[تاریخ]],TArticle[پرداخت بدهی])</f>
        <v>0</v>
      </c>
      <c r="M1501" s="164">
        <f>SUMIF(TArticle[تاریخ],TDays[[#This Row],[تاریخ]],TArticle[افزایش بدهی])</f>
        <v>0</v>
      </c>
      <c r="N1501" s="164">
        <f>-SUMIF(TArticle[تاریخ],TDays[[#This Row],[تاریخ]],TArticle[افزایش سرمایه])</f>
        <v>0</v>
      </c>
      <c r="O1501" s="164">
        <f>SUMIF(TArticle[تاریخ],TDays[[#This Row],[تاریخ]],TArticle[تعداد تراکنش انجام شده])</f>
        <v>0</v>
      </c>
      <c r="P1501" s="164">
        <f>INT(((TDays[[#This Row],[ماه]]-1)*31+TDays[[#This Row],[روز]]+1)/7)+1</f>
        <v>6</v>
      </c>
      <c r="Q1501" s="164">
        <f>SUMIF(TArticle[تاریخ],TDays[[#This Row],[تاریخ]],TArticle[تراکنش برنامه ریزی شده])</f>
        <v>0</v>
      </c>
    </row>
    <row r="1502" spans="1:17" x14ac:dyDescent="0.25">
      <c r="A1502" s="3" t="s">
        <v>2085</v>
      </c>
      <c r="B1502" s="164" t="str">
        <f>RIGHT(TDays[[#This Row],[تاریخ]],2)</f>
        <v>10</v>
      </c>
      <c r="C1502" s="164" t="str">
        <f>RIGHT(LEFT(TDays[[#This Row],[تاریخ]],7),2)</f>
        <v>02</v>
      </c>
      <c r="D1502" s="164" t="str">
        <f>LEFT(TDays[[#This Row],[تاریخ]],4)</f>
        <v>1405</v>
      </c>
      <c r="E1502" s="164" t="str">
        <f>LEFT(TDays[[#This Row],[تاریخ]],7)</f>
        <v>1405-02</v>
      </c>
      <c r="F1502">
        <v>4</v>
      </c>
      <c r="G1502" s="165" t="str">
        <f>VLOOKUP(TDays[[#This Row],[کد روز هفته]],TDaysOfTheWeek[],2,FALSE)</f>
        <v>چهارشنبه</v>
      </c>
      <c r="H1502" s="165">
        <f>IFERROR(IF(E1501&lt;&gt;E1502,1,INT(H1501)+IF(TDays[[#This Row],[کد روز هفته]]=0,1,0)),1)</f>
        <v>2</v>
      </c>
      <c r="I1502" s="164">
        <f>-SUMIF(TArticle[تاریخ],TDays[[#This Row],[تاریخ]],TArticle[هزینه])</f>
        <v>0</v>
      </c>
      <c r="J1502" s="164">
        <f>SUMIF(TArticle[تاریخ],TDays[[#This Row],[تاریخ]],TArticle[درآمد تتا])</f>
        <v>0</v>
      </c>
      <c r="K1502" s="164">
        <f>SUMIF(TArticle[تاریخ],TDays[[#This Row],[تاریخ]],TArticle[اسنپ])</f>
        <v>0</v>
      </c>
      <c r="L1502" s="164">
        <f>-SUMIF(TArticle[تاریخ],TDays[[#This Row],[تاریخ]],TArticle[پرداخت بدهی])</f>
        <v>0</v>
      </c>
      <c r="M1502" s="164">
        <f>SUMIF(TArticle[تاریخ],TDays[[#This Row],[تاریخ]],TArticle[افزایش بدهی])</f>
        <v>0</v>
      </c>
      <c r="N1502" s="164">
        <f>-SUMIF(TArticle[تاریخ],TDays[[#This Row],[تاریخ]],TArticle[افزایش سرمایه])</f>
        <v>0</v>
      </c>
      <c r="O1502" s="164">
        <f>SUMIF(TArticle[تاریخ],TDays[[#This Row],[تاریخ]],TArticle[تعداد تراکنش انجام شده])</f>
        <v>0</v>
      </c>
      <c r="P1502" s="164">
        <f>INT(((TDays[[#This Row],[ماه]]-1)*31+TDays[[#This Row],[روز]]+1)/7)+1</f>
        <v>7</v>
      </c>
      <c r="Q1502" s="164">
        <f>SUMIF(TArticle[تاریخ],TDays[[#This Row],[تاریخ]],TArticle[تراکنش برنامه ریزی شده])</f>
        <v>0</v>
      </c>
    </row>
    <row r="1503" spans="1:17" x14ac:dyDescent="0.25">
      <c r="A1503" s="3" t="s">
        <v>2086</v>
      </c>
      <c r="B1503" s="164" t="str">
        <f>RIGHT(TDays[[#This Row],[تاریخ]],2)</f>
        <v>11</v>
      </c>
      <c r="C1503" s="164" t="str">
        <f>RIGHT(LEFT(TDays[[#This Row],[تاریخ]],7),2)</f>
        <v>02</v>
      </c>
      <c r="D1503" s="164" t="str">
        <f>LEFT(TDays[[#This Row],[تاریخ]],4)</f>
        <v>1405</v>
      </c>
      <c r="E1503" s="164" t="str">
        <f>LEFT(TDays[[#This Row],[تاریخ]],7)</f>
        <v>1405-02</v>
      </c>
      <c r="F1503">
        <v>5</v>
      </c>
      <c r="G1503" s="165" t="str">
        <f>VLOOKUP(TDays[[#This Row],[کد روز هفته]],TDaysOfTheWeek[],2,FALSE)</f>
        <v>پنجشنبه</v>
      </c>
      <c r="H1503" s="165">
        <f>IFERROR(IF(E1502&lt;&gt;E1503,1,INT(H1502)+IF(TDays[[#This Row],[کد روز هفته]]=0,1,0)),1)</f>
        <v>2</v>
      </c>
      <c r="I1503" s="164">
        <f>-SUMIF(TArticle[تاریخ],TDays[[#This Row],[تاریخ]],TArticle[هزینه])</f>
        <v>0</v>
      </c>
      <c r="J1503" s="164">
        <f>SUMIF(TArticle[تاریخ],TDays[[#This Row],[تاریخ]],TArticle[درآمد تتا])</f>
        <v>0</v>
      </c>
      <c r="K1503" s="164">
        <f>SUMIF(TArticle[تاریخ],TDays[[#This Row],[تاریخ]],TArticle[اسنپ])</f>
        <v>0</v>
      </c>
      <c r="L1503" s="164">
        <f>-SUMIF(TArticle[تاریخ],TDays[[#This Row],[تاریخ]],TArticle[پرداخت بدهی])</f>
        <v>0</v>
      </c>
      <c r="M1503" s="164">
        <f>SUMIF(TArticle[تاریخ],TDays[[#This Row],[تاریخ]],TArticle[افزایش بدهی])</f>
        <v>0</v>
      </c>
      <c r="N1503" s="164">
        <f>-SUMIF(TArticle[تاریخ],TDays[[#This Row],[تاریخ]],TArticle[افزایش سرمایه])</f>
        <v>0</v>
      </c>
      <c r="O1503" s="164">
        <f>SUMIF(TArticle[تاریخ],TDays[[#This Row],[تاریخ]],TArticle[تعداد تراکنش انجام شده])</f>
        <v>0</v>
      </c>
      <c r="P1503" s="164">
        <f>INT(((TDays[[#This Row],[ماه]]-1)*31+TDays[[#This Row],[روز]]+1)/7)+1</f>
        <v>7</v>
      </c>
      <c r="Q1503" s="164">
        <f>SUMIF(TArticle[تاریخ],TDays[[#This Row],[تاریخ]],TArticle[تراکنش برنامه ریزی شده])</f>
        <v>0</v>
      </c>
    </row>
    <row r="1504" spans="1:17" x14ac:dyDescent="0.25">
      <c r="A1504" s="3" t="s">
        <v>2087</v>
      </c>
      <c r="B1504" s="164" t="str">
        <f>RIGHT(TDays[[#This Row],[تاریخ]],2)</f>
        <v>12</v>
      </c>
      <c r="C1504" s="164" t="str">
        <f>RIGHT(LEFT(TDays[[#This Row],[تاریخ]],7),2)</f>
        <v>02</v>
      </c>
      <c r="D1504" s="164" t="str">
        <f>LEFT(TDays[[#This Row],[تاریخ]],4)</f>
        <v>1405</v>
      </c>
      <c r="E1504" s="164" t="str">
        <f>LEFT(TDays[[#This Row],[تاریخ]],7)</f>
        <v>1405-02</v>
      </c>
      <c r="F1504">
        <v>6</v>
      </c>
      <c r="G1504" s="165" t="str">
        <f>VLOOKUP(TDays[[#This Row],[کد روز هفته]],TDaysOfTheWeek[],2,FALSE)</f>
        <v>جمعه</v>
      </c>
      <c r="H1504" s="165">
        <f>IFERROR(IF(E1503&lt;&gt;E1504,1,INT(H1503)+IF(TDays[[#This Row],[کد روز هفته]]=0,1,0)),1)</f>
        <v>2</v>
      </c>
      <c r="I1504" s="164">
        <f>-SUMIF(TArticle[تاریخ],TDays[[#This Row],[تاریخ]],TArticle[هزینه])</f>
        <v>0</v>
      </c>
      <c r="J1504" s="164">
        <f>SUMIF(TArticle[تاریخ],TDays[[#This Row],[تاریخ]],TArticle[درآمد تتا])</f>
        <v>0</v>
      </c>
      <c r="K1504" s="164">
        <f>SUMIF(TArticle[تاریخ],TDays[[#This Row],[تاریخ]],TArticle[اسنپ])</f>
        <v>0</v>
      </c>
      <c r="L1504" s="164">
        <f>-SUMIF(TArticle[تاریخ],TDays[[#This Row],[تاریخ]],TArticle[پرداخت بدهی])</f>
        <v>0</v>
      </c>
      <c r="M1504" s="164">
        <f>SUMIF(TArticle[تاریخ],TDays[[#This Row],[تاریخ]],TArticle[افزایش بدهی])</f>
        <v>0</v>
      </c>
      <c r="N1504" s="164">
        <f>-SUMIF(TArticle[تاریخ],TDays[[#This Row],[تاریخ]],TArticle[افزایش سرمایه])</f>
        <v>0</v>
      </c>
      <c r="O1504" s="164">
        <f>SUMIF(TArticle[تاریخ],TDays[[#This Row],[تاریخ]],TArticle[تعداد تراکنش انجام شده])</f>
        <v>0</v>
      </c>
      <c r="P1504" s="164">
        <f>INT(((TDays[[#This Row],[ماه]]-1)*31+TDays[[#This Row],[روز]]+1)/7)+1</f>
        <v>7</v>
      </c>
      <c r="Q1504" s="164">
        <f>SUMIF(TArticle[تاریخ],TDays[[#This Row],[تاریخ]],TArticle[تراکنش برنامه ریزی شده])</f>
        <v>0</v>
      </c>
    </row>
    <row r="1505" spans="1:17" x14ac:dyDescent="0.25">
      <c r="A1505" s="3" t="s">
        <v>2088</v>
      </c>
      <c r="B1505" s="164" t="str">
        <f>RIGHT(TDays[[#This Row],[تاریخ]],2)</f>
        <v>13</v>
      </c>
      <c r="C1505" s="164" t="str">
        <f>RIGHT(LEFT(TDays[[#This Row],[تاریخ]],7),2)</f>
        <v>02</v>
      </c>
      <c r="D1505" s="164" t="str">
        <f>LEFT(TDays[[#This Row],[تاریخ]],4)</f>
        <v>1405</v>
      </c>
      <c r="E1505" s="164" t="str">
        <f>LEFT(TDays[[#This Row],[تاریخ]],7)</f>
        <v>1405-02</v>
      </c>
      <c r="F1505">
        <v>0</v>
      </c>
      <c r="G1505" s="165" t="str">
        <f>VLOOKUP(TDays[[#This Row],[کد روز هفته]],TDaysOfTheWeek[],2,FALSE)</f>
        <v>شنبه</v>
      </c>
      <c r="H1505" s="165">
        <f>IFERROR(IF(E1504&lt;&gt;E1505,1,INT(H1504)+IF(TDays[[#This Row],[کد روز هفته]]=0,1,0)),1)</f>
        <v>3</v>
      </c>
      <c r="I1505" s="164">
        <f>-SUMIF(TArticle[تاریخ],TDays[[#This Row],[تاریخ]],TArticle[هزینه])</f>
        <v>0</v>
      </c>
      <c r="J1505" s="164">
        <f>SUMIF(TArticle[تاریخ],TDays[[#This Row],[تاریخ]],TArticle[درآمد تتا])</f>
        <v>0</v>
      </c>
      <c r="K1505" s="164">
        <f>SUMIF(TArticle[تاریخ],TDays[[#This Row],[تاریخ]],TArticle[اسنپ])</f>
        <v>0</v>
      </c>
      <c r="L1505" s="164">
        <f>-SUMIF(TArticle[تاریخ],TDays[[#This Row],[تاریخ]],TArticle[پرداخت بدهی])</f>
        <v>0</v>
      </c>
      <c r="M1505" s="164">
        <f>SUMIF(TArticle[تاریخ],TDays[[#This Row],[تاریخ]],TArticle[افزایش بدهی])</f>
        <v>0</v>
      </c>
      <c r="N1505" s="164">
        <f>-SUMIF(TArticle[تاریخ],TDays[[#This Row],[تاریخ]],TArticle[افزایش سرمایه])</f>
        <v>0</v>
      </c>
      <c r="O1505" s="164">
        <f>SUMIF(TArticle[تاریخ],TDays[[#This Row],[تاریخ]],TArticle[تعداد تراکنش انجام شده])</f>
        <v>0</v>
      </c>
      <c r="P1505" s="164">
        <f>INT(((TDays[[#This Row],[ماه]]-1)*31+TDays[[#This Row],[روز]]+1)/7)+1</f>
        <v>7</v>
      </c>
      <c r="Q1505" s="164">
        <f>SUMIF(TArticle[تاریخ],TDays[[#This Row],[تاریخ]],TArticle[تراکنش برنامه ریزی شده])</f>
        <v>0</v>
      </c>
    </row>
    <row r="1506" spans="1:17" x14ac:dyDescent="0.25">
      <c r="A1506" s="3" t="s">
        <v>2089</v>
      </c>
      <c r="B1506" s="164" t="str">
        <f>RIGHT(TDays[[#This Row],[تاریخ]],2)</f>
        <v>14</v>
      </c>
      <c r="C1506" s="164" t="str">
        <f>RIGHT(LEFT(TDays[[#This Row],[تاریخ]],7),2)</f>
        <v>02</v>
      </c>
      <c r="D1506" s="164" t="str">
        <f>LEFT(TDays[[#This Row],[تاریخ]],4)</f>
        <v>1405</v>
      </c>
      <c r="E1506" s="164" t="str">
        <f>LEFT(TDays[[#This Row],[تاریخ]],7)</f>
        <v>1405-02</v>
      </c>
      <c r="F1506">
        <v>1</v>
      </c>
      <c r="G1506" s="165" t="str">
        <f>VLOOKUP(TDays[[#This Row],[کد روز هفته]],TDaysOfTheWeek[],2,FALSE)</f>
        <v>یکشنبه</v>
      </c>
      <c r="H1506" s="165">
        <f>IFERROR(IF(E1505&lt;&gt;E1506,1,INT(H1505)+IF(TDays[[#This Row],[کد روز هفته]]=0,1,0)),1)</f>
        <v>3</v>
      </c>
      <c r="I1506" s="164">
        <f>-SUMIF(TArticle[تاریخ],TDays[[#This Row],[تاریخ]],TArticle[هزینه])</f>
        <v>0</v>
      </c>
      <c r="J1506" s="164">
        <f>SUMIF(TArticle[تاریخ],TDays[[#This Row],[تاریخ]],TArticle[درآمد تتا])</f>
        <v>0</v>
      </c>
      <c r="K1506" s="164">
        <f>SUMIF(TArticle[تاریخ],TDays[[#This Row],[تاریخ]],TArticle[اسنپ])</f>
        <v>0</v>
      </c>
      <c r="L1506" s="164">
        <f>-SUMIF(TArticle[تاریخ],TDays[[#This Row],[تاریخ]],TArticle[پرداخت بدهی])</f>
        <v>0</v>
      </c>
      <c r="M1506" s="164">
        <f>SUMIF(TArticle[تاریخ],TDays[[#This Row],[تاریخ]],TArticle[افزایش بدهی])</f>
        <v>0</v>
      </c>
      <c r="N1506" s="164">
        <f>-SUMIF(TArticle[تاریخ],TDays[[#This Row],[تاریخ]],TArticle[افزایش سرمایه])</f>
        <v>0</v>
      </c>
      <c r="O1506" s="164">
        <f>SUMIF(TArticle[تاریخ],TDays[[#This Row],[تاریخ]],TArticle[تعداد تراکنش انجام شده])</f>
        <v>0</v>
      </c>
      <c r="P1506" s="164">
        <f>INT(((TDays[[#This Row],[ماه]]-1)*31+TDays[[#This Row],[روز]]+1)/7)+1</f>
        <v>7</v>
      </c>
      <c r="Q1506" s="164">
        <f>SUMIF(TArticle[تاریخ],TDays[[#This Row],[تاریخ]],TArticle[تراکنش برنامه ریزی شده])</f>
        <v>0</v>
      </c>
    </row>
    <row r="1507" spans="1:17" x14ac:dyDescent="0.25">
      <c r="A1507" s="3" t="s">
        <v>2090</v>
      </c>
      <c r="B1507" s="164" t="str">
        <f>RIGHT(TDays[[#This Row],[تاریخ]],2)</f>
        <v>15</v>
      </c>
      <c r="C1507" s="164" t="str">
        <f>RIGHT(LEFT(TDays[[#This Row],[تاریخ]],7),2)</f>
        <v>02</v>
      </c>
      <c r="D1507" s="164" t="str">
        <f>LEFT(TDays[[#This Row],[تاریخ]],4)</f>
        <v>1405</v>
      </c>
      <c r="E1507" s="164" t="str">
        <f>LEFT(TDays[[#This Row],[تاریخ]],7)</f>
        <v>1405-02</v>
      </c>
      <c r="F1507">
        <v>2</v>
      </c>
      <c r="G1507" s="165" t="str">
        <f>VLOOKUP(TDays[[#This Row],[کد روز هفته]],TDaysOfTheWeek[],2,FALSE)</f>
        <v>دوشنبه</v>
      </c>
      <c r="H1507" s="165">
        <f>IFERROR(IF(E1506&lt;&gt;E1507,1,INT(H1506)+IF(TDays[[#This Row],[کد روز هفته]]=0,1,0)),1)</f>
        <v>3</v>
      </c>
      <c r="I1507" s="164">
        <f>-SUMIF(TArticle[تاریخ],TDays[[#This Row],[تاریخ]],TArticle[هزینه])</f>
        <v>0</v>
      </c>
      <c r="J1507" s="164">
        <f>SUMIF(TArticle[تاریخ],TDays[[#This Row],[تاریخ]],TArticle[درآمد تتا])</f>
        <v>0</v>
      </c>
      <c r="K1507" s="164">
        <f>SUMIF(TArticle[تاریخ],TDays[[#This Row],[تاریخ]],TArticle[اسنپ])</f>
        <v>0</v>
      </c>
      <c r="L1507" s="164">
        <f>-SUMIF(TArticle[تاریخ],TDays[[#This Row],[تاریخ]],TArticle[پرداخت بدهی])</f>
        <v>0</v>
      </c>
      <c r="M1507" s="164">
        <f>SUMIF(TArticle[تاریخ],TDays[[#This Row],[تاریخ]],TArticle[افزایش بدهی])</f>
        <v>0</v>
      </c>
      <c r="N1507" s="164">
        <f>-SUMIF(TArticle[تاریخ],TDays[[#This Row],[تاریخ]],TArticle[افزایش سرمایه])</f>
        <v>0</v>
      </c>
      <c r="O1507" s="164">
        <f>SUMIF(TArticle[تاریخ],TDays[[#This Row],[تاریخ]],TArticle[تعداد تراکنش انجام شده])</f>
        <v>0</v>
      </c>
      <c r="P1507" s="164">
        <f>INT(((TDays[[#This Row],[ماه]]-1)*31+TDays[[#This Row],[روز]]+1)/7)+1</f>
        <v>7</v>
      </c>
      <c r="Q1507" s="164">
        <f>SUMIF(TArticle[تاریخ],TDays[[#This Row],[تاریخ]],TArticle[تراکنش برنامه ریزی شده])</f>
        <v>0</v>
      </c>
    </row>
    <row r="1508" spans="1:17" x14ac:dyDescent="0.25">
      <c r="A1508" s="3" t="s">
        <v>2091</v>
      </c>
      <c r="B1508" s="164" t="str">
        <f>RIGHT(TDays[[#This Row],[تاریخ]],2)</f>
        <v>16</v>
      </c>
      <c r="C1508" s="164" t="str">
        <f>RIGHT(LEFT(TDays[[#This Row],[تاریخ]],7),2)</f>
        <v>02</v>
      </c>
      <c r="D1508" s="164" t="str">
        <f>LEFT(TDays[[#This Row],[تاریخ]],4)</f>
        <v>1405</v>
      </c>
      <c r="E1508" s="164" t="str">
        <f>LEFT(TDays[[#This Row],[تاریخ]],7)</f>
        <v>1405-02</v>
      </c>
      <c r="F1508">
        <v>3</v>
      </c>
      <c r="G1508" s="165" t="str">
        <f>VLOOKUP(TDays[[#This Row],[کد روز هفته]],TDaysOfTheWeek[],2,FALSE)</f>
        <v>سه شنبه</v>
      </c>
      <c r="H1508" s="165">
        <f>IFERROR(IF(E1507&lt;&gt;E1508,1,INT(H1507)+IF(TDays[[#This Row],[کد روز هفته]]=0,1,0)),1)</f>
        <v>3</v>
      </c>
      <c r="I1508" s="164">
        <f>-SUMIF(TArticle[تاریخ],TDays[[#This Row],[تاریخ]],TArticle[هزینه])</f>
        <v>0</v>
      </c>
      <c r="J1508" s="164">
        <f>SUMIF(TArticle[تاریخ],TDays[[#This Row],[تاریخ]],TArticle[درآمد تتا])</f>
        <v>0</v>
      </c>
      <c r="K1508" s="164">
        <f>SUMIF(TArticle[تاریخ],TDays[[#This Row],[تاریخ]],TArticle[اسنپ])</f>
        <v>0</v>
      </c>
      <c r="L1508" s="164">
        <f>-SUMIF(TArticle[تاریخ],TDays[[#This Row],[تاریخ]],TArticle[پرداخت بدهی])</f>
        <v>0</v>
      </c>
      <c r="M1508" s="164">
        <f>SUMIF(TArticle[تاریخ],TDays[[#This Row],[تاریخ]],TArticle[افزایش بدهی])</f>
        <v>0</v>
      </c>
      <c r="N1508" s="164">
        <f>-SUMIF(TArticle[تاریخ],TDays[[#This Row],[تاریخ]],TArticle[افزایش سرمایه])</f>
        <v>0</v>
      </c>
      <c r="O1508" s="164">
        <f>SUMIF(TArticle[تاریخ],TDays[[#This Row],[تاریخ]],TArticle[تعداد تراکنش انجام شده])</f>
        <v>0</v>
      </c>
      <c r="P1508" s="164">
        <f>INT(((TDays[[#This Row],[ماه]]-1)*31+TDays[[#This Row],[روز]]+1)/7)+1</f>
        <v>7</v>
      </c>
      <c r="Q1508" s="164">
        <f>SUMIF(TArticle[تاریخ],TDays[[#This Row],[تاریخ]],TArticle[تراکنش برنامه ریزی شده])</f>
        <v>0</v>
      </c>
    </row>
    <row r="1509" spans="1:17" x14ac:dyDescent="0.25">
      <c r="A1509" s="3" t="s">
        <v>2092</v>
      </c>
      <c r="B1509" s="164" t="str">
        <f>RIGHT(TDays[[#This Row],[تاریخ]],2)</f>
        <v>17</v>
      </c>
      <c r="C1509" s="164" t="str">
        <f>RIGHT(LEFT(TDays[[#This Row],[تاریخ]],7),2)</f>
        <v>02</v>
      </c>
      <c r="D1509" s="164" t="str">
        <f>LEFT(TDays[[#This Row],[تاریخ]],4)</f>
        <v>1405</v>
      </c>
      <c r="E1509" s="164" t="str">
        <f>LEFT(TDays[[#This Row],[تاریخ]],7)</f>
        <v>1405-02</v>
      </c>
      <c r="F1509">
        <v>4</v>
      </c>
      <c r="G1509" s="165" t="str">
        <f>VLOOKUP(TDays[[#This Row],[کد روز هفته]],TDaysOfTheWeek[],2,FALSE)</f>
        <v>چهارشنبه</v>
      </c>
      <c r="H1509" s="165">
        <f>IFERROR(IF(E1508&lt;&gt;E1509,1,INT(H1508)+IF(TDays[[#This Row],[کد روز هفته]]=0,1,0)),1)</f>
        <v>3</v>
      </c>
      <c r="I1509" s="164">
        <f>-SUMIF(TArticle[تاریخ],TDays[[#This Row],[تاریخ]],TArticle[هزینه])</f>
        <v>0</v>
      </c>
      <c r="J1509" s="164">
        <f>SUMIF(TArticle[تاریخ],TDays[[#This Row],[تاریخ]],TArticle[درآمد تتا])</f>
        <v>0</v>
      </c>
      <c r="K1509" s="164">
        <f>SUMIF(TArticle[تاریخ],TDays[[#This Row],[تاریخ]],TArticle[اسنپ])</f>
        <v>0</v>
      </c>
      <c r="L1509" s="164">
        <f>-SUMIF(TArticle[تاریخ],TDays[[#This Row],[تاریخ]],TArticle[پرداخت بدهی])</f>
        <v>0</v>
      </c>
      <c r="M1509" s="164">
        <f>SUMIF(TArticle[تاریخ],TDays[[#This Row],[تاریخ]],TArticle[افزایش بدهی])</f>
        <v>0</v>
      </c>
      <c r="N1509" s="164">
        <f>-SUMIF(TArticle[تاریخ],TDays[[#This Row],[تاریخ]],TArticle[افزایش سرمایه])</f>
        <v>0</v>
      </c>
      <c r="O1509" s="164">
        <f>SUMIF(TArticle[تاریخ],TDays[[#This Row],[تاریخ]],TArticle[تعداد تراکنش انجام شده])</f>
        <v>0</v>
      </c>
      <c r="P1509" s="164">
        <f>INT(((TDays[[#This Row],[ماه]]-1)*31+TDays[[#This Row],[روز]]+1)/7)+1</f>
        <v>8</v>
      </c>
      <c r="Q1509" s="164">
        <f>SUMIF(TArticle[تاریخ],TDays[[#This Row],[تاریخ]],TArticle[تراکنش برنامه ریزی شده])</f>
        <v>0</v>
      </c>
    </row>
    <row r="1510" spans="1:17" x14ac:dyDescent="0.25">
      <c r="A1510" s="3" t="s">
        <v>2093</v>
      </c>
      <c r="B1510" s="164" t="str">
        <f>RIGHT(TDays[[#This Row],[تاریخ]],2)</f>
        <v>18</v>
      </c>
      <c r="C1510" s="164" t="str">
        <f>RIGHT(LEFT(TDays[[#This Row],[تاریخ]],7),2)</f>
        <v>02</v>
      </c>
      <c r="D1510" s="164" t="str">
        <f>LEFT(TDays[[#This Row],[تاریخ]],4)</f>
        <v>1405</v>
      </c>
      <c r="E1510" s="164" t="str">
        <f>LEFT(TDays[[#This Row],[تاریخ]],7)</f>
        <v>1405-02</v>
      </c>
      <c r="F1510">
        <v>5</v>
      </c>
      <c r="G1510" s="165" t="str">
        <f>VLOOKUP(TDays[[#This Row],[کد روز هفته]],TDaysOfTheWeek[],2,FALSE)</f>
        <v>پنجشنبه</v>
      </c>
      <c r="H1510" s="165">
        <f>IFERROR(IF(E1509&lt;&gt;E1510,1,INT(H1509)+IF(TDays[[#This Row],[کد روز هفته]]=0,1,0)),1)</f>
        <v>3</v>
      </c>
      <c r="I1510" s="164">
        <f>-SUMIF(TArticle[تاریخ],TDays[[#This Row],[تاریخ]],TArticle[هزینه])</f>
        <v>0</v>
      </c>
      <c r="J1510" s="164">
        <f>SUMIF(TArticle[تاریخ],TDays[[#This Row],[تاریخ]],TArticle[درآمد تتا])</f>
        <v>0</v>
      </c>
      <c r="K1510" s="164">
        <f>SUMIF(TArticle[تاریخ],TDays[[#This Row],[تاریخ]],TArticle[اسنپ])</f>
        <v>0</v>
      </c>
      <c r="L1510" s="164">
        <f>-SUMIF(TArticle[تاریخ],TDays[[#This Row],[تاریخ]],TArticle[پرداخت بدهی])</f>
        <v>0</v>
      </c>
      <c r="M1510" s="164">
        <f>SUMIF(TArticle[تاریخ],TDays[[#This Row],[تاریخ]],TArticle[افزایش بدهی])</f>
        <v>0</v>
      </c>
      <c r="N1510" s="164">
        <f>-SUMIF(TArticle[تاریخ],TDays[[#This Row],[تاریخ]],TArticle[افزایش سرمایه])</f>
        <v>0</v>
      </c>
      <c r="O1510" s="164">
        <f>SUMIF(TArticle[تاریخ],TDays[[#This Row],[تاریخ]],TArticle[تعداد تراکنش انجام شده])</f>
        <v>0</v>
      </c>
      <c r="P1510" s="164">
        <f>INT(((TDays[[#This Row],[ماه]]-1)*31+TDays[[#This Row],[روز]]+1)/7)+1</f>
        <v>8</v>
      </c>
      <c r="Q1510" s="164">
        <f>SUMIF(TArticle[تاریخ],TDays[[#This Row],[تاریخ]],TArticle[تراکنش برنامه ریزی شده])</f>
        <v>0</v>
      </c>
    </row>
    <row r="1511" spans="1:17" x14ac:dyDescent="0.25">
      <c r="A1511" s="3" t="s">
        <v>2094</v>
      </c>
      <c r="B1511" s="164" t="str">
        <f>RIGHT(TDays[[#This Row],[تاریخ]],2)</f>
        <v>19</v>
      </c>
      <c r="C1511" s="164" t="str">
        <f>RIGHT(LEFT(TDays[[#This Row],[تاریخ]],7),2)</f>
        <v>02</v>
      </c>
      <c r="D1511" s="164" t="str">
        <f>LEFT(TDays[[#This Row],[تاریخ]],4)</f>
        <v>1405</v>
      </c>
      <c r="E1511" s="164" t="str">
        <f>LEFT(TDays[[#This Row],[تاریخ]],7)</f>
        <v>1405-02</v>
      </c>
      <c r="F1511">
        <v>6</v>
      </c>
      <c r="G1511" s="165" t="str">
        <f>VLOOKUP(TDays[[#This Row],[کد روز هفته]],TDaysOfTheWeek[],2,FALSE)</f>
        <v>جمعه</v>
      </c>
      <c r="H1511" s="165">
        <f>IFERROR(IF(E1510&lt;&gt;E1511,1,INT(H1510)+IF(TDays[[#This Row],[کد روز هفته]]=0,1,0)),1)</f>
        <v>3</v>
      </c>
      <c r="I1511" s="164">
        <f>-SUMIF(TArticle[تاریخ],TDays[[#This Row],[تاریخ]],TArticle[هزینه])</f>
        <v>0</v>
      </c>
      <c r="J1511" s="164">
        <f>SUMIF(TArticle[تاریخ],TDays[[#This Row],[تاریخ]],TArticle[درآمد تتا])</f>
        <v>0</v>
      </c>
      <c r="K1511" s="164">
        <f>SUMIF(TArticle[تاریخ],TDays[[#This Row],[تاریخ]],TArticle[اسنپ])</f>
        <v>0</v>
      </c>
      <c r="L1511" s="164">
        <f>-SUMIF(TArticle[تاریخ],TDays[[#This Row],[تاریخ]],TArticle[پرداخت بدهی])</f>
        <v>0</v>
      </c>
      <c r="M1511" s="164">
        <f>SUMIF(TArticle[تاریخ],TDays[[#This Row],[تاریخ]],TArticle[افزایش بدهی])</f>
        <v>0</v>
      </c>
      <c r="N1511" s="164">
        <f>-SUMIF(TArticle[تاریخ],TDays[[#This Row],[تاریخ]],TArticle[افزایش سرمایه])</f>
        <v>0</v>
      </c>
      <c r="O1511" s="164">
        <f>SUMIF(TArticle[تاریخ],TDays[[#This Row],[تاریخ]],TArticle[تعداد تراکنش انجام شده])</f>
        <v>0</v>
      </c>
      <c r="P1511" s="164">
        <f>INT(((TDays[[#This Row],[ماه]]-1)*31+TDays[[#This Row],[روز]]+1)/7)+1</f>
        <v>8</v>
      </c>
      <c r="Q1511" s="164">
        <f>SUMIF(TArticle[تاریخ],TDays[[#This Row],[تاریخ]],TArticle[تراکنش برنامه ریزی شده])</f>
        <v>0</v>
      </c>
    </row>
    <row r="1512" spans="1:17" x14ac:dyDescent="0.25">
      <c r="A1512" s="3" t="s">
        <v>2095</v>
      </c>
      <c r="B1512" s="164" t="str">
        <f>RIGHT(TDays[[#This Row],[تاریخ]],2)</f>
        <v>20</v>
      </c>
      <c r="C1512" s="164" t="str">
        <f>RIGHT(LEFT(TDays[[#This Row],[تاریخ]],7),2)</f>
        <v>02</v>
      </c>
      <c r="D1512" s="164" t="str">
        <f>LEFT(TDays[[#This Row],[تاریخ]],4)</f>
        <v>1405</v>
      </c>
      <c r="E1512" s="164" t="str">
        <f>LEFT(TDays[[#This Row],[تاریخ]],7)</f>
        <v>1405-02</v>
      </c>
      <c r="F1512">
        <v>0</v>
      </c>
      <c r="G1512" s="165" t="str">
        <f>VLOOKUP(TDays[[#This Row],[کد روز هفته]],TDaysOfTheWeek[],2,FALSE)</f>
        <v>شنبه</v>
      </c>
      <c r="H1512" s="165">
        <f>IFERROR(IF(E1511&lt;&gt;E1512,1,INT(H1511)+IF(TDays[[#This Row],[کد روز هفته]]=0,1,0)),1)</f>
        <v>4</v>
      </c>
      <c r="I1512" s="164">
        <f>-SUMIF(TArticle[تاریخ],TDays[[#This Row],[تاریخ]],TArticle[هزینه])</f>
        <v>0</v>
      </c>
      <c r="J1512" s="164">
        <f>SUMIF(TArticle[تاریخ],TDays[[#This Row],[تاریخ]],TArticle[درآمد تتا])</f>
        <v>0</v>
      </c>
      <c r="K1512" s="164">
        <f>SUMIF(TArticle[تاریخ],TDays[[#This Row],[تاریخ]],TArticle[اسنپ])</f>
        <v>0</v>
      </c>
      <c r="L1512" s="164">
        <f>-SUMIF(TArticle[تاریخ],TDays[[#This Row],[تاریخ]],TArticle[پرداخت بدهی])</f>
        <v>0</v>
      </c>
      <c r="M1512" s="164">
        <f>SUMIF(TArticle[تاریخ],TDays[[#This Row],[تاریخ]],TArticle[افزایش بدهی])</f>
        <v>0</v>
      </c>
      <c r="N1512" s="164">
        <f>-SUMIF(TArticle[تاریخ],TDays[[#This Row],[تاریخ]],TArticle[افزایش سرمایه])</f>
        <v>0</v>
      </c>
      <c r="O1512" s="164">
        <f>SUMIF(TArticle[تاریخ],TDays[[#This Row],[تاریخ]],TArticle[تعداد تراکنش انجام شده])</f>
        <v>0</v>
      </c>
      <c r="P1512" s="164">
        <f>INT(((TDays[[#This Row],[ماه]]-1)*31+TDays[[#This Row],[روز]]+1)/7)+1</f>
        <v>8</v>
      </c>
      <c r="Q1512" s="164">
        <f>SUMIF(TArticle[تاریخ],TDays[[#This Row],[تاریخ]],TArticle[تراکنش برنامه ریزی شده])</f>
        <v>0</v>
      </c>
    </row>
    <row r="1513" spans="1:17" x14ac:dyDescent="0.25">
      <c r="A1513" s="3" t="s">
        <v>2096</v>
      </c>
      <c r="B1513" s="164" t="str">
        <f>RIGHT(TDays[[#This Row],[تاریخ]],2)</f>
        <v>21</v>
      </c>
      <c r="C1513" s="164" t="str">
        <f>RIGHT(LEFT(TDays[[#This Row],[تاریخ]],7),2)</f>
        <v>02</v>
      </c>
      <c r="D1513" s="164" t="str">
        <f>LEFT(TDays[[#This Row],[تاریخ]],4)</f>
        <v>1405</v>
      </c>
      <c r="E1513" s="164" t="str">
        <f>LEFT(TDays[[#This Row],[تاریخ]],7)</f>
        <v>1405-02</v>
      </c>
      <c r="F1513">
        <v>1</v>
      </c>
      <c r="G1513" s="165" t="str">
        <f>VLOOKUP(TDays[[#This Row],[کد روز هفته]],TDaysOfTheWeek[],2,FALSE)</f>
        <v>یکشنبه</v>
      </c>
      <c r="H1513" s="165">
        <f>IFERROR(IF(E1512&lt;&gt;E1513,1,INT(H1512)+IF(TDays[[#This Row],[کد روز هفته]]=0,1,0)),1)</f>
        <v>4</v>
      </c>
      <c r="I1513" s="164">
        <f>-SUMIF(TArticle[تاریخ],TDays[[#This Row],[تاریخ]],TArticle[هزینه])</f>
        <v>0</v>
      </c>
      <c r="J1513" s="164">
        <f>SUMIF(TArticle[تاریخ],TDays[[#This Row],[تاریخ]],TArticle[درآمد تتا])</f>
        <v>0</v>
      </c>
      <c r="K1513" s="164">
        <f>SUMIF(TArticle[تاریخ],TDays[[#This Row],[تاریخ]],TArticle[اسنپ])</f>
        <v>0</v>
      </c>
      <c r="L1513" s="164">
        <f>-SUMIF(TArticle[تاریخ],TDays[[#This Row],[تاریخ]],TArticle[پرداخت بدهی])</f>
        <v>0</v>
      </c>
      <c r="M1513" s="164">
        <f>SUMIF(TArticle[تاریخ],TDays[[#This Row],[تاریخ]],TArticle[افزایش بدهی])</f>
        <v>0</v>
      </c>
      <c r="N1513" s="164">
        <f>-SUMIF(TArticle[تاریخ],TDays[[#This Row],[تاریخ]],TArticle[افزایش سرمایه])</f>
        <v>0</v>
      </c>
      <c r="O1513" s="164">
        <f>SUMIF(TArticle[تاریخ],TDays[[#This Row],[تاریخ]],TArticle[تعداد تراکنش انجام شده])</f>
        <v>0</v>
      </c>
      <c r="P1513" s="164">
        <f>INT(((TDays[[#This Row],[ماه]]-1)*31+TDays[[#This Row],[روز]]+1)/7)+1</f>
        <v>8</v>
      </c>
      <c r="Q1513" s="164">
        <f>SUMIF(TArticle[تاریخ],TDays[[#This Row],[تاریخ]],TArticle[تراکنش برنامه ریزی شده])</f>
        <v>0</v>
      </c>
    </row>
    <row r="1514" spans="1:17" x14ac:dyDescent="0.25">
      <c r="A1514" s="3" t="s">
        <v>2097</v>
      </c>
      <c r="B1514" s="164" t="str">
        <f>RIGHT(TDays[[#This Row],[تاریخ]],2)</f>
        <v>22</v>
      </c>
      <c r="C1514" s="164" t="str">
        <f>RIGHT(LEFT(TDays[[#This Row],[تاریخ]],7),2)</f>
        <v>02</v>
      </c>
      <c r="D1514" s="164" t="str">
        <f>LEFT(TDays[[#This Row],[تاریخ]],4)</f>
        <v>1405</v>
      </c>
      <c r="E1514" s="164" t="str">
        <f>LEFT(TDays[[#This Row],[تاریخ]],7)</f>
        <v>1405-02</v>
      </c>
      <c r="F1514">
        <v>2</v>
      </c>
      <c r="G1514" s="165" t="str">
        <f>VLOOKUP(TDays[[#This Row],[کد روز هفته]],TDaysOfTheWeek[],2,FALSE)</f>
        <v>دوشنبه</v>
      </c>
      <c r="H1514" s="165">
        <f>IFERROR(IF(E1513&lt;&gt;E1514,1,INT(H1513)+IF(TDays[[#This Row],[کد روز هفته]]=0,1,0)),1)</f>
        <v>4</v>
      </c>
      <c r="I1514" s="164">
        <f>-SUMIF(TArticle[تاریخ],TDays[[#This Row],[تاریخ]],TArticle[هزینه])</f>
        <v>0</v>
      </c>
      <c r="J1514" s="164">
        <f>SUMIF(TArticle[تاریخ],TDays[[#This Row],[تاریخ]],TArticle[درآمد تتا])</f>
        <v>0</v>
      </c>
      <c r="K1514" s="164">
        <f>SUMIF(TArticle[تاریخ],TDays[[#This Row],[تاریخ]],TArticle[اسنپ])</f>
        <v>0</v>
      </c>
      <c r="L1514" s="164">
        <f>-SUMIF(TArticle[تاریخ],TDays[[#This Row],[تاریخ]],TArticle[پرداخت بدهی])</f>
        <v>0</v>
      </c>
      <c r="M1514" s="164">
        <f>SUMIF(TArticle[تاریخ],TDays[[#This Row],[تاریخ]],TArticle[افزایش بدهی])</f>
        <v>0</v>
      </c>
      <c r="N1514" s="164">
        <f>-SUMIF(TArticle[تاریخ],TDays[[#This Row],[تاریخ]],TArticle[افزایش سرمایه])</f>
        <v>0</v>
      </c>
      <c r="O1514" s="164">
        <f>SUMIF(TArticle[تاریخ],TDays[[#This Row],[تاریخ]],TArticle[تعداد تراکنش انجام شده])</f>
        <v>0</v>
      </c>
      <c r="P1514" s="164">
        <f>INT(((TDays[[#This Row],[ماه]]-1)*31+TDays[[#This Row],[روز]]+1)/7)+1</f>
        <v>8</v>
      </c>
      <c r="Q1514" s="164">
        <f>SUMIF(TArticle[تاریخ],TDays[[#This Row],[تاریخ]],TArticle[تراکنش برنامه ریزی شده])</f>
        <v>0</v>
      </c>
    </row>
    <row r="1515" spans="1:17" x14ac:dyDescent="0.25">
      <c r="A1515" s="3" t="s">
        <v>2098</v>
      </c>
      <c r="B1515" s="164" t="str">
        <f>RIGHT(TDays[[#This Row],[تاریخ]],2)</f>
        <v>23</v>
      </c>
      <c r="C1515" s="164" t="str">
        <f>RIGHT(LEFT(TDays[[#This Row],[تاریخ]],7),2)</f>
        <v>02</v>
      </c>
      <c r="D1515" s="164" t="str">
        <f>LEFT(TDays[[#This Row],[تاریخ]],4)</f>
        <v>1405</v>
      </c>
      <c r="E1515" s="164" t="str">
        <f>LEFT(TDays[[#This Row],[تاریخ]],7)</f>
        <v>1405-02</v>
      </c>
      <c r="F1515" s="164">
        <v>3</v>
      </c>
      <c r="G1515" s="165" t="str">
        <f>VLOOKUP(TDays[[#This Row],[کد روز هفته]],TDaysOfTheWeek[],2,FALSE)</f>
        <v>سه شنبه</v>
      </c>
      <c r="H1515" s="165">
        <f>IFERROR(IF(E1514&lt;&gt;E1515,1,INT(H1514)+IF(TDays[[#This Row],[کد روز هفته]]=0,1,0)),1)</f>
        <v>4</v>
      </c>
      <c r="I1515" s="164">
        <f>-SUMIF(TArticle[تاریخ],TDays[[#This Row],[تاریخ]],TArticle[هزینه])</f>
        <v>0</v>
      </c>
      <c r="J1515" s="164">
        <f>SUMIF(TArticle[تاریخ],TDays[[#This Row],[تاریخ]],TArticle[درآمد تتا])</f>
        <v>0</v>
      </c>
      <c r="K1515" s="164">
        <f>SUMIF(TArticle[تاریخ],TDays[[#This Row],[تاریخ]],TArticle[اسنپ])</f>
        <v>0</v>
      </c>
      <c r="L1515" s="164">
        <f>-SUMIF(TArticle[تاریخ],TDays[[#This Row],[تاریخ]],TArticle[پرداخت بدهی])</f>
        <v>0</v>
      </c>
      <c r="M1515" s="164">
        <f>SUMIF(TArticle[تاریخ],TDays[[#This Row],[تاریخ]],TArticle[افزایش بدهی])</f>
        <v>0</v>
      </c>
      <c r="N1515" s="164">
        <f>-SUMIF(TArticle[تاریخ],TDays[[#This Row],[تاریخ]],TArticle[افزایش سرمایه])</f>
        <v>0</v>
      </c>
      <c r="O1515" s="164">
        <f>SUMIF(TArticle[تاریخ],TDays[[#This Row],[تاریخ]],TArticle[تعداد تراکنش انجام شده])</f>
        <v>0</v>
      </c>
      <c r="P1515" s="164">
        <f>INT(((TDays[[#This Row],[ماه]]-1)*31+TDays[[#This Row],[روز]]+1)/7)+1</f>
        <v>8</v>
      </c>
      <c r="Q1515" s="164">
        <f>SUMIF(TArticle[تاریخ],TDays[[#This Row],[تاریخ]],TArticle[تراکنش برنامه ریزی شده])</f>
        <v>0</v>
      </c>
    </row>
    <row r="1516" spans="1:17" x14ac:dyDescent="0.25">
      <c r="A1516" s="3" t="s">
        <v>2099</v>
      </c>
      <c r="B1516" s="164" t="str">
        <f>RIGHT(TDays[[#This Row],[تاریخ]],2)</f>
        <v>24</v>
      </c>
      <c r="C1516" s="164" t="str">
        <f>RIGHT(LEFT(TDays[[#This Row],[تاریخ]],7),2)</f>
        <v>02</v>
      </c>
      <c r="D1516" s="164" t="str">
        <f>LEFT(TDays[[#This Row],[تاریخ]],4)</f>
        <v>1405</v>
      </c>
      <c r="E1516" s="164" t="str">
        <f>LEFT(TDays[[#This Row],[تاریخ]],7)</f>
        <v>1405-02</v>
      </c>
      <c r="F1516" s="164">
        <v>4</v>
      </c>
      <c r="G1516" s="165" t="str">
        <f>VLOOKUP(TDays[[#This Row],[کد روز هفته]],TDaysOfTheWeek[],2,FALSE)</f>
        <v>چهارشنبه</v>
      </c>
      <c r="H1516" s="165">
        <f>IFERROR(IF(E1515&lt;&gt;E1516,1,INT(H1515)+IF(TDays[[#This Row],[کد روز هفته]]=0,1,0)),1)</f>
        <v>4</v>
      </c>
      <c r="I1516" s="164">
        <f>-SUMIF(TArticle[تاریخ],TDays[[#This Row],[تاریخ]],TArticle[هزینه])</f>
        <v>0</v>
      </c>
      <c r="J1516" s="164">
        <f>SUMIF(TArticle[تاریخ],TDays[[#This Row],[تاریخ]],TArticle[درآمد تتا])</f>
        <v>0</v>
      </c>
      <c r="K1516" s="164">
        <f>SUMIF(TArticle[تاریخ],TDays[[#This Row],[تاریخ]],TArticle[اسنپ])</f>
        <v>0</v>
      </c>
      <c r="L1516" s="164">
        <f>-SUMIF(TArticle[تاریخ],TDays[[#This Row],[تاریخ]],TArticle[پرداخت بدهی])</f>
        <v>0</v>
      </c>
      <c r="M1516" s="164">
        <f>SUMIF(TArticle[تاریخ],TDays[[#This Row],[تاریخ]],TArticle[افزایش بدهی])</f>
        <v>0</v>
      </c>
      <c r="N1516" s="164">
        <f>-SUMIF(TArticle[تاریخ],TDays[[#This Row],[تاریخ]],TArticle[افزایش سرمایه])</f>
        <v>0</v>
      </c>
      <c r="O1516" s="164">
        <f>SUMIF(TArticle[تاریخ],TDays[[#This Row],[تاریخ]],TArticle[تعداد تراکنش انجام شده])</f>
        <v>0</v>
      </c>
      <c r="P1516" s="164">
        <f>INT(((TDays[[#This Row],[ماه]]-1)*31+TDays[[#This Row],[روز]]+1)/7)+1</f>
        <v>9</v>
      </c>
      <c r="Q1516" s="164">
        <f>SUMIF(TArticle[تاریخ],TDays[[#This Row],[تاریخ]],TArticle[تراکنش برنامه ریزی شده])</f>
        <v>0</v>
      </c>
    </row>
    <row r="1517" spans="1:17" x14ac:dyDescent="0.25">
      <c r="A1517" s="3" t="s">
        <v>2100</v>
      </c>
      <c r="B1517" s="164" t="str">
        <f>RIGHT(TDays[[#This Row],[تاریخ]],2)</f>
        <v>25</v>
      </c>
      <c r="C1517" s="164" t="str">
        <f>RIGHT(LEFT(TDays[[#This Row],[تاریخ]],7),2)</f>
        <v>02</v>
      </c>
      <c r="D1517" s="164" t="str">
        <f>LEFT(TDays[[#This Row],[تاریخ]],4)</f>
        <v>1405</v>
      </c>
      <c r="E1517" s="164" t="str">
        <f>LEFT(TDays[[#This Row],[تاریخ]],7)</f>
        <v>1405-02</v>
      </c>
      <c r="F1517">
        <v>5</v>
      </c>
      <c r="G1517" s="165" t="str">
        <f>VLOOKUP(TDays[[#This Row],[کد روز هفته]],TDaysOfTheWeek[],2,FALSE)</f>
        <v>پنجشنبه</v>
      </c>
      <c r="H1517" s="165">
        <f>IFERROR(IF(E1516&lt;&gt;E1517,1,INT(H1516)+IF(TDays[[#This Row],[کد روز هفته]]=0,1,0)),1)</f>
        <v>4</v>
      </c>
      <c r="I1517" s="164">
        <f>-SUMIF(TArticle[تاریخ],TDays[[#This Row],[تاریخ]],TArticle[هزینه])</f>
        <v>0</v>
      </c>
      <c r="J1517" s="164">
        <f>SUMIF(TArticle[تاریخ],TDays[[#This Row],[تاریخ]],TArticle[درآمد تتا])</f>
        <v>0</v>
      </c>
      <c r="K1517" s="164">
        <f>SUMIF(TArticle[تاریخ],TDays[[#This Row],[تاریخ]],TArticle[اسنپ])</f>
        <v>0</v>
      </c>
      <c r="L1517" s="164">
        <f>-SUMIF(TArticle[تاریخ],TDays[[#This Row],[تاریخ]],TArticle[پرداخت بدهی])</f>
        <v>0</v>
      </c>
      <c r="M1517" s="164">
        <f>SUMIF(TArticle[تاریخ],TDays[[#This Row],[تاریخ]],TArticle[افزایش بدهی])</f>
        <v>0</v>
      </c>
      <c r="N1517" s="164">
        <f>-SUMIF(TArticle[تاریخ],TDays[[#This Row],[تاریخ]],TArticle[افزایش سرمایه])</f>
        <v>0</v>
      </c>
      <c r="O1517" s="164">
        <f>SUMIF(TArticle[تاریخ],TDays[[#This Row],[تاریخ]],TArticle[تعداد تراکنش انجام شده])</f>
        <v>0</v>
      </c>
      <c r="P1517" s="164">
        <f>INT(((TDays[[#This Row],[ماه]]-1)*31+TDays[[#This Row],[روز]]+1)/7)+1</f>
        <v>9</v>
      </c>
      <c r="Q1517" s="164">
        <f>SUMIF(TArticle[تاریخ],TDays[[#This Row],[تاریخ]],TArticle[تراکنش برنامه ریزی شده])</f>
        <v>0</v>
      </c>
    </row>
    <row r="1518" spans="1:17" x14ac:dyDescent="0.25">
      <c r="A1518" s="3" t="s">
        <v>2101</v>
      </c>
      <c r="B1518" s="164" t="str">
        <f>RIGHT(TDays[[#This Row],[تاریخ]],2)</f>
        <v>26</v>
      </c>
      <c r="C1518" s="164" t="str">
        <f>RIGHT(LEFT(TDays[[#This Row],[تاریخ]],7),2)</f>
        <v>02</v>
      </c>
      <c r="D1518" s="164" t="str">
        <f>LEFT(TDays[[#This Row],[تاریخ]],4)</f>
        <v>1405</v>
      </c>
      <c r="E1518" s="164" t="str">
        <f>LEFT(TDays[[#This Row],[تاریخ]],7)</f>
        <v>1405-02</v>
      </c>
      <c r="F1518">
        <v>6</v>
      </c>
      <c r="G1518" s="165" t="str">
        <f>VLOOKUP(TDays[[#This Row],[کد روز هفته]],TDaysOfTheWeek[],2,FALSE)</f>
        <v>جمعه</v>
      </c>
      <c r="H1518" s="165">
        <f>IFERROR(IF(E1517&lt;&gt;E1518,1,INT(H1517)+IF(TDays[[#This Row],[کد روز هفته]]=0,1,0)),1)</f>
        <v>4</v>
      </c>
      <c r="I1518" s="164">
        <f>-SUMIF(TArticle[تاریخ],TDays[[#This Row],[تاریخ]],TArticle[هزینه])</f>
        <v>0</v>
      </c>
      <c r="J1518" s="164">
        <f>SUMIF(TArticle[تاریخ],TDays[[#This Row],[تاریخ]],TArticle[درآمد تتا])</f>
        <v>0</v>
      </c>
      <c r="K1518" s="164">
        <f>SUMIF(TArticle[تاریخ],TDays[[#This Row],[تاریخ]],TArticle[اسنپ])</f>
        <v>0</v>
      </c>
      <c r="L1518" s="164">
        <f>-SUMIF(TArticle[تاریخ],TDays[[#This Row],[تاریخ]],TArticle[پرداخت بدهی])</f>
        <v>0</v>
      </c>
      <c r="M1518" s="164">
        <f>SUMIF(TArticle[تاریخ],TDays[[#This Row],[تاریخ]],TArticle[افزایش بدهی])</f>
        <v>0</v>
      </c>
      <c r="N1518" s="164">
        <f>-SUMIF(TArticle[تاریخ],TDays[[#This Row],[تاریخ]],TArticle[افزایش سرمایه])</f>
        <v>0</v>
      </c>
      <c r="O1518" s="164">
        <f>SUMIF(TArticle[تاریخ],TDays[[#This Row],[تاریخ]],TArticle[تعداد تراکنش انجام شده])</f>
        <v>0</v>
      </c>
      <c r="P1518" s="164">
        <f>INT(((TDays[[#This Row],[ماه]]-1)*31+TDays[[#This Row],[روز]]+1)/7)+1</f>
        <v>9</v>
      </c>
      <c r="Q1518" s="164">
        <f>SUMIF(TArticle[تاریخ],TDays[[#This Row],[تاریخ]],TArticle[تراکنش برنامه ریزی شده])</f>
        <v>0</v>
      </c>
    </row>
    <row r="1519" spans="1:17" x14ac:dyDescent="0.25">
      <c r="A1519" s="3" t="s">
        <v>2102</v>
      </c>
      <c r="B1519" s="164" t="str">
        <f>RIGHT(TDays[[#This Row],[تاریخ]],2)</f>
        <v>27</v>
      </c>
      <c r="C1519" s="164" t="str">
        <f>RIGHT(LEFT(TDays[[#This Row],[تاریخ]],7),2)</f>
        <v>02</v>
      </c>
      <c r="D1519" s="164" t="str">
        <f>LEFT(TDays[[#This Row],[تاریخ]],4)</f>
        <v>1405</v>
      </c>
      <c r="E1519" s="164" t="str">
        <f>LEFT(TDays[[#This Row],[تاریخ]],7)</f>
        <v>1405-02</v>
      </c>
      <c r="F1519">
        <v>0</v>
      </c>
      <c r="G1519" s="165" t="str">
        <f>VLOOKUP(TDays[[#This Row],[کد روز هفته]],TDaysOfTheWeek[],2,FALSE)</f>
        <v>شنبه</v>
      </c>
      <c r="H1519" s="165">
        <f>IFERROR(IF(E1518&lt;&gt;E1519,1,INT(H1518)+IF(TDays[[#This Row],[کد روز هفته]]=0,1,0)),1)</f>
        <v>5</v>
      </c>
      <c r="I1519" s="164">
        <f>-SUMIF(TArticle[تاریخ],TDays[[#This Row],[تاریخ]],TArticle[هزینه])</f>
        <v>0</v>
      </c>
      <c r="J1519" s="164">
        <f>SUMIF(TArticle[تاریخ],TDays[[#This Row],[تاریخ]],TArticle[درآمد تتا])</f>
        <v>0</v>
      </c>
      <c r="K1519" s="164">
        <f>SUMIF(TArticle[تاریخ],TDays[[#This Row],[تاریخ]],TArticle[اسنپ])</f>
        <v>0</v>
      </c>
      <c r="L1519" s="164">
        <f>-SUMIF(TArticle[تاریخ],TDays[[#This Row],[تاریخ]],TArticle[پرداخت بدهی])</f>
        <v>0</v>
      </c>
      <c r="M1519" s="164">
        <f>SUMIF(TArticle[تاریخ],TDays[[#This Row],[تاریخ]],TArticle[افزایش بدهی])</f>
        <v>0</v>
      </c>
      <c r="N1519" s="164">
        <f>-SUMIF(TArticle[تاریخ],TDays[[#This Row],[تاریخ]],TArticle[افزایش سرمایه])</f>
        <v>0</v>
      </c>
      <c r="O1519" s="164">
        <f>SUMIF(TArticle[تاریخ],TDays[[#This Row],[تاریخ]],TArticle[تعداد تراکنش انجام شده])</f>
        <v>0</v>
      </c>
      <c r="P1519" s="164">
        <f>INT(((TDays[[#This Row],[ماه]]-1)*31+TDays[[#This Row],[روز]]+1)/7)+1</f>
        <v>9</v>
      </c>
      <c r="Q1519" s="164">
        <f>SUMIF(TArticle[تاریخ],TDays[[#This Row],[تاریخ]],TArticle[تراکنش برنامه ریزی شده])</f>
        <v>0</v>
      </c>
    </row>
    <row r="1520" spans="1:17" x14ac:dyDescent="0.25">
      <c r="A1520" s="3" t="s">
        <v>2103</v>
      </c>
      <c r="B1520" s="164" t="str">
        <f>RIGHT(TDays[[#This Row],[تاریخ]],2)</f>
        <v>28</v>
      </c>
      <c r="C1520" s="164" t="str">
        <f>RIGHT(LEFT(TDays[[#This Row],[تاریخ]],7),2)</f>
        <v>02</v>
      </c>
      <c r="D1520" s="164" t="str">
        <f>LEFT(TDays[[#This Row],[تاریخ]],4)</f>
        <v>1405</v>
      </c>
      <c r="E1520" s="164" t="str">
        <f>LEFT(TDays[[#This Row],[تاریخ]],7)</f>
        <v>1405-02</v>
      </c>
      <c r="F1520">
        <v>1</v>
      </c>
      <c r="G1520" s="165" t="str">
        <f>VLOOKUP(TDays[[#This Row],[کد روز هفته]],TDaysOfTheWeek[],2,FALSE)</f>
        <v>یکشنبه</v>
      </c>
      <c r="H1520" s="165">
        <f>IFERROR(IF(E1519&lt;&gt;E1520,1,INT(H1519)+IF(TDays[[#This Row],[کد روز هفته]]=0,1,0)),1)</f>
        <v>5</v>
      </c>
      <c r="I1520" s="164">
        <f>-SUMIF(TArticle[تاریخ],TDays[[#This Row],[تاریخ]],TArticle[هزینه])</f>
        <v>0</v>
      </c>
      <c r="J1520" s="164">
        <f>SUMIF(TArticle[تاریخ],TDays[[#This Row],[تاریخ]],TArticle[درآمد تتا])</f>
        <v>0</v>
      </c>
      <c r="K1520" s="164">
        <f>SUMIF(TArticle[تاریخ],TDays[[#This Row],[تاریخ]],TArticle[اسنپ])</f>
        <v>0</v>
      </c>
      <c r="L1520" s="164">
        <f>-SUMIF(TArticle[تاریخ],TDays[[#This Row],[تاریخ]],TArticle[پرداخت بدهی])</f>
        <v>0</v>
      </c>
      <c r="M1520" s="164">
        <f>SUMIF(TArticle[تاریخ],TDays[[#This Row],[تاریخ]],TArticle[افزایش بدهی])</f>
        <v>0</v>
      </c>
      <c r="N1520" s="164">
        <f>-SUMIF(TArticle[تاریخ],TDays[[#This Row],[تاریخ]],TArticle[افزایش سرمایه])</f>
        <v>0</v>
      </c>
      <c r="O1520" s="164">
        <f>SUMIF(TArticle[تاریخ],TDays[[#This Row],[تاریخ]],TArticle[تعداد تراکنش انجام شده])</f>
        <v>0</v>
      </c>
      <c r="P1520" s="164">
        <f>INT(((TDays[[#This Row],[ماه]]-1)*31+TDays[[#This Row],[روز]]+1)/7)+1</f>
        <v>9</v>
      </c>
      <c r="Q1520" s="164">
        <f>SUMIF(TArticle[تاریخ],TDays[[#This Row],[تاریخ]],TArticle[تراکنش برنامه ریزی شده])</f>
        <v>0</v>
      </c>
    </row>
    <row r="1521" spans="1:17" x14ac:dyDescent="0.25">
      <c r="A1521" s="3" t="s">
        <v>2104</v>
      </c>
      <c r="B1521" s="164" t="str">
        <f>RIGHT(TDays[[#This Row],[تاریخ]],2)</f>
        <v>29</v>
      </c>
      <c r="C1521" s="164" t="str">
        <f>RIGHT(LEFT(TDays[[#This Row],[تاریخ]],7),2)</f>
        <v>02</v>
      </c>
      <c r="D1521" s="164" t="str">
        <f>LEFT(TDays[[#This Row],[تاریخ]],4)</f>
        <v>1405</v>
      </c>
      <c r="E1521" s="164" t="str">
        <f>LEFT(TDays[[#This Row],[تاریخ]],7)</f>
        <v>1405-02</v>
      </c>
      <c r="F1521">
        <v>2</v>
      </c>
      <c r="G1521" s="165" t="str">
        <f>VLOOKUP(TDays[[#This Row],[کد روز هفته]],TDaysOfTheWeek[],2,FALSE)</f>
        <v>دوشنبه</v>
      </c>
      <c r="H1521" s="165">
        <f>IFERROR(IF(E1520&lt;&gt;E1521,1,INT(H1520)+IF(TDays[[#This Row],[کد روز هفته]]=0,1,0)),1)</f>
        <v>5</v>
      </c>
      <c r="I1521" s="164">
        <f>-SUMIF(TArticle[تاریخ],TDays[[#This Row],[تاریخ]],TArticle[هزینه])</f>
        <v>0</v>
      </c>
      <c r="J1521" s="164">
        <f>SUMIF(TArticle[تاریخ],TDays[[#This Row],[تاریخ]],TArticle[درآمد تتا])</f>
        <v>0</v>
      </c>
      <c r="K1521" s="164">
        <f>SUMIF(TArticle[تاریخ],TDays[[#This Row],[تاریخ]],TArticle[اسنپ])</f>
        <v>0</v>
      </c>
      <c r="L1521" s="164">
        <f>-SUMIF(TArticle[تاریخ],TDays[[#This Row],[تاریخ]],TArticle[پرداخت بدهی])</f>
        <v>0</v>
      </c>
      <c r="M1521" s="164">
        <f>SUMIF(TArticle[تاریخ],TDays[[#This Row],[تاریخ]],TArticle[افزایش بدهی])</f>
        <v>0</v>
      </c>
      <c r="N1521" s="164">
        <f>-SUMIF(TArticle[تاریخ],TDays[[#This Row],[تاریخ]],TArticle[افزایش سرمایه])</f>
        <v>0</v>
      </c>
      <c r="O1521" s="164">
        <f>SUMIF(TArticle[تاریخ],TDays[[#This Row],[تاریخ]],TArticle[تعداد تراکنش انجام شده])</f>
        <v>0</v>
      </c>
      <c r="P1521" s="164">
        <f>INT(((TDays[[#This Row],[ماه]]-1)*31+TDays[[#This Row],[روز]]+1)/7)+1</f>
        <v>9</v>
      </c>
      <c r="Q1521" s="164">
        <f>SUMIF(TArticle[تاریخ],TDays[[#This Row],[تاریخ]],TArticle[تراکنش برنامه ریزی شده])</f>
        <v>0</v>
      </c>
    </row>
    <row r="1522" spans="1:17" x14ac:dyDescent="0.25">
      <c r="A1522" s="3" t="s">
        <v>2105</v>
      </c>
      <c r="B1522" s="164" t="str">
        <f>RIGHT(TDays[[#This Row],[تاریخ]],2)</f>
        <v>30</v>
      </c>
      <c r="C1522" s="164" t="str">
        <f>RIGHT(LEFT(TDays[[#This Row],[تاریخ]],7),2)</f>
        <v>02</v>
      </c>
      <c r="D1522" s="164" t="str">
        <f>LEFT(TDays[[#This Row],[تاریخ]],4)</f>
        <v>1405</v>
      </c>
      <c r="E1522" s="164" t="str">
        <f>LEFT(TDays[[#This Row],[تاریخ]],7)</f>
        <v>1405-02</v>
      </c>
      <c r="F1522">
        <v>3</v>
      </c>
      <c r="G1522" s="165" t="str">
        <f>VLOOKUP(TDays[[#This Row],[کد روز هفته]],TDaysOfTheWeek[],2,FALSE)</f>
        <v>سه شنبه</v>
      </c>
      <c r="H1522" s="165">
        <f>IFERROR(IF(E1521&lt;&gt;E1522,1,INT(H1521)+IF(TDays[[#This Row],[کد روز هفته]]=0,1,0)),1)</f>
        <v>5</v>
      </c>
      <c r="I1522" s="164">
        <f>-SUMIF(TArticle[تاریخ],TDays[[#This Row],[تاریخ]],TArticle[هزینه])</f>
        <v>0</v>
      </c>
      <c r="J1522" s="164">
        <f>SUMIF(TArticle[تاریخ],TDays[[#This Row],[تاریخ]],TArticle[درآمد تتا])</f>
        <v>0</v>
      </c>
      <c r="K1522" s="164">
        <f>SUMIF(TArticle[تاریخ],TDays[[#This Row],[تاریخ]],TArticle[اسنپ])</f>
        <v>0</v>
      </c>
      <c r="L1522" s="164">
        <f>-SUMIF(TArticle[تاریخ],TDays[[#This Row],[تاریخ]],TArticle[پرداخت بدهی])</f>
        <v>0</v>
      </c>
      <c r="M1522" s="164">
        <f>SUMIF(TArticle[تاریخ],TDays[[#This Row],[تاریخ]],TArticle[افزایش بدهی])</f>
        <v>0</v>
      </c>
      <c r="N1522" s="164">
        <f>-SUMIF(TArticle[تاریخ],TDays[[#This Row],[تاریخ]],TArticle[افزایش سرمایه])</f>
        <v>0</v>
      </c>
      <c r="O1522" s="164">
        <f>SUMIF(TArticle[تاریخ],TDays[[#This Row],[تاریخ]],TArticle[تعداد تراکنش انجام شده])</f>
        <v>0</v>
      </c>
      <c r="P1522" s="164">
        <f>INT(((TDays[[#This Row],[ماه]]-1)*31+TDays[[#This Row],[روز]]+1)/7)+1</f>
        <v>9</v>
      </c>
      <c r="Q1522" s="164">
        <f>SUMIF(TArticle[تاریخ],TDays[[#This Row],[تاریخ]],TArticle[تراکنش برنامه ریزی شده])</f>
        <v>0</v>
      </c>
    </row>
    <row r="1523" spans="1:17" x14ac:dyDescent="0.25">
      <c r="A1523" s="3" t="s">
        <v>2106</v>
      </c>
      <c r="B1523" s="164" t="str">
        <f>RIGHT(TDays[[#This Row],[تاریخ]],2)</f>
        <v>31</v>
      </c>
      <c r="C1523" s="164" t="str">
        <f>RIGHT(LEFT(TDays[[#This Row],[تاریخ]],7),2)</f>
        <v>02</v>
      </c>
      <c r="D1523" s="164" t="str">
        <f>LEFT(TDays[[#This Row],[تاریخ]],4)</f>
        <v>1405</v>
      </c>
      <c r="E1523" s="164" t="str">
        <f>LEFT(TDays[[#This Row],[تاریخ]],7)</f>
        <v>1405-02</v>
      </c>
      <c r="F1523">
        <v>4</v>
      </c>
      <c r="G1523" s="165" t="str">
        <f>VLOOKUP(TDays[[#This Row],[کد روز هفته]],TDaysOfTheWeek[],2,FALSE)</f>
        <v>چهارشنبه</v>
      </c>
      <c r="H1523" s="165">
        <f>IFERROR(IF(E1522&lt;&gt;E1523,1,INT(H1522)+IF(TDays[[#This Row],[کد روز هفته]]=0,1,0)),1)</f>
        <v>5</v>
      </c>
      <c r="I1523" s="164">
        <f>-SUMIF(TArticle[تاریخ],TDays[[#This Row],[تاریخ]],TArticle[هزینه])</f>
        <v>0</v>
      </c>
      <c r="J1523" s="164">
        <f>SUMIF(TArticle[تاریخ],TDays[[#This Row],[تاریخ]],TArticle[درآمد تتا])</f>
        <v>0</v>
      </c>
      <c r="K1523" s="164">
        <f>SUMIF(TArticle[تاریخ],TDays[[#This Row],[تاریخ]],TArticle[اسنپ])</f>
        <v>0</v>
      </c>
      <c r="L1523" s="164">
        <f>-SUMIF(TArticle[تاریخ],TDays[[#This Row],[تاریخ]],TArticle[پرداخت بدهی])</f>
        <v>0</v>
      </c>
      <c r="M1523" s="164">
        <f>SUMIF(TArticle[تاریخ],TDays[[#This Row],[تاریخ]],TArticle[افزایش بدهی])</f>
        <v>0</v>
      </c>
      <c r="N1523" s="164">
        <f>-SUMIF(TArticle[تاریخ],TDays[[#This Row],[تاریخ]],TArticle[افزایش سرمایه])</f>
        <v>0</v>
      </c>
      <c r="O1523" s="164">
        <f>SUMIF(TArticle[تاریخ],TDays[[#This Row],[تاریخ]],TArticle[تعداد تراکنش انجام شده])</f>
        <v>0</v>
      </c>
      <c r="P1523" s="164">
        <f>INT(((TDays[[#This Row],[ماه]]-1)*31+TDays[[#This Row],[روز]]+1)/7)+1</f>
        <v>10</v>
      </c>
      <c r="Q1523" s="164">
        <f>SUMIF(TArticle[تاریخ],TDays[[#This Row],[تاریخ]],TArticle[تراکنش برنامه ریزی شده])</f>
        <v>0</v>
      </c>
    </row>
    <row r="1524" spans="1:17" x14ac:dyDescent="0.25">
      <c r="A1524" s="3" t="s">
        <v>2107</v>
      </c>
      <c r="B1524" s="164" t="str">
        <f>RIGHT(TDays[[#This Row],[تاریخ]],2)</f>
        <v>01</v>
      </c>
      <c r="C1524" s="164" t="str">
        <f>RIGHT(LEFT(TDays[[#This Row],[تاریخ]],7),2)</f>
        <v>03</v>
      </c>
      <c r="D1524" s="164" t="str">
        <f>LEFT(TDays[[#This Row],[تاریخ]],4)</f>
        <v>1405</v>
      </c>
      <c r="E1524" s="164" t="str">
        <f>LEFT(TDays[[#This Row],[تاریخ]],7)</f>
        <v>1405-03</v>
      </c>
      <c r="F1524">
        <v>5</v>
      </c>
      <c r="G1524" s="165" t="str">
        <f>VLOOKUP(TDays[[#This Row],[کد روز هفته]],TDaysOfTheWeek[],2,FALSE)</f>
        <v>پنجشنبه</v>
      </c>
      <c r="H1524" s="165">
        <f>IFERROR(IF(E1523&lt;&gt;E1524,1,INT(H1523)+IF(TDays[[#This Row],[کد روز هفته]]=0,1,0)),1)</f>
        <v>1</v>
      </c>
      <c r="I1524" s="164">
        <f>-SUMIF(TArticle[تاریخ],TDays[[#This Row],[تاریخ]],TArticle[هزینه])</f>
        <v>0</v>
      </c>
      <c r="J1524" s="164">
        <f>SUMIF(TArticle[تاریخ],TDays[[#This Row],[تاریخ]],TArticle[درآمد تتا])</f>
        <v>0</v>
      </c>
      <c r="K1524" s="164">
        <f>SUMIF(TArticle[تاریخ],TDays[[#This Row],[تاریخ]],TArticle[اسنپ])</f>
        <v>0</v>
      </c>
      <c r="L1524" s="164">
        <f>-SUMIF(TArticle[تاریخ],TDays[[#This Row],[تاریخ]],TArticle[پرداخت بدهی])</f>
        <v>0</v>
      </c>
      <c r="M1524" s="164">
        <f>SUMIF(TArticle[تاریخ],TDays[[#This Row],[تاریخ]],TArticle[افزایش بدهی])</f>
        <v>0</v>
      </c>
      <c r="N1524" s="164">
        <f>-SUMIF(TArticle[تاریخ],TDays[[#This Row],[تاریخ]],TArticle[افزایش سرمایه])</f>
        <v>0</v>
      </c>
      <c r="O1524" s="164">
        <f>SUMIF(TArticle[تاریخ],TDays[[#This Row],[تاریخ]],TArticle[تعداد تراکنش انجام شده])</f>
        <v>0</v>
      </c>
      <c r="P1524" s="164">
        <f>INT(((TDays[[#This Row],[ماه]]-1)*31+TDays[[#This Row],[روز]]+1)/7)+1</f>
        <v>10</v>
      </c>
      <c r="Q1524" s="164">
        <f>SUMIF(TArticle[تاریخ],TDays[[#This Row],[تاریخ]],TArticle[تراکنش برنامه ریزی شده])</f>
        <v>0</v>
      </c>
    </row>
    <row r="1525" spans="1:17" x14ac:dyDescent="0.25">
      <c r="A1525" s="3" t="s">
        <v>2108</v>
      </c>
      <c r="B1525" s="164" t="str">
        <f>RIGHT(TDays[[#This Row],[تاریخ]],2)</f>
        <v>02</v>
      </c>
      <c r="C1525" s="164" t="str">
        <f>RIGHT(LEFT(TDays[[#This Row],[تاریخ]],7),2)</f>
        <v>03</v>
      </c>
      <c r="D1525" s="164" t="str">
        <f>LEFT(TDays[[#This Row],[تاریخ]],4)</f>
        <v>1405</v>
      </c>
      <c r="E1525" s="164" t="str">
        <f>LEFT(TDays[[#This Row],[تاریخ]],7)</f>
        <v>1405-03</v>
      </c>
      <c r="F1525">
        <v>6</v>
      </c>
      <c r="G1525" s="165" t="str">
        <f>VLOOKUP(TDays[[#This Row],[کد روز هفته]],TDaysOfTheWeek[],2,FALSE)</f>
        <v>جمعه</v>
      </c>
      <c r="H1525" s="165">
        <f>IFERROR(IF(E1524&lt;&gt;E1525,1,INT(H1524)+IF(TDays[[#This Row],[کد روز هفته]]=0,1,0)),1)</f>
        <v>1</v>
      </c>
      <c r="I1525" s="164">
        <f>-SUMIF(TArticle[تاریخ],TDays[[#This Row],[تاریخ]],TArticle[هزینه])</f>
        <v>0</v>
      </c>
      <c r="J1525" s="164">
        <f>SUMIF(TArticle[تاریخ],TDays[[#This Row],[تاریخ]],TArticle[درآمد تتا])</f>
        <v>0</v>
      </c>
      <c r="K1525" s="164">
        <f>SUMIF(TArticle[تاریخ],TDays[[#This Row],[تاریخ]],TArticle[اسنپ])</f>
        <v>0</v>
      </c>
      <c r="L1525" s="164">
        <f>-SUMIF(TArticle[تاریخ],TDays[[#This Row],[تاریخ]],TArticle[پرداخت بدهی])</f>
        <v>0</v>
      </c>
      <c r="M1525" s="164">
        <f>SUMIF(TArticle[تاریخ],TDays[[#This Row],[تاریخ]],TArticle[افزایش بدهی])</f>
        <v>0</v>
      </c>
      <c r="N1525" s="164">
        <f>-SUMIF(TArticle[تاریخ],TDays[[#This Row],[تاریخ]],TArticle[افزایش سرمایه])</f>
        <v>0</v>
      </c>
      <c r="O1525" s="164">
        <f>SUMIF(TArticle[تاریخ],TDays[[#This Row],[تاریخ]],TArticle[تعداد تراکنش انجام شده])</f>
        <v>0</v>
      </c>
      <c r="P1525" s="164">
        <f>INT(((TDays[[#This Row],[ماه]]-1)*31+TDays[[#This Row],[روز]]+1)/7)+1</f>
        <v>10</v>
      </c>
      <c r="Q1525" s="164">
        <f>SUMIF(TArticle[تاریخ],TDays[[#This Row],[تاریخ]],TArticle[تراکنش برنامه ریزی شده])</f>
        <v>0</v>
      </c>
    </row>
    <row r="1526" spans="1:17" x14ac:dyDescent="0.25">
      <c r="A1526" s="3" t="s">
        <v>2109</v>
      </c>
      <c r="B1526" s="164" t="str">
        <f>RIGHT(TDays[[#This Row],[تاریخ]],2)</f>
        <v>03</v>
      </c>
      <c r="C1526" s="164" t="str">
        <f>RIGHT(LEFT(TDays[[#This Row],[تاریخ]],7),2)</f>
        <v>03</v>
      </c>
      <c r="D1526" s="164" t="str">
        <f>LEFT(TDays[[#This Row],[تاریخ]],4)</f>
        <v>1405</v>
      </c>
      <c r="E1526" s="164" t="str">
        <f>LEFT(TDays[[#This Row],[تاریخ]],7)</f>
        <v>1405-03</v>
      </c>
      <c r="F1526">
        <v>0</v>
      </c>
      <c r="G1526" s="165" t="str">
        <f>VLOOKUP(TDays[[#This Row],[کد روز هفته]],TDaysOfTheWeek[],2,FALSE)</f>
        <v>شنبه</v>
      </c>
      <c r="H1526" s="165">
        <f>IFERROR(IF(E1525&lt;&gt;E1526,1,INT(H1525)+IF(TDays[[#This Row],[کد روز هفته]]=0,1,0)),1)</f>
        <v>2</v>
      </c>
      <c r="I1526" s="164">
        <f>-SUMIF(TArticle[تاریخ],TDays[[#This Row],[تاریخ]],TArticle[هزینه])</f>
        <v>0</v>
      </c>
      <c r="J1526" s="164">
        <f>SUMIF(TArticle[تاریخ],TDays[[#This Row],[تاریخ]],TArticle[درآمد تتا])</f>
        <v>0</v>
      </c>
      <c r="K1526" s="164">
        <f>SUMIF(TArticle[تاریخ],TDays[[#This Row],[تاریخ]],TArticle[اسنپ])</f>
        <v>0</v>
      </c>
      <c r="L1526" s="164">
        <f>-SUMIF(TArticle[تاریخ],TDays[[#This Row],[تاریخ]],TArticle[پرداخت بدهی])</f>
        <v>0</v>
      </c>
      <c r="M1526" s="164">
        <f>SUMIF(TArticle[تاریخ],TDays[[#This Row],[تاریخ]],TArticle[افزایش بدهی])</f>
        <v>0</v>
      </c>
      <c r="N1526" s="164">
        <f>-SUMIF(TArticle[تاریخ],TDays[[#This Row],[تاریخ]],TArticle[افزایش سرمایه])</f>
        <v>0</v>
      </c>
      <c r="O1526" s="164">
        <f>SUMIF(TArticle[تاریخ],TDays[[#This Row],[تاریخ]],TArticle[تعداد تراکنش انجام شده])</f>
        <v>0</v>
      </c>
      <c r="P1526" s="164">
        <f>INT(((TDays[[#This Row],[ماه]]-1)*31+TDays[[#This Row],[روز]]+1)/7)+1</f>
        <v>10</v>
      </c>
      <c r="Q1526" s="164">
        <f>SUMIF(TArticle[تاریخ],TDays[[#This Row],[تاریخ]],TArticle[تراکنش برنامه ریزی شده])</f>
        <v>1</v>
      </c>
    </row>
    <row r="1527" spans="1:17" x14ac:dyDescent="0.25">
      <c r="A1527" s="3" t="s">
        <v>2110</v>
      </c>
      <c r="B1527" s="164" t="str">
        <f>RIGHT(TDays[[#This Row],[تاریخ]],2)</f>
        <v>04</v>
      </c>
      <c r="C1527" s="164" t="str">
        <f>RIGHT(LEFT(TDays[[#This Row],[تاریخ]],7),2)</f>
        <v>03</v>
      </c>
      <c r="D1527" s="164" t="str">
        <f>LEFT(TDays[[#This Row],[تاریخ]],4)</f>
        <v>1405</v>
      </c>
      <c r="E1527" s="164" t="str">
        <f>LEFT(TDays[[#This Row],[تاریخ]],7)</f>
        <v>1405-03</v>
      </c>
      <c r="F1527">
        <v>1</v>
      </c>
      <c r="G1527" s="165" t="str">
        <f>VLOOKUP(TDays[[#This Row],[کد روز هفته]],TDaysOfTheWeek[],2,FALSE)</f>
        <v>یکشنبه</v>
      </c>
      <c r="H1527" s="165">
        <f>IFERROR(IF(E1526&lt;&gt;E1527,1,INT(H1526)+IF(TDays[[#This Row],[کد روز هفته]]=0,1,0)),1)</f>
        <v>2</v>
      </c>
      <c r="I1527" s="164">
        <f>-SUMIF(TArticle[تاریخ],TDays[[#This Row],[تاریخ]],TArticle[هزینه])</f>
        <v>0</v>
      </c>
      <c r="J1527" s="164">
        <f>SUMIF(TArticle[تاریخ],TDays[[#This Row],[تاریخ]],TArticle[درآمد تتا])</f>
        <v>0</v>
      </c>
      <c r="K1527" s="164">
        <f>SUMIF(TArticle[تاریخ],TDays[[#This Row],[تاریخ]],TArticle[اسنپ])</f>
        <v>0</v>
      </c>
      <c r="L1527" s="164">
        <f>-SUMIF(TArticle[تاریخ],TDays[[#This Row],[تاریخ]],TArticle[پرداخت بدهی])</f>
        <v>0</v>
      </c>
      <c r="M1527" s="164">
        <f>SUMIF(TArticle[تاریخ],TDays[[#This Row],[تاریخ]],TArticle[افزایش بدهی])</f>
        <v>0</v>
      </c>
      <c r="N1527" s="164">
        <f>-SUMIF(TArticle[تاریخ],TDays[[#This Row],[تاریخ]],TArticle[افزایش سرمایه])</f>
        <v>0</v>
      </c>
      <c r="O1527" s="164">
        <f>SUMIF(TArticle[تاریخ],TDays[[#This Row],[تاریخ]],TArticle[تعداد تراکنش انجام شده])</f>
        <v>0</v>
      </c>
      <c r="P1527" s="164">
        <f>INT(((TDays[[#This Row],[ماه]]-1)*31+TDays[[#This Row],[روز]]+1)/7)+1</f>
        <v>10</v>
      </c>
      <c r="Q1527" s="164">
        <f>SUMIF(TArticle[تاریخ],TDays[[#This Row],[تاریخ]],TArticle[تراکنش برنامه ریزی شده])</f>
        <v>0</v>
      </c>
    </row>
    <row r="1528" spans="1:17" x14ac:dyDescent="0.25">
      <c r="A1528" s="3" t="s">
        <v>2111</v>
      </c>
      <c r="B1528" s="164" t="str">
        <f>RIGHT(TDays[[#This Row],[تاریخ]],2)</f>
        <v>05</v>
      </c>
      <c r="C1528" s="164" t="str">
        <f>RIGHT(LEFT(TDays[[#This Row],[تاریخ]],7),2)</f>
        <v>03</v>
      </c>
      <c r="D1528" s="164" t="str">
        <f>LEFT(TDays[[#This Row],[تاریخ]],4)</f>
        <v>1405</v>
      </c>
      <c r="E1528" s="164" t="str">
        <f>LEFT(TDays[[#This Row],[تاریخ]],7)</f>
        <v>1405-03</v>
      </c>
      <c r="F1528">
        <v>2</v>
      </c>
      <c r="G1528" s="165" t="str">
        <f>VLOOKUP(TDays[[#This Row],[کد روز هفته]],TDaysOfTheWeek[],2,FALSE)</f>
        <v>دوشنبه</v>
      </c>
      <c r="H1528" s="165">
        <f>IFERROR(IF(E1527&lt;&gt;E1528,1,INT(H1527)+IF(TDays[[#This Row],[کد روز هفته]]=0,1,0)),1)</f>
        <v>2</v>
      </c>
      <c r="I1528" s="164">
        <f>-SUMIF(TArticle[تاریخ],TDays[[#This Row],[تاریخ]],TArticle[هزینه])</f>
        <v>0</v>
      </c>
      <c r="J1528" s="164">
        <f>SUMIF(TArticle[تاریخ],TDays[[#This Row],[تاریخ]],TArticle[درآمد تتا])</f>
        <v>0</v>
      </c>
      <c r="K1528" s="164">
        <f>SUMIF(TArticle[تاریخ],TDays[[#This Row],[تاریخ]],TArticle[اسنپ])</f>
        <v>0</v>
      </c>
      <c r="L1528" s="164">
        <f>-SUMIF(TArticle[تاریخ],TDays[[#This Row],[تاریخ]],TArticle[پرداخت بدهی])</f>
        <v>0</v>
      </c>
      <c r="M1528" s="164">
        <f>SUMIF(TArticle[تاریخ],TDays[[#This Row],[تاریخ]],TArticle[افزایش بدهی])</f>
        <v>0</v>
      </c>
      <c r="N1528" s="164">
        <f>-SUMIF(TArticle[تاریخ],TDays[[#This Row],[تاریخ]],TArticle[افزایش سرمایه])</f>
        <v>0</v>
      </c>
      <c r="O1528" s="164">
        <f>SUMIF(TArticle[تاریخ],TDays[[#This Row],[تاریخ]],TArticle[تعداد تراکنش انجام شده])</f>
        <v>0</v>
      </c>
      <c r="P1528" s="164">
        <f>INT(((TDays[[#This Row],[ماه]]-1)*31+TDays[[#This Row],[روز]]+1)/7)+1</f>
        <v>10</v>
      </c>
      <c r="Q1528" s="164">
        <f>SUMIF(TArticle[تاریخ],TDays[[#This Row],[تاریخ]],TArticle[تراکنش برنامه ریزی شده])</f>
        <v>0</v>
      </c>
    </row>
    <row r="1529" spans="1:17" x14ac:dyDescent="0.25">
      <c r="A1529" s="3" t="s">
        <v>2112</v>
      </c>
      <c r="B1529" s="164" t="str">
        <f>RIGHT(TDays[[#This Row],[تاریخ]],2)</f>
        <v>06</v>
      </c>
      <c r="C1529" s="164" t="str">
        <f>RIGHT(LEFT(TDays[[#This Row],[تاریخ]],7),2)</f>
        <v>03</v>
      </c>
      <c r="D1529" s="164" t="str">
        <f>LEFT(TDays[[#This Row],[تاریخ]],4)</f>
        <v>1405</v>
      </c>
      <c r="E1529" s="164" t="str">
        <f>LEFT(TDays[[#This Row],[تاریخ]],7)</f>
        <v>1405-03</v>
      </c>
      <c r="F1529">
        <v>3</v>
      </c>
      <c r="G1529" s="165" t="str">
        <f>VLOOKUP(TDays[[#This Row],[کد روز هفته]],TDaysOfTheWeek[],2,FALSE)</f>
        <v>سه شنبه</v>
      </c>
      <c r="H1529" s="165">
        <f>IFERROR(IF(E1528&lt;&gt;E1529,1,INT(H1528)+IF(TDays[[#This Row],[کد روز هفته]]=0,1,0)),1)</f>
        <v>2</v>
      </c>
      <c r="I1529" s="164">
        <f>-SUMIF(TArticle[تاریخ],TDays[[#This Row],[تاریخ]],TArticle[هزینه])</f>
        <v>0</v>
      </c>
      <c r="J1529" s="164">
        <f>SUMIF(TArticle[تاریخ],TDays[[#This Row],[تاریخ]],TArticle[درآمد تتا])</f>
        <v>0</v>
      </c>
      <c r="K1529" s="164">
        <f>SUMIF(TArticle[تاریخ],TDays[[#This Row],[تاریخ]],TArticle[اسنپ])</f>
        <v>0</v>
      </c>
      <c r="L1529" s="164">
        <f>-SUMIF(TArticle[تاریخ],TDays[[#This Row],[تاریخ]],TArticle[پرداخت بدهی])</f>
        <v>0</v>
      </c>
      <c r="M1529" s="164">
        <f>SUMIF(TArticle[تاریخ],TDays[[#This Row],[تاریخ]],TArticle[افزایش بدهی])</f>
        <v>0</v>
      </c>
      <c r="N1529" s="164">
        <f>-SUMIF(TArticle[تاریخ],TDays[[#This Row],[تاریخ]],TArticle[افزایش سرمایه])</f>
        <v>0</v>
      </c>
      <c r="O1529" s="164">
        <f>SUMIF(TArticle[تاریخ],TDays[[#This Row],[تاریخ]],TArticle[تعداد تراکنش انجام شده])</f>
        <v>0</v>
      </c>
      <c r="P1529" s="164">
        <f>INT(((TDays[[#This Row],[ماه]]-1)*31+TDays[[#This Row],[روز]]+1)/7)+1</f>
        <v>10</v>
      </c>
      <c r="Q1529" s="164">
        <f>SUMIF(TArticle[تاریخ],TDays[[#This Row],[تاریخ]],TArticle[تراکنش برنامه ریزی شده])</f>
        <v>0</v>
      </c>
    </row>
    <row r="1530" spans="1:17" x14ac:dyDescent="0.25">
      <c r="A1530" s="3" t="s">
        <v>2113</v>
      </c>
      <c r="B1530" s="164" t="str">
        <f>RIGHT(TDays[[#This Row],[تاریخ]],2)</f>
        <v>07</v>
      </c>
      <c r="C1530" s="164" t="str">
        <f>RIGHT(LEFT(TDays[[#This Row],[تاریخ]],7),2)</f>
        <v>03</v>
      </c>
      <c r="D1530" s="164" t="str">
        <f>LEFT(TDays[[#This Row],[تاریخ]],4)</f>
        <v>1405</v>
      </c>
      <c r="E1530" s="164" t="str">
        <f>LEFT(TDays[[#This Row],[تاریخ]],7)</f>
        <v>1405-03</v>
      </c>
      <c r="F1530">
        <v>4</v>
      </c>
      <c r="G1530" s="165" t="str">
        <f>VLOOKUP(TDays[[#This Row],[کد روز هفته]],TDaysOfTheWeek[],2,FALSE)</f>
        <v>چهارشنبه</v>
      </c>
      <c r="H1530" s="165">
        <f>IFERROR(IF(E1529&lt;&gt;E1530,1,INT(H1529)+IF(TDays[[#This Row],[کد روز هفته]]=0,1,0)),1)</f>
        <v>2</v>
      </c>
      <c r="I1530" s="164">
        <f>-SUMIF(TArticle[تاریخ],TDays[[#This Row],[تاریخ]],TArticle[هزینه])</f>
        <v>0</v>
      </c>
      <c r="J1530" s="164">
        <f>SUMIF(TArticle[تاریخ],TDays[[#This Row],[تاریخ]],TArticle[درآمد تتا])</f>
        <v>0</v>
      </c>
      <c r="K1530" s="164">
        <f>SUMIF(TArticle[تاریخ],TDays[[#This Row],[تاریخ]],TArticle[اسنپ])</f>
        <v>0</v>
      </c>
      <c r="L1530" s="164">
        <f>-SUMIF(TArticle[تاریخ],TDays[[#This Row],[تاریخ]],TArticle[پرداخت بدهی])</f>
        <v>0</v>
      </c>
      <c r="M1530" s="164">
        <f>SUMIF(TArticle[تاریخ],TDays[[#This Row],[تاریخ]],TArticle[افزایش بدهی])</f>
        <v>0</v>
      </c>
      <c r="N1530" s="164">
        <f>-SUMIF(TArticle[تاریخ],TDays[[#This Row],[تاریخ]],TArticle[افزایش سرمایه])</f>
        <v>0</v>
      </c>
      <c r="O1530" s="164">
        <f>SUMIF(TArticle[تاریخ],TDays[[#This Row],[تاریخ]],TArticle[تعداد تراکنش انجام شده])</f>
        <v>0</v>
      </c>
      <c r="P1530" s="164">
        <f>INT(((TDays[[#This Row],[ماه]]-1)*31+TDays[[#This Row],[روز]]+1)/7)+1</f>
        <v>11</v>
      </c>
      <c r="Q1530" s="164">
        <f>SUMIF(TArticle[تاریخ],TDays[[#This Row],[تاریخ]],TArticle[تراکنش برنامه ریزی شده])</f>
        <v>0</v>
      </c>
    </row>
    <row r="1531" spans="1:17" x14ac:dyDescent="0.25">
      <c r="A1531" s="3" t="s">
        <v>2114</v>
      </c>
      <c r="B1531" s="164" t="str">
        <f>RIGHT(TDays[[#This Row],[تاریخ]],2)</f>
        <v>08</v>
      </c>
      <c r="C1531" s="164" t="str">
        <f>RIGHT(LEFT(TDays[[#This Row],[تاریخ]],7),2)</f>
        <v>03</v>
      </c>
      <c r="D1531" s="164" t="str">
        <f>LEFT(TDays[[#This Row],[تاریخ]],4)</f>
        <v>1405</v>
      </c>
      <c r="E1531" s="164" t="str">
        <f>LEFT(TDays[[#This Row],[تاریخ]],7)</f>
        <v>1405-03</v>
      </c>
      <c r="F1531">
        <v>5</v>
      </c>
      <c r="G1531" s="165" t="str">
        <f>VLOOKUP(TDays[[#This Row],[کد روز هفته]],TDaysOfTheWeek[],2,FALSE)</f>
        <v>پنجشنبه</v>
      </c>
      <c r="H1531" s="165">
        <f>IFERROR(IF(E1530&lt;&gt;E1531,1,INT(H1530)+IF(TDays[[#This Row],[کد روز هفته]]=0,1,0)),1)</f>
        <v>2</v>
      </c>
      <c r="I1531" s="164">
        <f>-SUMIF(TArticle[تاریخ],TDays[[#This Row],[تاریخ]],TArticle[هزینه])</f>
        <v>0</v>
      </c>
      <c r="J1531" s="164">
        <f>SUMIF(TArticle[تاریخ],TDays[[#This Row],[تاریخ]],TArticle[درآمد تتا])</f>
        <v>0</v>
      </c>
      <c r="K1531" s="164">
        <f>SUMIF(TArticle[تاریخ],TDays[[#This Row],[تاریخ]],TArticle[اسنپ])</f>
        <v>0</v>
      </c>
      <c r="L1531" s="164">
        <f>-SUMIF(TArticle[تاریخ],TDays[[#This Row],[تاریخ]],TArticle[پرداخت بدهی])</f>
        <v>0</v>
      </c>
      <c r="M1531" s="164">
        <f>SUMIF(TArticle[تاریخ],TDays[[#This Row],[تاریخ]],TArticle[افزایش بدهی])</f>
        <v>0</v>
      </c>
      <c r="N1531" s="164">
        <f>-SUMIF(TArticle[تاریخ],TDays[[#This Row],[تاریخ]],TArticle[افزایش سرمایه])</f>
        <v>0</v>
      </c>
      <c r="O1531" s="164">
        <f>SUMIF(TArticle[تاریخ],TDays[[#This Row],[تاریخ]],TArticle[تعداد تراکنش انجام شده])</f>
        <v>0</v>
      </c>
      <c r="P1531" s="164">
        <f>INT(((TDays[[#This Row],[ماه]]-1)*31+TDays[[#This Row],[روز]]+1)/7)+1</f>
        <v>11</v>
      </c>
      <c r="Q1531" s="164">
        <f>SUMIF(TArticle[تاریخ],TDays[[#This Row],[تاریخ]],TArticle[تراکنش برنامه ریزی شده])</f>
        <v>0</v>
      </c>
    </row>
    <row r="1532" spans="1:17" x14ac:dyDescent="0.25">
      <c r="A1532" s="3" t="s">
        <v>2115</v>
      </c>
      <c r="B1532" s="164" t="str">
        <f>RIGHT(TDays[[#This Row],[تاریخ]],2)</f>
        <v>09</v>
      </c>
      <c r="C1532" s="164" t="str">
        <f>RIGHT(LEFT(TDays[[#This Row],[تاریخ]],7),2)</f>
        <v>03</v>
      </c>
      <c r="D1532" s="164" t="str">
        <f>LEFT(TDays[[#This Row],[تاریخ]],4)</f>
        <v>1405</v>
      </c>
      <c r="E1532" s="164" t="str">
        <f>LEFT(TDays[[#This Row],[تاریخ]],7)</f>
        <v>1405-03</v>
      </c>
      <c r="F1532">
        <v>6</v>
      </c>
      <c r="G1532" s="165" t="str">
        <f>VLOOKUP(TDays[[#This Row],[کد روز هفته]],TDaysOfTheWeek[],2,FALSE)</f>
        <v>جمعه</v>
      </c>
      <c r="H1532" s="165">
        <f>IFERROR(IF(E1531&lt;&gt;E1532,1,INT(H1531)+IF(TDays[[#This Row],[کد روز هفته]]=0,1,0)),1)</f>
        <v>2</v>
      </c>
      <c r="I1532" s="164">
        <f>-SUMIF(TArticle[تاریخ],TDays[[#This Row],[تاریخ]],TArticle[هزینه])</f>
        <v>0</v>
      </c>
      <c r="J1532" s="164">
        <f>SUMIF(TArticle[تاریخ],TDays[[#This Row],[تاریخ]],TArticle[درآمد تتا])</f>
        <v>0</v>
      </c>
      <c r="K1532" s="164">
        <f>SUMIF(TArticle[تاریخ],TDays[[#This Row],[تاریخ]],TArticle[اسنپ])</f>
        <v>0</v>
      </c>
      <c r="L1532" s="164">
        <f>-SUMIF(TArticle[تاریخ],TDays[[#This Row],[تاریخ]],TArticle[پرداخت بدهی])</f>
        <v>0</v>
      </c>
      <c r="M1532" s="164">
        <f>SUMIF(TArticle[تاریخ],TDays[[#This Row],[تاریخ]],TArticle[افزایش بدهی])</f>
        <v>0</v>
      </c>
      <c r="N1532" s="164">
        <f>-SUMIF(TArticle[تاریخ],TDays[[#This Row],[تاریخ]],TArticle[افزایش سرمایه])</f>
        <v>0</v>
      </c>
      <c r="O1532" s="164">
        <f>SUMIF(TArticle[تاریخ],TDays[[#This Row],[تاریخ]],TArticle[تعداد تراکنش انجام شده])</f>
        <v>0</v>
      </c>
      <c r="P1532" s="164">
        <f>INT(((TDays[[#This Row],[ماه]]-1)*31+TDays[[#This Row],[روز]]+1)/7)+1</f>
        <v>11</v>
      </c>
      <c r="Q1532" s="164">
        <f>SUMIF(TArticle[تاریخ],TDays[[#This Row],[تاریخ]],TArticle[تراکنش برنامه ریزی شده])</f>
        <v>0</v>
      </c>
    </row>
    <row r="1533" spans="1:17" x14ac:dyDescent="0.25">
      <c r="A1533" s="3" t="s">
        <v>2116</v>
      </c>
      <c r="B1533" s="164" t="str">
        <f>RIGHT(TDays[[#This Row],[تاریخ]],2)</f>
        <v>10</v>
      </c>
      <c r="C1533" s="164" t="str">
        <f>RIGHT(LEFT(TDays[[#This Row],[تاریخ]],7),2)</f>
        <v>03</v>
      </c>
      <c r="D1533" s="164" t="str">
        <f>LEFT(TDays[[#This Row],[تاریخ]],4)</f>
        <v>1405</v>
      </c>
      <c r="E1533" s="164" t="str">
        <f>LEFT(TDays[[#This Row],[تاریخ]],7)</f>
        <v>1405-03</v>
      </c>
      <c r="F1533">
        <v>0</v>
      </c>
      <c r="G1533" s="165" t="str">
        <f>VLOOKUP(TDays[[#This Row],[کد روز هفته]],TDaysOfTheWeek[],2,FALSE)</f>
        <v>شنبه</v>
      </c>
      <c r="H1533" s="165">
        <f>IFERROR(IF(E1532&lt;&gt;E1533,1,INT(H1532)+IF(TDays[[#This Row],[کد روز هفته]]=0,1,0)),1)</f>
        <v>3</v>
      </c>
      <c r="I1533" s="164">
        <f>-SUMIF(TArticle[تاریخ],TDays[[#This Row],[تاریخ]],TArticle[هزینه])</f>
        <v>0</v>
      </c>
      <c r="J1533" s="164">
        <f>SUMIF(TArticle[تاریخ],TDays[[#This Row],[تاریخ]],TArticle[درآمد تتا])</f>
        <v>0</v>
      </c>
      <c r="K1533" s="164">
        <f>SUMIF(TArticle[تاریخ],TDays[[#This Row],[تاریخ]],TArticle[اسنپ])</f>
        <v>0</v>
      </c>
      <c r="L1533" s="164">
        <f>-SUMIF(TArticle[تاریخ],TDays[[#This Row],[تاریخ]],TArticle[پرداخت بدهی])</f>
        <v>0</v>
      </c>
      <c r="M1533" s="164">
        <f>SUMIF(TArticle[تاریخ],TDays[[#This Row],[تاریخ]],TArticle[افزایش بدهی])</f>
        <v>0</v>
      </c>
      <c r="N1533" s="164">
        <f>-SUMIF(TArticle[تاریخ],TDays[[#This Row],[تاریخ]],TArticle[افزایش سرمایه])</f>
        <v>0</v>
      </c>
      <c r="O1533" s="164">
        <f>SUMIF(TArticle[تاریخ],TDays[[#This Row],[تاریخ]],TArticle[تعداد تراکنش انجام شده])</f>
        <v>0</v>
      </c>
      <c r="P1533" s="164">
        <f>INT(((TDays[[#This Row],[ماه]]-1)*31+TDays[[#This Row],[روز]]+1)/7)+1</f>
        <v>11</v>
      </c>
      <c r="Q1533" s="164">
        <f>SUMIF(TArticle[تاریخ],TDays[[#This Row],[تاریخ]],TArticle[تراکنش برنامه ریزی شده])</f>
        <v>0</v>
      </c>
    </row>
    <row r="1534" spans="1:17" x14ac:dyDescent="0.25">
      <c r="A1534" s="3" t="s">
        <v>2117</v>
      </c>
      <c r="B1534" s="164" t="str">
        <f>RIGHT(TDays[[#This Row],[تاریخ]],2)</f>
        <v>11</v>
      </c>
      <c r="C1534" s="164" t="str">
        <f>RIGHT(LEFT(TDays[[#This Row],[تاریخ]],7),2)</f>
        <v>03</v>
      </c>
      <c r="D1534" s="164" t="str">
        <f>LEFT(TDays[[#This Row],[تاریخ]],4)</f>
        <v>1405</v>
      </c>
      <c r="E1534" s="164" t="str">
        <f>LEFT(TDays[[#This Row],[تاریخ]],7)</f>
        <v>1405-03</v>
      </c>
      <c r="F1534">
        <v>1</v>
      </c>
      <c r="G1534" s="165" t="str">
        <f>VLOOKUP(TDays[[#This Row],[کد روز هفته]],TDaysOfTheWeek[],2,FALSE)</f>
        <v>یکشنبه</v>
      </c>
      <c r="H1534" s="165">
        <f>IFERROR(IF(E1533&lt;&gt;E1534,1,INT(H1533)+IF(TDays[[#This Row],[کد روز هفته]]=0,1,0)),1)</f>
        <v>3</v>
      </c>
      <c r="I1534" s="164">
        <f>-SUMIF(TArticle[تاریخ],TDays[[#This Row],[تاریخ]],TArticle[هزینه])</f>
        <v>0</v>
      </c>
      <c r="J1534" s="164">
        <f>SUMIF(TArticle[تاریخ],TDays[[#This Row],[تاریخ]],TArticle[درآمد تتا])</f>
        <v>0</v>
      </c>
      <c r="K1534" s="164">
        <f>SUMIF(TArticle[تاریخ],TDays[[#This Row],[تاریخ]],TArticle[اسنپ])</f>
        <v>0</v>
      </c>
      <c r="L1534" s="164">
        <f>-SUMIF(TArticle[تاریخ],TDays[[#This Row],[تاریخ]],TArticle[پرداخت بدهی])</f>
        <v>0</v>
      </c>
      <c r="M1534" s="164">
        <f>SUMIF(TArticle[تاریخ],TDays[[#This Row],[تاریخ]],TArticle[افزایش بدهی])</f>
        <v>0</v>
      </c>
      <c r="N1534" s="164">
        <f>-SUMIF(TArticle[تاریخ],TDays[[#This Row],[تاریخ]],TArticle[افزایش سرمایه])</f>
        <v>0</v>
      </c>
      <c r="O1534" s="164">
        <f>SUMIF(TArticle[تاریخ],TDays[[#This Row],[تاریخ]],TArticle[تعداد تراکنش انجام شده])</f>
        <v>0</v>
      </c>
      <c r="P1534" s="164">
        <f>INT(((TDays[[#This Row],[ماه]]-1)*31+TDays[[#This Row],[روز]]+1)/7)+1</f>
        <v>11</v>
      </c>
      <c r="Q1534" s="164">
        <f>SUMIF(TArticle[تاریخ],TDays[[#This Row],[تاریخ]],TArticle[تراکنش برنامه ریزی شده])</f>
        <v>0</v>
      </c>
    </row>
    <row r="1535" spans="1:17" x14ac:dyDescent="0.25">
      <c r="A1535" s="3" t="s">
        <v>2118</v>
      </c>
      <c r="B1535" s="164" t="str">
        <f>RIGHT(TDays[[#This Row],[تاریخ]],2)</f>
        <v>12</v>
      </c>
      <c r="C1535" s="164" t="str">
        <f>RIGHT(LEFT(TDays[[#This Row],[تاریخ]],7),2)</f>
        <v>03</v>
      </c>
      <c r="D1535" s="164" t="str">
        <f>LEFT(TDays[[#This Row],[تاریخ]],4)</f>
        <v>1405</v>
      </c>
      <c r="E1535" s="164" t="str">
        <f>LEFT(TDays[[#This Row],[تاریخ]],7)</f>
        <v>1405-03</v>
      </c>
      <c r="F1535">
        <v>2</v>
      </c>
      <c r="G1535" s="165" t="str">
        <f>VLOOKUP(TDays[[#This Row],[کد روز هفته]],TDaysOfTheWeek[],2,FALSE)</f>
        <v>دوشنبه</v>
      </c>
      <c r="H1535" s="165">
        <f>IFERROR(IF(E1534&lt;&gt;E1535,1,INT(H1534)+IF(TDays[[#This Row],[کد روز هفته]]=0,1,0)),1)</f>
        <v>3</v>
      </c>
      <c r="I1535" s="164">
        <f>-SUMIF(TArticle[تاریخ],TDays[[#This Row],[تاریخ]],TArticle[هزینه])</f>
        <v>0</v>
      </c>
      <c r="J1535" s="164">
        <f>SUMIF(TArticle[تاریخ],TDays[[#This Row],[تاریخ]],TArticle[درآمد تتا])</f>
        <v>0</v>
      </c>
      <c r="K1535" s="164">
        <f>SUMIF(TArticle[تاریخ],TDays[[#This Row],[تاریخ]],TArticle[اسنپ])</f>
        <v>0</v>
      </c>
      <c r="L1535" s="164">
        <f>-SUMIF(TArticle[تاریخ],TDays[[#This Row],[تاریخ]],TArticle[پرداخت بدهی])</f>
        <v>0</v>
      </c>
      <c r="M1535" s="164">
        <f>SUMIF(TArticle[تاریخ],TDays[[#This Row],[تاریخ]],TArticle[افزایش بدهی])</f>
        <v>0</v>
      </c>
      <c r="N1535" s="164">
        <f>-SUMIF(TArticle[تاریخ],TDays[[#This Row],[تاریخ]],TArticle[افزایش سرمایه])</f>
        <v>0</v>
      </c>
      <c r="O1535" s="164">
        <f>SUMIF(TArticle[تاریخ],TDays[[#This Row],[تاریخ]],TArticle[تعداد تراکنش انجام شده])</f>
        <v>0</v>
      </c>
      <c r="P1535" s="164">
        <f>INT(((TDays[[#This Row],[ماه]]-1)*31+TDays[[#This Row],[روز]]+1)/7)+1</f>
        <v>11</v>
      </c>
      <c r="Q1535" s="164">
        <f>SUMIF(TArticle[تاریخ],TDays[[#This Row],[تاریخ]],TArticle[تراکنش برنامه ریزی شده])</f>
        <v>0</v>
      </c>
    </row>
    <row r="1536" spans="1:17" x14ac:dyDescent="0.25">
      <c r="A1536" s="3" t="s">
        <v>2119</v>
      </c>
      <c r="B1536" s="164" t="str">
        <f>RIGHT(TDays[[#This Row],[تاریخ]],2)</f>
        <v>13</v>
      </c>
      <c r="C1536" s="164" t="str">
        <f>RIGHT(LEFT(TDays[[#This Row],[تاریخ]],7),2)</f>
        <v>03</v>
      </c>
      <c r="D1536" s="164" t="str">
        <f>LEFT(TDays[[#This Row],[تاریخ]],4)</f>
        <v>1405</v>
      </c>
      <c r="E1536" s="164" t="str">
        <f>LEFT(TDays[[#This Row],[تاریخ]],7)</f>
        <v>1405-03</v>
      </c>
      <c r="F1536">
        <v>3</v>
      </c>
      <c r="G1536" s="165" t="str">
        <f>VLOOKUP(TDays[[#This Row],[کد روز هفته]],TDaysOfTheWeek[],2,FALSE)</f>
        <v>سه شنبه</v>
      </c>
      <c r="H1536" s="165">
        <f>IFERROR(IF(E1535&lt;&gt;E1536,1,INT(H1535)+IF(TDays[[#This Row],[کد روز هفته]]=0,1,0)),1)</f>
        <v>3</v>
      </c>
      <c r="I1536" s="164">
        <f>-SUMIF(TArticle[تاریخ],TDays[[#This Row],[تاریخ]],TArticle[هزینه])</f>
        <v>0</v>
      </c>
      <c r="J1536" s="164">
        <f>SUMIF(TArticle[تاریخ],TDays[[#This Row],[تاریخ]],TArticle[درآمد تتا])</f>
        <v>0</v>
      </c>
      <c r="K1536" s="164">
        <f>SUMIF(TArticle[تاریخ],TDays[[#This Row],[تاریخ]],TArticle[اسنپ])</f>
        <v>0</v>
      </c>
      <c r="L1536" s="164">
        <f>-SUMIF(TArticle[تاریخ],TDays[[#This Row],[تاریخ]],TArticle[پرداخت بدهی])</f>
        <v>0</v>
      </c>
      <c r="M1536" s="164">
        <f>SUMIF(TArticle[تاریخ],TDays[[#This Row],[تاریخ]],TArticle[افزایش بدهی])</f>
        <v>0</v>
      </c>
      <c r="N1536" s="164">
        <f>-SUMIF(TArticle[تاریخ],TDays[[#This Row],[تاریخ]],TArticle[افزایش سرمایه])</f>
        <v>0</v>
      </c>
      <c r="O1536" s="164">
        <f>SUMIF(TArticle[تاریخ],TDays[[#This Row],[تاریخ]],TArticle[تعداد تراکنش انجام شده])</f>
        <v>0</v>
      </c>
      <c r="P1536" s="164">
        <f>INT(((TDays[[#This Row],[ماه]]-1)*31+TDays[[#This Row],[روز]]+1)/7)+1</f>
        <v>11</v>
      </c>
      <c r="Q1536" s="164">
        <f>SUMIF(TArticle[تاریخ],TDays[[#This Row],[تاریخ]],TArticle[تراکنش برنامه ریزی شده])</f>
        <v>0</v>
      </c>
    </row>
    <row r="1537" spans="1:17" x14ac:dyDescent="0.25">
      <c r="A1537" s="3" t="s">
        <v>2120</v>
      </c>
      <c r="B1537" s="164" t="str">
        <f>RIGHT(TDays[[#This Row],[تاریخ]],2)</f>
        <v>14</v>
      </c>
      <c r="C1537" s="164" t="str">
        <f>RIGHT(LEFT(TDays[[#This Row],[تاریخ]],7),2)</f>
        <v>03</v>
      </c>
      <c r="D1537" s="164" t="str">
        <f>LEFT(TDays[[#This Row],[تاریخ]],4)</f>
        <v>1405</v>
      </c>
      <c r="E1537" s="164" t="str">
        <f>LEFT(TDays[[#This Row],[تاریخ]],7)</f>
        <v>1405-03</v>
      </c>
      <c r="F1537">
        <v>4</v>
      </c>
      <c r="G1537" s="165" t="str">
        <f>VLOOKUP(TDays[[#This Row],[کد روز هفته]],TDaysOfTheWeek[],2,FALSE)</f>
        <v>چهارشنبه</v>
      </c>
      <c r="H1537" s="165">
        <f>IFERROR(IF(E1536&lt;&gt;E1537,1,INT(H1536)+IF(TDays[[#This Row],[کد روز هفته]]=0,1,0)),1)</f>
        <v>3</v>
      </c>
      <c r="I1537" s="164">
        <f>-SUMIF(TArticle[تاریخ],TDays[[#This Row],[تاریخ]],TArticle[هزینه])</f>
        <v>0</v>
      </c>
      <c r="J1537" s="164">
        <f>SUMIF(TArticle[تاریخ],TDays[[#This Row],[تاریخ]],TArticle[درآمد تتا])</f>
        <v>0</v>
      </c>
      <c r="K1537" s="164">
        <f>SUMIF(TArticle[تاریخ],TDays[[#This Row],[تاریخ]],TArticle[اسنپ])</f>
        <v>0</v>
      </c>
      <c r="L1537" s="164">
        <f>-SUMIF(TArticle[تاریخ],TDays[[#This Row],[تاریخ]],TArticle[پرداخت بدهی])</f>
        <v>0</v>
      </c>
      <c r="M1537" s="164">
        <f>SUMIF(TArticle[تاریخ],TDays[[#This Row],[تاریخ]],TArticle[افزایش بدهی])</f>
        <v>0</v>
      </c>
      <c r="N1537" s="164">
        <f>-SUMIF(TArticle[تاریخ],TDays[[#This Row],[تاریخ]],TArticle[افزایش سرمایه])</f>
        <v>0</v>
      </c>
      <c r="O1537" s="164">
        <f>SUMIF(TArticle[تاریخ],TDays[[#This Row],[تاریخ]],TArticle[تعداد تراکنش انجام شده])</f>
        <v>0</v>
      </c>
      <c r="P1537" s="164">
        <f>INT(((TDays[[#This Row],[ماه]]-1)*31+TDays[[#This Row],[روز]]+1)/7)+1</f>
        <v>12</v>
      </c>
      <c r="Q1537" s="164">
        <f>SUMIF(TArticle[تاریخ],TDays[[#This Row],[تاریخ]],TArticle[تراکنش برنامه ریزی شده])</f>
        <v>0</v>
      </c>
    </row>
    <row r="1538" spans="1:17" x14ac:dyDescent="0.25">
      <c r="A1538" s="3" t="s">
        <v>2121</v>
      </c>
      <c r="B1538" s="164" t="str">
        <f>RIGHT(TDays[[#This Row],[تاریخ]],2)</f>
        <v>15</v>
      </c>
      <c r="C1538" s="164" t="str">
        <f>RIGHT(LEFT(TDays[[#This Row],[تاریخ]],7),2)</f>
        <v>03</v>
      </c>
      <c r="D1538" s="164" t="str">
        <f>LEFT(TDays[[#This Row],[تاریخ]],4)</f>
        <v>1405</v>
      </c>
      <c r="E1538" s="164" t="str">
        <f>LEFT(TDays[[#This Row],[تاریخ]],7)</f>
        <v>1405-03</v>
      </c>
      <c r="F1538">
        <v>5</v>
      </c>
      <c r="G1538" s="165" t="str">
        <f>VLOOKUP(TDays[[#This Row],[کد روز هفته]],TDaysOfTheWeek[],2,FALSE)</f>
        <v>پنجشنبه</v>
      </c>
      <c r="H1538" s="165">
        <f>IFERROR(IF(E1537&lt;&gt;E1538,1,INT(H1537)+IF(TDays[[#This Row],[کد روز هفته]]=0,1,0)),1)</f>
        <v>3</v>
      </c>
      <c r="I1538" s="164">
        <f>-SUMIF(TArticle[تاریخ],TDays[[#This Row],[تاریخ]],TArticle[هزینه])</f>
        <v>0</v>
      </c>
      <c r="J1538" s="164">
        <f>SUMIF(TArticle[تاریخ],TDays[[#This Row],[تاریخ]],TArticle[درآمد تتا])</f>
        <v>0</v>
      </c>
      <c r="K1538" s="164">
        <f>SUMIF(TArticle[تاریخ],TDays[[#This Row],[تاریخ]],TArticle[اسنپ])</f>
        <v>0</v>
      </c>
      <c r="L1538" s="164">
        <f>-SUMIF(TArticle[تاریخ],TDays[[#This Row],[تاریخ]],TArticle[پرداخت بدهی])</f>
        <v>0</v>
      </c>
      <c r="M1538" s="164">
        <f>SUMIF(TArticle[تاریخ],TDays[[#This Row],[تاریخ]],TArticle[افزایش بدهی])</f>
        <v>0</v>
      </c>
      <c r="N1538" s="164">
        <f>-SUMIF(TArticle[تاریخ],TDays[[#This Row],[تاریخ]],TArticle[افزایش سرمایه])</f>
        <v>0</v>
      </c>
      <c r="O1538" s="164">
        <f>SUMIF(TArticle[تاریخ],TDays[[#This Row],[تاریخ]],TArticle[تعداد تراکنش انجام شده])</f>
        <v>0</v>
      </c>
      <c r="P1538" s="164">
        <f>INT(((TDays[[#This Row],[ماه]]-1)*31+TDays[[#This Row],[روز]]+1)/7)+1</f>
        <v>12</v>
      </c>
      <c r="Q1538" s="164">
        <f>SUMIF(TArticle[تاریخ],TDays[[#This Row],[تاریخ]],TArticle[تراکنش برنامه ریزی شده])</f>
        <v>0</v>
      </c>
    </row>
    <row r="1539" spans="1:17" x14ac:dyDescent="0.25">
      <c r="A1539" s="3" t="s">
        <v>2122</v>
      </c>
      <c r="B1539" s="164" t="str">
        <f>RIGHT(TDays[[#This Row],[تاریخ]],2)</f>
        <v>16</v>
      </c>
      <c r="C1539" s="164" t="str">
        <f>RIGHT(LEFT(TDays[[#This Row],[تاریخ]],7),2)</f>
        <v>03</v>
      </c>
      <c r="D1539" s="164" t="str">
        <f>LEFT(TDays[[#This Row],[تاریخ]],4)</f>
        <v>1405</v>
      </c>
      <c r="E1539" s="164" t="str">
        <f>LEFT(TDays[[#This Row],[تاریخ]],7)</f>
        <v>1405-03</v>
      </c>
      <c r="F1539">
        <v>6</v>
      </c>
      <c r="G1539" s="165" t="str">
        <f>VLOOKUP(TDays[[#This Row],[کد روز هفته]],TDaysOfTheWeek[],2,FALSE)</f>
        <v>جمعه</v>
      </c>
      <c r="H1539" s="165">
        <f>IFERROR(IF(E1538&lt;&gt;E1539,1,INT(H1538)+IF(TDays[[#This Row],[کد روز هفته]]=0,1,0)),1)</f>
        <v>3</v>
      </c>
      <c r="I1539" s="164">
        <f>-SUMIF(TArticle[تاریخ],TDays[[#This Row],[تاریخ]],TArticle[هزینه])</f>
        <v>0</v>
      </c>
      <c r="J1539" s="164">
        <f>SUMIF(TArticle[تاریخ],TDays[[#This Row],[تاریخ]],TArticle[درآمد تتا])</f>
        <v>0</v>
      </c>
      <c r="K1539" s="164">
        <f>SUMIF(TArticle[تاریخ],TDays[[#This Row],[تاریخ]],TArticle[اسنپ])</f>
        <v>0</v>
      </c>
      <c r="L1539" s="164">
        <f>-SUMIF(TArticle[تاریخ],TDays[[#This Row],[تاریخ]],TArticle[پرداخت بدهی])</f>
        <v>0</v>
      </c>
      <c r="M1539" s="164">
        <f>SUMIF(TArticle[تاریخ],TDays[[#This Row],[تاریخ]],TArticle[افزایش بدهی])</f>
        <v>0</v>
      </c>
      <c r="N1539" s="164">
        <f>-SUMIF(TArticle[تاریخ],TDays[[#This Row],[تاریخ]],TArticle[افزایش سرمایه])</f>
        <v>0</v>
      </c>
      <c r="O1539" s="164">
        <f>SUMIF(TArticle[تاریخ],TDays[[#This Row],[تاریخ]],TArticle[تعداد تراکنش انجام شده])</f>
        <v>0</v>
      </c>
      <c r="P1539" s="164">
        <f>INT(((TDays[[#This Row],[ماه]]-1)*31+TDays[[#This Row],[روز]]+1)/7)+1</f>
        <v>12</v>
      </c>
      <c r="Q1539" s="164">
        <f>SUMIF(TArticle[تاریخ],TDays[[#This Row],[تاریخ]],TArticle[تراکنش برنامه ریزی شده])</f>
        <v>0</v>
      </c>
    </row>
    <row r="1540" spans="1:17" x14ac:dyDescent="0.25">
      <c r="A1540" s="3" t="s">
        <v>2123</v>
      </c>
      <c r="B1540" s="164" t="str">
        <f>RIGHT(TDays[[#This Row],[تاریخ]],2)</f>
        <v>17</v>
      </c>
      <c r="C1540" s="164" t="str">
        <f>RIGHT(LEFT(TDays[[#This Row],[تاریخ]],7),2)</f>
        <v>03</v>
      </c>
      <c r="D1540" s="164" t="str">
        <f>LEFT(TDays[[#This Row],[تاریخ]],4)</f>
        <v>1405</v>
      </c>
      <c r="E1540" s="164" t="str">
        <f>LEFT(TDays[[#This Row],[تاریخ]],7)</f>
        <v>1405-03</v>
      </c>
      <c r="F1540">
        <v>0</v>
      </c>
      <c r="G1540" s="165" t="str">
        <f>VLOOKUP(TDays[[#This Row],[کد روز هفته]],TDaysOfTheWeek[],2,FALSE)</f>
        <v>شنبه</v>
      </c>
      <c r="H1540" s="165">
        <f>IFERROR(IF(E1539&lt;&gt;E1540,1,INT(H1539)+IF(TDays[[#This Row],[کد روز هفته]]=0,1,0)),1)</f>
        <v>4</v>
      </c>
      <c r="I1540" s="164">
        <f>-SUMIF(TArticle[تاریخ],TDays[[#This Row],[تاریخ]],TArticle[هزینه])</f>
        <v>0</v>
      </c>
      <c r="J1540" s="164">
        <f>SUMIF(TArticle[تاریخ],TDays[[#This Row],[تاریخ]],TArticle[درآمد تتا])</f>
        <v>0</v>
      </c>
      <c r="K1540" s="164">
        <f>SUMIF(TArticle[تاریخ],TDays[[#This Row],[تاریخ]],TArticle[اسنپ])</f>
        <v>0</v>
      </c>
      <c r="L1540" s="164">
        <f>-SUMIF(TArticle[تاریخ],TDays[[#This Row],[تاریخ]],TArticle[پرداخت بدهی])</f>
        <v>0</v>
      </c>
      <c r="M1540" s="164">
        <f>SUMIF(TArticle[تاریخ],TDays[[#This Row],[تاریخ]],TArticle[افزایش بدهی])</f>
        <v>0</v>
      </c>
      <c r="N1540" s="164">
        <f>-SUMIF(TArticle[تاریخ],TDays[[#This Row],[تاریخ]],TArticle[افزایش سرمایه])</f>
        <v>0</v>
      </c>
      <c r="O1540" s="164">
        <f>SUMIF(TArticle[تاریخ],TDays[[#This Row],[تاریخ]],TArticle[تعداد تراکنش انجام شده])</f>
        <v>0</v>
      </c>
      <c r="P1540" s="164">
        <f>INT(((TDays[[#This Row],[ماه]]-1)*31+TDays[[#This Row],[روز]]+1)/7)+1</f>
        <v>12</v>
      </c>
      <c r="Q1540" s="164">
        <f>SUMIF(TArticle[تاریخ],TDays[[#This Row],[تاریخ]],TArticle[تراکنش برنامه ریزی شده])</f>
        <v>0</v>
      </c>
    </row>
    <row r="1541" spans="1:17" x14ac:dyDescent="0.25">
      <c r="A1541" s="3" t="s">
        <v>2124</v>
      </c>
      <c r="B1541" s="164" t="str">
        <f>RIGHT(TDays[[#This Row],[تاریخ]],2)</f>
        <v>18</v>
      </c>
      <c r="C1541" s="164" t="str">
        <f>RIGHT(LEFT(TDays[[#This Row],[تاریخ]],7),2)</f>
        <v>03</v>
      </c>
      <c r="D1541" s="164" t="str">
        <f>LEFT(TDays[[#This Row],[تاریخ]],4)</f>
        <v>1405</v>
      </c>
      <c r="E1541" s="164" t="str">
        <f>LEFT(TDays[[#This Row],[تاریخ]],7)</f>
        <v>1405-03</v>
      </c>
      <c r="F1541">
        <v>1</v>
      </c>
      <c r="G1541" s="165" t="str">
        <f>VLOOKUP(TDays[[#This Row],[کد روز هفته]],TDaysOfTheWeek[],2,FALSE)</f>
        <v>یکشنبه</v>
      </c>
      <c r="H1541" s="165">
        <f>IFERROR(IF(E1540&lt;&gt;E1541,1,INT(H1540)+IF(TDays[[#This Row],[کد روز هفته]]=0,1,0)),1)</f>
        <v>4</v>
      </c>
      <c r="I1541" s="164">
        <f>-SUMIF(TArticle[تاریخ],TDays[[#This Row],[تاریخ]],TArticle[هزینه])</f>
        <v>0</v>
      </c>
      <c r="J1541" s="164">
        <f>SUMIF(TArticle[تاریخ],TDays[[#This Row],[تاریخ]],TArticle[درآمد تتا])</f>
        <v>0</v>
      </c>
      <c r="K1541" s="164">
        <f>SUMIF(TArticle[تاریخ],TDays[[#This Row],[تاریخ]],TArticle[اسنپ])</f>
        <v>0</v>
      </c>
      <c r="L1541" s="164">
        <f>-SUMIF(TArticle[تاریخ],TDays[[#This Row],[تاریخ]],TArticle[پرداخت بدهی])</f>
        <v>0</v>
      </c>
      <c r="M1541" s="164">
        <f>SUMIF(TArticle[تاریخ],TDays[[#This Row],[تاریخ]],TArticle[افزایش بدهی])</f>
        <v>0</v>
      </c>
      <c r="N1541" s="164">
        <f>-SUMIF(TArticle[تاریخ],TDays[[#This Row],[تاریخ]],TArticle[افزایش سرمایه])</f>
        <v>0</v>
      </c>
      <c r="O1541" s="164">
        <f>SUMIF(TArticle[تاریخ],TDays[[#This Row],[تاریخ]],TArticle[تعداد تراکنش انجام شده])</f>
        <v>0</v>
      </c>
      <c r="P1541" s="164">
        <f>INT(((TDays[[#This Row],[ماه]]-1)*31+TDays[[#This Row],[روز]]+1)/7)+1</f>
        <v>12</v>
      </c>
      <c r="Q1541" s="164">
        <f>SUMIF(TArticle[تاریخ],TDays[[#This Row],[تاریخ]],TArticle[تراکنش برنامه ریزی شده])</f>
        <v>0</v>
      </c>
    </row>
    <row r="1542" spans="1:17" x14ac:dyDescent="0.25">
      <c r="A1542" s="3" t="s">
        <v>2125</v>
      </c>
      <c r="B1542" s="164" t="str">
        <f>RIGHT(TDays[[#This Row],[تاریخ]],2)</f>
        <v>19</v>
      </c>
      <c r="C1542" s="164" t="str">
        <f>RIGHT(LEFT(TDays[[#This Row],[تاریخ]],7),2)</f>
        <v>03</v>
      </c>
      <c r="D1542" s="164" t="str">
        <f>LEFT(TDays[[#This Row],[تاریخ]],4)</f>
        <v>1405</v>
      </c>
      <c r="E1542" s="164" t="str">
        <f>LEFT(TDays[[#This Row],[تاریخ]],7)</f>
        <v>1405-03</v>
      </c>
      <c r="F1542">
        <v>2</v>
      </c>
      <c r="G1542" s="165" t="str">
        <f>VLOOKUP(TDays[[#This Row],[کد روز هفته]],TDaysOfTheWeek[],2,FALSE)</f>
        <v>دوشنبه</v>
      </c>
      <c r="H1542" s="165">
        <f>IFERROR(IF(E1541&lt;&gt;E1542,1,INT(H1541)+IF(TDays[[#This Row],[کد روز هفته]]=0,1,0)),1)</f>
        <v>4</v>
      </c>
      <c r="I1542" s="164">
        <f>-SUMIF(TArticle[تاریخ],TDays[[#This Row],[تاریخ]],TArticle[هزینه])</f>
        <v>0</v>
      </c>
      <c r="J1542" s="164">
        <f>SUMIF(TArticle[تاریخ],TDays[[#This Row],[تاریخ]],TArticle[درآمد تتا])</f>
        <v>0</v>
      </c>
      <c r="K1542" s="164">
        <f>SUMIF(TArticle[تاریخ],TDays[[#This Row],[تاریخ]],TArticle[اسنپ])</f>
        <v>0</v>
      </c>
      <c r="L1542" s="164">
        <f>-SUMIF(TArticle[تاریخ],TDays[[#This Row],[تاریخ]],TArticle[پرداخت بدهی])</f>
        <v>0</v>
      </c>
      <c r="M1542" s="164">
        <f>SUMIF(TArticle[تاریخ],TDays[[#This Row],[تاریخ]],TArticle[افزایش بدهی])</f>
        <v>0</v>
      </c>
      <c r="N1542" s="164">
        <f>-SUMIF(TArticle[تاریخ],TDays[[#This Row],[تاریخ]],TArticle[افزایش سرمایه])</f>
        <v>0</v>
      </c>
      <c r="O1542" s="164">
        <f>SUMIF(TArticle[تاریخ],TDays[[#This Row],[تاریخ]],TArticle[تعداد تراکنش انجام شده])</f>
        <v>0</v>
      </c>
      <c r="P1542" s="164">
        <f>INT(((TDays[[#This Row],[ماه]]-1)*31+TDays[[#This Row],[روز]]+1)/7)+1</f>
        <v>12</v>
      </c>
      <c r="Q1542" s="164">
        <f>SUMIF(TArticle[تاریخ],TDays[[#This Row],[تاریخ]],TArticle[تراکنش برنامه ریزی شده])</f>
        <v>0</v>
      </c>
    </row>
    <row r="1543" spans="1:17" x14ac:dyDescent="0.25">
      <c r="A1543" s="3" t="s">
        <v>2126</v>
      </c>
      <c r="B1543" s="164" t="str">
        <f>RIGHT(TDays[[#This Row],[تاریخ]],2)</f>
        <v>20</v>
      </c>
      <c r="C1543" s="164" t="str">
        <f>RIGHT(LEFT(TDays[[#This Row],[تاریخ]],7),2)</f>
        <v>03</v>
      </c>
      <c r="D1543" s="164" t="str">
        <f>LEFT(TDays[[#This Row],[تاریخ]],4)</f>
        <v>1405</v>
      </c>
      <c r="E1543" s="164" t="str">
        <f>LEFT(TDays[[#This Row],[تاریخ]],7)</f>
        <v>1405-03</v>
      </c>
      <c r="F1543" s="164">
        <v>3</v>
      </c>
      <c r="G1543" s="165" t="str">
        <f>VLOOKUP(TDays[[#This Row],[کد روز هفته]],TDaysOfTheWeek[],2,FALSE)</f>
        <v>سه شنبه</v>
      </c>
      <c r="H1543" s="165">
        <f>IFERROR(IF(E1542&lt;&gt;E1543,1,INT(H1542)+IF(TDays[[#This Row],[کد روز هفته]]=0,1,0)),1)</f>
        <v>4</v>
      </c>
      <c r="I1543" s="164">
        <f>-SUMIF(TArticle[تاریخ],TDays[[#This Row],[تاریخ]],TArticle[هزینه])</f>
        <v>0</v>
      </c>
      <c r="J1543" s="164">
        <f>SUMIF(TArticle[تاریخ],TDays[[#This Row],[تاریخ]],TArticle[درآمد تتا])</f>
        <v>0</v>
      </c>
      <c r="K1543" s="164">
        <f>SUMIF(TArticle[تاریخ],TDays[[#This Row],[تاریخ]],TArticle[اسنپ])</f>
        <v>0</v>
      </c>
      <c r="L1543" s="164">
        <f>-SUMIF(TArticle[تاریخ],TDays[[#This Row],[تاریخ]],TArticle[پرداخت بدهی])</f>
        <v>0</v>
      </c>
      <c r="M1543" s="164">
        <f>SUMIF(TArticle[تاریخ],TDays[[#This Row],[تاریخ]],TArticle[افزایش بدهی])</f>
        <v>0</v>
      </c>
      <c r="N1543" s="164">
        <f>-SUMIF(TArticle[تاریخ],TDays[[#This Row],[تاریخ]],TArticle[افزایش سرمایه])</f>
        <v>0</v>
      </c>
      <c r="O1543" s="164">
        <f>SUMIF(TArticle[تاریخ],TDays[[#This Row],[تاریخ]],TArticle[تعداد تراکنش انجام شده])</f>
        <v>0</v>
      </c>
      <c r="P1543" s="164">
        <f>INT(((TDays[[#This Row],[ماه]]-1)*31+TDays[[#This Row],[روز]]+1)/7)+1</f>
        <v>12</v>
      </c>
      <c r="Q1543" s="164">
        <f>SUMIF(TArticle[تاریخ],TDays[[#This Row],[تاریخ]],TArticle[تراکنش برنامه ریزی شده])</f>
        <v>0</v>
      </c>
    </row>
    <row r="1544" spans="1:17" x14ac:dyDescent="0.25">
      <c r="A1544" s="3" t="s">
        <v>2127</v>
      </c>
      <c r="B1544" s="164" t="str">
        <f>RIGHT(TDays[[#This Row],[تاریخ]],2)</f>
        <v>21</v>
      </c>
      <c r="C1544" s="164" t="str">
        <f>RIGHT(LEFT(TDays[[#This Row],[تاریخ]],7),2)</f>
        <v>03</v>
      </c>
      <c r="D1544" s="164" t="str">
        <f>LEFT(TDays[[#This Row],[تاریخ]],4)</f>
        <v>1405</v>
      </c>
      <c r="E1544" s="164" t="str">
        <f>LEFT(TDays[[#This Row],[تاریخ]],7)</f>
        <v>1405-03</v>
      </c>
      <c r="F1544" s="164">
        <v>4</v>
      </c>
      <c r="G1544" s="165" t="str">
        <f>VLOOKUP(TDays[[#This Row],[کد روز هفته]],TDaysOfTheWeek[],2,FALSE)</f>
        <v>چهارشنبه</v>
      </c>
      <c r="H1544" s="165">
        <f>IFERROR(IF(E1543&lt;&gt;E1544,1,INT(H1543)+IF(TDays[[#This Row],[کد روز هفته]]=0,1,0)),1)</f>
        <v>4</v>
      </c>
      <c r="I1544" s="164">
        <f>-SUMIF(TArticle[تاریخ],TDays[[#This Row],[تاریخ]],TArticle[هزینه])</f>
        <v>0</v>
      </c>
      <c r="J1544" s="164">
        <f>SUMIF(TArticle[تاریخ],TDays[[#This Row],[تاریخ]],TArticle[درآمد تتا])</f>
        <v>0</v>
      </c>
      <c r="K1544" s="164">
        <f>SUMIF(TArticle[تاریخ],TDays[[#This Row],[تاریخ]],TArticle[اسنپ])</f>
        <v>0</v>
      </c>
      <c r="L1544" s="164">
        <f>-SUMIF(TArticle[تاریخ],TDays[[#This Row],[تاریخ]],TArticle[پرداخت بدهی])</f>
        <v>0</v>
      </c>
      <c r="M1544" s="164">
        <f>SUMIF(TArticle[تاریخ],TDays[[#This Row],[تاریخ]],TArticle[افزایش بدهی])</f>
        <v>0</v>
      </c>
      <c r="N1544" s="164">
        <f>-SUMIF(TArticle[تاریخ],TDays[[#This Row],[تاریخ]],TArticle[افزایش سرمایه])</f>
        <v>0</v>
      </c>
      <c r="O1544" s="164">
        <f>SUMIF(TArticle[تاریخ],TDays[[#This Row],[تاریخ]],TArticle[تعداد تراکنش انجام شده])</f>
        <v>0</v>
      </c>
      <c r="P1544" s="164">
        <f>INT(((TDays[[#This Row],[ماه]]-1)*31+TDays[[#This Row],[روز]]+1)/7)+1</f>
        <v>13</v>
      </c>
      <c r="Q1544" s="164">
        <f>SUMIF(TArticle[تاریخ],TDays[[#This Row],[تاریخ]],TArticle[تراکنش برنامه ریزی شده])</f>
        <v>0</v>
      </c>
    </row>
    <row r="1545" spans="1:17" x14ac:dyDescent="0.25">
      <c r="A1545" s="3" t="s">
        <v>2128</v>
      </c>
      <c r="B1545" s="164" t="str">
        <f>RIGHT(TDays[[#This Row],[تاریخ]],2)</f>
        <v>22</v>
      </c>
      <c r="C1545" s="164" t="str">
        <f>RIGHT(LEFT(TDays[[#This Row],[تاریخ]],7),2)</f>
        <v>03</v>
      </c>
      <c r="D1545" s="164" t="str">
        <f>LEFT(TDays[[#This Row],[تاریخ]],4)</f>
        <v>1405</v>
      </c>
      <c r="E1545" s="164" t="str">
        <f>LEFT(TDays[[#This Row],[تاریخ]],7)</f>
        <v>1405-03</v>
      </c>
      <c r="F1545">
        <v>5</v>
      </c>
      <c r="G1545" s="165" t="str">
        <f>VLOOKUP(TDays[[#This Row],[کد روز هفته]],TDaysOfTheWeek[],2,FALSE)</f>
        <v>پنجشنبه</v>
      </c>
      <c r="H1545" s="165">
        <f>IFERROR(IF(E1544&lt;&gt;E1545,1,INT(H1544)+IF(TDays[[#This Row],[کد روز هفته]]=0,1,0)),1)</f>
        <v>4</v>
      </c>
      <c r="I1545" s="164">
        <f>-SUMIF(TArticle[تاریخ],TDays[[#This Row],[تاریخ]],TArticle[هزینه])</f>
        <v>0</v>
      </c>
      <c r="J1545" s="164">
        <f>SUMIF(TArticle[تاریخ],TDays[[#This Row],[تاریخ]],TArticle[درآمد تتا])</f>
        <v>0</v>
      </c>
      <c r="K1545" s="164">
        <f>SUMIF(TArticle[تاریخ],TDays[[#This Row],[تاریخ]],TArticle[اسنپ])</f>
        <v>0</v>
      </c>
      <c r="L1545" s="164">
        <f>-SUMIF(TArticle[تاریخ],TDays[[#This Row],[تاریخ]],TArticle[پرداخت بدهی])</f>
        <v>0</v>
      </c>
      <c r="M1545" s="164">
        <f>SUMIF(TArticle[تاریخ],TDays[[#This Row],[تاریخ]],TArticle[افزایش بدهی])</f>
        <v>0</v>
      </c>
      <c r="N1545" s="164">
        <f>-SUMIF(TArticle[تاریخ],TDays[[#This Row],[تاریخ]],TArticle[افزایش سرمایه])</f>
        <v>0</v>
      </c>
      <c r="O1545" s="164">
        <f>SUMIF(TArticle[تاریخ],TDays[[#This Row],[تاریخ]],TArticle[تعداد تراکنش انجام شده])</f>
        <v>0</v>
      </c>
      <c r="P1545" s="164">
        <f>INT(((TDays[[#This Row],[ماه]]-1)*31+TDays[[#This Row],[روز]]+1)/7)+1</f>
        <v>13</v>
      </c>
      <c r="Q1545" s="164">
        <f>SUMIF(TArticle[تاریخ],TDays[[#This Row],[تاریخ]],TArticle[تراکنش برنامه ریزی شده])</f>
        <v>0</v>
      </c>
    </row>
    <row r="1546" spans="1:17" x14ac:dyDescent="0.25">
      <c r="A1546" s="3" t="s">
        <v>2129</v>
      </c>
      <c r="B1546" s="164" t="str">
        <f>RIGHT(TDays[[#This Row],[تاریخ]],2)</f>
        <v>23</v>
      </c>
      <c r="C1546" s="164" t="str">
        <f>RIGHT(LEFT(TDays[[#This Row],[تاریخ]],7),2)</f>
        <v>03</v>
      </c>
      <c r="D1546" s="164" t="str">
        <f>LEFT(TDays[[#This Row],[تاریخ]],4)</f>
        <v>1405</v>
      </c>
      <c r="E1546" s="164" t="str">
        <f>LEFT(TDays[[#This Row],[تاریخ]],7)</f>
        <v>1405-03</v>
      </c>
      <c r="F1546">
        <v>6</v>
      </c>
      <c r="G1546" s="165" t="str">
        <f>VLOOKUP(TDays[[#This Row],[کد روز هفته]],TDaysOfTheWeek[],2,FALSE)</f>
        <v>جمعه</v>
      </c>
      <c r="H1546" s="165">
        <f>IFERROR(IF(E1545&lt;&gt;E1546,1,INT(H1545)+IF(TDays[[#This Row],[کد روز هفته]]=0,1,0)),1)</f>
        <v>4</v>
      </c>
      <c r="I1546" s="164">
        <f>-SUMIF(TArticle[تاریخ],TDays[[#This Row],[تاریخ]],TArticle[هزینه])</f>
        <v>0</v>
      </c>
      <c r="J1546" s="164">
        <f>SUMIF(TArticle[تاریخ],TDays[[#This Row],[تاریخ]],TArticle[درآمد تتا])</f>
        <v>0</v>
      </c>
      <c r="K1546" s="164">
        <f>SUMIF(TArticle[تاریخ],TDays[[#This Row],[تاریخ]],TArticle[اسنپ])</f>
        <v>0</v>
      </c>
      <c r="L1546" s="164">
        <f>-SUMIF(TArticle[تاریخ],TDays[[#This Row],[تاریخ]],TArticle[پرداخت بدهی])</f>
        <v>0</v>
      </c>
      <c r="M1546" s="164">
        <f>SUMIF(TArticle[تاریخ],TDays[[#This Row],[تاریخ]],TArticle[افزایش بدهی])</f>
        <v>0</v>
      </c>
      <c r="N1546" s="164">
        <f>-SUMIF(TArticle[تاریخ],TDays[[#This Row],[تاریخ]],TArticle[افزایش سرمایه])</f>
        <v>0</v>
      </c>
      <c r="O1546" s="164">
        <f>SUMIF(TArticle[تاریخ],TDays[[#This Row],[تاریخ]],TArticle[تعداد تراکنش انجام شده])</f>
        <v>0</v>
      </c>
      <c r="P1546" s="164">
        <f>INT(((TDays[[#This Row],[ماه]]-1)*31+TDays[[#This Row],[روز]]+1)/7)+1</f>
        <v>13</v>
      </c>
      <c r="Q1546" s="164">
        <f>SUMIF(TArticle[تاریخ],TDays[[#This Row],[تاریخ]],TArticle[تراکنش برنامه ریزی شده])</f>
        <v>0</v>
      </c>
    </row>
    <row r="1547" spans="1:17" x14ac:dyDescent="0.25">
      <c r="A1547" s="3" t="s">
        <v>2130</v>
      </c>
      <c r="B1547" s="164" t="str">
        <f>RIGHT(TDays[[#This Row],[تاریخ]],2)</f>
        <v>24</v>
      </c>
      <c r="C1547" s="164" t="str">
        <f>RIGHT(LEFT(TDays[[#This Row],[تاریخ]],7),2)</f>
        <v>03</v>
      </c>
      <c r="D1547" s="164" t="str">
        <f>LEFT(TDays[[#This Row],[تاریخ]],4)</f>
        <v>1405</v>
      </c>
      <c r="E1547" s="164" t="str">
        <f>LEFT(TDays[[#This Row],[تاریخ]],7)</f>
        <v>1405-03</v>
      </c>
      <c r="F1547">
        <v>0</v>
      </c>
      <c r="G1547" s="165" t="str">
        <f>VLOOKUP(TDays[[#This Row],[کد روز هفته]],TDaysOfTheWeek[],2,FALSE)</f>
        <v>شنبه</v>
      </c>
      <c r="H1547" s="165">
        <f>IFERROR(IF(E1546&lt;&gt;E1547,1,INT(H1546)+IF(TDays[[#This Row],[کد روز هفته]]=0,1,0)),1)</f>
        <v>5</v>
      </c>
      <c r="I1547" s="164">
        <f>-SUMIF(TArticle[تاریخ],TDays[[#This Row],[تاریخ]],TArticle[هزینه])</f>
        <v>0</v>
      </c>
      <c r="J1547" s="164">
        <f>SUMIF(TArticle[تاریخ],TDays[[#This Row],[تاریخ]],TArticle[درآمد تتا])</f>
        <v>0</v>
      </c>
      <c r="K1547" s="164">
        <f>SUMIF(TArticle[تاریخ],TDays[[#This Row],[تاریخ]],TArticle[اسنپ])</f>
        <v>0</v>
      </c>
      <c r="L1547" s="164">
        <f>-SUMIF(TArticle[تاریخ],TDays[[#This Row],[تاریخ]],TArticle[پرداخت بدهی])</f>
        <v>0</v>
      </c>
      <c r="M1547" s="164">
        <f>SUMIF(TArticle[تاریخ],TDays[[#This Row],[تاریخ]],TArticle[افزایش بدهی])</f>
        <v>0</v>
      </c>
      <c r="N1547" s="164">
        <f>-SUMIF(TArticle[تاریخ],TDays[[#This Row],[تاریخ]],TArticle[افزایش سرمایه])</f>
        <v>0</v>
      </c>
      <c r="O1547" s="164">
        <f>SUMIF(TArticle[تاریخ],TDays[[#This Row],[تاریخ]],TArticle[تعداد تراکنش انجام شده])</f>
        <v>0</v>
      </c>
      <c r="P1547" s="164">
        <f>INT(((TDays[[#This Row],[ماه]]-1)*31+TDays[[#This Row],[روز]]+1)/7)+1</f>
        <v>13</v>
      </c>
      <c r="Q1547" s="164">
        <f>SUMIF(TArticle[تاریخ],TDays[[#This Row],[تاریخ]],TArticle[تراکنش برنامه ریزی شده])</f>
        <v>0</v>
      </c>
    </row>
    <row r="1548" spans="1:17" x14ac:dyDescent="0.25">
      <c r="A1548" s="3" t="s">
        <v>2131</v>
      </c>
      <c r="B1548" s="164" t="str">
        <f>RIGHT(TDays[[#This Row],[تاریخ]],2)</f>
        <v>25</v>
      </c>
      <c r="C1548" s="164" t="str">
        <f>RIGHT(LEFT(TDays[[#This Row],[تاریخ]],7),2)</f>
        <v>03</v>
      </c>
      <c r="D1548" s="164" t="str">
        <f>LEFT(TDays[[#This Row],[تاریخ]],4)</f>
        <v>1405</v>
      </c>
      <c r="E1548" s="164" t="str">
        <f>LEFT(TDays[[#This Row],[تاریخ]],7)</f>
        <v>1405-03</v>
      </c>
      <c r="F1548">
        <v>1</v>
      </c>
      <c r="G1548" s="165" t="str">
        <f>VLOOKUP(TDays[[#This Row],[کد روز هفته]],TDaysOfTheWeek[],2,FALSE)</f>
        <v>یکشنبه</v>
      </c>
      <c r="H1548" s="165">
        <f>IFERROR(IF(E1547&lt;&gt;E1548,1,INT(H1547)+IF(TDays[[#This Row],[کد روز هفته]]=0,1,0)),1)</f>
        <v>5</v>
      </c>
      <c r="I1548" s="164">
        <f>-SUMIF(TArticle[تاریخ],TDays[[#This Row],[تاریخ]],TArticle[هزینه])</f>
        <v>0</v>
      </c>
      <c r="J1548" s="164">
        <f>SUMIF(TArticle[تاریخ],TDays[[#This Row],[تاریخ]],TArticle[درآمد تتا])</f>
        <v>0</v>
      </c>
      <c r="K1548" s="164">
        <f>SUMIF(TArticle[تاریخ],TDays[[#This Row],[تاریخ]],TArticle[اسنپ])</f>
        <v>0</v>
      </c>
      <c r="L1548" s="164">
        <f>-SUMIF(TArticle[تاریخ],TDays[[#This Row],[تاریخ]],TArticle[پرداخت بدهی])</f>
        <v>0</v>
      </c>
      <c r="M1548" s="164">
        <f>SUMIF(TArticle[تاریخ],TDays[[#This Row],[تاریخ]],TArticle[افزایش بدهی])</f>
        <v>0</v>
      </c>
      <c r="N1548" s="164">
        <f>-SUMIF(TArticle[تاریخ],TDays[[#This Row],[تاریخ]],TArticle[افزایش سرمایه])</f>
        <v>0</v>
      </c>
      <c r="O1548" s="164">
        <f>SUMIF(TArticle[تاریخ],TDays[[#This Row],[تاریخ]],TArticle[تعداد تراکنش انجام شده])</f>
        <v>0</v>
      </c>
      <c r="P1548" s="164">
        <f>INT(((TDays[[#This Row],[ماه]]-1)*31+TDays[[#This Row],[روز]]+1)/7)+1</f>
        <v>13</v>
      </c>
      <c r="Q1548" s="164">
        <f>SUMIF(TArticle[تاریخ],TDays[[#This Row],[تاریخ]],TArticle[تراکنش برنامه ریزی شده])</f>
        <v>0</v>
      </c>
    </row>
    <row r="1549" spans="1:17" x14ac:dyDescent="0.25">
      <c r="A1549" s="3" t="s">
        <v>2132</v>
      </c>
      <c r="B1549" s="164" t="str">
        <f>RIGHT(TDays[[#This Row],[تاریخ]],2)</f>
        <v>26</v>
      </c>
      <c r="C1549" s="164" t="str">
        <f>RIGHT(LEFT(TDays[[#This Row],[تاریخ]],7),2)</f>
        <v>03</v>
      </c>
      <c r="D1549" s="164" t="str">
        <f>LEFT(TDays[[#This Row],[تاریخ]],4)</f>
        <v>1405</v>
      </c>
      <c r="E1549" s="164" t="str">
        <f>LEFT(TDays[[#This Row],[تاریخ]],7)</f>
        <v>1405-03</v>
      </c>
      <c r="F1549">
        <v>2</v>
      </c>
      <c r="G1549" s="165" t="str">
        <f>VLOOKUP(TDays[[#This Row],[کد روز هفته]],TDaysOfTheWeek[],2,FALSE)</f>
        <v>دوشنبه</v>
      </c>
      <c r="H1549" s="165">
        <f>IFERROR(IF(E1548&lt;&gt;E1549,1,INT(H1548)+IF(TDays[[#This Row],[کد روز هفته]]=0,1,0)),1)</f>
        <v>5</v>
      </c>
      <c r="I1549" s="164">
        <f>-SUMIF(TArticle[تاریخ],TDays[[#This Row],[تاریخ]],TArticle[هزینه])</f>
        <v>0</v>
      </c>
      <c r="J1549" s="164">
        <f>SUMIF(TArticle[تاریخ],TDays[[#This Row],[تاریخ]],TArticle[درآمد تتا])</f>
        <v>0</v>
      </c>
      <c r="K1549" s="164">
        <f>SUMIF(TArticle[تاریخ],TDays[[#This Row],[تاریخ]],TArticle[اسنپ])</f>
        <v>0</v>
      </c>
      <c r="L1549" s="164">
        <f>-SUMIF(TArticle[تاریخ],TDays[[#This Row],[تاریخ]],TArticle[پرداخت بدهی])</f>
        <v>0</v>
      </c>
      <c r="M1549" s="164">
        <f>SUMIF(TArticle[تاریخ],TDays[[#This Row],[تاریخ]],TArticle[افزایش بدهی])</f>
        <v>0</v>
      </c>
      <c r="N1549" s="164">
        <f>-SUMIF(TArticle[تاریخ],TDays[[#This Row],[تاریخ]],TArticle[افزایش سرمایه])</f>
        <v>0</v>
      </c>
      <c r="O1549" s="164">
        <f>SUMIF(TArticle[تاریخ],TDays[[#This Row],[تاریخ]],TArticle[تعداد تراکنش انجام شده])</f>
        <v>0</v>
      </c>
      <c r="P1549" s="164">
        <f>INT(((TDays[[#This Row],[ماه]]-1)*31+TDays[[#This Row],[روز]]+1)/7)+1</f>
        <v>13</v>
      </c>
      <c r="Q1549" s="164">
        <f>SUMIF(TArticle[تاریخ],TDays[[#This Row],[تاریخ]],TArticle[تراکنش برنامه ریزی شده])</f>
        <v>0</v>
      </c>
    </row>
    <row r="1550" spans="1:17" x14ac:dyDescent="0.25">
      <c r="A1550" s="3" t="s">
        <v>2133</v>
      </c>
      <c r="B1550" s="164" t="str">
        <f>RIGHT(TDays[[#This Row],[تاریخ]],2)</f>
        <v>27</v>
      </c>
      <c r="C1550" s="164" t="str">
        <f>RIGHT(LEFT(TDays[[#This Row],[تاریخ]],7),2)</f>
        <v>03</v>
      </c>
      <c r="D1550" s="164" t="str">
        <f>LEFT(TDays[[#This Row],[تاریخ]],4)</f>
        <v>1405</v>
      </c>
      <c r="E1550" s="164" t="str">
        <f>LEFT(TDays[[#This Row],[تاریخ]],7)</f>
        <v>1405-03</v>
      </c>
      <c r="F1550">
        <v>3</v>
      </c>
      <c r="G1550" s="165" t="str">
        <f>VLOOKUP(TDays[[#This Row],[کد روز هفته]],TDaysOfTheWeek[],2,FALSE)</f>
        <v>سه شنبه</v>
      </c>
      <c r="H1550" s="165">
        <f>IFERROR(IF(E1549&lt;&gt;E1550,1,INT(H1549)+IF(TDays[[#This Row],[کد روز هفته]]=0,1,0)),1)</f>
        <v>5</v>
      </c>
      <c r="I1550" s="164">
        <f>-SUMIF(TArticle[تاریخ],TDays[[#This Row],[تاریخ]],TArticle[هزینه])</f>
        <v>0</v>
      </c>
      <c r="J1550" s="164">
        <f>SUMIF(TArticle[تاریخ],TDays[[#This Row],[تاریخ]],TArticle[درآمد تتا])</f>
        <v>0</v>
      </c>
      <c r="K1550" s="164">
        <f>SUMIF(TArticle[تاریخ],TDays[[#This Row],[تاریخ]],TArticle[اسنپ])</f>
        <v>0</v>
      </c>
      <c r="L1550" s="164">
        <f>-SUMIF(TArticle[تاریخ],TDays[[#This Row],[تاریخ]],TArticle[پرداخت بدهی])</f>
        <v>0</v>
      </c>
      <c r="M1550" s="164">
        <f>SUMIF(TArticle[تاریخ],TDays[[#This Row],[تاریخ]],TArticle[افزایش بدهی])</f>
        <v>0</v>
      </c>
      <c r="N1550" s="164">
        <f>-SUMIF(TArticle[تاریخ],TDays[[#This Row],[تاریخ]],TArticle[افزایش سرمایه])</f>
        <v>0</v>
      </c>
      <c r="O1550" s="164">
        <f>SUMIF(TArticle[تاریخ],TDays[[#This Row],[تاریخ]],TArticle[تعداد تراکنش انجام شده])</f>
        <v>0</v>
      </c>
      <c r="P1550" s="164">
        <f>INT(((TDays[[#This Row],[ماه]]-1)*31+TDays[[#This Row],[روز]]+1)/7)+1</f>
        <v>13</v>
      </c>
      <c r="Q1550" s="164">
        <f>SUMIF(TArticle[تاریخ],TDays[[#This Row],[تاریخ]],TArticle[تراکنش برنامه ریزی شده])</f>
        <v>0</v>
      </c>
    </row>
    <row r="1551" spans="1:17" x14ac:dyDescent="0.25">
      <c r="A1551" s="3" t="s">
        <v>2134</v>
      </c>
      <c r="B1551" s="164" t="str">
        <f>RIGHT(TDays[[#This Row],[تاریخ]],2)</f>
        <v>28</v>
      </c>
      <c r="C1551" s="164" t="str">
        <f>RIGHT(LEFT(TDays[[#This Row],[تاریخ]],7),2)</f>
        <v>03</v>
      </c>
      <c r="D1551" s="164" t="str">
        <f>LEFT(TDays[[#This Row],[تاریخ]],4)</f>
        <v>1405</v>
      </c>
      <c r="E1551" s="164" t="str">
        <f>LEFT(TDays[[#This Row],[تاریخ]],7)</f>
        <v>1405-03</v>
      </c>
      <c r="F1551">
        <v>4</v>
      </c>
      <c r="G1551" s="165" t="str">
        <f>VLOOKUP(TDays[[#This Row],[کد روز هفته]],TDaysOfTheWeek[],2,FALSE)</f>
        <v>چهارشنبه</v>
      </c>
      <c r="H1551" s="165">
        <f>IFERROR(IF(E1550&lt;&gt;E1551,1,INT(H1550)+IF(TDays[[#This Row],[کد روز هفته]]=0,1,0)),1)</f>
        <v>5</v>
      </c>
      <c r="I1551" s="164">
        <f>-SUMIF(TArticle[تاریخ],TDays[[#This Row],[تاریخ]],TArticle[هزینه])</f>
        <v>0</v>
      </c>
      <c r="J1551" s="164">
        <f>SUMIF(TArticle[تاریخ],TDays[[#This Row],[تاریخ]],TArticle[درآمد تتا])</f>
        <v>0</v>
      </c>
      <c r="K1551" s="164">
        <f>SUMIF(TArticle[تاریخ],TDays[[#This Row],[تاریخ]],TArticle[اسنپ])</f>
        <v>0</v>
      </c>
      <c r="L1551" s="164">
        <f>-SUMIF(TArticle[تاریخ],TDays[[#This Row],[تاریخ]],TArticle[پرداخت بدهی])</f>
        <v>0</v>
      </c>
      <c r="M1551" s="164">
        <f>SUMIF(TArticle[تاریخ],TDays[[#This Row],[تاریخ]],TArticle[افزایش بدهی])</f>
        <v>0</v>
      </c>
      <c r="N1551" s="164">
        <f>-SUMIF(TArticle[تاریخ],TDays[[#This Row],[تاریخ]],TArticle[افزایش سرمایه])</f>
        <v>0</v>
      </c>
      <c r="O1551" s="164">
        <f>SUMIF(TArticle[تاریخ],TDays[[#This Row],[تاریخ]],TArticle[تعداد تراکنش انجام شده])</f>
        <v>0</v>
      </c>
      <c r="P1551" s="164">
        <f>INT(((TDays[[#This Row],[ماه]]-1)*31+TDays[[#This Row],[روز]]+1)/7)+1</f>
        <v>14</v>
      </c>
      <c r="Q1551" s="164">
        <f>SUMIF(TArticle[تاریخ],TDays[[#This Row],[تاریخ]],TArticle[تراکنش برنامه ریزی شده])</f>
        <v>0</v>
      </c>
    </row>
    <row r="1552" spans="1:17" x14ac:dyDescent="0.25">
      <c r="A1552" s="3" t="s">
        <v>2135</v>
      </c>
      <c r="B1552" s="164" t="str">
        <f>RIGHT(TDays[[#This Row],[تاریخ]],2)</f>
        <v>29</v>
      </c>
      <c r="C1552" s="164" t="str">
        <f>RIGHT(LEFT(TDays[[#This Row],[تاریخ]],7),2)</f>
        <v>03</v>
      </c>
      <c r="D1552" s="164" t="str">
        <f>LEFT(TDays[[#This Row],[تاریخ]],4)</f>
        <v>1405</v>
      </c>
      <c r="E1552" s="164" t="str">
        <f>LEFT(TDays[[#This Row],[تاریخ]],7)</f>
        <v>1405-03</v>
      </c>
      <c r="F1552">
        <v>5</v>
      </c>
      <c r="G1552" s="165" t="str">
        <f>VLOOKUP(TDays[[#This Row],[کد روز هفته]],TDaysOfTheWeek[],2,FALSE)</f>
        <v>پنجشنبه</v>
      </c>
      <c r="H1552" s="165">
        <f>IFERROR(IF(E1551&lt;&gt;E1552,1,INT(H1551)+IF(TDays[[#This Row],[کد روز هفته]]=0,1,0)),1)</f>
        <v>5</v>
      </c>
      <c r="I1552" s="164">
        <f>-SUMIF(TArticle[تاریخ],TDays[[#This Row],[تاریخ]],TArticle[هزینه])</f>
        <v>0</v>
      </c>
      <c r="J1552" s="164">
        <f>SUMIF(TArticle[تاریخ],TDays[[#This Row],[تاریخ]],TArticle[درآمد تتا])</f>
        <v>0</v>
      </c>
      <c r="K1552" s="164">
        <f>SUMIF(TArticle[تاریخ],TDays[[#This Row],[تاریخ]],TArticle[اسنپ])</f>
        <v>0</v>
      </c>
      <c r="L1552" s="164">
        <f>-SUMIF(TArticle[تاریخ],TDays[[#This Row],[تاریخ]],TArticle[پرداخت بدهی])</f>
        <v>0</v>
      </c>
      <c r="M1552" s="164">
        <f>SUMIF(TArticle[تاریخ],TDays[[#This Row],[تاریخ]],TArticle[افزایش بدهی])</f>
        <v>0</v>
      </c>
      <c r="N1552" s="164">
        <f>-SUMIF(TArticle[تاریخ],TDays[[#This Row],[تاریخ]],TArticle[افزایش سرمایه])</f>
        <v>0</v>
      </c>
      <c r="O1552" s="164">
        <f>SUMIF(TArticle[تاریخ],TDays[[#This Row],[تاریخ]],TArticle[تعداد تراکنش انجام شده])</f>
        <v>0</v>
      </c>
      <c r="P1552" s="164">
        <f>INT(((TDays[[#This Row],[ماه]]-1)*31+TDays[[#This Row],[روز]]+1)/7)+1</f>
        <v>14</v>
      </c>
      <c r="Q1552" s="164">
        <f>SUMIF(TArticle[تاریخ],TDays[[#This Row],[تاریخ]],TArticle[تراکنش برنامه ریزی شده])</f>
        <v>0</v>
      </c>
    </row>
    <row r="1553" spans="1:17" x14ac:dyDescent="0.25">
      <c r="A1553" s="3" t="s">
        <v>2136</v>
      </c>
      <c r="B1553" s="164" t="str">
        <f>RIGHT(TDays[[#This Row],[تاریخ]],2)</f>
        <v>30</v>
      </c>
      <c r="C1553" s="164" t="str">
        <f>RIGHT(LEFT(TDays[[#This Row],[تاریخ]],7),2)</f>
        <v>03</v>
      </c>
      <c r="D1553" s="164" t="str">
        <f>LEFT(TDays[[#This Row],[تاریخ]],4)</f>
        <v>1405</v>
      </c>
      <c r="E1553" s="164" t="str">
        <f>LEFT(TDays[[#This Row],[تاریخ]],7)</f>
        <v>1405-03</v>
      </c>
      <c r="F1553">
        <v>6</v>
      </c>
      <c r="G1553" s="165" t="str">
        <f>VLOOKUP(TDays[[#This Row],[کد روز هفته]],TDaysOfTheWeek[],2,FALSE)</f>
        <v>جمعه</v>
      </c>
      <c r="H1553" s="165">
        <f>IFERROR(IF(E1552&lt;&gt;E1553,1,INT(H1552)+IF(TDays[[#This Row],[کد روز هفته]]=0,1,0)),1)</f>
        <v>5</v>
      </c>
      <c r="I1553" s="164">
        <f>-SUMIF(TArticle[تاریخ],TDays[[#This Row],[تاریخ]],TArticle[هزینه])</f>
        <v>0</v>
      </c>
      <c r="J1553" s="164">
        <f>SUMIF(TArticle[تاریخ],TDays[[#This Row],[تاریخ]],TArticle[درآمد تتا])</f>
        <v>0</v>
      </c>
      <c r="K1553" s="164">
        <f>SUMIF(TArticle[تاریخ],TDays[[#This Row],[تاریخ]],TArticle[اسنپ])</f>
        <v>0</v>
      </c>
      <c r="L1553" s="164">
        <f>-SUMIF(TArticle[تاریخ],TDays[[#This Row],[تاریخ]],TArticle[پرداخت بدهی])</f>
        <v>0</v>
      </c>
      <c r="M1553" s="164">
        <f>SUMIF(TArticle[تاریخ],TDays[[#This Row],[تاریخ]],TArticle[افزایش بدهی])</f>
        <v>0</v>
      </c>
      <c r="N1553" s="164">
        <f>-SUMIF(TArticle[تاریخ],TDays[[#This Row],[تاریخ]],TArticle[افزایش سرمایه])</f>
        <v>0</v>
      </c>
      <c r="O1553" s="164">
        <f>SUMIF(TArticle[تاریخ],TDays[[#This Row],[تاریخ]],TArticle[تعداد تراکنش انجام شده])</f>
        <v>0</v>
      </c>
      <c r="P1553" s="164">
        <f>INT(((TDays[[#This Row],[ماه]]-1)*31+TDays[[#This Row],[روز]]+1)/7)+1</f>
        <v>14</v>
      </c>
      <c r="Q1553" s="164">
        <f>SUMIF(TArticle[تاریخ],TDays[[#This Row],[تاریخ]],TArticle[تراکنش برنامه ریزی شده])</f>
        <v>0</v>
      </c>
    </row>
    <row r="1554" spans="1:17" x14ac:dyDescent="0.25">
      <c r="A1554" s="3" t="s">
        <v>2137</v>
      </c>
      <c r="B1554" s="164" t="str">
        <f>RIGHT(TDays[[#This Row],[تاریخ]],2)</f>
        <v>31</v>
      </c>
      <c r="C1554" s="164" t="str">
        <f>RIGHT(LEFT(TDays[[#This Row],[تاریخ]],7),2)</f>
        <v>03</v>
      </c>
      <c r="D1554" s="164" t="str">
        <f>LEFT(TDays[[#This Row],[تاریخ]],4)</f>
        <v>1405</v>
      </c>
      <c r="E1554" s="164" t="str">
        <f>LEFT(TDays[[#This Row],[تاریخ]],7)</f>
        <v>1405-03</v>
      </c>
      <c r="F1554">
        <v>0</v>
      </c>
      <c r="G1554" s="165" t="str">
        <f>VLOOKUP(TDays[[#This Row],[کد روز هفته]],TDaysOfTheWeek[],2,FALSE)</f>
        <v>شنبه</v>
      </c>
      <c r="H1554" s="165">
        <f>IFERROR(IF(E1553&lt;&gt;E1554,1,INT(H1553)+IF(TDays[[#This Row],[کد روز هفته]]=0,1,0)),1)</f>
        <v>6</v>
      </c>
      <c r="I1554" s="164">
        <f>-SUMIF(TArticle[تاریخ],TDays[[#This Row],[تاریخ]],TArticle[هزینه])</f>
        <v>0</v>
      </c>
      <c r="J1554" s="164">
        <f>SUMIF(TArticle[تاریخ],TDays[[#This Row],[تاریخ]],TArticle[درآمد تتا])</f>
        <v>0</v>
      </c>
      <c r="K1554" s="164">
        <f>SUMIF(TArticle[تاریخ],TDays[[#This Row],[تاریخ]],TArticle[اسنپ])</f>
        <v>0</v>
      </c>
      <c r="L1554" s="164">
        <f>-SUMIF(TArticle[تاریخ],TDays[[#This Row],[تاریخ]],TArticle[پرداخت بدهی])</f>
        <v>0</v>
      </c>
      <c r="M1554" s="164">
        <f>SUMIF(TArticle[تاریخ],TDays[[#This Row],[تاریخ]],TArticle[افزایش بدهی])</f>
        <v>0</v>
      </c>
      <c r="N1554" s="164">
        <f>-SUMIF(TArticle[تاریخ],TDays[[#This Row],[تاریخ]],TArticle[افزایش سرمایه])</f>
        <v>0</v>
      </c>
      <c r="O1554" s="164">
        <f>SUMIF(TArticle[تاریخ],TDays[[#This Row],[تاریخ]],TArticle[تعداد تراکنش انجام شده])</f>
        <v>0</v>
      </c>
      <c r="P1554" s="164">
        <f>INT(((TDays[[#This Row],[ماه]]-1)*31+TDays[[#This Row],[روز]]+1)/7)+1</f>
        <v>14</v>
      </c>
      <c r="Q1554" s="164">
        <f>SUMIF(TArticle[تاریخ],TDays[[#This Row],[تاریخ]],TArticle[تراکنش برنامه ریزی شده])</f>
        <v>0</v>
      </c>
    </row>
    <row r="1555" spans="1:17" x14ac:dyDescent="0.25">
      <c r="A1555" s="3" t="s">
        <v>2138</v>
      </c>
      <c r="B1555" s="164" t="str">
        <f>RIGHT(TDays[[#This Row],[تاریخ]],2)</f>
        <v>01</v>
      </c>
      <c r="C1555" s="164" t="str">
        <f>RIGHT(LEFT(TDays[[#This Row],[تاریخ]],7),2)</f>
        <v>04</v>
      </c>
      <c r="D1555" s="164" t="str">
        <f>LEFT(TDays[[#This Row],[تاریخ]],4)</f>
        <v>1405</v>
      </c>
      <c r="E1555" s="164" t="str">
        <f>LEFT(TDays[[#This Row],[تاریخ]],7)</f>
        <v>1405-04</v>
      </c>
      <c r="F1555">
        <v>1</v>
      </c>
      <c r="G1555" s="165" t="str">
        <f>VLOOKUP(TDays[[#This Row],[کد روز هفته]],TDaysOfTheWeek[],2,FALSE)</f>
        <v>یکشنبه</v>
      </c>
      <c r="H1555" s="165">
        <f>IFERROR(IF(E1554&lt;&gt;E1555,1,INT(H1554)+IF(TDays[[#This Row],[کد روز هفته]]=0,1,0)),1)</f>
        <v>1</v>
      </c>
      <c r="I1555" s="164">
        <f>-SUMIF(TArticle[تاریخ],TDays[[#This Row],[تاریخ]],TArticle[هزینه])</f>
        <v>0</v>
      </c>
      <c r="J1555" s="164">
        <f>SUMIF(TArticle[تاریخ],TDays[[#This Row],[تاریخ]],TArticle[درآمد تتا])</f>
        <v>0</v>
      </c>
      <c r="K1555" s="164">
        <f>SUMIF(TArticle[تاریخ],TDays[[#This Row],[تاریخ]],TArticle[اسنپ])</f>
        <v>0</v>
      </c>
      <c r="L1555" s="164">
        <f>-SUMIF(TArticle[تاریخ],TDays[[#This Row],[تاریخ]],TArticle[پرداخت بدهی])</f>
        <v>0</v>
      </c>
      <c r="M1555" s="164">
        <f>SUMIF(TArticle[تاریخ],TDays[[#This Row],[تاریخ]],TArticle[افزایش بدهی])</f>
        <v>0</v>
      </c>
      <c r="N1555" s="164">
        <f>-SUMIF(TArticle[تاریخ],TDays[[#This Row],[تاریخ]],TArticle[افزایش سرمایه])</f>
        <v>0</v>
      </c>
      <c r="O1555" s="164">
        <f>SUMIF(TArticle[تاریخ],TDays[[#This Row],[تاریخ]],TArticle[تعداد تراکنش انجام شده])</f>
        <v>0</v>
      </c>
      <c r="P1555" s="164">
        <f>INT(((TDays[[#This Row],[ماه]]-1)*31+TDays[[#This Row],[روز]]+1)/7)+1</f>
        <v>14</v>
      </c>
      <c r="Q1555" s="164">
        <f>SUMIF(TArticle[تاریخ],TDays[[#This Row],[تاریخ]],TArticle[تراکنش برنامه ریزی شده])</f>
        <v>0</v>
      </c>
    </row>
    <row r="1556" spans="1:17" x14ac:dyDescent="0.25">
      <c r="A1556" s="3" t="s">
        <v>2139</v>
      </c>
      <c r="B1556" s="164" t="str">
        <f>RIGHT(TDays[[#This Row],[تاریخ]],2)</f>
        <v>02</v>
      </c>
      <c r="C1556" s="164" t="str">
        <f>RIGHT(LEFT(TDays[[#This Row],[تاریخ]],7),2)</f>
        <v>04</v>
      </c>
      <c r="D1556" s="164" t="str">
        <f>LEFT(TDays[[#This Row],[تاریخ]],4)</f>
        <v>1405</v>
      </c>
      <c r="E1556" s="164" t="str">
        <f>LEFT(TDays[[#This Row],[تاریخ]],7)</f>
        <v>1405-04</v>
      </c>
      <c r="F1556">
        <v>2</v>
      </c>
      <c r="G1556" s="165" t="str">
        <f>VLOOKUP(TDays[[#This Row],[کد روز هفته]],TDaysOfTheWeek[],2,FALSE)</f>
        <v>دوشنبه</v>
      </c>
      <c r="H1556" s="165">
        <f>IFERROR(IF(E1555&lt;&gt;E1556,1,INT(H1555)+IF(TDays[[#This Row],[کد روز هفته]]=0,1,0)),1)</f>
        <v>1</v>
      </c>
      <c r="I1556" s="164">
        <f>-SUMIF(TArticle[تاریخ],TDays[[#This Row],[تاریخ]],TArticle[هزینه])</f>
        <v>0</v>
      </c>
      <c r="J1556" s="164">
        <f>SUMIF(TArticle[تاریخ],TDays[[#This Row],[تاریخ]],TArticle[درآمد تتا])</f>
        <v>0</v>
      </c>
      <c r="K1556" s="164">
        <f>SUMIF(TArticle[تاریخ],TDays[[#This Row],[تاریخ]],TArticle[اسنپ])</f>
        <v>0</v>
      </c>
      <c r="L1556" s="164">
        <f>-SUMIF(TArticle[تاریخ],TDays[[#This Row],[تاریخ]],TArticle[پرداخت بدهی])</f>
        <v>0</v>
      </c>
      <c r="M1556" s="164">
        <f>SUMIF(TArticle[تاریخ],TDays[[#This Row],[تاریخ]],TArticle[افزایش بدهی])</f>
        <v>0</v>
      </c>
      <c r="N1556" s="164">
        <f>-SUMIF(TArticle[تاریخ],TDays[[#This Row],[تاریخ]],TArticle[افزایش سرمایه])</f>
        <v>0</v>
      </c>
      <c r="O1556" s="164">
        <f>SUMIF(TArticle[تاریخ],TDays[[#This Row],[تاریخ]],TArticle[تعداد تراکنش انجام شده])</f>
        <v>0</v>
      </c>
      <c r="P1556" s="164">
        <f>INT(((TDays[[#This Row],[ماه]]-1)*31+TDays[[#This Row],[روز]]+1)/7)+1</f>
        <v>14</v>
      </c>
      <c r="Q1556" s="164">
        <f>SUMIF(TArticle[تاریخ],TDays[[#This Row],[تاریخ]],TArticle[تراکنش برنامه ریزی شده])</f>
        <v>0</v>
      </c>
    </row>
    <row r="1557" spans="1:17" x14ac:dyDescent="0.25">
      <c r="A1557" s="3" t="s">
        <v>2140</v>
      </c>
      <c r="B1557" s="164" t="str">
        <f>RIGHT(TDays[[#This Row],[تاریخ]],2)</f>
        <v>03</v>
      </c>
      <c r="C1557" s="164" t="str">
        <f>RIGHT(LEFT(TDays[[#This Row],[تاریخ]],7),2)</f>
        <v>04</v>
      </c>
      <c r="D1557" s="164" t="str">
        <f>LEFT(TDays[[#This Row],[تاریخ]],4)</f>
        <v>1405</v>
      </c>
      <c r="E1557" s="164" t="str">
        <f>LEFT(TDays[[#This Row],[تاریخ]],7)</f>
        <v>1405-04</v>
      </c>
      <c r="F1557">
        <v>3</v>
      </c>
      <c r="G1557" s="165" t="str">
        <f>VLOOKUP(TDays[[#This Row],[کد روز هفته]],TDaysOfTheWeek[],2,FALSE)</f>
        <v>سه شنبه</v>
      </c>
      <c r="H1557" s="165">
        <f>IFERROR(IF(E1556&lt;&gt;E1557,1,INT(H1556)+IF(TDays[[#This Row],[کد روز هفته]]=0,1,0)),1)</f>
        <v>1</v>
      </c>
      <c r="I1557" s="164">
        <f>-SUMIF(TArticle[تاریخ],TDays[[#This Row],[تاریخ]],TArticle[هزینه])</f>
        <v>0</v>
      </c>
      <c r="J1557" s="164">
        <f>SUMIF(TArticle[تاریخ],TDays[[#This Row],[تاریخ]],TArticle[درآمد تتا])</f>
        <v>0</v>
      </c>
      <c r="K1557" s="164">
        <f>SUMIF(TArticle[تاریخ],TDays[[#This Row],[تاریخ]],TArticle[اسنپ])</f>
        <v>0</v>
      </c>
      <c r="L1557" s="164">
        <f>-SUMIF(TArticle[تاریخ],TDays[[#This Row],[تاریخ]],TArticle[پرداخت بدهی])</f>
        <v>0</v>
      </c>
      <c r="M1557" s="164">
        <f>SUMIF(TArticle[تاریخ],TDays[[#This Row],[تاریخ]],TArticle[افزایش بدهی])</f>
        <v>0</v>
      </c>
      <c r="N1557" s="164">
        <f>-SUMIF(TArticle[تاریخ],TDays[[#This Row],[تاریخ]],TArticle[افزایش سرمایه])</f>
        <v>0</v>
      </c>
      <c r="O1557" s="164">
        <f>SUMIF(TArticle[تاریخ],TDays[[#This Row],[تاریخ]],TArticle[تعداد تراکنش انجام شده])</f>
        <v>0</v>
      </c>
      <c r="P1557" s="164">
        <f>INT(((TDays[[#This Row],[ماه]]-1)*31+TDays[[#This Row],[روز]]+1)/7)+1</f>
        <v>14</v>
      </c>
      <c r="Q1557" s="164">
        <f>SUMIF(TArticle[تاریخ],TDays[[#This Row],[تاریخ]],TArticle[تراکنش برنامه ریزی شده])</f>
        <v>1</v>
      </c>
    </row>
    <row r="1558" spans="1:17" x14ac:dyDescent="0.25">
      <c r="A1558" s="3" t="s">
        <v>2141</v>
      </c>
      <c r="B1558" s="164" t="str">
        <f>RIGHT(TDays[[#This Row],[تاریخ]],2)</f>
        <v>04</v>
      </c>
      <c r="C1558" s="164" t="str">
        <f>RIGHT(LEFT(TDays[[#This Row],[تاریخ]],7),2)</f>
        <v>04</v>
      </c>
      <c r="D1558" s="164" t="str">
        <f>LEFT(TDays[[#This Row],[تاریخ]],4)</f>
        <v>1405</v>
      </c>
      <c r="E1558" s="164" t="str">
        <f>LEFT(TDays[[#This Row],[تاریخ]],7)</f>
        <v>1405-04</v>
      </c>
      <c r="F1558">
        <v>4</v>
      </c>
      <c r="G1558" s="165" t="str">
        <f>VLOOKUP(TDays[[#This Row],[کد روز هفته]],TDaysOfTheWeek[],2,FALSE)</f>
        <v>چهارشنبه</v>
      </c>
      <c r="H1558" s="165">
        <f>IFERROR(IF(E1557&lt;&gt;E1558,1,INT(H1557)+IF(TDays[[#This Row],[کد روز هفته]]=0,1,0)),1)</f>
        <v>1</v>
      </c>
      <c r="I1558" s="164">
        <f>-SUMIF(TArticle[تاریخ],TDays[[#This Row],[تاریخ]],TArticle[هزینه])</f>
        <v>0</v>
      </c>
      <c r="J1558" s="164">
        <f>SUMIF(TArticle[تاریخ],TDays[[#This Row],[تاریخ]],TArticle[درآمد تتا])</f>
        <v>0</v>
      </c>
      <c r="K1558" s="164">
        <f>SUMIF(TArticle[تاریخ],TDays[[#This Row],[تاریخ]],TArticle[اسنپ])</f>
        <v>0</v>
      </c>
      <c r="L1558" s="164">
        <f>-SUMIF(TArticle[تاریخ],TDays[[#This Row],[تاریخ]],TArticle[پرداخت بدهی])</f>
        <v>0</v>
      </c>
      <c r="M1558" s="164">
        <f>SUMIF(TArticle[تاریخ],TDays[[#This Row],[تاریخ]],TArticle[افزایش بدهی])</f>
        <v>0</v>
      </c>
      <c r="N1558" s="164">
        <f>-SUMIF(TArticle[تاریخ],TDays[[#This Row],[تاریخ]],TArticle[افزایش سرمایه])</f>
        <v>0</v>
      </c>
      <c r="O1558" s="164">
        <f>SUMIF(TArticle[تاریخ],TDays[[#This Row],[تاریخ]],TArticle[تعداد تراکنش انجام شده])</f>
        <v>0</v>
      </c>
      <c r="P1558" s="164">
        <f>INT(((TDays[[#This Row],[ماه]]-1)*31+TDays[[#This Row],[روز]]+1)/7)+1</f>
        <v>15</v>
      </c>
      <c r="Q1558" s="164">
        <f>SUMIF(TArticle[تاریخ],TDays[[#This Row],[تاریخ]],TArticle[تراکنش برنامه ریزی شده])</f>
        <v>0</v>
      </c>
    </row>
    <row r="1559" spans="1:17" x14ac:dyDescent="0.25">
      <c r="A1559" s="3" t="s">
        <v>2142</v>
      </c>
      <c r="B1559" s="164" t="str">
        <f>RIGHT(TDays[[#This Row],[تاریخ]],2)</f>
        <v>05</v>
      </c>
      <c r="C1559" s="164" t="str">
        <f>RIGHT(LEFT(TDays[[#This Row],[تاریخ]],7),2)</f>
        <v>04</v>
      </c>
      <c r="D1559" s="164" t="str">
        <f>LEFT(TDays[[#This Row],[تاریخ]],4)</f>
        <v>1405</v>
      </c>
      <c r="E1559" s="164" t="str">
        <f>LEFT(TDays[[#This Row],[تاریخ]],7)</f>
        <v>1405-04</v>
      </c>
      <c r="F1559">
        <v>5</v>
      </c>
      <c r="G1559" s="165" t="str">
        <f>VLOOKUP(TDays[[#This Row],[کد روز هفته]],TDaysOfTheWeek[],2,FALSE)</f>
        <v>پنجشنبه</v>
      </c>
      <c r="H1559" s="165">
        <f>IFERROR(IF(E1558&lt;&gt;E1559,1,INT(H1558)+IF(TDays[[#This Row],[کد روز هفته]]=0,1,0)),1)</f>
        <v>1</v>
      </c>
      <c r="I1559" s="164">
        <f>-SUMIF(TArticle[تاریخ],TDays[[#This Row],[تاریخ]],TArticle[هزینه])</f>
        <v>0</v>
      </c>
      <c r="J1559" s="164">
        <f>SUMIF(TArticle[تاریخ],TDays[[#This Row],[تاریخ]],TArticle[درآمد تتا])</f>
        <v>0</v>
      </c>
      <c r="K1559" s="164">
        <f>SUMIF(TArticle[تاریخ],TDays[[#This Row],[تاریخ]],TArticle[اسنپ])</f>
        <v>0</v>
      </c>
      <c r="L1559" s="164">
        <f>-SUMIF(TArticle[تاریخ],TDays[[#This Row],[تاریخ]],TArticle[پرداخت بدهی])</f>
        <v>0</v>
      </c>
      <c r="M1559" s="164">
        <f>SUMIF(TArticle[تاریخ],TDays[[#This Row],[تاریخ]],TArticle[افزایش بدهی])</f>
        <v>0</v>
      </c>
      <c r="N1559" s="164">
        <f>-SUMIF(TArticle[تاریخ],TDays[[#This Row],[تاریخ]],TArticle[افزایش سرمایه])</f>
        <v>0</v>
      </c>
      <c r="O1559" s="164">
        <f>SUMIF(TArticle[تاریخ],TDays[[#This Row],[تاریخ]],TArticle[تعداد تراکنش انجام شده])</f>
        <v>0</v>
      </c>
      <c r="P1559" s="164">
        <f>INT(((TDays[[#This Row],[ماه]]-1)*31+TDays[[#This Row],[روز]]+1)/7)+1</f>
        <v>15</v>
      </c>
      <c r="Q1559" s="164">
        <f>SUMIF(TArticle[تاریخ],TDays[[#This Row],[تاریخ]],TArticle[تراکنش برنامه ریزی شده])</f>
        <v>0</v>
      </c>
    </row>
    <row r="1560" spans="1:17" x14ac:dyDescent="0.25">
      <c r="A1560" s="3" t="s">
        <v>2143</v>
      </c>
      <c r="B1560" s="164" t="str">
        <f>RIGHT(TDays[[#This Row],[تاریخ]],2)</f>
        <v>06</v>
      </c>
      <c r="C1560" s="164" t="str">
        <f>RIGHT(LEFT(TDays[[#This Row],[تاریخ]],7),2)</f>
        <v>04</v>
      </c>
      <c r="D1560" s="164" t="str">
        <f>LEFT(TDays[[#This Row],[تاریخ]],4)</f>
        <v>1405</v>
      </c>
      <c r="E1560" s="164" t="str">
        <f>LEFT(TDays[[#This Row],[تاریخ]],7)</f>
        <v>1405-04</v>
      </c>
      <c r="F1560">
        <v>6</v>
      </c>
      <c r="G1560" s="165" t="str">
        <f>VLOOKUP(TDays[[#This Row],[کد روز هفته]],TDaysOfTheWeek[],2,FALSE)</f>
        <v>جمعه</v>
      </c>
      <c r="H1560" s="165">
        <f>IFERROR(IF(E1559&lt;&gt;E1560,1,INT(H1559)+IF(TDays[[#This Row],[کد روز هفته]]=0,1,0)),1)</f>
        <v>1</v>
      </c>
      <c r="I1560" s="164">
        <f>-SUMIF(TArticle[تاریخ],TDays[[#This Row],[تاریخ]],TArticle[هزینه])</f>
        <v>0</v>
      </c>
      <c r="J1560" s="164">
        <f>SUMIF(TArticle[تاریخ],TDays[[#This Row],[تاریخ]],TArticle[درآمد تتا])</f>
        <v>0</v>
      </c>
      <c r="K1560" s="164">
        <f>SUMIF(TArticle[تاریخ],TDays[[#This Row],[تاریخ]],TArticle[اسنپ])</f>
        <v>0</v>
      </c>
      <c r="L1560" s="164">
        <f>-SUMIF(TArticle[تاریخ],TDays[[#This Row],[تاریخ]],TArticle[پرداخت بدهی])</f>
        <v>0</v>
      </c>
      <c r="M1560" s="164">
        <f>SUMIF(TArticle[تاریخ],TDays[[#This Row],[تاریخ]],TArticle[افزایش بدهی])</f>
        <v>0</v>
      </c>
      <c r="N1560" s="164">
        <f>-SUMIF(TArticle[تاریخ],TDays[[#This Row],[تاریخ]],TArticle[افزایش سرمایه])</f>
        <v>0</v>
      </c>
      <c r="O1560" s="164">
        <f>SUMIF(TArticle[تاریخ],TDays[[#This Row],[تاریخ]],TArticle[تعداد تراکنش انجام شده])</f>
        <v>0</v>
      </c>
      <c r="P1560" s="164">
        <f>INT(((TDays[[#This Row],[ماه]]-1)*31+TDays[[#This Row],[روز]]+1)/7)+1</f>
        <v>15</v>
      </c>
      <c r="Q1560" s="164">
        <f>SUMIF(TArticle[تاریخ],TDays[[#This Row],[تاریخ]],TArticle[تراکنش برنامه ریزی شده])</f>
        <v>0</v>
      </c>
    </row>
    <row r="1561" spans="1:17" x14ac:dyDescent="0.25">
      <c r="A1561" s="3" t="s">
        <v>2144</v>
      </c>
      <c r="B1561" s="164" t="str">
        <f>RIGHT(TDays[[#This Row],[تاریخ]],2)</f>
        <v>07</v>
      </c>
      <c r="C1561" s="164" t="str">
        <f>RIGHT(LEFT(TDays[[#This Row],[تاریخ]],7),2)</f>
        <v>04</v>
      </c>
      <c r="D1561" s="164" t="str">
        <f>LEFT(TDays[[#This Row],[تاریخ]],4)</f>
        <v>1405</v>
      </c>
      <c r="E1561" s="164" t="str">
        <f>LEFT(TDays[[#This Row],[تاریخ]],7)</f>
        <v>1405-04</v>
      </c>
      <c r="F1561">
        <v>0</v>
      </c>
      <c r="G1561" s="165" t="str">
        <f>VLOOKUP(TDays[[#This Row],[کد روز هفته]],TDaysOfTheWeek[],2,FALSE)</f>
        <v>شنبه</v>
      </c>
      <c r="H1561" s="165">
        <f>IFERROR(IF(E1560&lt;&gt;E1561,1,INT(H1560)+IF(TDays[[#This Row],[کد روز هفته]]=0,1,0)),1)</f>
        <v>2</v>
      </c>
      <c r="I1561" s="164">
        <f>-SUMIF(TArticle[تاریخ],TDays[[#This Row],[تاریخ]],TArticle[هزینه])</f>
        <v>0</v>
      </c>
      <c r="J1561" s="164">
        <f>SUMIF(TArticle[تاریخ],TDays[[#This Row],[تاریخ]],TArticle[درآمد تتا])</f>
        <v>0</v>
      </c>
      <c r="K1561" s="164">
        <f>SUMIF(TArticle[تاریخ],TDays[[#This Row],[تاریخ]],TArticle[اسنپ])</f>
        <v>0</v>
      </c>
      <c r="L1561" s="164">
        <f>-SUMIF(TArticle[تاریخ],TDays[[#This Row],[تاریخ]],TArticle[پرداخت بدهی])</f>
        <v>0</v>
      </c>
      <c r="M1561" s="164">
        <f>SUMIF(TArticle[تاریخ],TDays[[#This Row],[تاریخ]],TArticle[افزایش بدهی])</f>
        <v>0</v>
      </c>
      <c r="N1561" s="164">
        <f>-SUMIF(TArticle[تاریخ],TDays[[#This Row],[تاریخ]],TArticle[افزایش سرمایه])</f>
        <v>0</v>
      </c>
      <c r="O1561" s="164">
        <f>SUMIF(TArticle[تاریخ],TDays[[#This Row],[تاریخ]],TArticle[تعداد تراکنش انجام شده])</f>
        <v>0</v>
      </c>
      <c r="P1561" s="164">
        <f>INT(((TDays[[#This Row],[ماه]]-1)*31+TDays[[#This Row],[روز]]+1)/7)+1</f>
        <v>15</v>
      </c>
      <c r="Q1561" s="164">
        <f>SUMIF(TArticle[تاریخ],TDays[[#This Row],[تاریخ]],TArticle[تراکنش برنامه ریزی شده])</f>
        <v>0</v>
      </c>
    </row>
    <row r="1562" spans="1:17" x14ac:dyDescent="0.25">
      <c r="A1562" s="3" t="s">
        <v>2145</v>
      </c>
      <c r="B1562" s="164" t="str">
        <f>RIGHT(TDays[[#This Row],[تاریخ]],2)</f>
        <v>08</v>
      </c>
      <c r="C1562" s="164" t="str">
        <f>RIGHT(LEFT(TDays[[#This Row],[تاریخ]],7),2)</f>
        <v>04</v>
      </c>
      <c r="D1562" s="164" t="str">
        <f>LEFT(TDays[[#This Row],[تاریخ]],4)</f>
        <v>1405</v>
      </c>
      <c r="E1562" s="164" t="str">
        <f>LEFT(TDays[[#This Row],[تاریخ]],7)</f>
        <v>1405-04</v>
      </c>
      <c r="F1562">
        <v>1</v>
      </c>
      <c r="G1562" s="165" t="str">
        <f>VLOOKUP(TDays[[#This Row],[کد روز هفته]],TDaysOfTheWeek[],2,FALSE)</f>
        <v>یکشنبه</v>
      </c>
      <c r="H1562" s="165">
        <f>IFERROR(IF(E1561&lt;&gt;E1562,1,INT(H1561)+IF(TDays[[#This Row],[کد روز هفته]]=0,1,0)),1)</f>
        <v>2</v>
      </c>
      <c r="I1562" s="164">
        <f>-SUMIF(TArticle[تاریخ],TDays[[#This Row],[تاریخ]],TArticle[هزینه])</f>
        <v>0</v>
      </c>
      <c r="J1562" s="164">
        <f>SUMIF(TArticle[تاریخ],TDays[[#This Row],[تاریخ]],TArticle[درآمد تتا])</f>
        <v>0</v>
      </c>
      <c r="K1562" s="164">
        <f>SUMIF(TArticle[تاریخ],TDays[[#This Row],[تاریخ]],TArticle[اسنپ])</f>
        <v>0</v>
      </c>
      <c r="L1562" s="164">
        <f>-SUMIF(TArticle[تاریخ],TDays[[#This Row],[تاریخ]],TArticle[پرداخت بدهی])</f>
        <v>0</v>
      </c>
      <c r="M1562" s="164">
        <f>SUMIF(TArticle[تاریخ],TDays[[#This Row],[تاریخ]],TArticle[افزایش بدهی])</f>
        <v>0</v>
      </c>
      <c r="N1562" s="164">
        <f>-SUMIF(TArticle[تاریخ],TDays[[#This Row],[تاریخ]],TArticle[افزایش سرمایه])</f>
        <v>0</v>
      </c>
      <c r="O1562" s="164">
        <f>SUMIF(TArticle[تاریخ],TDays[[#This Row],[تاریخ]],TArticle[تعداد تراکنش انجام شده])</f>
        <v>0</v>
      </c>
      <c r="P1562" s="164">
        <f>INT(((TDays[[#This Row],[ماه]]-1)*31+TDays[[#This Row],[روز]]+1)/7)+1</f>
        <v>15</v>
      </c>
      <c r="Q1562" s="164">
        <f>SUMIF(TArticle[تاریخ],TDays[[#This Row],[تاریخ]],TArticle[تراکنش برنامه ریزی شده])</f>
        <v>0</v>
      </c>
    </row>
    <row r="1563" spans="1:17" x14ac:dyDescent="0.25">
      <c r="A1563" s="3" t="s">
        <v>2146</v>
      </c>
      <c r="B1563" s="164" t="str">
        <f>RIGHT(TDays[[#This Row],[تاریخ]],2)</f>
        <v>09</v>
      </c>
      <c r="C1563" s="164" t="str">
        <f>RIGHT(LEFT(TDays[[#This Row],[تاریخ]],7),2)</f>
        <v>04</v>
      </c>
      <c r="D1563" s="164" t="str">
        <f>LEFT(TDays[[#This Row],[تاریخ]],4)</f>
        <v>1405</v>
      </c>
      <c r="E1563" s="164" t="str">
        <f>LEFT(TDays[[#This Row],[تاریخ]],7)</f>
        <v>1405-04</v>
      </c>
      <c r="F1563">
        <v>2</v>
      </c>
      <c r="G1563" s="165" t="str">
        <f>VLOOKUP(TDays[[#This Row],[کد روز هفته]],TDaysOfTheWeek[],2,FALSE)</f>
        <v>دوشنبه</v>
      </c>
      <c r="H1563" s="165">
        <f>IFERROR(IF(E1562&lt;&gt;E1563,1,INT(H1562)+IF(TDays[[#This Row],[کد روز هفته]]=0,1,0)),1)</f>
        <v>2</v>
      </c>
      <c r="I1563" s="164">
        <f>-SUMIF(TArticle[تاریخ],TDays[[#This Row],[تاریخ]],TArticle[هزینه])</f>
        <v>0</v>
      </c>
      <c r="J1563" s="164">
        <f>SUMIF(TArticle[تاریخ],TDays[[#This Row],[تاریخ]],TArticle[درآمد تتا])</f>
        <v>0</v>
      </c>
      <c r="K1563" s="164">
        <f>SUMIF(TArticle[تاریخ],TDays[[#This Row],[تاریخ]],TArticle[اسنپ])</f>
        <v>0</v>
      </c>
      <c r="L1563" s="164">
        <f>-SUMIF(TArticle[تاریخ],TDays[[#This Row],[تاریخ]],TArticle[پرداخت بدهی])</f>
        <v>0</v>
      </c>
      <c r="M1563" s="164">
        <f>SUMIF(TArticle[تاریخ],TDays[[#This Row],[تاریخ]],TArticle[افزایش بدهی])</f>
        <v>0</v>
      </c>
      <c r="N1563" s="164">
        <f>-SUMIF(TArticle[تاریخ],TDays[[#This Row],[تاریخ]],TArticle[افزایش سرمایه])</f>
        <v>0</v>
      </c>
      <c r="O1563" s="164">
        <f>SUMIF(TArticle[تاریخ],TDays[[#This Row],[تاریخ]],TArticle[تعداد تراکنش انجام شده])</f>
        <v>0</v>
      </c>
      <c r="P1563" s="164">
        <f>INT(((TDays[[#This Row],[ماه]]-1)*31+TDays[[#This Row],[روز]]+1)/7)+1</f>
        <v>15</v>
      </c>
      <c r="Q1563" s="164">
        <f>SUMIF(TArticle[تاریخ],TDays[[#This Row],[تاریخ]],TArticle[تراکنش برنامه ریزی شده])</f>
        <v>0</v>
      </c>
    </row>
    <row r="1564" spans="1:17" x14ac:dyDescent="0.25">
      <c r="A1564" s="3" t="s">
        <v>2147</v>
      </c>
      <c r="B1564" s="164" t="str">
        <f>RIGHT(TDays[[#This Row],[تاریخ]],2)</f>
        <v>10</v>
      </c>
      <c r="C1564" s="164" t="str">
        <f>RIGHT(LEFT(TDays[[#This Row],[تاریخ]],7),2)</f>
        <v>04</v>
      </c>
      <c r="D1564" s="164" t="str">
        <f>LEFT(TDays[[#This Row],[تاریخ]],4)</f>
        <v>1405</v>
      </c>
      <c r="E1564" s="164" t="str">
        <f>LEFT(TDays[[#This Row],[تاریخ]],7)</f>
        <v>1405-04</v>
      </c>
      <c r="F1564">
        <v>3</v>
      </c>
      <c r="G1564" s="165" t="str">
        <f>VLOOKUP(TDays[[#This Row],[کد روز هفته]],TDaysOfTheWeek[],2,FALSE)</f>
        <v>سه شنبه</v>
      </c>
      <c r="H1564" s="165">
        <f>IFERROR(IF(E1563&lt;&gt;E1564,1,INT(H1563)+IF(TDays[[#This Row],[کد روز هفته]]=0,1,0)),1)</f>
        <v>2</v>
      </c>
      <c r="I1564" s="164">
        <f>-SUMIF(TArticle[تاریخ],TDays[[#This Row],[تاریخ]],TArticle[هزینه])</f>
        <v>0</v>
      </c>
      <c r="J1564" s="164">
        <f>SUMIF(TArticle[تاریخ],TDays[[#This Row],[تاریخ]],TArticle[درآمد تتا])</f>
        <v>0</v>
      </c>
      <c r="K1564" s="164">
        <f>SUMIF(TArticle[تاریخ],TDays[[#This Row],[تاریخ]],TArticle[اسنپ])</f>
        <v>0</v>
      </c>
      <c r="L1564" s="164">
        <f>-SUMIF(TArticle[تاریخ],TDays[[#This Row],[تاریخ]],TArticle[پرداخت بدهی])</f>
        <v>0</v>
      </c>
      <c r="M1564" s="164">
        <f>SUMIF(TArticle[تاریخ],TDays[[#This Row],[تاریخ]],TArticle[افزایش بدهی])</f>
        <v>0</v>
      </c>
      <c r="N1564" s="164">
        <f>-SUMIF(TArticle[تاریخ],TDays[[#This Row],[تاریخ]],TArticle[افزایش سرمایه])</f>
        <v>0</v>
      </c>
      <c r="O1564" s="164">
        <f>SUMIF(TArticle[تاریخ],TDays[[#This Row],[تاریخ]],TArticle[تعداد تراکنش انجام شده])</f>
        <v>0</v>
      </c>
      <c r="P1564" s="164">
        <f>INT(((TDays[[#This Row],[ماه]]-1)*31+TDays[[#This Row],[روز]]+1)/7)+1</f>
        <v>15</v>
      </c>
      <c r="Q1564" s="164">
        <f>SUMIF(TArticle[تاریخ],TDays[[#This Row],[تاریخ]],TArticle[تراکنش برنامه ریزی شده])</f>
        <v>0</v>
      </c>
    </row>
    <row r="1565" spans="1:17" x14ac:dyDescent="0.25">
      <c r="A1565" s="3" t="s">
        <v>2148</v>
      </c>
      <c r="B1565" s="164" t="str">
        <f>RIGHT(TDays[[#This Row],[تاریخ]],2)</f>
        <v>11</v>
      </c>
      <c r="C1565" s="164" t="str">
        <f>RIGHT(LEFT(TDays[[#This Row],[تاریخ]],7),2)</f>
        <v>04</v>
      </c>
      <c r="D1565" s="164" t="str">
        <f>LEFT(TDays[[#This Row],[تاریخ]],4)</f>
        <v>1405</v>
      </c>
      <c r="E1565" s="164" t="str">
        <f>LEFT(TDays[[#This Row],[تاریخ]],7)</f>
        <v>1405-04</v>
      </c>
      <c r="F1565">
        <v>4</v>
      </c>
      <c r="G1565" s="165" t="str">
        <f>VLOOKUP(TDays[[#This Row],[کد روز هفته]],TDaysOfTheWeek[],2,FALSE)</f>
        <v>چهارشنبه</v>
      </c>
      <c r="H1565" s="165">
        <f>IFERROR(IF(E1564&lt;&gt;E1565,1,INT(H1564)+IF(TDays[[#This Row],[کد روز هفته]]=0,1,0)),1)</f>
        <v>2</v>
      </c>
      <c r="I1565" s="164">
        <f>-SUMIF(TArticle[تاریخ],TDays[[#This Row],[تاریخ]],TArticle[هزینه])</f>
        <v>0</v>
      </c>
      <c r="J1565" s="164">
        <f>SUMIF(TArticle[تاریخ],TDays[[#This Row],[تاریخ]],TArticle[درآمد تتا])</f>
        <v>0</v>
      </c>
      <c r="K1565" s="164">
        <f>SUMIF(TArticle[تاریخ],TDays[[#This Row],[تاریخ]],TArticle[اسنپ])</f>
        <v>0</v>
      </c>
      <c r="L1565" s="164">
        <f>-SUMIF(TArticle[تاریخ],TDays[[#This Row],[تاریخ]],TArticle[پرداخت بدهی])</f>
        <v>0</v>
      </c>
      <c r="M1565" s="164">
        <f>SUMIF(TArticle[تاریخ],TDays[[#This Row],[تاریخ]],TArticle[افزایش بدهی])</f>
        <v>0</v>
      </c>
      <c r="N1565" s="164">
        <f>-SUMIF(TArticle[تاریخ],TDays[[#This Row],[تاریخ]],TArticle[افزایش سرمایه])</f>
        <v>0</v>
      </c>
      <c r="O1565" s="164">
        <f>SUMIF(TArticle[تاریخ],TDays[[#This Row],[تاریخ]],TArticle[تعداد تراکنش انجام شده])</f>
        <v>0</v>
      </c>
      <c r="P1565" s="164">
        <f>INT(((TDays[[#This Row],[ماه]]-1)*31+TDays[[#This Row],[روز]]+1)/7)+1</f>
        <v>16</v>
      </c>
      <c r="Q1565" s="164">
        <f>SUMIF(TArticle[تاریخ],TDays[[#This Row],[تاریخ]],TArticle[تراکنش برنامه ریزی شده])</f>
        <v>0</v>
      </c>
    </row>
    <row r="1566" spans="1:17" x14ac:dyDescent="0.25">
      <c r="A1566" s="3" t="s">
        <v>2149</v>
      </c>
      <c r="B1566" s="164" t="str">
        <f>RIGHT(TDays[[#This Row],[تاریخ]],2)</f>
        <v>12</v>
      </c>
      <c r="C1566" s="164" t="str">
        <f>RIGHT(LEFT(TDays[[#This Row],[تاریخ]],7),2)</f>
        <v>04</v>
      </c>
      <c r="D1566" s="164" t="str">
        <f>LEFT(TDays[[#This Row],[تاریخ]],4)</f>
        <v>1405</v>
      </c>
      <c r="E1566" s="164" t="str">
        <f>LEFT(TDays[[#This Row],[تاریخ]],7)</f>
        <v>1405-04</v>
      </c>
      <c r="F1566">
        <v>5</v>
      </c>
      <c r="G1566" s="165" t="str">
        <f>VLOOKUP(TDays[[#This Row],[کد روز هفته]],TDaysOfTheWeek[],2,FALSE)</f>
        <v>پنجشنبه</v>
      </c>
      <c r="H1566" s="165">
        <f>IFERROR(IF(E1565&lt;&gt;E1566,1,INT(H1565)+IF(TDays[[#This Row],[کد روز هفته]]=0,1,0)),1)</f>
        <v>2</v>
      </c>
      <c r="I1566" s="164">
        <f>-SUMIF(TArticle[تاریخ],TDays[[#This Row],[تاریخ]],TArticle[هزینه])</f>
        <v>0</v>
      </c>
      <c r="J1566" s="164">
        <f>SUMIF(TArticle[تاریخ],TDays[[#This Row],[تاریخ]],TArticle[درآمد تتا])</f>
        <v>0</v>
      </c>
      <c r="K1566" s="164">
        <f>SUMIF(TArticle[تاریخ],TDays[[#This Row],[تاریخ]],TArticle[اسنپ])</f>
        <v>0</v>
      </c>
      <c r="L1566" s="164">
        <f>-SUMIF(TArticle[تاریخ],TDays[[#This Row],[تاریخ]],TArticle[پرداخت بدهی])</f>
        <v>0</v>
      </c>
      <c r="M1566" s="164">
        <f>SUMIF(TArticle[تاریخ],TDays[[#This Row],[تاریخ]],TArticle[افزایش بدهی])</f>
        <v>0</v>
      </c>
      <c r="N1566" s="164">
        <f>-SUMIF(TArticle[تاریخ],TDays[[#This Row],[تاریخ]],TArticle[افزایش سرمایه])</f>
        <v>0</v>
      </c>
      <c r="O1566" s="164">
        <f>SUMIF(TArticle[تاریخ],TDays[[#This Row],[تاریخ]],TArticle[تعداد تراکنش انجام شده])</f>
        <v>0</v>
      </c>
      <c r="P1566" s="164">
        <f>INT(((TDays[[#This Row],[ماه]]-1)*31+TDays[[#This Row],[روز]]+1)/7)+1</f>
        <v>16</v>
      </c>
      <c r="Q1566" s="164">
        <f>SUMIF(TArticle[تاریخ],TDays[[#This Row],[تاریخ]],TArticle[تراکنش برنامه ریزی شده])</f>
        <v>0</v>
      </c>
    </row>
    <row r="1567" spans="1:17" x14ac:dyDescent="0.25">
      <c r="A1567" s="3" t="s">
        <v>2150</v>
      </c>
      <c r="B1567" s="164" t="str">
        <f>RIGHT(TDays[[#This Row],[تاریخ]],2)</f>
        <v>13</v>
      </c>
      <c r="C1567" s="164" t="str">
        <f>RIGHT(LEFT(TDays[[#This Row],[تاریخ]],7),2)</f>
        <v>04</v>
      </c>
      <c r="D1567" s="164" t="str">
        <f>LEFT(TDays[[#This Row],[تاریخ]],4)</f>
        <v>1405</v>
      </c>
      <c r="E1567" s="164" t="str">
        <f>LEFT(TDays[[#This Row],[تاریخ]],7)</f>
        <v>1405-04</v>
      </c>
      <c r="F1567">
        <v>6</v>
      </c>
      <c r="G1567" s="165" t="str">
        <f>VLOOKUP(TDays[[#This Row],[کد روز هفته]],TDaysOfTheWeek[],2,FALSE)</f>
        <v>جمعه</v>
      </c>
      <c r="H1567" s="165">
        <f>IFERROR(IF(E1566&lt;&gt;E1567,1,INT(H1566)+IF(TDays[[#This Row],[کد روز هفته]]=0,1,0)),1)</f>
        <v>2</v>
      </c>
      <c r="I1567" s="164">
        <f>-SUMIF(TArticle[تاریخ],TDays[[#This Row],[تاریخ]],TArticle[هزینه])</f>
        <v>0</v>
      </c>
      <c r="J1567" s="164">
        <f>SUMIF(TArticle[تاریخ],TDays[[#This Row],[تاریخ]],TArticle[درآمد تتا])</f>
        <v>0</v>
      </c>
      <c r="K1567" s="164">
        <f>SUMIF(TArticle[تاریخ],TDays[[#This Row],[تاریخ]],TArticle[اسنپ])</f>
        <v>0</v>
      </c>
      <c r="L1567" s="164">
        <f>-SUMIF(TArticle[تاریخ],TDays[[#This Row],[تاریخ]],TArticle[پرداخت بدهی])</f>
        <v>0</v>
      </c>
      <c r="M1567" s="164">
        <f>SUMIF(TArticle[تاریخ],TDays[[#This Row],[تاریخ]],TArticle[افزایش بدهی])</f>
        <v>0</v>
      </c>
      <c r="N1567" s="164">
        <f>-SUMIF(TArticle[تاریخ],TDays[[#This Row],[تاریخ]],TArticle[افزایش سرمایه])</f>
        <v>0</v>
      </c>
      <c r="O1567" s="164">
        <f>SUMIF(TArticle[تاریخ],TDays[[#This Row],[تاریخ]],TArticle[تعداد تراکنش انجام شده])</f>
        <v>0</v>
      </c>
      <c r="P1567" s="164">
        <f>INT(((TDays[[#This Row],[ماه]]-1)*31+TDays[[#This Row],[روز]]+1)/7)+1</f>
        <v>16</v>
      </c>
      <c r="Q1567" s="164">
        <f>SUMIF(TArticle[تاریخ],TDays[[#This Row],[تاریخ]],TArticle[تراکنش برنامه ریزی شده])</f>
        <v>0</v>
      </c>
    </row>
    <row r="1568" spans="1:17" x14ac:dyDescent="0.25">
      <c r="A1568" s="3" t="s">
        <v>2151</v>
      </c>
      <c r="B1568" s="164" t="str">
        <f>RIGHT(TDays[[#This Row],[تاریخ]],2)</f>
        <v>14</v>
      </c>
      <c r="C1568" s="164" t="str">
        <f>RIGHT(LEFT(TDays[[#This Row],[تاریخ]],7),2)</f>
        <v>04</v>
      </c>
      <c r="D1568" s="164" t="str">
        <f>LEFT(TDays[[#This Row],[تاریخ]],4)</f>
        <v>1405</v>
      </c>
      <c r="E1568" s="164" t="str">
        <f>LEFT(TDays[[#This Row],[تاریخ]],7)</f>
        <v>1405-04</v>
      </c>
      <c r="F1568">
        <v>0</v>
      </c>
      <c r="G1568" s="165" t="str">
        <f>VLOOKUP(TDays[[#This Row],[کد روز هفته]],TDaysOfTheWeek[],2,FALSE)</f>
        <v>شنبه</v>
      </c>
      <c r="H1568" s="165">
        <f>IFERROR(IF(E1567&lt;&gt;E1568,1,INT(H1567)+IF(TDays[[#This Row],[کد روز هفته]]=0,1,0)),1)</f>
        <v>3</v>
      </c>
      <c r="I1568" s="164">
        <f>-SUMIF(TArticle[تاریخ],TDays[[#This Row],[تاریخ]],TArticle[هزینه])</f>
        <v>0</v>
      </c>
      <c r="J1568" s="164">
        <f>SUMIF(TArticle[تاریخ],TDays[[#This Row],[تاریخ]],TArticle[درآمد تتا])</f>
        <v>0</v>
      </c>
      <c r="K1568" s="164">
        <f>SUMIF(TArticle[تاریخ],TDays[[#This Row],[تاریخ]],TArticle[اسنپ])</f>
        <v>0</v>
      </c>
      <c r="L1568" s="164">
        <f>-SUMIF(TArticle[تاریخ],TDays[[#This Row],[تاریخ]],TArticle[پرداخت بدهی])</f>
        <v>0</v>
      </c>
      <c r="M1568" s="164">
        <f>SUMIF(TArticle[تاریخ],TDays[[#This Row],[تاریخ]],TArticle[افزایش بدهی])</f>
        <v>0</v>
      </c>
      <c r="N1568" s="164">
        <f>-SUMIF(TArticle[تاریخ],TDays[[#This Row],[تاریخ]],TArticle[افزایش سرمایه])</f>
        <v>0</v>
      </c>
      <c r="O1568" s="164">
        <f>SUMIF(TArticle[تاریخ],TDays[[#This Row],[تاریخ]],TArticle[تعداد تراکنش انجام شده])</f>
        <v>0</v>
      </c>
      <c r="P1568" s="164">
        <f>INT(((TDays[[#This Row],[ماه]]-1)*31+TDays[[#This Row],[روز]]+1)/7)+1</f>
        <v>16</v>
      </c>
      <c r="Q1568" s="164">
        <f>SUMIF(TArticle[تاریخ],TDays[[#This Row],[تاریخ]],TArticle[تراکنش برنامه ریزی شده])</f>
        <v>0</v>
      </c>
    </row>
    <row r="1569" spans="1:17" x14ac:dyDescent="0.25">
      <c r="A1569" s="3" t="s">
        <v>2152</v>
      </c>
      <c r="B1569" s="164" t="str">
        <f>RIGHT(TDays[[#This Row],[تاریخ]],2)</f>
        <v>15</v>
      </c>
      <c r="C1569" s="164" t="str">
        <f>RIGHT(LEFT(TDays[[#This Row],[تاریخ]],7),2)</f>
        <v>04</v>
      </c>
      <c r="D1569" s="164" t="str">
        <f>LEFT(TDays[[#This Row],[تاریخ]],4)</f>
        <v>1405</v>
      </c>
      <c r="E1569" s="164" t="str">
        <f>LEFT(TDays[[#This Row],[تاریخ]],7)</f>
        <v>1405-04</v>
      </c>
      <c r="F1569">
        <v>1</v>
      </c>
      <c r="G1569" s="165" t="str">
        <f>VLOOKUP(TDays[[#This Row],[کد روز هفته]],TDaysOfTheWeek[],2,FALSE)</f>
        <v>یکشنبه</v>
      </c>
      <c r="H1569" s="165">
        <f>IFERROR(IF(E1568&lt;&gt;E1569,1,INT(H1568)+IF(TDays[[#This Row],[کد روز هفته]]=0,1,0)),1)</f>
        <v>3</v>
      </c>
      <c r="I1569" s="164">
        <f>-SUMIF(TArticle[تاریخ],TDays[[#This Row],[تاریخ]],TArticle[هزینه])</f>
        <v>0</v>
      </c>
      <c r="J1569" s="164">
        <f>SUMIF(TArticle[تاریخ],TDays[[#This Row],[تاریخ]],TArticle[درآمد تتا])</f>
        <v>0</v>
      </c>
      <c r="K1569" s="164">
        <f>SUMIF(TArticle[تاریخ],TDays[[#This Row],[تاریخ]],TArticle[اسنپ])</f>
        <v>0</v>
      </c>
      <c r="L1569" s="164">
        <f>-SUMIF(TArticle[تاریخ],TDays[[#This Row],[تاریخ]],TArticle[پرداخت بدهی])</f>
        <v>0</v>
      </c>
      <c r="M1569" s="164">
        <f>SUMIF(TArticle[تاریخ],TDays[[#This Row],[تاریخ]],TArticle[افزایش بدهی])</f>
        <v>0</v>
      </c>
      <c r="N1569" s="164">
        <f>-SUMIF(TArticle[تاریخ],TDays[[#This Row],[تاریخ]],TArticle[افزایش سرمایه])</f>
        <v>0</v>
      </c>
      <c r="O1569" s="164">
        <f>SUMIF(TArticle[تاریخ],TDays[[#This Row],[تاریخ]],TArticle[تعداد تراکنش انجام شده])</f>
        <v>0</v>
      </c>
      <c r="P1569" s="164">
        <f>INT(((TDays[[#This Row],[ماه]]-1)*31+TDays[[#This Row],[روز]]+1)/7)+1</f>
        <v>16</v>
      </c>
      <c r="Q1569" s="164">
        <f>SUMIF(TArticle[تاریخ],TDays[[#This Row],[تاریخ]],TArticle[تراکنش برنامه ریزی شده])</f>
        <v>0</v>
      </c>
    </row>
    <row r="1570" spans="1:17" x14ac:dyDescent="0.25">
      <c r="A1570" s="3" t="s">
        <v>2153</v>
      </c>
      <c r="B1570" s="164" t="str">
        <f>RIGHT(TDays[[#This Row],[تاریخ]],2)</f>
        <v>16</v>
      </c>
      <c r="C1570" s="164" t="str">
        <f>RIGHT(LEFT(TDays[[#This Row],[تاریخ]],7),2)</f>
        <v>04</v>
      </c>
      <c r="D1570" s="164" t="str">
        <f>LEFT(TDays[[#This Row],[تاریخ]],4)</f>
        <v>1405</v>
      </c>
      <c r="E1570" s="164" t="str">
        <f>LEFT(TDays[[#This Row],[تاریخ]],7)</f>
        <v>1405-04</v>
      </c>
      <c r="F1570">
        <v>2</v>
      </c>
      <c r="G1570" s="165" t="str">
        <f>VLOOKUP(TDays[[#This Row],[کد روز هفته]],TDaysOfTheWeek[],2,FALSE)</f>
        <v>دوشنبه</v>
      </c>
      <c r="H1570" s="165">
        <f>IFERROR(IF(E1569&lt;&gt;E1570,1,INT(H1569)+IF(TDays[[#This Row],[کد روز هفته]]=0,1,0)),1)</f>
        <v>3</v>
      </c>
      <c r="I1570" s="164">
        <f>-SUMIF(TArticle[تاریخ],TDays[[#This Row],[تاریخ]],TArticle[هزینه])</f>
        <v>0</v>
      </c>
      <c r="J1570" s="164">
        <f>SUMIF(TArticle[تاریخ],TDays[[#This Row],[تاریخ]],TArticle[درآمد تتا])</f>
        <v>0</v>
      </c>
      <c r="K1570" s="164">
        <f>SUMIF(TArticle[تاریخ],TDays[[#This Row],[تاریخ]],TArticle[اسنپ])</f>
        <v>0</v>
      </c>
      <c r="L1570" s="164">
        <f>-SUMIF(TArticle[تاریخ],TDays[[#This Row],[تاریخ]],TArticle[پرداخت بدهی])</f>
        <v>0</v>
      </c>
      <c r="M1570" s="164">
        <f>SUMIF(TArticle[تاریخ],TDays[[#This Row],[تاریخ]],TArticle[افزایش بدهی])</f>
        <v>0</v>
      </c>
      <c r="N1570" s="164">
        <f>-SUMIF(TArticle[تاریخ],TDays[[#This Row],[تاریخ]],TArticle[افزایش سرمایه])</f>
        <v>0</v>
      </c>
      <c r="O1570" s="164">
        <f>SUMIF(TArticle[تاریخ],TDays[[#This Row],[تاریخ]],TArticle[تعداد تراکنش انجام شده])</f>
        <v>0</v>
      </c>
      <c r="P1570" s="164">
        <f>INT(((TDays[[#This Row],[ماه]]-1)*31+TDays[[#This Row],[روز]]+1)/7)+1</f>
        <v>16</v>
      </c>
      <c r="Q1570" s="164">
        <f>SUMIF(TArticle[تاریخ],TDays[[#This Row],[تاریخ]],TArticle[تراکنش برنامه ریزی شده])</f>
        <v>0</v>
      </c>
    </row>
    <row r="1571" spans="1:17" x14ac:dyDescent="0.25">
      <c r="A1571" s="3" t="s">
        <v>2154</v>
      </c>
      <c r="B1571" s="164" t="str">
        <f>RIGHT(TDays[[#This Row],[تاریخ]],2)</f>
        <v>17</v>
      </c>
      <c r="C1571" s="164" t="str">
        <f>RIGHT(LEFT(TDays[[#This Row],[تاریخ]],7),2)</f>
        <v>04</v>
      </c>
      <c r="D1571" s="164" t="str">
        <f>LEFT(TDays[[#This Row],[تاریخ]],4)</f>
        <v>1405</v>
      </c>
      <c r="E1571" s="164" t="str">
        <f>LEFT(TDays[[#This Row],[تاریخ]],7)</f>
        <v>1405-04</v>
      </c>
      <c r="F1571" s="164">
        <v>3</v>
      </c>
      <c r="G1571" s="165" t="str">
        <f>VLOOKUP(TDays[[#This Row],[کد روز هفته]],TDaysOfTheWeek[],2,FALSE)</f>
        <v>سه شنبه</v>
      </c>
      <c r="H1571" s="165">
        <f>IFERROR(IF(E1570&lt;&gt;E1571,1,INT(H1570)+IF(TDays[[#This Row],[کد روز هفته]]=0,1,0)),1)</f>
        <v>3</v>
      </c>
      <c r="I1571" s="164">
        <f>-SUMIF(TArticle[تاریخ],TDays[[#This Row],[تاریخ]],TArticle[هزینه])</f>
        <v>0</v>
      </c>
      <c r="J1571" s="164">
        <f>SUMIF(TArticle[تاریخ],TDays[[#This Row],[تاریخ]],TArticle[درآمد تتا])</f>
        <v>0</v>
      </c>
      <c r="K1571" s="164">
        <f>SUMIF(TArticle[تاریخ],TDays[[#This Row],[تاریخ]],TArticle[اسنپ])</f>
        <v>0</v>
      </c>
      <c r="L1571" s="164">
        <f>-SUMIF(TArticle[تاریخ],TDays[[#This Row],[تاریخ]],TArticle[پرداخت بدهی])</f>
        <v>0</v>
      </c>
      <c r="M1571" s="164">
        <f>SUMIF(TArticle[تاریخ],TDays[[#This Row],[تاریخ]],TArticle[افزایش بدهی])</f>
        <v>0</v>
      </c>
      <c r="N1571" s="164">
        <f>-SUMIF(TArticle[تاریخ],TDays[[#This Row],[تاریخ]],TArticle[افزایش سرمایه])</f>
        <v>0</v>
      </c>
      <c r="O1571" s="164">
        <f>SUMIF(TArticle[تاریخ],TDays[[#This Row],[تاریخ]],TArticle[تعداد تراکنش انجام شده])</f>
        <v>0</v>
      </c>
      <c r="P1571" s="164">
        <f>INT(((TDays[[#This Row],[ماه]]-1)*31+TDays[[#This Row],[روز]]+1)/7)+1</f>
        <v>16</v>
      </c>
      <c r="Q1571" s="164">
        <f>SUMIF(TArticle[تاریخ],TDays[[#This Row],[تاریخ]],TArticle[تراکنش برنامه ریزی شده])</f>
        <v>0</v>
      </c>
    </row>
    <row r="1572" spans="1:17" x14ac:dyDescent="0.25">
      <c r="A1572" s="3" t="s">
        <v>2155</v>
      </c>
      <c r="B1572" s="164" t="str">
        <f>RIGHT(TDays[[#This Row],[تاریخ]],2)</f>
        <v>18</v>
      </c>
      <c r="C1572" s="164" t="str">
        <f>RIGHT(LEFT(TDays[[#This Row],[تاریخ]],7),2)</f>
        <v>04</v>
      </c>
      <c r="D1572" s="164" t="str">
        <f>LEFT(TDays[[#This Row],[تاریخ]],4)</f>
        <v>1405</v>
      </c>
      <c r="E1572" s="164" t="str">
        <f>LEFT(TDays[[#This Row],[تاریخ]],7)</f>
        <v>1405-04</v>
      </c>
      <c r="F1572" s="164">
        <v>4</v>
      </c>
      <c r="G1572" s="165" t="str">
        <f>VLOOKUP(TDays[[#This Row],[کد روز هفته]],TDaysOfTheWeek[],2,FALSE)</f>
        <v>چهارشنبه</v>
      </c>
      <c r="H1572" s="165">
        <f>IFERROR(IF(E1571&lt;&gt;E1572,1,INT(H1571)+IF(TDays[[#This Row],[کد روز هفته]]=0,1,0)),1)</f>
        <v>3</v>
      </c>
      <c r="I1572" s="164">
        <f>-SUMIF(TArticle[تاریخ],TDays[[#This Row],[تاریخ]],TArticle[هزینه])</f>
        <v>0</v>
      </c>
      <c r="J1572" s="164">
        <f>SUMIF(TArticle[تاریخ],TDays[[#This Row],[تاریخ]],TArticle[درآمد تتا])</f>
        <v>0</v>
      </c>
      <c r="K1572" s="164">
        <f>SUMIF(TArticle[تاریخ],TDays[[#This Row],[تاریخ]],TArticle[اسنپ])</f>
        <v>0</v>
      </c>
      <c r="L1572" s="164">
        <f>-SUMIF(TArticle[تاریخ],TDays[[#This Row],[تاریخ]],TArticle[پرداخت بدهی])</f>
        <v>0</v>
      </c>
      <c r="M1572" s="164">
        <f>SUMIF(TArticle[تاریخ],TDays[[#This Row],[تاریخ]],TArticle[افزایش بدهی])</f>
        <v>0</v>
      </c>
      <c r="N1572" s="164">
        <f>-SUMIF(TArticle[تاریخ],TDays[[#This Row],[تاریخ]],TArticle[افزایش سرمایه])</f>
        <v>0</v>
      </c>
      <c r="O1572" s="164">
        <f>SUMIF(TArticle[تاریخ],TDays[[#This Row],[تاریخ]],TArticle[تعداد تراکنش انجام شده])</f>
        <v>0</v>
      </c>
      <c r="P1572" s="164">
        <f>INT(((TDays[[#This Row],[ماه]]-1)*31+TDays[[#This Row],[روز]]+1)/7)+1</f>
        <v>17</v>
      </c>
      <c r="Q1572" s="164">
        <f>SUMIF(TArticle[تاریخ],TDays[[#This Row],[تاریخ]],TArticle[تراکنش برنامه ریزی شده])</f>
        <v>0</v>
      </c>
    </row>
    <row r="1573" spans="1:17" x14ac:dyDescent="0.25">
      <c r="A1573" s="3" t="s">
        <v>2156</v>
      </c>
      <c r="B1573" s="164" t="str">
        <f>RIGHT(TDays[[#This Row],[تاریخ]],2)</f>
        <v>19</v>
      </c>
      <c r="C1573" s="164" t="str">
        <f>RIGHT(LEFT(TDays[[#This Row],[تاریخ]],7),2)</f>
        <v>04</v>
      </c>
      <c r="D1573" s="164" t="str">
        <f>LEFT(TDays[[#This Row],[تاریخ]],4)</f>
        <v>1405</v>
      </c>
      <c r="E1573" s="164" t="str">
        <f>LEFT(TDays[[#This Row],[تاریخ]],7)</f>
        <v>1405-04</v>
      </c>
      <c r="F1573">
        <v>5</v>
      </c>
      <c r="G1573" s="165" t="str">
        <f>VLOOKUP(TDays[[#This Row],[کد روز هفته]],TDaysOfTheWeek[],2,FALSE)</f>
        <v>پنجشنبه</v>
      </c>
      <c r="H1573" s="165">
        <f>IFERROR(IF(E1572&lt;&gt;E1573,1,INT(H1572)+IF(TDays[[#This Row],[کد روز هفته]]=0,1,0)),1)</f>
        <v>3</v>
      </c>
      <c r="I1573" s="164">
        <f>-SUMIF(TArticle[تاریخ],TDays[[#This Row],[تاریخ]],TArticle[هزینه])</f>
        <v>0</v>
      </c>
      <c r="J1573" s="164">
        <f>SUMIF(TArticle[تاریخ],TDays[[#This Row],[تاریخ]],TArticle[درآمد تتا])</f>
        <v>0</v>
      </c>
      <c r="K1573" s="164">
        <f>SUMIF(TArticle[تاریخ],TDays[[#This Row],[تاریخ]],TArticle[اسنپ])</f>
        <v>0</v>
      </c>
      <c r="L1573" s="164">
        <f>-SUMIF(TArticle[تاریخ],TDays[[#This Row],[تاریخ]],TArticle[پرداخت بدهی])</f>
        <v>0</v>
      </c>
      <c r="M1573" s="164">
        <f>SUMIF(TArticle[تاریخ],TDays[[#This Row],[تاریخ]],TArticle[افزایش بدهی])</f>
        <v>0</v>
      </c>
      <c r="N1573" s="164">
        <f>-SUMIF(TArticle[تاریخ],TDays[[#This Row],[تاریخ]],TArticle[افزایش سرمایه])</f>
        <v>0</v>
      </c>
      <c r="O1573" s="164">
        <f>SUMIF(TArticle[تاریخ],TDays[[#This Row],[تاریخ]],TArticle[تعداد تراکنش انجام شده])</f>
        <v>0</v>
      </c>
      <c r="P1573" s="164">
        <f>INT(((TDays[[#This Row],[ماه]]-1)*31+TDays[[#This Row],[روز]]+1)/7)+1</f>
        <v>17</v>
      </c>
      <c r="Q1573" s="164">
        <f>SUMIF(TArticle[تاریخ],TDays[[#This Row],[تاریخ]],TArticle[تراکنش برنامه ریزی شده])</f>
        <v>0</v>
      </c>
    </row>
    <row r="1574" spans="1:17" x14ac:dyDescent="0.25">
      <c r="A1574" s="3" t="s">
        <v>2157</v>
      </c>
      <c r="B1574" s="164" t="str">
        <f>RIGHT(TDays[[#This Row],[تاریخ]],2)</f>
        <v>20</v>
      </c>
      <c r="C1574" s="164" t="str">
        <f>RIGHT(LEFT(TDays[[#This Row],[تاریخ]],7),2)</f>
        <v>04</v>
      </c>
      <c r="D1574" s="164" t="str">
        <f>LEFT(TDays[[#This Row],[تاریخ]],4)</f>
        <v>1405</v>
      </c>
      <c r="E1574" s="164" t="str">
        <f>LEFT(TDays[[#This Row],[تاریخ]],7)</f>
        <v>1405-04</v>
      </c>
      <c r="F1574">
        <v>6</v>
      </c>
      <c r="G1574" s="165" t="str">
        <f>VLOOKUP(TDays[[#This Row],[کد روز هفته]],TDaysOfTheWeek[],2,FALSE)</f>
        <v>جمعه</v>
      </c>
      <c r="H1574" s="165">
        <f>IFERROR(IF(E1573&lt;&gt;E1574,1,INT(H1573)+IF(TDays[[#This Row],[کد روز هفته]]=0,1,0)),1)</f>
        <v>3</v>
      </c>
      <c r="I1574" s="164">
        <f>-SUMIF(TArticle[تاریخ],TDays[[#This Row],[تاریخ]],TArticle[هزینه])</f>
        <v>0</v>
      </c>
      <c r="J1574" s="164">
        <f>SUMIF(TArticle[تاریخ],TDays[[#This Row],[تاریخ]],TArticle[درآمد تتا])</f>
        <v>0</v>
      </c>
      <c r="K1574" s="164">
        <f>SUMIF(TArticle[تاریخ],TDays[[#This Row],[تاریخ]],TArticle[اسنپ])</f>
        <v>0</v>
      </c>
      <c r="L1574" s="164">
        <f>-SUMIF(TArticle[تاریخ],TDays[[#This Row],[تاریخ]],TArticle[پرداخت بدهی])</f>
        <v>0</v>
      </c>
      <c r="M1574" s="164">
        <f>SUMIF(TArticle[تاریخ],TDays[[#This Row],[تاریخ]],TArticle[افزایش بدهی])</f>
        <v>0</v>
      </c>
      <c r="N1574" s="164">
        <f>-SUMIF(TArticle[تاریخ],TDays[[#This Row],[تاریخ]],TArticle[افزایش سرمایه])</f>
        <v>0</v>
      </c>
      <c r="O1574" s="164">
        <f>SUMIF(TArticle[تاریخ],TDays[[#This Row],[تاریخ]],TArticle[تعداد تراکنش انجام شده])</f>
        <v>0</v>
      </c>
      <c r="P1574" s="164">
        <f>INT(((TDays[[#This Row],[ماه]]-1)*31+TDays[[#This Row],[روز]]+1)/7)+1</f>
        <v>17</v>
      </c>
      <c r="Q1574" s="164">
        <f>SUMIF(TArticle[تاریخ],TDays[[#This Row],[تاریخ]],TArticle[تراکنش برنامه ریزی شده])</f>
        <v>0</v>
      </c>
    </row>
    <row r="1575" spans="1:17" x14ac:dyDescent="0.25">
      <c r="A1575" s="3" t="s">
        <v>2158</v>
      </c>
      <c r="B1575" s="164" t="str">
        <f>RIGHT(TDays[[#This Row],[تاریخ]],2)</f>
        <v>21</v>
      </c>
      <c r="C1575" s="164" t="str">
        <f>RIGHT(LEFT(TDays[[#This Row],[تاریخ]],7),2)</f>
        <v>04</v>
      </c>
      <c r="D1575" s="164" t="str">
        <f>LEFT(TDays[[#This Row],[تاریخ]],4)</f>
        <v>1405</v>
      </c>
      <c r="E1575" s="164" t="str">
        <f>LEFT(TDays[[#This Row],[تاریخ]],7)</f>
        <v>1405-04</v>
      </c>
      <c r="F1575">
        <v>0</v>
      </c>
      <c r="G1575" s="165" t="str">
        <f>VLOOKUP(TDays[[#This Row],[کد روز هفته]],TDaysOfTheWeek[],2,FALSE)</f>
        <v>شنبه</v>
      </c>
      <c r="H1575" s="165">
        <f>IFERROR(IF(E1574&lt;&gt;E1575,1,INT(H1574)+IF(TDays[[#This Row],[کد روز هفته]]=0,1,0)),1)</f>
        <v>4</v>
      </c>
      <c r="I1575" s="164">
        <f>-SUMIF(TArticle[تاریخ],TDays[[#This Row],[تاریخ]],TArticle[هزینه])</f>
        <v>0</v>
      </c>
      <c r="J1575" s="164">
        <f>SUMIF(TArticle[تاریخ],TDays[[#This Row],[تاریخ]],TArticle[درآمد تتا])</f>
        <v>0</v>
      </c>
      <c r="K1575" s="164">
        <f>SUMIF(TArticle[تاریخ],TDays[[#This Row],[تاریخ]],TArticle[اسنپ])</f>
        <v>0</v>
      </c>
      <c r="L1575" s="164">
        <f>-SUMIF(TArticle[تاریخ],TDays[[#This Row],[تاریخ]],TArticle[پرداخت بدهی])</f>
        <v>0</v>
      </c>
      <c r="M1575" s="164">
        <f>SUMIF(TArticle[تاریخ],TDays[[#This Row],[تاریخ]],TArticle[افزایش بدهی])</f>
        <v>0</v>
      </c>
      <c r="N1575" s="164">
        <f>-SUMIF(TArticle[تاریخ],TDays[[#This Row],[تاریخ]],TArticle[افزایش سرمایه])</f>
        <v>0</v>
      </c>
      <c r="O1575" s="164">
        <f>SUMIF(TArticle[تاریخ],TDays[[#This Row],[تاریخ]],TArticle[تعداد تراکنش انجام شده])</f>
        <v>0</v>
      </c>
      <c r="P1575" s="164">
        <f>INT(((TDays[[#This Row],[ماه]]-1)*31+TDays[[#This Row],[روز]]+1)/7)+1</f>
        <v>17</v>
      </c>
      <c r="Q1575" s="164">
        <f>SUMIF(TArticle[تاریخ],TDays[[#This Row],[تاریخ]],TArticle[تراکنش برنامه ریزی شده])</f>
        <v>0</v>
      </c>
    </row>
    <row r="1576" spans="1:17" x14ac:dyDescent="0.25">
      <c r="A1576" s="3" t="s">
        <v>2159</v>
      </c>
      <c r="B1576" s="164" t="str">
        <f>RIGHT(TDays[[#This Row],[تاریخ]],2)</f>
        <v>22</v>
      </c>
      <c r="C1576" s="164" t="str">
        <f>RIGHT(LEFT(TDays[[#This Row],[تاریخ]],7),2)</f>
        <v>04</v>
      </c>
      <c r="D1576" s="164" t="str">
        <f>LEFT(TDays[[#This Row],[تاریخ]],4)</f>
        <v>1405</v>
      </c>
      <c r="E1576" s="164" t="str">
        <f>LEFT(TDays[[#This Row],[تاریخ]],7)</f>
        <v>1405-04</v>
      </c>
      <c r="F1576">
        <v>1</v>
      </c>
      <c r="G1576" s="165" t="str">
        <f>VLOOKUP(TDays[[#This Row],[کد روز هفته]],TDaysOfTheWeek[],2,FALSE)</f>
        <v>یکشنبه</v>
      </c>
      <c r="H1576" s="165">
        <f>IFERROR(IF(E1575&lt;&gt;E1576,1,INT(H1575)+IF(TDays[[#This Row],[کد روز هفته]]=0,1,0)),1)</f>
        <v>4</v>
      </c>
      <c r="I1576" s="164">
        <f>-SUMIF(TArticle[تاریخ],TDays[[#This Row],[تاریخ]],TArticle[هزینه])</f>
        <v>0</v>
      </c>
      <c r="J1576" s="164">
        <f>SUMIF(TArticle[تاریخ],TDays[[#This Row],[تاریخ]],TArticle[درآمد تتا])</f>
        <v>0</v>
      </c>
      <c r="K1576" s="164">
        <f>SUMIF(TArticle[تاریخ],TDays[[#This Row],[تاریخ]],TArticle[اسنپ])</f>
        <v>0</v>
      </c>
      <c r="L1576" s="164">
        <f>-SUMIF(TArticle[تاریخ],TDays[[#This Row],[تاریخ]],TArticle[پرداخت بدهی])</f>
        <v>0</v>
      </c>
      <c r="M1576" s="164">
        <f>SUMIF(TArticle[تاریخ],TDays[[#This Row],[تاریخ]],TArticle[افزایش بدهی])</f>
        <v>0</v>
      </c>
      <c r="N1576" s="164">
        <f>-SUMIF(TArticle[تاریخ],TDays[[#This Row],[تاریخ]],TArticle[افزایش سرمایه])</f>
        <v>0</v>
      </c>
      <c r="O1576" s="164">
        <f>SUMIF(TArticle[تاریخ],TDays[[#This Row],[تاریخ]],TArticle[تعداد تراکنش انجام شده])</f>
        <v>0</v>
      </c>
      <c r="P1576" s="164">
        <f>INT(((TDays[[#This Row],[ماه]]-1)*31+TDays[[#This Row],[روز]]+1)/7)+1</f>
        <v>17</v>
      </c>
      <c r="Q1576" s="164">
        <f>SUMIF(TArticle[تاریخ],TDays[[#This Row],[تاریخ]],TArticle[تراکنش برنامه ریزی شده])</f>
        <v>0</v>
      </c>
    </row>
    <row r="1577" spans="1:17" x14ac:dyDescent="0.25">
      <c r="A1577" s="3" t="s">
        <v>2160</v>
      </c>
      <c r="B1577" s="164" t="str">
        <f>RIGHT(TDays[[#This Row],[تاریخ]],2)</f>
        <v>23</v>
      </c>
      <c r="C1577" s="164" t="str">
        <f>RIGHT(LEFT(TDays[[#This Row],[تاریخ]],7),2)</f>
        <v>04</v>
      </c>
      <c r="D1577" s="164" t="str">
        <f>LEFT(TDays[[#This Row],[تاریخ]],4)</f>
        <v>1405</v>
      </c>
      <c r="E1577" s="164" t="str">
        <f>LEFT(TDays[[#This Row],[تاریخ]],7)</f>
        <v>1405-04</v>
      </c>
      <c r="F1577">
        <v>2</v>
      </c>
      <c r="G1577" s="165" t="str">
        <f>VLOOKUP(TDays[[#This Row],[کد روز هفته]],TDaysOfTheWeek[],2,FALSE)</f>
        <v>دوشنبه</v>
      </c>
      <c r="H1577" s="165">
        <f>IFERROR(IF(E1576&lt;&gt;E1577,1,INT(H1576)+IF(TDays[[#This Row],[کد روز هفته]]=0,1,0)),1)</f>
        <v>4</v>
      </c>
      <c r="I1577" s="164">
        <f>-SUMIF(TArticle[تاریخ],TDays[[#This Row],[تاریخ]],TArticle[هزینه])</f>
        <v>0</v>
      </c>
      <c r="J1577" s="164">
        <f>SUMIF(TArticle[تاریخ],TDays[[#This Row],[تاریخ]],TArticle[درآمد تتا])</f>
        <v>0</v>
      </c>
      <c r="K1577" s="164">
        <f>SUMIF(TArticle[تاریخ],TDays[[#This Row],[تاریخ]],TArticle[اسنپ])</f>
        <v>0</v>
      </c>
      <c r="L1577" s="164">
        <f>-SUMIF(TArticle[تاریخ],TDays[[#This Row],[تاریخ]],TArticle[پرداخت بدهی])</f>
        <v>0</v>
      </c>
      <c r="M1577" s="164">
        <f>SUMIF(TArticle[تاریخ],TDays[[#This Row],[تاریخ]],TArticle[افزایش بدهی])</f>
        <v>0</v>
      </c>
      <c r="N1577" s="164">
        <f>-SUMIF(TArticle[تاریخ],TDays[[#This Row],[تاریخ]],TArticle[افزایش سرمایه])</f>
        <v>0</v>
      </c>
      <c r="O1577" s="164">
        <f>SUMIF(TArticle[تاریخ],TDays[[#This Row],[تاریخ]],TArticle[تعداد تراکنش انجام شده])</f>
        <v>0</v>
      </c>
      <c r="P1577" s="164">
        <f>INT(((TDays[[#This Row],[ماه]]-1)*31+TDays[[#This Row],[روز]]+1)/7)+1</f>
        <v>17</v>
      </c>
      <c r="Q1577" s="164">
        <f>SUMIF(TArticle[تاریخ],TDays[[#This Row],[تاریخ]],TArticle[تراکنش برنامه ریزی شده])</f>
        <v>0</v>
      </c>
    </row>
    <row r="1578" spans="1:17" x14ac:dyDescent="0.25">
      <c r="A1578" s="3" t="s">
        <v>2161</v>
      </c>
      <c r="B1578" s="164" t="str">
        <f>RIGHT(TDays[[#This Row],[تاریخ]],2)</f>
        <v>24</v>
      </c>
      <c r="C1578" s="164" t="str">
        <f>RIGHT(LEFT(TDays[[#This Row],[تاریخ]],7),2)</f>
        <v>04</v>
      </c>
      <c r="D1578" s="164" t="str">
        <f>LEFT(TDays[[#This Row],[تاریخ]],4)</f>
        <v>1405</v>
      </c>
      <c r="E1578" s="164" t="str">
        <f>LEFT(TDays[[#This Row],[تاریخ]],7)</f>
        <v>1405-04</v>
      </c>
      <c r="F1578">
        <v>3</v>
      </c>
      <c r="G1578" s="165" t="str">
        <f>VLOOKUP(TDays[[#This Row],[کد روز هفته]],TDaysOfTheWeek[],2,FALSE)</f>
        <v>سه شنبه</v>
      </c>
      <c r="H1578" s="165">
        <f>IFERROR(IF(E1577&lt;&gt;E1578,1,INT(H1577)+IF(TDays[[#This Row],[کد روز هفته]]=0,1,0)),1)</f>
        <v>4</v>
      </c>
      <c r="I1578" s="164">
        <f>-SUMIF(TArticle[تاریخ],TDays[[#This Row],[تاریخ]],TArticle[هزینه])</f>
        <v>0</v>
      </c>
      <c r="J1578" s="164">
        <f>SUMIF(TArticle[تاریخ],TDays[[#This Row],[تاریخ]],TArticle[درآمد تتا])</f>
        <v>0</v>
      </c>
      <c r="K1578" s="164">
        <f>SUMIF(TArticle[تاریخ],TDays[[#This Row],[تاریخ]],TArticle[اسنپ])</f>
        <v>0</v>
      </c>
      <c r="L1578" s="164">
        <f>-SUMIF(TArticle[تاریخ],TDays[[#This Row],[تاریخ]],TArticle[پرداخت بدهی])</f>
        <v>0</v>
      </c>
      <c r="M1578" s="164">
        <f>SUMIF(TArticle[تاریخ],TDays[[#This Row],[تاریخ]],TArticle[افزایش بدهی])</f>
        <v>0</v>
      </c>
      <c r="N1578" s="164">
        <f>-SUMIF(TArticle[تاریخ],TDays[[#This Row],[تاریخ]],TArticle[افزایش سرمایه])</f>
        <v>0</v>
      </c>
      <c r="O1578" s="164">
        <f>SUMIF(TArticle[تاریخ],TDays[[#This Row],[تاریخ]],TArticle[تعداد تراکنش انجام شده])</f>
        <v>0</v>
      </c>
      <c r="P1578" s="164">
        <f>INT(((TDays[[#This Row],[ماه]]-1)*31+TDays[[#This Row],[روز]]+1)/7)+1</f>
        <v>17</v>
      </c>
      <c r="Q1578" s="164">
        <f>SUMIF(TArticle[تاریخ],TDays[[#This Row],[تاریخ]],TArticle[تراکنش برنامه ریزی شده])</f>
        <v>0</v>
      </c>
    </row>
    <row r="1579" spans="1:17" x14ac:dyDescent="0.25">
      <c r="A1579" s="3" t="s">
        <v>2162</v>
      </c>
      <c r="B1579" s="164" t="str">
        <f>RIGHT(TDays[[#This Row],[تاریخ]],2)</f>
        <v>25</v>
      </c>
      <c r="C1579" s="164" t="str">
        <f>RIGHT(LEFT(TDays[[#This Row],[تاریخ]],7),2)</f>
        <v>04</v>
      </c>
      <c r="D1579" s="164" t="str">
        <f>LEFT(TDays[[#This Row],[تاریخ]],4)</f>
        <v>1405</v>
      </c>
      <c r="E1579" s="164" t="str">
        <f>LEFT(TDays[[#This Row],[تاریخ]],7)</f>
        <v>1405-04</v>
      </c>
      <c r="F1579">
        <v>4</v>
      </c>
      <c r="G1579" s="165" t="str">
        <f>VLOOKUP(TDays[[#This Row],[کد روز هفته]],TDaysOfTheWeek[],2,FALSE)</f>
        <v>چهارشنبه</v>
      </c>
      <c r="H1579" s="165">
        <f>IFERROR(IF(E1578&lt;&gt;E1579,1,INT(H1578)+IF(TDays[[#This Row],[کد روز هفته]]=0,1,0)),1)</f>
        <v>4</v>
      </c>
      <c r="I1579" s="164">
        <f>-SUMIF(TArticle[تاریخ],TDays[[#This Row],[تاریخ]],TArticle[هزینه])</f>
        <v>0</v>
      </c>
      <c r="J1579" s="164">
        <f>SUMIF(TArticle[تاریخ],TDays[[#This Row],[تاریخ]],TArticle[درآمد تتا])</f>
        <v>0</v>
      </c>
      <c r="K1579" s="164">
        <f>SUMIF(TArticle[تاریخ],TDays[[#This Row],[تاریخ]],TArticle[اسنپ])</f>
        <v>0</v>
      </c>
      <c r="L1579" s="164">
        <f>-SUMIF(TArticle[تاریخ],TDays[[#This Row],[تاریخ]],TArticle[پرداخت بدهی])</f>
        <v>0</v>
      </c>
      <c r="M1579" s="164">
        <f>SUMIF(TArticle[تاریخ],TDays[[#This Row],[تاریخ]],TArticle[افزایش بدهی])</f>
        <v>0</v>
      </c>
      <c r="N1579" s="164">
        <f>-SUMIF(TArticle[تاریخ],TDays[[#This Row],[تاریخ]],TArticle[افزایش سرمایه])</f>
        <v>0</v>
      </c>
      <c r="O1579" s="164">
        <f>SUMIF(TArticle[تاریخ],TDays[[#This Row],[تاریخ]],TArticle[تعداد تراکنش انجام شده])</f>
        <v>0</v>
      </c>
      <c r="P1579" s="164">
        <f>INT(((TDays[[#This Row],[ماه]]-1)*31+TDays[[#This Row],[روز]]+1)/7)+1</f>
        <v>18</v>
      </c>
      <c r="Q1579" s="164">
        <f>SUMIF(TArticle[تاریخ],TDays[[#This Row],[تاریخ]],TArticle[تراکنش برنامه ریزی شده])</f>
        <v>0</v>
      </c>
    </row>
    <row r="1580" spans="1:17" x14ac:dyDescent="0.25">
      <c r="A1580" s="3" t="s">
        <v>2163</v>
      </c>
      <c r="B1580" s="164" t="str">
        <f>RIGHT(TDays[[#This Row],[تاریخ]],2)</f>
        <v>26</v>
      </c>
      <c r="C1580" s="164" t="str">
        <f>RIGHT(LEFT(TDays[[#This Row],[تاریخ]],7),2)</f>
        <v>04</v>
      </c>
      <c r="D1580" s="164" t="str">
        <f>LEFT(TDays[[#This Row],[تاریخ]],4)</f>
        <v>1405</v>
      </c>
      <c r="E1580" s="164" t="str">
        <f>LEFT(TDays[[#This Row],[تاریخ]],7)</f>
        <v>1405-04</v>
      </c>
      <c r="F1580">
        <v>5</v>
      </c>
      <c r="G1580" s="165" t="str">
        <f>VLOOKUP(TDays[[#This Row],[کد روز هفته]],TDaysOfTheWeek[],2,FALSE)</f>
        <v>پنجشنبه</v>
      </c>
      <c r="H1580" s="165">
        <f>IFERROR(IF(E1579&lt;&gt;E1580,1,INT(H1579)+IF(TDays[[#This Row],[کد روز هفته]]=0,1,0)),1)</f>
        <v>4</v>
      </c>
      <c r="I1580" s="164">
        <f>-SUMIF(TArticle[تاریخ],TDays[[#This Row],[تاریخ]],TArticle[هزینه])</f>
        <v>0</v>
      </c>
      <c r="J1580" s="164">
        <f>SUMIF(TArticle[تاریخ],TDays[[#This Row],[تاریخ]],TArticle[درآمد تتا])</f>
        <v>0</v>
      </c>
      <c r="K1580" s="164">
        <f>SUMIF(TArticle[تاریخ],TDays[[#This Row],[تاریخ]],TArticle[اسنپ])</f>
        <v>0</v>
      </c>
      <c r="L1580" s="164">
        <f>-SUMIF(TArticle[تاریخ],TDays[[#This Row],[تاریخ]],TArticle[پرداخت بدهی])</f>
        <v>0</v>
      </c>
      <c r="M1580" s="164">
        <f>SUMIF(TArticle[تاریخ],TDays[[#This Row],[تاریخ]],TArticle[افزایش بدهی])</f>
        <v>0</v>
      </c>
      <c r="N1580" s="164">
        <f>-SUMIF(TArticle[تاریخ],TDays[[#This Row],[تاریخ]],TArticle[افزایش سرمایه])</f>
        <v>0</v>
      </c>
      <c r="O1580" s="164">
        <f>SUMIF(TArticle[تاریخ],TDays[[#This Row],[تاریخ]],TArticle[تعداد تراکنش انجام شده])</f>
        <v>0</v>
      </c>
      <c r="P1580" s="164">
        <f>INT(((TDays[[#This Row],[ماه]]-1)*31+TDays[[#This Row],[روز]]+1)/7)+1</f>
        <v>18</v>
      </c>
      <c r="Q1580" s="164">
        <f>SUMIF(TArticle[تاریخ],TDays[[#This Row],[تاریخ]],TArticle[تراکنش برنامه ریزی شده])</f>
        <v>0</v>
      </c>
    </row>
    <row r="1581" spans="1:17" x14ac:dyDescent="0.25">
      <c r="A1581" s="3" t="s">
        <v>2164</v>
      </c>
      <c r="B1581" s="164" t="str">
        <f>RIGHT(TDays[[#This Row],[تاریخ]],2)</f>
        <v>27</v>
      </c>
      <c r="C1581" s="164" t="str">
        <f>RIGHT(LEFT(TDays[[#This Row],[تاریخ]],7),2)</f>
        <v>04</v>
      </c>
      <c r="D1581" s="164" t="str">
        <f>LEFT(TDays[[#This Row],[تاریخ]],4)</f>
        <v>1405</v>
      </c>
      <c r="E1581" s="164" t="str">
        <f>LEFT(TDays[[#This Row],[تاریخ]],7)</f>
        <v>1405-04</v>
      </c>
      <c r="F1581">
        <v>6</v>
      </c>
      <c r="G1581" s="165" t="str">
        <f>VLOOKUP(TDays[[#This Row],[کد روز هفته]],TDaysOfTheWeek[],2,FALSE)</f>
        <v>جمعه</v>
      </c>
      <c r="H1581" s="165">
        <f>IFERROR(IF(E1580&lt;&gt;E1581,1,INT(H1580)+IF(TDays[[#This Row],[کد روز هفته]]=0,1,0)),1)</f>
        <v>4</v>
      </c>
      <c r="I1581" s="164">
        <f>-SUMIF(TArticle[تاریخ],TDays[[#This Row],[تاریخ]],TArticle[هزینه])</f>
        <v>0</v>
      </c>
      <c r="J1581" s="164">
        <f>SUMIF(TArticle[تاریخ],TDays[[#This Row],[تاریخ]],TArticle[درآمد تتا])</f>
        <v>0</v>
      </c>
      <c r="K1581" s="164">
        <f>SUMIF(TArticle[تاریخ],TDays[[#This Row],[تاریخ]],TArticle[اسنپ])</f>
        <v>0</v>
      </c>
      <c r="L1581" s="164">
        <f>-SUMIF(TArticle[تاریخ],TDays[[#This Row],[تاریخ]],TArticle[پرداخت بدهی])</f>
        <v>0</v>
      </c>
      <c r="M1581" s="164">
        <f>SUMIF(TArticle[تاریخ],TDays[[#This Row],[تاریخ]],TArticle[افزایش بدهی])</f>
        <v>0</v>
      </c>
      <c r="N1581" s="164">
        <f>-SUMIF(TArticle[تاریخ],TDays[[#This Row],[تاریخ]],TArticle[افزایش سرمایه])</f>
        <v>0</v>
      </c>
      <c r="O1581" s="164">
        <f>SUMIF(TArticle[تاریخ],TDays[[#This Row],[تاریخ]],TArticle[تعداد تراکنش انجام شده])</f>
        <v>0</v>
      </c>
      <c r="P1581" s="164">
        <f>INT(((TDays[[#This Row],[ماه]]-1)*31+TDays[[#This Row],[روز]]+1)/7)+1</f>
        <v>18</v>
      </c>
      <c r="Q1581" s="164">
        <f>SUMIF(TArticle[تاریخ],TDays[[#This Row],[تاریخ]],TArticle[تراکنش برنامه ریزی شده])</f>
        <v>0</v>
      </c>
    </row>
    <row r="1582" spans="1:17" x14ac:dyDescent="0.25">
      <c r="A1582" s="3" t="s">
        <v>2165</v>
      </c>
      <c r="B1582" s="164" t="str">
        <f>RIGHT(TDays[[#This Row],[تاریخ]],2)</f>
        <v>28</v>
      </c>
      <c r="C1582" s="164" t="str">
        <f>RIGHT(LEFT(TDays[[#This Row],[تاریخ]],7),2)</f>
        <v>04</v>
      </c>
      <c r="D1582" s="164" t="str">
        <f>LEFT(TDays[[#This Row],[تاریخ]],4)</f>
        <v>1405</v>
      </c>
      <c r="E1582" s="164" t="str">
        <f>LEFT(TDays[[#This Row],[تاریخ]],7)</f>
        <v>1405-04</v>
      </c>
      <c r="F1582">
        <v>0</v>
      </c>
      <c r="G1582" s="165" t="str">
        <f>VLOOKUP(TDays[[#This Row],[کد روز هفته]],TDaysOfTheWeek[],2,FALSE)</f>
        <v>شنبه</v>
      </c>
      <c r="H1582" s="165">
        <f>IFERROR(IF(E1581&lt;&gt;E1582,1,INT(H1581)+IF(TDays[[#This Row],[کد روز هفته]]=0,1,0)),1)</f>
        <v>5</v>
      </c>
      <c r="I1582" s="164">
        <f>-SUMIF(TArticle[تاریخ],TDays[[#This Row],[تاریخ]],TArticle[هزینه])</f>
        <v>0</v>
      </c>
      <c r="J1582" s="164">
        <f>SUMIF(TArticle[تاریخ],TDays[[#This Row],[تاریخ]],TArticle[درآمد تتا])</f>
        <v>0</v>
      </c>
      <c r="K1582" s="164">
        <f>SUMIF(TArticle[تاریخ],TDays[[#This Row],[تاریخ]],TArticle[اسنپ])</f>
        <v>0</v>
      </c>
      <c r="L1582" s="164">
        <f>-SUMIF(TArticle[تاریخ],TDays[[#This Row],[تاریخ]],TArticle[پرداخت بدهی])</f>
        <v>0</v>
      </c>
      <c r="M1582" s="164">
        <f>SUMIF(TArticle[تاریخ],TDays[[#This Row],[تاریخ]],TArticle[افزایش بدهی])</f>
        <v>0</v>
      </c>
      <c r="N1582" s="164">
        <f>-SUMIF(TArticle[تاریخ],TDays[[#This Row],[تاریخ]],TArticle[افزایش سرمایه])</f>
        <v>0</v>
      </c>
      <c r="O1582" s="164">
        <f>SUMIF(TArticle[تاریخ],TDays[[#This Row],[تاریخ]],TArticle[تعداد تراکنش انجام شده])</f>
        <v>0</v>
      </c>
      <c r="P1582" s="164">
        <f>INT(((TDays[[#This Row],[ماه]]-1)*31+TDays[[#This Row],[روز]]+1)/7)+1</f>
        <v>18</v>
      </c>
      <c r="Q1582" s="164">
        <f>SUMIF(TArticle[تاریخ],TDays[[#This Row],[تاریخ]],TArticle[تراکنش برنامه ریزی شده])</f>
        <v>0</v>
      </c>
    </row>
    <row r="1583" spans="1:17" x14ac:dyDescent="0.25">
      <c r="A1583" s="3" t="s">
        <v>2166</v>
      </c>
      <c r="B1583" s="164" t="str">
        <f>RIGHT(TDays[[#This Row],[تاریخ]],2)</f>
        <v>29</v>
      </c>
      <c r="C1583" s="164" t="str">
        <f>RIGHT(LEFT(TDays[[#This Row],[تاریخ]],7),2)</f>
        <v>04</v>
      </c>
      <c r="D1583" s="164" t="str">
        <f>LEFT(TDays[[#This Row],[تاریخ]],4)</f>
        <v>1405</v>
      </c>
      <c r="E1583" s="164" t="str">
        <f>LEFT(TDays[[#This Row],[تاریخ]],7)</f>
        <v>1405-04</v>
      </c>
      <c r="F1583">
        <v>1</v>
      </c>
      <c r="G1583" s="165" t="str">
        <f>VLOOKUP(TDays[[#This Row],[کد روز هفته]],TDaysOfTheWeek[],2,FALSE)</f>
        <v>یکشنبه</v>
      </c>
      <c r="H1583" s="165">
        <f>IFERROR(IF(E1582&lt;&gt;E1583,1,INT(H1582)+IF(TDays[[#This Row],[کد روز هفته]]=0,1,0)),1)</f>
        <v>5</v>
      </c>
      <c r="I1583" s="164">
        <f>-SUMIF(TArticle[تاریخ],TDays[[#This Row],[تاریخ]],TArticle[هزینه])</f>
        <v>0</v>
      </c>
      <c r="J1583" s="164">
        <f>SUMIF(TArticle[تاریخ],TDays[[#This Row],[تاریخ]],TArticle[درآمد تتا])</f>
        <v>0</v>
      </c>
      <c r="K1583" s="164">
        <f>SUMIF(TArticle[تاریخ],TDays[[#This Row],[تاریخ]],TArticle[اسنپ])</f>
        <v>0</v>
      </c>
      <c r="L1583" s="164">
        <f>-SUMIF(TArticle[تاریخ],TDays[[#This Row],[تاریخ]],TArticle[پرداخت بدهی])</f>
        <v>0</v>
      </c>
      <c r="M1583" s="164">
        <f>SUMIF(TArticle[تاریخ],TDays[[#This Row],[تاریخ]],TArticle[افزایش بدهی])</f>
        <v>0</v>
      </c>
      <c r="N1583" s="164">
        <f>-SUMIF(TArticle[تاریخ],TDays[[#This Row],[تاریخ]],TArticle[افزایش سرمایه])</f>
        <v>0</v>
      </c>
      <c r="O1583" s="164">
        <f>SUMIF(TArticle[تاریخ],TDays[[#This Row],[تاریخ]],TArticle[تعداد تراکنش انجام شده])</f>
        <v>0</v>
      </c>
      <c r="P1583" s="164">
        <f>INT(((TDays[[#This Row],[ماه]]-1)*31+TDays[[#This Row],[روز]]+1)/7)+1</f>
        <v>18</v>
      </c>
      <c r="Q1583" s="164">
        <f>SUMIF(TArticle[تاریخ],TDays[[#This Row],[تاریخ]],TArticle[تراکنش برنامه ریزی شده])</f>
        <v>0</v>
      </c>
    </row>
    <row r="1584" spans="1:17" x14ac:dyDescent="0.25">
      <c r="A1584" s="3" t="s">
        <v>2167</v>
      </c>
      <c r="B1584" s="164" t="str">
        <f>RIGHT(TDays[[#This Row],[تاریخ]],2)</f>
        <v>30</v>
      </c>
      <c r="C1584" s="164" t="str">
        <f>RIGHT(LEFT(TDays[[#This Row],[تاریخ]],7),2)</f>
        <v>04</v>
      </c>
      <c r="D1584" s="164" t="str">
        <f>LEFT(TDays[[#This Row],[تاریخ]],4)</f>
        <v>1405</v>
      </c>
      <c r="E1584" s="164" t="str">
        <f>LEFT(TDays[[#This Row],[تاریخ]],7)</f>
        <v>1405-04</v>
      </c>
      <c r="F1584">
        <v>2</v>
      </c>
      <c r="G1584" s="165" t="str">
        <f>VLOOKUP(TDays[[#This Row],[کد روز هفته]],TDaysOfTheWeek[],2,FALSE)</f>
        <v>دوشنبه</v>
      </c>
      <c r="H1584" s="165">
        <f>IFERROR(IF(E1583&lt;&gt;E1584,1,INT(H1583)+IF(TDays[[#This Row],[کد روز هفته]]=0,1,0)),1)</f>
        <v>5</v>
      </c>
      <c r="I1584" s="164">
        <f>-SUMIF(TArticle[تاریخ],TDays[[#This Row],[تاریخ]],TArticle[هزینه])</f>
        <v>0</v>
      </c>
      <c r="J1584" s="164">
        <f>SUMIF(TArticle[تاریخ],TDays[[#This Row],[تاریخ]],TArticle[درآمد تتا])</f>
        <v>0</v>
      </c>
      <c r="K1584" s="164">
        <f>SUMIF(TArticle[تاریخ],TDays[[#This Row],[تاریخ]],TArticle[اسنپ])</f>
        <v>0</v>
      </c>
      <c r="L1584" s="164">
        <f>-SUMIF(TArticle[تاریخ],TDays[[#This Row],[تاریخ]],TArticle[پرداخت بدهی])</f>
        <v>0</v>
      </c>
      <c r="M1584" s="164">
        <f>SUMIF(TArticle[تاریخ],TDays[[#This Row],[تاریخ]],TArticle[افزایش بدهی])</f>
        <v>0</v>
      </c>
      <c r="N1584" s="164">
        <f>-SUMIF(TArticle[تاریخ],TDays[[#This Row],[تاریخ]],TArticle[افزایش سرمایه])</f>
        <v>0</v>
      </c>
      <c r="O1584" s="164">
        <f>SUMIF(TArticle[تاریخ],TDays[[#This Row],[تاریخ]],TArticle[تعداد تراکنش انجام شده])</f>
        <v>0</v>
      </c>
      <c r="P1584" s="164">
        <f>INT(((TDays[[#This Row],[ماه]]-1)*31+TDays[[#This Row],[روز]]+1)/7)+1</f>
        <v>18</v>
      </c>
      <c r="Q1584" s="164">
        <f>SUMIF(TArticle[تاریخ],TDays[[#This Row],[تاریخ]],TArticle[تراکنش برنامه ریزی شده])</f>
        <v>0</v>
      </c>
    </row>
    <row r="1585" spans="1:17" x14ac:dyDescent="0.25">
      <c r="A1585" s="3" t="s">
        <v>2168</v>
      </c>
      <c r="B1585" s="164" t="str">
        <f>RIGHT(TDays[[#This Row],[تاریخ]],2)</f>
        <v>31</v>
      </c>
      <c r="C1585" s="164" t="str">
        <f>RIGHT(LEFT(TDays[[#This Row],[تاریخ]],7),2)</f>
        <v>04</v>
      </c>
      <c r="D1585" s="164" t="str">
        <f>LEFT(TDays[[#This Row],[تاریخ]],4)</f>
        <v>1405</v>
      </c>
      <c r="E1585" s="164" t="str">
        <f>LEFT(TDays[[#This Row],[تاریخ]],7)</f>
        <v>1405-04</v>
      </c>
      <c r="F1585">
        <v>3</v>
      </c>
      <c r="G1585" s="165" t="str">
        <f>VLOOKUP(TDays[[#This Row],[کد روز هفته]],TDaysOfTheWeek[],2,FALSE)</f>
        <v>سه شنبه</v>
      </c>
      <c r="H1585" s="165">
        <f>IFERROR(IF(E1584&lt;&gt;E1585,1,INT(H1584)+IF(TDays[[#This Row],[کد روز هفته]]=0,1,0)),1)</f>
        <v>5</v>
      </c>
      <c r="I1585" s="164">
        <f>-SUMIF(TArticle[تاریخ],TDays[[#This Row],[تاریخ]],TArticle[هزینه])</f>
        <v>0</v>
      </c>
      <c r="J1585" s="164">
        <f>SUMIF(TArticle[تاریخ],TDays[[#This Row],[تاریخ]],TArticle[درآمد تتا])</f>
        <v>0</v>
      </c>
      <c r="K1585" s="164">
        <f>SUMIF(TArticle[تاریخ],TDays[[#This Row],[تاریخ]],TArticle[اسنپ])</f>
        <v>0</v>
      </c>
      <c r="L1585" s="164">
        <f>-SUMIF(TArticle[تاریخ],TDays[[#This Row],[تاریخ]],TArticle[پرداخت بدهی])</f>
        <v>0</v>
      </c>
      <c r="M1585" s="164">
        <f>SUMIF(TArticle[تاریخ],TDays[[#This Row],[تاریخ]],TArticle[افزایش بدهی])</f>
        <v>0</v>
      </c>
      <c r="N1585" s="164">
        <f>-SUMIF(TArticle[تاریخ],TDays[[#This Row],[تاریخ]],TArticle[افزایش سرمایه])</f>
        <v>0</v>
      </c>
      <c r="O1585" s="164">
        <f>SUMIF(TArticle[تاریخ],TDays[[#This Row],[تاریخ]],TArticle[تعداد تراکنش انجام شده])</f>
        <v>0</v>
      </c>
      <c r="P1585" s="164">
        <f>INT(((TDays[[#This Row],[ماه]]-1)*31+TDays[[#This Row],[روز]]+1)/7)+1</f>
        <v>18</v>
      </c>
      <c r="Q1585" s="164">
        <f>SUMIF(TArticle[تاریخ],TDays[[#This Row],[تاریخ]],TArticle[تراکنش برنامه ریزی شده])</f>
        <v>0</v>
      </c>
    </row>
    <row r="1586" spans="1:17" x14ac:dyDescent="0.25">
      <c r="A1586" s="3" t="s">
        <v>2169</v>
      </c>
      <c r="B1586" s="164" t="str">
        <f>RIGHT(TDays[[#This Row],[تاریخ]],2)</f>
        <v>01</v>
      </c>
      <c r="C1586" s="164" t="str">
        <f>RIGHT(LEFT(TDays[[#This Row],[تاریخ]],7),2)</f>
        <v>05</v>
      </c>
      <c r="D1586" s="164" t="str">
        <f>LEFT(TDays[[#This Row],[تاریخ]],4)</f>
        <v>1405</v>
      </c>
      <c r="E1586" s="164" t="str">
        <f>LEFT(TDays[[#This Row],[تاریخ]],7)</f>
        <v>1405-05</v>
      </c>
      <c r="F1586">
        <v>4</v>
      </c>
      <c r="G1586" s="165" t="str">
        <f>VLOOKUP(TDays[[#This Row],[کد روز هفته]],TDaysOfTheWeek[],2,FALSE)</f>
        <v>چهارشنبه</v>
      </c>
      <c r="H1586" s="165">
        <f>IFERROR(IF(E1585&lt;&gt;E1586,1,INT(H1585)+IF(TDays[[#This Row],[کد روز هفته]]=0,1,0)),1)</f>
        <v>1</v>
      </c>
      <c r="I1586" s="164">
        <f>-SUMIF(TArticle[تاریخ],TDays[[#This Row],[تاریخ]],TArticle[هزینه])</f>
        <v>0</v>
      </c>
      <c r="J1586" s="164">
        <f>SUMIF(TArticle[تاریخ],TDays[[#This Row],[تاریخ]],TArticle[درآمد تتا])</f>
        <v>0</v>
      </c>
      <c r="K1586" s="164">
        <f>SUMIF(TArticle[تاریخ],TDays[[#This Row],[تاریخ]],TArticle[اسنپ])</f>
        <v>0</v>
      </c>
      <c r="L1586" s="164">
        <f>-SUMIF(TArticle[تاریخ],TDays[[#This Row],[تاریخ]],TArticle[پرداخت بدهی])</f>
        <v>0</v>
      </c>
      <c r="M1586" s="164">
        <f>SUMIF(TArticle[تاریخ],TDays[[#This Row],[تاریخ]],TArticle[افزایش بدهی])</f>
        <v>0</v>
      </c>
      <c r="N1586" s="164">
        <f>-SUMIF(TArticle[تاریخ],TDays[[#This Row],[تاریخ]],TArticle[افزایش سرمایه])</f>
        <v>0</v>
      </c>
      <c r="O1586" s="164">
        <f>SUMIF(TArticle[تاریخ],TDays[[#This Row],[تاریخ]],TArticle[تعداد تراکنش انجام شده])</f>
        <v>0</v>
      </c>
      <c r="P1586" s="164">
        <f>INT(((TDays[[#This Row],[ماه]]-1)*31+TDays[[#This Row],[روز]]+1)/7)+1</f>
        <v>19</v>
      </c>
      <c r="Q1586" s="164">
        <f>SUMIF(TArticle[تاریخ],TDays[[#This Row],[تاریخ]],TArticle[تراکنش برنامه ریزی شده])</f>
        <v>0</v>
      </c>
    </row>
    <row r="1587" spans="1:17" x14ac:dyDescent="0.25">
      <c r="A1587" s="3" t="s">
        <v>2170</v>
      </c>
      <c r="B1587" s="164" t="str">
        <f>RIGHT(TDays[[#This Row],[تاریخ]],2)</f>
        <v>02</v>
      </c>
      <c r="C1587" s="164" t="str">
        <f>RIGHT(LEFT(TDays[[#This Row],[تاریخ]],7),2)</f>
        <v>05</v>
      </c>
      <c r="D1587" s="164" t="str">
        <f>LEFT(TDays[[#This Row],[تاریخ]],4)</f>
        <v>1405</v>
      </c>
      <c r="E1587" s="164" t="str">
        <f>LEFT(TDays[[#This Row],[تاریخ]],7)</f>
        <v>1405-05</v>
      </c>
      <c r="F1587">
        <v>5</v>
      </c>
      <c r="G1587" s="165" t="str">
        <f>VLOOKUP(TDays[[#This Row],[کد روز هفته]],TDaysOfTheWeek[],2,FALSE)</f>
        <v>پنجشنبه</v>
      </c>
      <c r="H1587" s="165">
        <f>IFERROR(IF(E1586&lt;&gt;E1587,1,INT(H1586)+IF(TDays[[#This Row],[کد روز هفته]]=0,1,0)),1)</f>
        <v>1</v>
      </c>
      <c r="I1587" s="164">
        <f>-SUMIF(TArticle[تاریخ],TDays[[#This Row],[تاریخ]],TArticle[هزینه])</f>
        <v>0</v>
      </c>
      <c r="J1587" s="164">
        <f>SUMIF(TArticle[تاریخ],TDays[[#This Row],[تاریخ]],TArticle[درآمد تتا])</f>
        <v>0</v>
      </c>
      <c r="K1587" s="164">
        <f>SUMIF(TArticle[تاریخ],TDays[[#This Row],[تاریخ]],TArticle[اسنپ])</f>
        <v>0</v>
      </c>
      <c r="L1587" s="164">
        <f>-SUMIF(TArticle[تاریخ],TDays[[#This Row],[تاریخ]],TArticle[پرداخت بدهی])</f>
        <v>0</v>
      </c>
      <c r="M1587" s="164">
        <f>SUMIF(TArticle[تاریخ],TDays[[#This Row],[تاریخ]],TArticle[افزایش بدهی])</f>
        <v>0</v>
      </c>
      <c r="N1587" s="164">
        <f>-SUMIF(TArticle[تاریخ],TDays[[#This Row],[تاریخ]],TArticle[افزایش سرمایه])</f>
        <v>0</v>
      </c>
      <c r="O1587" s="164">
        <f>SUMIF(TArticle[تاریخ],TDays[[#This Row],[تاریخ]],TArticle[تعداد تراکنش انجام شده])</f>
        <v>0</v>
      </c>
      <c r="P1587" s="164">
        <f>INT(((TDays[[#This Row],[ماه]]-1)*31+TDays[[#This Row],[روز]]+1)/7)+1</f>
        <v>19</v>
      </c>
      <c r="Q1587" s="164">
        <f>SUMIF(TArticle[تاریخ],TDays[[#This Row],[تاریخ]],TArticle[تراکنش برنامه ریزی شده])</f>
        <v>0</v>
      </c>
    </row>
    <row r="1588" spans="1:17" x14ac:dyDescent="0.25">
      <c r="A1588" s="3" t="s">
        <v>2171</v>
      </c>
      <c r="B1588" s="164" t="str">
        <f>RIGHT(TDays[[#This Row],[تاریخ]],2)</f>
        <v>03</v>
      </c>
      <c r="C1588" s="164" t="str">
        <f>RIGHT(LEFT(TDays[[#This Row],[تاریخ]],7),2)</f>
        <v>05</v>
      </c>
      <c r="D1588" s="164" t="str">
        <f>LEFT(TDays[[#This Row],[تاریخ]],4)</f>
        <v>1405</v>
      </c>
      <c r="E1588" s="164" t="str">
        <f>LEFT(TDays[[#This Row],[تاریخ]],7)</f>
        <v>1405-05</v>
      </c>
      <c r="F1588">
        <v>6</v>
      </c>
      <c r="G1588" s="165" t="str">
        <f>VLOOKUP(TDays[[#This Row],[کد روز هفته]],TDaysOfTheWeek[],2,FALSE)</f>
        <v>جمعه</v>
      </c>
      <c r="H1588" s="165">
        <f>IFERROR(IF(E1587&lt;&gt;E1588,1,INT(H1587)+IF(TDays[[#This Row],[کد روز هفته]]=0,1,0)),1)</f>
        <v>1</v>
      </c>
      <c r="I1588" s="164">
        <f>-SUMIF(TArticle[تاریخ],TDays[[#This Row],[تاریخ]],TArticle[هزینه])</f>
        <v>0</v>
      </c>
      <c r="J1588" s="164">
        <f>SUMIF(TArticle[تاریخ],TDays[[#This Row],[تاریخ]],TArticle[درآمد تتا])</f>
        <v>0</v>
      </c>
      <c r="K1588" s="164">
        <f>SUMIF(TArticle[تاریخ],TDays[[#This Row],[تاریخ]],TArticle[اسنپ])</f>
        <v>0</v>
      </c>
      <c r="L1588" s="164">
        <f>-SUMIF(TArticle[تاریخ],TDays[[#This Row],[تاریخ]],TArticle[پرداخت بدهی])</f>
        <v>0</v>
      </c>
      <c r="M1588" s="164">
        <f>SUMIF(TArticle[تاریخ],TDays[[#This Row],[تاریخ]],TArticle[افزایش بدهی])</f>
        <v>0</v>
      </c>
      <c r="N1588" s="164">
        <f>-SUMIF(TArticle[تاریخ],TDays[[#This Row],[تاریخ]],TArticle[افزایش سرمایه])</f>
        <v>0</v>
      </c>
      <c r="O1588" s="164">
        <f>SUMIF(TArticle[تاریخ],TDays[[#This Row],[تاریخ]],TArticle[تعداد تراکنش انجام شده])</f>
        <v>0</v>
      </c>
      <c r="P1588" s="164">
        <f>INT(((TDays[[#This Row],[ماه]]-1)*31+TDays[[#This Row],[روز]]+1)/7)+1</f>
        <v>19</v>
      </c>
      <c r="Q1588" s="164">
        <f>SUMIF(TArticle[تاریخ],TDays[[#This Row],[تاریخ]],TArticle[تراکنش برنامه ریزی شده])</f>
        <v>1</v>
      </c>
    </row>
    <row r="1589" spans="1:17" x14ac:dyDescent="0.25">
      <c r="A1589" s="3" t="s">
        <v>2172</v>
      </c>
      <c r="B1589" s="164" t="str">
        <f>RIGHT(TDays[[#This Row],[تاریخ]],2)</f>
        <v>04</v>
      </c>
      <c r="C1589" s="164" t="str">
        <f>RIGHT(LEFT(TDays[[#This Row],[تاریخ]],7),2)</f>
        <v>05</v>
      </c>
      <c r="D1589" s="164" t="str">
        <f>LEFT(TDays[[#This Row],[تاریخ]],4)</f>
        <v>1405</v>
      </c>
      <c r="E1589" s="164" t="str">
        <f>LEFT(TDays[[#This Row],[تاریخ]],7)</f>
        <v>1405-05</v>
      </c>
      <c r="F1589">
        <v>0</v>
      </c>
      <c r="G1589" s="165" t="str">
        <f>VLOOKUP(TDays[[#This Row],[کد روز هفته]],TDaysOfTheWeek[],2,FALSE)</f>
        <v>شنبه</v>
      </c>
      <c r="H1589" s="165">
        <f>IFERROR(IF(E1588&lt;&gt;E1589,1,INT(H1588)+IF(TDays[[#This Row],[کد روز هفته]]=0,1,0)),1)</f>
        <v>2</v>
      </c>
      <c r="I1589" s="164">
        <f>-SUMIF(TArticle[تاریخ],TDays[[#This Row],[تاریخ]],TArticle[هزینه])</f>
        <v>0</v>
      </c>
      <c r="J1589" s="164">
        <f>SUMIF(TArticle[تاریخ],TDays[[#This Row],[تاریخ]],TArticle[درآمد تتا])</f>
        <v>0</v>
      </c>
      <c r="K1589" s="164">
        <f>SUMIF(TArticle[تاریخ],TDays[[#This Row],[تاریخ]],TArticle[اسنپ])</f>
        <v>0</v>
      </c>
      <c r="L1589" s="164">
        <f>-SUMIF(TArticle[تاریخ],TDays[[#This Row],[تاریخ]],TArticle[پرداخت بدهی])</f>
        <v>0</v>
      </c>
      <c r="M1589" s="164">
        <f>SUMIF(TArticle[تاریخ],TDays[[#This Row],[تاریخ]],TArticle[افزایش بدهی])</f>
        <v>0</v>
      </c>
      <c r="N1589" s="164">
        <f>-SUMIF(TArticle[تاریخ],TDays[[#This Row],[تاریخ]],TArticle[افزایش سرمایه])</f>
        <v>0</v>
      </c>
      <c r="O1589" s="164">
        <f>SUMIF(TArticle[تاریخ],TDays[[#This Row],[تاریخ]],TArticle[تعداد تراکنش انجام شده])</f>
        <v>0</v>
      </c>
      <c r="P1589" s="164">
        <f>INT(((TDays[[#This Row],[ماه]]-1)*31+TDays[[#This Row],[روز]]+1)/7)+1</f>
        <v>19</v>
      </c>
      <c r="Q1589" s="164">
        <f>SUMIF(TArticle[تاریخ],TDays[[#This Row],[تاریخ]],TArticle[تراکنش برنامه ریزی شده])</f>
        <v>0</v>
      </c>
    </row>
    <row r="1590" spans="1:17" x14ac:dyDescent="0.25">
      <c r="A1590" s="3" t="s">
        <v>2173</v>
      </c>
      <c r="B1590" s="164" t="str">
        <f>RIGHT(TDays[[#This Row],[تاریخ]],2)</f>
        <v>05</v>
      </c>
      <c r="C1590" s="164" t="str">
        <f>RIGHT(LEFT(TDays[[#This Row],[تاریخ]],7),2)</f>
        <v>05</v>
      </c>
      <c r="D1590" s="164" t="str">
        <f>LEFT(TDays[[#This Row],[تاریخ]],4)</f>
        <v>1405</v>
      </c>
      <c r="E1590" s="164" t="str">
        <f>LEFT(TDays[[#This Row],[تاریخ]],7)</f>
        <v>1405-05</v>
      </c>
      <c r="F1590">
        <v>1</v>
      </c>
      <c r="G1590" s="165" t="str">
        <f>VLOOKUP(TDays[[#This Row],[کد روز هفته]],TDaysOfTheWeek[],2,FALSE)</f>
        <v>یکشنبه</v>
      </c>
      <c r="H1590" s="165">
        <f>IFERROR(IF(E1589&lt;&gt;E1590,1,INT(H1589)+IF(TDays[[#This Row],[کد روز هفته]]=0,1,0)),1)</f>
        <v>2</v>
      </c>
      <c r="I1590" s="164">
        <f>-SUMIF(TArticle[تاریخ],TDays[[#This Row],[تاریخ]],TArticle[هزینه])</f>
        <v>0</v>
      </c>
      <c r="J1590" s="164">
        <f>SUMIF(TArticle[تاریخ],TDays[[#This Row],[تاریخ]],TArticle[درآمد تتا])</f>
        <v>0</v>
      </c>
      <c r="K1590" s="164">
        <f>SUMIF(TArticle[تاریخ],TDays[[#This Row],[تاریخ]],TArticle[اسنپ])</f>
        <v>0</v>
      </c>
      <c r="L1590" s="164">
        <f>-SUMIF(TArticle[تاریخ],TDays[[#This Row],[تاریخ]],TArticle[پرداخت بدهی])</f>
        <v>0</v>
      </c>
      <c r="M1590" s="164">
        <f>SUMIF(TArticle[تاریخ],TDays[[#This Row],[تاریخ]],TArticle[افزایش بدهی])</f>
        <v>0</v>
      </c>
      <c r="N1590" s="164">
        <f>-SUMIF(TArticle[تاریخ],TDays[[#This Row],[تاریخ]],TArticle[افزایش سرمایه])</f>
        <v>0</v>
      </c>
      <c r="O1590" s="164">
        <f>SUMIF(TArticle[تاریخ],TDays[[#This Row],[تاریخ]],TArticle[تعداد تراکنش انجام شده])</f>
        <v>0</v>
      </c>
      <c r="P1590" s="164">
        <f>INT(((TDays[[#This Row],[ماه]]-1)*31+TDays[[#This Row],[روز]]+1)/7)+1</f>
        <v>19</v>
      </c>
      <c r="Q1590" s="164">
        <f>SUMIF(TArticle[تاریخ],TDays[[#This Row],[تاریخ]],TArticle[تراکنش برنامه ریزی شده])</f>
        <v>0</v>
      </c>
    </row>
    <row r="1591" spans="1:17" x14ac:dyDescent="0.25">
      <c r="A1591" s="3" t="s">
        <v>2174</v>
      </c>
      <c r="B1591" s="164" t="str">
        <f>RIGHT(TDays[[#This Row],[تاریخ]],2)</f>
        <v>06</v>
      </c>
      <c r="C1591" s="164" t="str">
        <f>RIGHT(LEFT(TDays[[#This Row],[تاریخ]],7),2)</f>
        <v>05</v>
      </c>
      <c r="D1591" s="164" t="str">
        <f>LEFT(TDays[[#This Row],[تاریخ]],4)</f>
        <v>1405</v>
      </c>
      <c r="E1591" s="164" t="str">
        <f>LEFT(TDays[[#This Row],[تاریخ]],7)</f>
        <v>1405-05</v>
      </c>
      <c r="F1591">
        <v>2</v>
      </c>
      <c r="G1591" s="165" t="str">
        <f>VLOOKUP(TDays[[#This Row],[کد روز هفته]],TDaysOfTheWeek[],2,FALSE)</f>
        <v>دوشنبه</v>
      </c>
      <c r="H1591" s="165">
        <f>IFERROR(IF(E1590&lt;&gt;E1591,1,INT(H1590)+IF(TDays[[#This Row],[کد روز هفته]]=0,1,0)),1)</f>
        <v>2</v>
      </c>
      <c r="I1591" s="164">
        <f>-SUMIF(TArticle[تاریخ],TDays[[#This Row],[تاریخ]],TArticle[هزینه])</f>
        <v>0</v>
      </c>
      <c r="J1591" s="164">
        <f>SUMIF(TArticle[تاریخ],TDays[[#This Row],[تاریخ]],TArticle[درآمد تتا])</f>
        <v>0</v>
      </c>
      <c r="K1591" s="164">
        <f>SUMIF(TArticle[تاریخ],TDays[[#This Row],[تاریخ]],TArticle[اسنپ])</f>
        <v>0</v>
      </c>
      <c r="L1591" s="164">
        <f>-SUMIF(TArticle[تاریخ],TDays[[#This Row],[تاریخ]],TArticle[پرداخت بدهی])</f>
        <v>0</v>
      </c>
      <c r="M1591" s="164">
        <f>SUMIF(TArticle[تاریخ],TDays[[#This Row],[تاریخ]],TArticle[افزایش بدهی])</f>
        <v>0</v>
      </c>
      <c r="N1591" s="164">
        <f>-SUMIF(TArticle[تاریخ],TDays[[#This Row],[تاریخ]],TArticle[افزایش سرمایه])</f>
        <v>0</v>
      </c>
      <c r="O1591" s="164">
        <f>SUMIF(TArticle[تاریخ],TDays[[#This Row],[تاریخ]],TArticle[تعداد تراکنش انجام شده])</f>
        <v>0</v>
      </c>
      <c r="P1591" s="164">
        <f>INT(((TDays[[#This Row],[ماه]]-1)*31+TDays[[#This Row],[روز]]+1)/7)+1</f>
        <v>19</v>
      </c>
      <c r="Q1591" s="164">
        <f>SUMIF(TArticle[تاریخ],TDays[[#This Row],[تاریخ]],TArticle[تراکنش برنامه ریزی شده])</f>
        <v>0</v>
      </c>
    </row>
    <row r="1592" spans="1:17" x14ac:dyDescent="0.25">
      <c r="A1592" s="3" t="s">
        <v>2175</v>
      </c>
      <c r="B1592" s="164" t="str">
        <f>RIGHT(TDays[[#This Row],[تاریخ]],2)</f>
        <v>07</v>
      </c>
      <c r="C1592" s="164" t="str">
        <f>RIGHT(LEFT(TDays[[#This Row],[تاریخ]],7),2)</f>
        <v>05</v>
      </c>
      <c r="D1592" s="164" t="str">
        <f>LEFT(TDays[[#This Row],[تاریخ]],4)</f>
        <v>1405</v>
      </c>
      <c r="E1592" s="164" t="str">
        <f>LEFT(TDays[[#This Row],[تاریخ]],7)</f>
        <v>1405-05</v>
      </c>
      <c r="F1592">
        <v>3</v>
      </c>
      <c r="G1592" s="165" t="str">
        <f>VLOOKUP(TDays[[#This Row],[کد روز هفته]],TDaysOfTheWeek[],2,FALSE)</f>
        <v>سه شنبه</v>
      </c>
      <c r="H1592" s="165">
        <f>IFERROR(IF(E1591&lt;&gt;E1592,1,INT(H1591)+IF(TDays[[#This Row],[کد روز هفته]]=0,1,0)),1)</f>
        <v>2</v>
      </c>
      <c r="I1592" s="164">
        <f>-SUMIF(TArticle[تاریخ],TDays[[#This Row],[تاریخ]],TArticle[هزینه])</f>
        <v>0</v>
      </c>
      <c r="J1592" s="164">
        <f>SUMIF(TArticle[تاریخ],TDays[[#This Row],[تاریخ]],TArticle[درآمد تتا])</f>
        <v>0</v>
      </c>
      <c r="K1592" s="164">
        <f>SUMIF(TArticle[تاریخ],TDays[[#This Row],[تاریخ]],TArticle[اسنپ])</f>
        <v>0</v>
      </c>
      <c r="L1592" s="164">
        <f>-SUMIF(TArticle[تاریخ],TDays[[#This Row],[تاریخ]],TArticle[پرداخت بدهی])</f>
        <v>0</v>
      </c>
      <c r="M1592" s="164">
        <f>SUMIF(TArticle[تاریخ],TDays[[#This Row],[تاریخ]],TArticle[افزایش بدهی])</f>
        <v>0</v>
      </c>
      <c r="N1592" s="164">
        <f>-SUMIF(TArticle[تاریخ],TDays[[#This Row],[تاریخ]],TArticle[افزایش سرمایه])</f>
        <v>0</v>
      </c>
      <c r="O1592" s="164">
        <f>SUMIF(TArticle[تاریخ],TDays[[#This Row],[تاریخ]],TArticle[تعداد تراکنش انجام شده])</f>
        <v>0</v>
      </c>
      <c r="P1592" s="164">
        <f>INT(((TDays[[#This Row],[ماه]]-1)*31+TDays[[#This Row],[روز]]+1)/7)+1</f>
        <v>19</v>
      </c>
      <c r="Q1592" s="164">
        <f>SUMIF(TArticle[تاریخ],TDays[[#This Row],[تاریخ]],TArticle[تراکنش برنامه ریزی شده])</f>
        <v>0</v>
      </c>
    </row>
    <row r="1593" spans="1:17" x14ac:dyDescent="0.25">
      <c r="A1593" s="3" t="s">
        <v>2176</v>
      </c>
      <c r="B1593" s="164" t="str">
        <f>RIGHT(TDays[[#This Row],[تاریخ]],2)</f>
        <v>08</v>
      </c>
      <c r="C1593" s="164" t="str">
        <f>RIGHT(LEFT(TDays[[#This Row],[تاریخ]],7),2)</f>
        <v>05</v>
      </c>
      <c r="D1593" s="164" t="str">
        <f>LEFT(TDays[[#This Row],[تاریخ]],4)</f>
        <v>1405</v>
      </c>
      <c r="E1593" s="164" t="str">
        <f>LEFT(TDays[[#This Row],[تاریخ]],7)</f>
        <v>1405-05</v>
      </c>
      <c r="F1593">
        <v>4</v>
      </c>
      <c r="G1593" s="165" t="str">
        <f>VLOOKUP(TDays[[#This Row],[کد روز هفته]],TDaysOfTheWeek[],2,FALSE)</f>
        <v>چهارشنبه</v>
      </c>
      <c r="H1593" s="165">
        <f>IFERROR(IF(E1592&lt;&gt;E1593,1,INT(H1592)+IF(TDays[[#This Row],[کد روز هفته]]=0,1,0)),1)</f>
        <v>2</v>
      </c>
      <c r="I1593" s="164">
        <f>-SUMIF(TArticle[تاریخ],TDays[[#This Row],[تاریخ]],TArticle[هزینه])</f>
        <v>0</v>
      </c>
      <c r="J1593" s="164">
        <f>SUMIF(TArticle[تاریخ],TDays[[#This Row],[تاریخ]],TArticle[درآمد تتا])</f>
        <v>0</v>
      </c>
      <c r="K1593" s="164">
        <f>SUMIF(TArticle[تاریخ],TDays[[#This Row],[تاریخ]],TArticle[اسنپ])</f>
        <v>0</v>
      </c>
      <c r="L1593" s="164">
        <f>-SUMIF(TArticle[تاریخ],TDays[[#This Row],[تاریخ]],TArticle[پرداخت بدهی])</f>
        <v>0</v>
      </c>
      <c r="M1593" s="164">
        <f>SUMIF(TArticle[تاریخ],TDays[[#This Row],[تاریخ]],TArticle[افزایش بدهی])</f>
        <v>0</v>
      </c>
      <c r="N1593" s="164">
        <f>-SUMIF(TArticle[تاریخ],TDays[[#This Row],[تاریخ]],TArticle[افزایش سرمایه])</f>
        <v>0</v>
      </c>
      <c r="O1593" s="164">
        <f>SUMIF(TArticle[تاریخ],TDays[[#This Row],[تاریخ]],TArticle[تعداد تراکنش انجام شده])</f>
        <v>0</v>
      </c>
      <c r="P1593" s="164">
        <f>INT(((TDays[[#This Row],[ماه]]-1)*31+TDays[[#This Row],[روز]]+1)/7)+1</f>
        <v>20</v>
      </c>
      <c r="Q1593" s="164">
        <f>SUMIF(TArticle[تاریخ],TDays[[#This Row],[تاریخ]],TArticle[تراکنش برنامه ریزی شده])</f>
        <v>0</v>
      </c>
    </row>
    <row r="1594" spans="1:17" x14ac:dyDescent="0.25">
      <c r="A1594" s="3" t="s">
        <v>2177</v>
      </c>
      <c r="B1594" s="164" t="str">
        <f>RIGHT(TDays[[#This Row],[تاریخ]],2)</f>
        <v>09</v>
      </c>
      <c r="C1594" s="164" t="str">
        <f>RIGHT(LEFT(TDays[[#This Row],[تاریخ]],7),2)</f>
        <v>05</v>
      </c>
      <c r="D1594" s="164" t="str">
        <f>LEFT(TDays[[#This Row],[تاریخ]],4)</f>
        <v>1405</v>
      </c>
      <c r="E1594" s="164" t="str">
        <f>LEFT(TDays[[#This Row],[تاریخ]],7)</f>
        <v>1405-05</v>
      </c>
      <c r="F1594">
        <v>5</v>
      </c>
      <c r="G1594" s="165" t="str">
        <f>VLOOKUP(TDays[[#This Row],[کد روز هفته]],TDaysOfTheWeek[],2,FALSE)</f>
        <v>پنجشنبه</v>
      </c>
      <c r="H1594" s="165">
        <f>IFERROR(IF(E1593&lt;&gt;E1594,1,INT(H1593)+IF(TDays[[#This Row],[کد روز هفته]]=0,1,0)),1)</f>
        <v>2</v>
      </c>
      <c r="I1594" s="164">
        <f>-SUMIF(TArticle[تاریخ],TDays[[#This Row],[تاریخ]],TArticle[هزینه])</f>
        <v>0</v>
      </c>
      <c r="J1594" s="164">
        <f>SUMIF(TArticle[تاریخ],TDays[[#This Row],[تاریخ]],TArticle[درآمد تتا])</f>
        <v>0</v>
      </c>
      <c r="K1594" s="164">
        <f>SUMIF(TArticle[تاریخ],TDays[[#This Row],[تاریخ]],TArticle[اسنپ])</f>
        <v>0</v>
      </c>
      <c r="L1594" s="164">
        <f>-SUMIF(TArticle[تاریخ],TDays[[#This Row],[تاریخ]],TArticle[پرداخت بدهی])</f>
        <v>0</v>
      </c>
      <c r="M1594" s="164">
        <f>SUMIF(TArticle[تاریخ],TDays[[#This Row],[تاریخ]],TArticle[افزایش بدهی])</f>
        <v>0</v>
      </c>
      <c r="N1594" s="164">
        <f>-SUMIF(TArticle[تاریخ],TDays[[#This Row],[تاریخ]],TArticle[افزایش سرمایه])</f>
        <v>0</v>
      </c>
      <c r="O1594" s="164">
        <f>SUMIF(TArticle[تاریخ],TDays[[#This Row],[تاریخ]],TArticle[تعداد تراکنش انجام شده])</f>
        <v>0</v>
      </c>
      <c r="P1594" s="164">
        <f>INT(((TDays[[#This Row],[ماه]]-1)*31+TDays[[#This Row],[روز]]+1)/7)+1</f>
        <v>20</v>
      </c>
      <c r="Q1594" s="164">
        <f>SUMIF(TArticle[تاریخ],TDays[[#This Row],[تاریخ]],TArticle[تراکنش برنامه ریزی شده])</f>
        <v>0</v>
      </c>
    </row>
    <row r="1595" spans="1:17" x14ac:dyDescent="0.25">
      <c r="A1595" s="3" t="s">
        <v>2178</v>
      </c>
      <c r="B1595" s="164" t="str">
        <f>RIGHT(TDays[[#This Row],[تاریخ]],2)</f>
        <v>10</v>
      </c>
      <c r="C1595" s="164" t="str">
        <f>RIGHT(LEFT(TDays[[#This Row],[تاریخ]],7),2)</f>
        <v>05</v>
      </c>
      <c r="D1595" s="164" t="str">
        <f>LEFT(TDays[[#This Row],[تاریخ]],4)</f>
        <v>1405</v>
      </c>
      <c r="E1595" s="164" t="str">
        <f>LEFT(TDays[[#This Row],[تاریخ]],7)</f>
        <v>1405-05</v>
      </c>
      <c r="F1595">
        <v>6</v>
      </c>
      <c r="G1595" s="165" t="str">
        <f>VLOOKUP(TDays[[#This Row],[کد روز هفته]],TDaysOfTheWeek[],2,FALSE)</f>
        <v>جمعه</v>
      </c>
      <c r="H1595" s="165">
        <f>IFERROR(IF(E1594&lt;&gt;E1595,1,INT(H1594)+IF(TDays[[#This Row],[کد روز هفته]]=0,1,0)),1)</f>
        <v>2</v>
      </c>
      <c r="I1595" s="164">
        <f>-SUMIF(TArticle[تاریخ],TDays[[#This Row],[تاریخ]],TArticle[هزینه])</f>
        <v>0</v>
      </c>
      <c r="J1595" s="164">
        <f>SUMIF(TArticle[تاریخ],TDays[[#This Row],[تاریخ]],TArticle[درآمد تتا])</f>
        <v>0</v>
      </c>
      <c r="K1595" s="164">
        <f>SUMIF(TArticle[تاریخ],TDays[[#This Row],[تاریخ]],TArticle[اسنپ])</f>
        <v>0</v>
      </c>
      <c r="L1595" s="164">
        <f>-SUMIF(TArticle[تاریخ],TDays[[#This Row],[تاریخ]],TArticle[پرداخت بدهی])</f>
        <v>0</v>
      </c>
      <c r="M1595" s="164">
        <f>SUMIF(TArticle[تاریخ],TDays[[#This Row],[تاریخ]],TArticle[افزایش بدهی])</f>
        <v>0</v>
      </c>
      <c r="N1595" s="164">
        <f>-SUMIF(TArticle[تاریخ],TDays[[#This Row],[تاریخ]],TArticle[افزایش سرمایه])</f>
        <v>0</v>
      </c>
      <c r="O1595" s="164">
        <f>SUMIF(TArticle[تاریخ],TDays[[#This Row],[تاریخ]],TArticle[تعداد تراکنش انجام شده])</f>
        <v>0</v>
      </c>
      <c r="P1595" s="164">
        <f>INT(((TDays[[#This Row],[ماه]]-1)*31+TDays[[#This Row],[روز]]+1)/7)+1</f>
        <v>20</v>
      </c>
      <c r="Q1595" s="164">
        <f>SUMIF(TArticle[تاریخ],TDays[[#This Row],[تاریخ]],TArticle[تراکنش برنامه ریزی شده])</f>
        <v>0</v>
      </c>
    </row>
    <row r="1596" spans="1:17" x14ac:dyDescent="0.25">
      <c r="A1596" s="3" t="s">
        <v>2179</v>
      </c>
      <c r="B1596" s="164" t="str">
        <f>RIGHT(TDays[[#This Row],[تاریخ]],2)</f>
        <v>11</v>
      </c>
      <c r="C1596" s="164" t="str">
        <f>RIGHT(LEFT(TDays[[#This Row],[تاریخ]],7),2)</f>
        <v>05</v>
      </c>
      <c r="D1596" s="164" t="str">
        <f>LEFT(TDays[[#This Row],[تاریخ]],4)</f>
        <v>1405</v>
      </c>
      <c r="E1596" s="164" t="str">
        <f>LEFT(TDays[[#This Row],[تاریخ]],7)</f>
        <v>1405-05</v>
      </c>
      <c r="F1596">
        <v>0</v>
      </c>
      <c r="G1596" s="165" t="str">
        <f>VLOOKUP(TDays[[#This Row],[کد روز هفته]],TDaysOfTheWeek[],2,FALSE)</f>
        <v>شنبه</v>
      </c>
      <c r="H1596" s="165">
        <f>IFERROR(IF(E1595&lt;&gt;E1596,1,INT(H1595)+IF(TDays[[#This Row],[کد روز هفته]]=0,1,0)),1)</f>
        <v>3</v>
      </c>
      <c r="I1596" s="164">
        <f>-SUMIF(TArticle[تاریخ],TDays[[#This Row],[تاریخ]],TArticle[هزینه])</f>
        <v>0</v>
      </c>
      <c r="J1596" s="164">
        <f>SUMIF(TArticle[تاریخ],TDays[[#This Row],[تاریخ]],TArticle[درآمد تتا])</f>
        <v>0</v>
      </c>
      <c r="K1596" s="164">
        <f>SUMIF(TArticle[تاریخ],TDays[[#This Row],[تاریخ]],TArticle[اسنپ])</f>
        <v>0</v>
      </c>
      <c r="L1596" s="164">
        <f>-SUMIF(TArticle[تاریخ],TDays[[#This Row],[تاریخ]],TArticle[پرداخت بدهی])</f>
        <v>0</v>
      </c>
      <c r="M1596" s="164">
        <f>SUMIF(TArticle[تاریخ],TDays[[#This Row],[تاریخ]],TArticle[افزایش بدهی])</f>
        <v>0</v>
      </c>
      <c r="N1596" s="164">
        <f>-SUMIF(TArticle[تاریخ],TDays[[#This Row],[تاریخ]],TArticle[افزایش سرمایه])</f>
        <v>0</v>
      </c>
      <c r="O1596" s="164">
        <f>SUMIF(TArticle[تاریخ],TDays[[#This Row],[تاریخ]],TArticle[تعداد تراکنش انجام شده])</f>
        <v>0</v>
      </c>
      <c r="P1596" s="164">
        <f>INT(((TDays[[#This Row],[ماه]]-1)*31+TDays[[#This Row],[روز]]+1)/7)+1</f>
        <v>20</v>
      </c>
      <c r="Q1596" s="164">
        <f>SUMIF(TArticle[تاریخ],TDays[[#This Row],[تاریخ]],TArticle[تراکنش برنامه ریزی شده])</f>
        <v>0</v>
      </c>
    </row>
    <row r="1597" spans="1:17" x14ac:dyDescent="0.25">
      <c r="A1597" s="3" t="s">
        <v>2180</v>
      </c>
      <c r="B1597" s="164" t="str">
        <f>RIGHT(TDays[[#This Row],[تاریخ]],2)</f>
        <v>12</v>
      </c>
      <c r="C1597" s="164" t="str">
        <f>RIGHT(LEFT(TDays[[#This Row],[تاریخ]],7),2)</f>
        <v>05</v>
      </c>
      <c r="D1597" s="164" t="str">
        <f>LEFT(TDays[[#This Row],[تاریخ]],4)</f>
        <v>1405</v>
      </c>
      <c r="E1597" s="164" t="str">
        <f>LEFT(TDays[[#This Row],[تاریخ]],7)</f>
        <v>1405-05</v>
      </c>
      <c r="F1597">
        <v>1</v>
      </c>
      <c r="G1597" s="165" t="str">
        <f>VLOOKUP(TDays[[#This Row],[کد روز هفته]],TDaysOfTheWeek[],2,FALSE)</f>
        <v>یکشنبه</v>
      </c>
      <c r="H1597" s="165">
        <f>IFERROR(IF(E1596&lt;&gt;E1597,1,INT(H1596)+IF(TDays[[#This Row],[کد روز هفته]]=0,1,0)),1)</f>
        <v>3</v>
      </c>
      <c r="I1597" s="164">
        <f>-SUMIF(TArticle[تاریخ],TDays[[#This Row],[تاریخ]],TArticle[هزینه])</f>
        <v>0</v>
      </c>
      <c r="J1597" s="164">
        <f>SUMIF(TArticle[تاریخ],TDays[[#This Row],[تاریخ]],TArticle[درآمد تتا])</f>
        <v>0</v>
      </c>
      <c r="K1597" s="164">
        <f>SUMIF(TArticle[تاریخ],TDays[[#This Row],[تاریخ]],TArticle[اسنپ])</f>
        <v>0</v>
      </c>
      <c r="L1597" s="164">
        <f>-SUMIF(TArticle[تاریخ],TDays[[#This Row],[تاریخ]],TArticle[پرداخت بدهی])</f>
        <v>0</v>
      </c>
      <c r="M1597" s="164">
        <f>SUMIF(TArticle[تاریخ],TDays[[#This Row],[تاریخ]],TArticle[افزایش بدهی])</f>
        <v>0</v>
      </c>
      <c r="N1597" s="164">
        <f>-SUMIF(TArticle[تاریخ],TDays[[#This Row],[تاریخ]],TArticle[افزایش سرمایه])</f>
        <v>0</v>
      </c>
      <c r="O1597" s="164">
        <f>SUMIF(TArticle[تاریخ],TDays[[#This Row],[تاریخ]],TArticle[تعداد تراکنش انجام شده])</f>
        <v>0</v>
      </c>
      <c r="P1597" s="164">
        <f>INT(((TDays[[#This Row],[ماه]]-1)*31+TDays[[#This Row],[روز]]+1)/7)+1</f>
        <v>20</v>
      </c>
      <c r="Q1597" s="164">
        <f>SUMIF(TArticle[تاریخ],TDays[[#This Row],[تاریخ]],TArticle[تراکنش برنامه ریزی شده])</f>
        <v>0</v>
      </c>
    </row>
    <row r="1598" spans="1:17" x14ac:dyDescent="0.25">
      <c r="A1598" s="3" t="s">
        <v>2181</v>
      </c>
      <c r="B1598" s="164" t="str">
        <f>RIGHT(TDays[[#This Row],[تاریخ]],2)</f>
        <v>13</v>
      </c>
      <c r="C1598" s="164" t="str">
        <f>RIGHT(LEFT(TDays[[#This Row],[تاریخ]],7),2)</f>
        <v>05</v>
      </c>
      <c r="D1598" s="164" t="str">
        <f>LEFT(TDays[[#This Row],[تاریخ]],4)</f>
        <v>1405</v>
      </c>
      <c r="E1598" s="164" t="str">
        <f>LEFT(TDays[[#This Row],[تاریخ]],7)</f>
        <v>1405-05</v>
      </c>
      <c r="F1598">
        <v>2</v>
      </c>
      <c r="G1598" s="165" t="str">
        <f>VLOOKUP(TDays[[#This Row],[کد روز هفته]],TDaysOfTheWeek[],2,FALSE)</f>
        <v>دوشنبه</v>
      </c>
      <c r="H1598" s="165">
        <f>IFERROR(IF(E1597&lt;&gt;E1598,1,INT(H1597)+IF(TDays[[#This Row],[کد روز هفته]]=0,1,0)),1)</f>
        <v>3</v>
      </c>
      <c r="I1598" s="164">
        <f>-SUMIF(TArticle[تاریخ],TDays[[#This Row],[تاریخ]],TArticle[هزینه])</f>
        <v>0</v>
      </c>
      <c r="J1598" s="164">
        <f>SUMIF(TArticle[تاریخ],TDays[[#This Row],[تاریخ]],TArticle[درآمد تتا])</f>
        <v>0</v>
      </c>
      <c r="K1598" s="164">
        <f>SUMIF(TArticle[تاریخ],TDays[[#This Row],[تاریخ]],TArticle[اسنپ])</f>
        <v>0</v>
      </c>
      <c r="L1598" s="164">
        <f>-SUMIF(TArticle[تاریخ],TDays[[#This Row],[تاریخ]],TArticle[پرداخت بدهی])</f>
        <v>0</v>
      </c>
      <c r="M1598" s="164">
        <f>SUMIF(TArticle[تاریخ],TDays[[#This Row],[تاریخ]],TArticle[افزایش بدهی])</f>
        <v>0</v>
      </c>
      <c r="N1598" s="164">
        <f>-SUMIF(TArticle[تاریخ],TDays[[#This Row],[تاریخ]],TArticle[افزایش سرمایه])</f>
        <v>0</v>
      </c>
      <c r="O1598" s="164">
        <f>SUMIF(TArticle[تاریخ],TDays[[#This Row],[تاریخ]],TArticle[تعداد تراکنش انجام شده])</f>
        <v>0</v>
      </c>
      <c r="P1598" s="164">
        <f>INT(((TDays[[#This Row],[ماه]]-1)*31+TDays[[#This Row],[روز]]+1)/7)+1</f>
        <v>20</v>
      </c>
      <c r="Q1598" s="164">
        <f>SUMIF(TArticle[تاریخ],TDays[[#This Row],[تاریخ]],TArticle[تراکنش برنامه ریزی شده])</f>
        <v>0</v>
      </c>
    </row>
    <row r="1599" spans="1:17" x14ac:dyDescent="0.25">
      <c r="A1599" s="3" t="s">
        <v>2182</v>
      </c>
      <c r="B1599" s="164" t="str">
        <f>RIGHT(TDays[[#This Row],[تاریخ]],2)</f>
        <v>14</v>
      </c>
      <c r="C1599" s="164" t="str">
        <f>RIGHT(LEFT(TDays[[#This Row],[تاریخ]],7),2)</f>
        <v>05</v>
      </c>
      <c r="D1599" s="164" t="str">
        <f>LEFT(TDays[[#This Row],[تاریخ]],4)</f>
        <v>1405</v>
      </c>
      <c r="E1599" s="164" t="str">
        <f>LEFT(TDays[[#This Row],[تاریخ]],7)</f>
        <v>1405-05</v>
      </c>
      <c r="F1599" s="164">
        <v>3</v>
      </c>
      <c r="G1599" s="165" t="str">
        <f>VLOOKUP(TDays[[#This Row],[کد روز هفته]],TDaysOfTheWeek[],2,FALSE)</f>
        <v>سه شنبه</v>
      </c>
      <c r="H1599" s="165">
        <f>IFERROR(IF(E1598&lt;&gt;E1599,1,INT(H1598)+IF(TDays[[#This Row],[کد روز هفته]]=0,1,0)),1)</f>
        <v>3</v>
      </c>
      <c r="I1599" s="164">
        <f>-SUMIF(TArticle[تاریخ],TDays[[#This Row],[تاریخ]],TArticle[هزینه])</f>
        <v>0</v>
      </c>
      <c r="J1599" s="164">
        <f>SUMIF(TArticle[تاریخ],TDays[[#This Row],[تاریخ]],TArticle[درآمد تتا])</f>
        <v>0</v>
      </c>
      <c r="K1599" s="164">
        <f>SUMIF(TArticle[تاریخ],TDays[[#This Row],[تاریخ]],TArticle[اسنپ])</f>
        <v>0</v>
      </c>
      <c r="L1599" s="164">
        <f>-SUMIF(TArticle[تاریخ],TDays[[#This Row],[تاریخ]],TArticle[پرداخت بدهی])</f>
        <v>0</v>
      </c>
      <c r="M1599" s="164">
        <f>SUMIF(TArticle[تاریخ],TDays[[#This Row],[تاریخ]],TArticle[افزایش بدهی])</f>
        <v>0</v>
      </c>
      <c r="N1599" s="164">
        <f>-SUMIF(TArticle[تاریخ],TDays[[#This Row],[تاریخ]],TArticle[افزایش سرمایه])</f>
        <v>0</v>
      </c>
      <c r="O1599" s="164">
        <f>SUMIF(TArticle[تاریخ],TDays[[#This Row],[تاریخ]],TArticle[تعداد تراکنش انجام شده])</f>
        <v>0</v>
      </c>
      <c r="P1599" s="164">
        <f>INT(((TDays[[#This Row],[ماه]]-1)*31+TDays[[#This Row],[روز]]+1)/7)+1</f>
        <v>20</v>
      </c>
      <c r="Q1599" s="164">
        <f>SUMIF(TArticle[تاریخ],TDays[[#This Row],[تاریخ]],TArticle[تراکنش برنامه ریزی شده])</f>
        <v>0</v>
      </c>
    </row>
    <row r="1600" spans="1:17" x14ac:dyDescent="0.25">
      <c r="A1600" s="3" t="s">
        <v>2183</v>
      </c>
      <c r="B1600" s="164" t="str">
        <f>RIGHT(TDays[[#This Row],[تاریخ]],2)</f>
        <v>15</v>
      </c>
      <c r="C1600" s="164" t="str">
        <f>RIGHT(LEFT(TDays[[#This Row],[تاریخ]],7),2)</f>
        <v>05</v>
      </c>
      <c r="D1600" s="164" t="str">
        <f>LEFT(TDays[[#This Row],[تاریخ]],4)</f>
        <v>1405</v>
      </c>
      <c r="E1600" s="164" t="str">
        <f>LEFT(TDays[[#This Row],[تاریخ]],7)</f>
        <v>1405-05</v>
      </c>
      <c r="F1600" s="164">
        <v>4</v>
      </c>
      <c r="G1600" s="165" t="str">
        <f>VLOOKUP(TDays[[#This Row],[کد روز هفته]],TDaysOfTheWeek[],2,FALSE)</f>
        <v>چهارشنبه</v>
      </c>
      <c r="H1600" s="165">
        <f>IFERROR(IF(E1599&lt;&gt;E1600,1,INT(H1599)+IF(TDays[[#This Row],[کد روز هفته]]=0,1,0)),1)</f>
        <v>3</v>
      </c>
      <c r="I1600" s="164">
        <f>-SUMIF(TArticle[تاریخ],TDays[[#This Row],[تاریخ]],TArticle[هزینه])</f>
        <v>0</v>
      </c>
      <c r="J1600" s="164">
        <f>SUMIF(TArticle[تاریخ],TDays[[#This Row],[تاریخ]],TArticle[درآمد تتا])</f>
        <v>0</v>
      </c>
      <c r="K1600" s="164">
        <f>SUMIF(TArticle[تاریخ],TDays[[#This Row],[تاریخ]],TArticle[اسنپ])</f>
        <v>0</v>
      </c>
      <c r="L1600" s="164">
        <f>-SUMIF(TArticle[تاریخ],TDays[[#This Row],[تاریخ]],TArticle[پرداخت بدهی])</f>
        <v>0</v>
      </c>
      <c r="M1600" s="164">
        <f>SUMIF(TArticle[تاریخ],TDays[[#This Row],[تاریخ]],TArticle[افزایش بدهی])</f>
        <v>0</v>
      </c>
      <c r="N1600" s="164">
        <f>-SUMIF(TArticle[تاریخ],TDays[[#This Row],[تاریخ]],TArticle[افزایش سرمایه])</f>
        <v>0</v>
      </c>
      <c r="O1600" s="164">
        <f>SUMIF(TArticle[تاریخ],TDays[[#This Row],[تاریخ]],TArticle[تعداد تراکنش انجام شده])</f>
        <v>0</v>
      </c>
      <c r="P1600" s="164">
        <f>INT(((TDays[[#This Row],[ماه]]-1)*31+TDays[[#This Row],[روز]]+1)/7)+1</f>
        <v>21</v>
      </c>
      <c r="Q1600" s="164">
        <f>SUMIF(TArticle[تاریخ],TDays[[#This Row],[تاریخ]],TArticle[تراکنش برنامه ریزی شده])</f>
        <v>0</v>
      </c>
    </row>
    <row r="1601" spans="1:17" x14ac:dyDescent="0.25">
      <c r="A1601" s="3" t="s">
        <v>2184</v>
      </c>
      <c r="B1601" s="164" t="str">
        <f>RIGHT(TDays[[#This Row],[تاریخ]],2)</f>
        <v>16</v>
      </c>
      <c r="C1601" s="164" t="str">
        <f>RIGHT(LEFT(TDays[[#This Row],[تاریخ]],7),2)</f>
        <v>05</v>
      </c>
      <c r="D1601" s="164" t="str">
        <f>LEFT(TDays[[#This Row],[تاریخ]],4)</f>
        <v>1405</v>
      </c>
      <c r="E1601" s="164" t="str">
        <f>LEFT(TDays[[#This Row],[تاریخ]],7)</f>
        <v>1405-05</v>
      </c>
      <c r="F1601">
        <v>5</v>
      </c>
      <c r="G1601" s="165" t="str">
        <f>VLOOKUP(TDays[[#This Row],[کد روز هفته]],TDaysOfTheWeek[],2,FALSE)</f>
        <v>پنجشنبه</v>
      </c>
      <c r="H1601" s="165">
        <f>IFERROR(IF(E1600&lt;&gt;E1601,1,INT(H1600)+IF(TDays[[#This Row],[کد روز هفته]]=0,1,0)),1)</f>
        <v>3</v>
      </c>
      <c r="I1601" s="164">
        <f>-SUMIF(TArticle[تاریخ],TDays[[#This Row],[تاریخ]],TArticle[هزینه])</f>
        <v>0</v>
      </c>
      <c r="J1601" s="164">
        <f>SUMIF(TArticle[تاریخ],TDays[[#This Row],[تاریخ]],TArticle[درآمد تتا])</f>
        <v>0</v>
      </c>
      <c r="K1601" s="164">
        <f>SUMIF(TArticle[تاریخ],TDays[[#This Row],[تاریخ]],TArticle[اسنپ])</f>
        <v>0</v>
      </c>
      <c r="L1601" s="164">
        <f>-SUMIF(TArticle[تاریخ],TDays[[#This Row],[تاریخ]],TArticle[پرداخت بدهی])</f>
        <v>0</v>
      </c>
      <c r="M1601" s="164">
        <f>SUMIF(TArticle[تاریخ],TDays[[#This Row],[تاریخ]],TArticle[افزایش بدهی])</f>
        <v>0</v>
      </c>
      <c r="N1601" s="164">
        <f>-SUMIF(TArticle[تاریخ],TDays[[#This Row],[تاریخ]],TArticle[افزایش سرمایه])</f>
        <v>0</v>
      </c>
      <c r="O1601" s="164">
        <f>SUMIF(TArticle[تاریخ],TDays[[#This Row],[تاریخ]],TArticle[تعداد تراکنش انجام شده])</f>
        <v>0</v>
      </c>
      <c r="P1601" s="164">
        <f>INT(((TDays[[#This Row],[ماه]]-1)*31+TDays[[#This Row],[روز]]+1)/7)+1</f>
        <v>21</v>
      </c>
      <c r="Q1601" s="164">
        <f>SUMIF(TArticle[تاریخ],TDays[[#This Row],[تاریخ]],TArticle[تراکنش برنامه ریزی شده])</f>
        <v>0</v>
      </c>
    </row>
    <row r="1602" spans="1:17" x14ac:dyDescent="0.25">
      <c r="A1602" s="3" t="s">
        <v>2185</v>
      </c>
      <c r="B1602" s="164" t="str">
        <f>RIGHT(TDays[[#This Row],[تاریخ]],2)</f>
        <v>17</v>
      </c>
      <c r="C1602" s="164" t="str">
        <f>RIGHT(LEFT(TDays[[#This Row],[تاریخ]],7),2)</f>
        <v>05</v>
      </c>
      <c r="D1602" s="164" t="str">
        <f>LEFT(TDays[[#This Row],[تاریخ]],4)</f>
        <v>1405</v>
      </c>
      <c r="E1602" s="164" t="str">
        <f>LEFT(TDays[[#This Row],[تاریخ]],7)</f>
        <v>1405-05</v>
      </c>
      <c r="F1602">
        <v>6</v>
      </c>
      <c r="G1602" s="165" t="str">
        <f>VLOOKUP(TDays[[#This Row],[کد روز هفته]],TDaysOfTheWeek[],2,FALSE)</f>
        <v>جمعه</v>
      </c>
      <c r="H1602" s="165">
        <f>IFERROR(IF(E1601&lt;&gt;E1602,1,INT(H1601)+IF(TDays[[#This Row],[کد روز هفته]]=0,1,0)),1)</f>
        <v>3</v>
      </c>
      <c r="I1602" s="164">
        <f>-SUMIF(TArticle[تاریخ],TDays[[#This Row],[تاریخ]],TArticle[هزینه])</f>
        <v>0</v>
      </c>
      <c r="J1602" s="164">
        <f>SUMIF(TArticle[تاریخ],TDays[[#This Row],[تاریخ]],TArticle[درآمد تتا])</f>
        <v>0</v>
      </c>
      <c r="K1602" s="164">
        <f>SUMIF(TArticle[تاریخ],TDays[[#This Row],[تاریخ]],TArticle[اسنپ])</f>
        <v>0</v>
      </c>
      <c r="L1602" s="164">
        <f>-SUMIF(TArticle[تاریخ],TDays[[#This Row],[تاریخ]],TArticle[پرداخت بدهی])</f>
        <v>0</v>
      </c>
      <c r="M1602" s="164">
        <f>SUMIF(TArticle[تاریخ],TDays[[#This Row],[تاریخ]],TArticle[افزایش بدهی])</f>
        <v>0</v>
      </c>
      <c r="N1602" s="164">
        <f>-SUMIF(TArticle[تاریخ],TDays[[#This Row],[تاریخ]],TArticle[افزایش سرمایه])</f>
        <v>0</v>
      </c>
      <c r="O1602" s="164">
        <f>SUMIF(TArticle[تاریخ],TDays[[#This Row],[تاریخ]],TArticle[تعداد تراکنش انجام شده])</f>
        <v>0</v>
      </c>
      <c r="P1602" s="164">
        <f>INT(((TDays[[#This Row],[ماه]]-1)*31+TDays[[#This Row],[روز]]+1)/7)+1</f>
        <v>21</v>
      </c>
      <c r="Q1602" s="164">
        <f>SUMIF(TArticle[تاریخ],TDays[[#This Row],[تاریخ]],TArticle[تراکنش برنامه ریزی شده])</f>
        <v>0</v>
      </c>
    </row>
    <row r="1603" spans="1:17" x14ac:dyDescent="0.25">
      <c r="A1603" s="3" t="s">
        <v>2186</v>
      </c>
      <c r="B1603" s="164" t="str">
        <f>RIGHT(TDays[[#This Row],[تاریخ]],2)</f>
        <v>18</v>
      </c>
      <c r="C1603" s="164" t="str">
        <f>RIGHT(LEFT(TDays[[#This Row],[تاریخ]],7),2)</f>
        <v>05</v>
      </c>
      <c r="D1603" s="164" t="str">
        <f>LEFT(TDays[[#This Row],[تاریخ]],4)</f>
        <v>1405</v>
      </c>
      <c r="E1603" s="164" t="str">
        <f>LEFT(TDays[[#This Row],[تاریخ]],7)</f>
        <v>1405-05</v>
      </c>
      <c r="F1603">
        <v>0</v>
      </c>
      <c r="G1603" s="165" t="str">
        <f>VLOOKUP(TDays[[#This Row],[کد روز هفته]],TDaysOfTheWeek[],2,FALSE)</f>
        <v>شنبه</v>
      </c>
      <c r="H1603" s="165">
        <f>IFERROR(IF(E1602&lt;&gt;E1603,1,INT(H1602)+IF(TDays[[#This Row],[کد روز هفته]]=0,1,0)),1)</f>
        <v>4</v>
      </c>
      <c r="I1603" s="164">
        <f>-SUMIF(TArticle[تاریخ],TDays[[#This Row],[تاریخ]],TArticle[هزینه])</f>
        <v>0</v>
      </c>
      <c r="J1603" s="164">
        <f>SUMIF(TArticle[تاریخ],TDays[[#This Row],[تاریخ]],TArticle[درآمد تتا])</f>
        <v>0</v>
      </c>
      <c r="K1603" s="164">
        <f>SUMIF(TArticle[تاریخ],TDays[[#This Row],[تاریخ]],TArticle[اسنپ])</f>
        <v>0</v>
      </c>
      <c r="L1603" s="164">
        <f>-SUMIF(TArticle[تاریخ],TDays[[#This Row],[تاریخ]],TArticle[پرداخت بدهی])</f>
        <v>0</v>
      </c>
      <c r="M1603" s="164">
        <f>SUMIF(TArticle[تاریخ],TDays[[#This Row],[تاریخ]],TArticle[افزایش بدهی])</f>
        <v>0</v>
      </c>
      <c r="N1603" s="164">
        <f>-SUMIF(TArticle[تاریخ],TDays[[#This Row],[تاریخ]],TArticle[افزایش سرمایه])</f>
        <v>0</v>
      </c>
      <c r="O1603" s="164">
        <f>SUMIF(TArticle[تاریخ],TDays[[#This Row],[تاریخ]],TArticle[تعداد تراکنش انجام شده])</f>
        <v>0</v>
      </c>
      <c r="P1603" s="164">
        <f>INT(((TDays[[#This Row],[ماه]]-1)*31+TDays[[#This Row],[روز]]+1)/7)+1</f>
        <v>21</v>
      </c>
      <c r="Q1603" s="164">
        <f>SUMIF(TArticle[تاریخ],TDays[[#This Row],[تاریخ]],TArticle[تراکنش برنامه ریزی شده])</f>
        <v>0</v>
      </c>
    </row>
    <row r="1604" spans="1:17" x14ac:dyDescent="0.25">
      <c r="A1604" s="3" t="s">
        <v>2187</v>
      </c>
      <c r="B1604" s="164" t="str">
        <f>RIGHT(TDays[[#This Row],[تاریخ]],2)</f>
        <v>19</v>
      </c>
      <c r="C1604" s="164" t="str">
        <f>RIGHT(LEFT(TDays[[#This Row],[تاریخ]],7),2)</f>
        <v>05</v>
      </c>
      <c r="D1604" s="164" t="str">
        <f>LEFT(TDays[[#This Row],[تاریخ]],4)</f>
        <v>1405</v>
      </c>
      <c r="E1604" s="164" t="str">
        <f>LEFT(TDays[[#This Row],[تاریخ]],7)</f>
        <v>1405-05</v>
      </c>
      <c r="F1604">
        <v>1</v>
      </c>
      <c r="G1604" s="165" t="str">
        <f>VLOOKUP(TDays[[#This Row],[کد روز هفته]],TDaysOfTheWeek[],2,FALSE)</f>
        <v>یکشنبه</v>
      </c>
      <c r="H1604" s="165">
        <f>IFERROR(IF(E1603&lt;&gt;E1604,1,INT(H1603)+IF(TDays[[#This Row],[کد روز هفته]]=0,1,0)),1)</f>
        <v>4</v>
      </c>
      <c r="I1604" s="164">
        <f>-SUMIF(TArticle[تاریخ],TDays[[#This Row],[تاریخ]],TArticle[هزینه])</f>
        <v>0</v>
      </c>
      <c r="J1604" s="164">
        <f>SUMIF(TArticle[تاریخ],TDays[[#This Row],[تاریخ]],TArticle[درآمد تتا])</f>
        <v>0</v>
      </c>
      <c r="K1604" s="164">
        <f>SUMIF(TArticle[تاریخ],TDays[[#This Row],[تاریخ]],TArticle[اسنپ])</f>
        <v>0</v>
      </c>
      <c r="L1604" s="164">
        <f>-SUMIF(TArticle[تاریخ],TDays[[#This Row],[تاریخ]],TArticle[پرداخت بدهی])</f>
        <v>0</v>
      </c>
      <c r="M1604" s="164">
        <f>SUMIF(TArticle[تاریخ],TDays[[#This Row],[تاریخ]],TArticle[افزایش بدهی])</f>
        <v>0</v>
      </c>
      <c r="N1604" s="164">
        <f>-SUMIF(TArticle[تاریخ],TDays[[#This Row],[تاریخ]],TArticle[افزایش سرمایه])</f>
        <v>0</v>
      </c>
      <c r="O1604" s="164">
        <f>SUMIF(TArticle[تاریخ],TDays[[#This Row],[تاریخ]],TArticle[تعداد تراکنش انجام شده])</f>
        <v>0</v>
      </c>
      <c r="P1604" s="164">
        <f>INT(((TDays[[#This Row],[ماه]]-1)*31+TDays[[#This Row],[روز]]+1)/7)+1</f>
        <v>21</v>
      </c>
      <c r="Q1604" s="164">
        <f>SUMIF(TArticle[تاریخ],TDays[[#This Row],[تاریخ]],TArticle[تراکنش برنامه ریزی شده])</f>
        <v>0</v>
      </c>
    </row>
    <row r="1605" spans="1:17" x14ac:dyDescent="0.25">
      <c r="A1605" s="3" t="s">
        <v>2188</v>
      </c>
      <c r="B1605" s="164" t="str">
        <f>RIGHT(TDays[[#This Row],[تاریخ]],2)</f>
        <v>20</v>
      </c>
      <c r="C1605" s="164" t="str">
        <f>RIGHT(LEFT(TDays[[#This Row],[تاریخ]],7),2)</f>
        <v>05</v>
      </c>
      <c r="D1605" s="164" t="str">
        <f>LEFT(TDays[[#This Row],[تاریخ]],4)</f>
        <v>1405</v>
      </c>
      <c r="E1605" s="164" t="str">
        <f>LEFT(TDays[[#This Row],[تاریخ]],7)</f>
        <v>1405-05</v>
      </c>
      <c r="F1605">
        <v>2</v>
      </c>
      <c r="G1605" s="165" t="str">
        <f>VLOOKUP(TDays[[#This Row],[کد روز هفته]],TDaysOfTheWeek[],2,FALSE)</f>
        <v>دوشنبه</v>
      </c>
      <c r="H1605" s="165">
        <f>IFERROR(IF(E1604&lt;&gt;E1605,1,INT(H1604)+IF(TDays[[#This Row],[کد روز هفته]]=0,1,0)),1)</f>
        <v>4</v>
      </c>
      <c r="I1605" s="164">
        <f>-SUMIF(TArticle[تاریخ],TDays[[#This Row],[تاریخ]],TArticle[هزینه])</f>
        <v>0</v>
      </c>
      <c r="J1605" s="164">
        <f>SUMIF(TArticle[تاریخ],TDays[[#This Row],[تاریخ]],TArticle[درآمد تتا])</f>
        <v>0</v>
      </c>
      <c r="K1605" s="164">
        <f>SUMIF(TArticle[تاریخ],TDays[[#This Row],[تاریخ]],TArticle[اسنپ])</f>
        <v>0</v>
      </c>
      <c r="L1605" s="164">
        <f>-SUMIF(TArticle[تاریخ],TDays[[#This Row],[تاریخ]],TArticle[پرداخت بدهی])</f>
        <v>0</v>
      </c>
      <c r="M1605" s="164">
        <f>SUMIF(TArticle[تاریخ],TDays[[#This Row],[تاریخ]],TArticle[افزایش بدهی])</f>
        <v>0</v>
      </c>
      <c r="N1605" s="164">
        <f>-SUMIF(TArticle[تاریخ],TDays[[#This Row],[تاریخ]],TArticle[افزایش سرمایه])</f>
        <v>0</v>
      </c>
      <c r="O1605" s="164">
        <f>SUMIF(TArticle[تاریخ],TDays[[#This Row],[تاریخ]],TArticle[تعداد تراکنش انجام شده])</f>
        <v>0</v>
      </c>
      <c r="P1605" s="164">
        <f>INT(((TDays[[#This Row],[ماه]]-1)*31+TDays[[#This Row],[روز]]+1)/7)+1</f>
        <v>21</v>
      </c>
      <c r="Q1605" s="164">
        <f>SUMIF(TArticle[تاریخ],TDays[[#This Row],[تاریخ]],TArticle[تراکنش برنامه ریزی شده])</f>
        <v>0</v>
      </c>
    </row>
    <row r="1606" spans="1:17" x14ac:dyDescent="0.25">
      <c r="A1606" s="3" t="s">
        <v>2189</v>
      </c>
      <c r="B1606" s="164" t="str">
        <f>RIGHT(TDays[[#This Row],[تاریخ]],2)</f>
        <v>21</v>
      </c>
      <c r="C1606" s="164" t="str">
        <f>RIGHT(LEFT(TDays[[#This Row],[تاریخ]],7),2)</f>
        <v>05</v>
      </c>
      <c r="D1606" s="164" t="str">
        <f>LEFT(TDays[[#This Row],[تاریخ]],4)</f>
        <v>1405</v>
      </c>
      <c r="E1606" s="164" t="str">
        <f>LEFT(TDays[[#This Row],[تاریخ]],7)</f>
        <v>1405-05</v>
      </c>
      <c r="F1606">
        <v>3</v>
      </c>
      <c r="G1606" s="165" t="str">
        <f>VLOOKUP(TDays[[#This Row],[کد روز هفته]],TDaysOfTheWeek[],2,FALSE)</f>
        <v>سه شنبه</v>
      </c>
      <c r="H1606" s="165">
        <f>IFERROR(IF(E1605&lt;&gt;E1606,1,INT(H1605)+IF(TDays[[#This Row],[کد روز هفته]]=0,1,0)),1)</f>
        <v>4</v>
      </c>
      <c r="I1606" s="164">
        <f>-SUMIF(TArticle[تاریخ],TDays[[#This Row],[تاریخ]],TArticle[هزینه])</f>
        <v>0</v>
      </c>
      <c r="J1606" s="164">
        <f>SUMIF(TArticle[تاریخ],TDays[[#This Row],[تاریخ]],TArticle[درآمد تتا])</f>
        <v>0</v>
      </c>
      <c r="K1606" s="164">
        <f>SUMIF(TArticle[تاریخ],TDays[[#This Row],[تاریخ]],TArticle[اسنپ])</f>
        <v>0</v>
      </c>
      <c r="L1606" s="164">
        <f>-SUMIF(TArticle[تاریخ],TDays[[#This Row],[تاریخ]],TArticle[پرداخت بدهی])</f>
        <v>0</v>
      </c>
      <c r="M1606" s="164">
        <f>SUMIF(TArticle[تاریخ],TDays[[#This Row],[تاریخ]],TArticle[افزایش بدهی])</f>
        <v>0</v>
      </c>
      <c r="N1606" s="164">
        <f>-SUMIF(TArticle[تاریخ],TDays[[#This Row],[تاریخ]],TArticle[افزایش سرمایه])</f>
        <v>0</v>
      </c>
      <c r="O1606" s="164">
        <f>SUMIF(TArticle[تاریخ],TDays[[#This Row],[تاریخ]],TArticle[تعداد تراکنش انجام شده])</f>
        <v>0</v>
      </c>
      <c r="P1606" s="164">
        <f>INT(((TDays[[#This Row],[ماه]]-1)*31+TDays[[#This Row],[روز]]+1)/7)+1</f>
        <v>21</v>
      </c>
      <c r="Q1606" s="164">
        <f>SUMIF(TArticle[تاریخ],TDays[[#This Row],[تاریخ]],TArticle[تراکنش برنامه ریزی شده])</f>
        <v>0</v>
      </c>
    </row>
    <row r="1607" spans="1:17" x14ac:dyDescent="0.25">
      <c r="A1607" s="3" t="s">
        <v>2190</v>
      </c>
      <c r="B1607" s="164" t="str">
        <f>RIGHT(TDays[[#This Row],[تاریخ]],2)</f>
        <v>22</v>
      </c>
      <c r="C1607" s="164" t="str">
        <f>RIGHT(LEFT(TDays[[#This Row],[تاریخ]],7),2)</f>
        <v>05</v>
      </c>
      <c r="D1607" s="164" t="str">
        <f>LEFT(TDays[[#This Row],[تاریخ]],4)</f>
        <v>1405</v>
      </c>
      <c r="E1607" s="164" t="str">
        <f>LEFT(TDays[[#This Row],[تاریخ]],7)</f>
        <v>1405-05</v>
      </c>
      <c r="F1607">
        <v>4</v>
      </c>
      <c r="G1607" s="165" t="str">
        <f>VLOOKUP(TDays[[#This Row],[کد روز هفته]],TDaysOfTheWeek[],2,FALSE)</f>
        <v>چهارشنبه</v>
      </c>
      <c r="H1607" s="165">
        <f>IFERROR(IF(E1606&lt;&gt;E1607,1,INT(H1606)+IF(TDays[[#This Row],[کد روز هفته]]=0,1,0)),1)</f>
        <v>4</v>
      </c>
      <c r="I1607" s="164">
        <f>-SUMIF(TArticle[تاریخ],TDays[[#This Row],[تاریخ]],TArticle[هزینه])</f>
        <v>0</v>
      </c>
      <c r="J1607" s="164">
        <f>SUMIF(TArticle[تاریخ],TDays[[#This Row],[تاریخ]],TArticle[درآمد تتا])</f>
        <v>0</v>
      </c>
      <c r="K1607" s="164">
        <f>SUMIF(TArticle[تاریخ],TDays[[#This Row],[تاریخ]],TArticle[اسنپ])</f>
        <v>0</v>
      </c>
      <c r="L1607" s="164">
        <f>-SUMIF(TArticle[تاریخ],TDays[[#This Row],[تاریخ]],TArticle[پرداخت بدهی])</f>
        <v>0</v>
      </c>
      <c r="M1607" s="164">
        <f>SUMIF(TArticle[تاریخ],TDays[[#This Row],[تاریخ]],TArticle[افزایش بدهی])</f>
        <v>0</v>
      </c>
      <c r="N1607" s="164">
        <f>-SUMIF(TArticle[تاریخ],TDays[[#This Row],[تاریخ]],TArticle[افزایش سرمایه])</f>
        <v>0</v>
      </c>
      <c r="O1607" s="164">
        <f>SUMIF(TArticle[تاریخ],TDays[[#This Row],[تاریخ]],TArticle[تعداد تراکنش انجام شده])</f>
        <v>0</v>
      </c>
      <c r="P1607" s="164">
        <f>INT(((TDays[[#This Row],[ماه]]-1)*31+TDays[[#This Row],[روز]]+1)/7)+1</f>
        <v>22</v>
      </c>
      <c r="Q1607" s="164">
        <f>SUMIF(TArticle[تاریخ],TDays[[#This Row],[تاریخ]],TArticle[تراکنش برنامه ریزی شده])</f>
        <v>0</v>
      </c>
    </row>
    <row r="1608" spans="1:17" x14ac:dyDescent="0.25">
      <c r="A1608" s="3" t="s">
        <v>2191</v>
      </c>
      <c r="B1608" s="164" t="str">
        <f>RIGHT(TDays[[#This Row],[تاریخ]],2)</f>
        <v>23</v>
      </c>
      <c r="C1608" s="164" t="str">
        <f>RIGHT(LEFT(TDays[[#This Row],[تاریخ]],7),2)</f>
        <v>05</v>
      </c>
      <c r="D1608" s="164" t="str">
        <f>LEFT(TDays[[#This Row],[تاریخ]],4)</f>
        <v>1405</v>
      </c>
      <c r="E1608" s="164" t="str">
        <f>LEFT(TDays[[#This Row],[تاریخ]],7)</f>
        <v>1405-05</v>
      </c>
      <c r="F1608">
        <v>5</v>
      </c>
      <c r="G1608" s="165" t="str">
        <f>VLOOKUP(TDays[[#This Row],[کد روز هفته]],TDaysOfTheWeek[],2,FALSE)</f>
        <v>پنجشنبه</v>
      </c>
      <c r="H1608" s="165">
        <f>IFERROR(IF(E1607&lt;&gt;E1608,1,INT(H1607)+IF(TDays[[#This Row],[کد روز هفته]]=0,1,0)),1)</f>
        <v>4</v>
      </c>
      <c r="I1608" s="164">
        <f>-SUMIF(TArticle[تاریخ],TDays[[#This Row],[تاریخ]],TArticle[هزینه])</f>
        <v>0</v>
      </c>
      <c r="J1608" s="164">
        <f>SUMIF(TArticle[تاریخ],TDays[[#This Row],[تاریخ]],TArticle[درآمد تتا])</f>
        <v>0</v>
      </c>
      <c r="K1608" s="164">
        <f>SUMIF(TArticle[تاریخ],TDays[[#This Row],[تاریخ]],TArticle[اسنپ])</f>
        <v>0</v>
      </c>
      <c r="L1608" s="164">
        <f>-SUMIF(TArticle[تاریخ],TDays[[#This Row],[تاریخ]],TArticle[پرداخت بدهی])</f>
        <v>0</v>
      </c>
      <c r="M1608" s="164">
        <f>SUMIF(TArticle[تاریخ],TDays[[#This Row],[تاریخ]],TArticle[افزایش بدهی])</f>
        <v>0</v>
      </c>
      <c r="N1608" s="164">
        <f>-SUMIF(TArticle[تاریخ],TDays[[#This Row],[تاریخ]],TArticle[افزایش سرمایه])</f>
        <v>0</v>
      </c>
      <c r="O1608" s="164">
        <f>SUMIF(TArticle[تاریخ],TDays[[#This Row],[تاریخ]],TArticle[تعداد تراکنش انجام شده])</f>
        <v>0</v>
      </c>
      <c r="P1608" s="164">
        <f>INT(((TDays[[#This Row],[ماه]]-1)*31+TDays[[#This Row],[روز]]+1)/7)+1</f>
        <v>22</v>
      </c>
      <c r="Q1608" s="164">
        <f>SUMIF(TArticle[تاریخ],TDays[[#This Row],[تاریخ]],TArticle[تراکنش برنامه ریزی شده])</f>
        <v>0</v>
      </c>
    </row>
    <row r="1609" spans="1:17" x14ac:dyDescent="0.25">
      <c r="A1609" s="3" t="s">
        <v>2192</v>
      </c>
      <c r="B1609" s="164" t="str">
        <f>RIGHT(TDays[[#This Row],[تاریخ]],2)</f>
        <v>24</v>
      </c>
      <c r="C1609" s="164" t="str">
        <f>RIGHT(LEFT(TDays[[#This Row],[تاریخ]],7),2)</f>
        <v>05</v>
      </c>
      <c r="D1609" s="164" t="str">
        <f>LEFT(TDays[[#This Row],[تاریخ]],4)</f>
        <v>1405</v>
      </c>
      <c r="E1609" s="164" t="str">
        <f>LEFT(TDays[[#This Row],[تاریخ]],7)</f>
        <v>1405-05</v>
      </c>
      <c r="F1609">
        <v>6</v>
      </c>
      <c r="G1609" s="165" t="str">
        <f>VLOOKUP(TDays[[#This Row],[کد روز هفته]],TDaysOfTheWeek[],2,FALSE)</f>
        <v>جمعه</v>
      </c>
      <c r="H1609" s="165">
        <f>IFERROR(IF(E1608&lt;&gt;E1609,1,INT(H1608)+IF(TDays[[#This Row],[کد روز هفته]]=0,1,0)),1)</f>
        <v>4</v>
      </c>
      <c r="I1609" s="164">
        <f>-SUMIF(TArticle[تاریخ],TDays[[#This Row],[تاریخ]],TArticle[هزینه])</f>
        <v>0</v>
      </c>
      <c r="J1609" s="164">
        <f>SUMIF(TArticle[تاریخ],TDays[[#This Row],[تاریخ]],TArticle[درآمد تتا])</f>
        <v>0</v>
      </c>
      <c r="K1609" s="164">
        <f>SUMIF(TArticle[تاریخ],TDays[[#This Row],[تاریخ]],TArticle[اسنپ])</f>
        <v>0</v>
      </c>
      <c r="L1609" s="164">
        <f>-SUMIF(TArticle[تاریخ],TDays[[#This Row],[تاریخ]],TArticle[پرداخت بدهی])</f>
        <v>0</v>
      </c>
      <c r="M1609" s="164">
        <f>SUMIF(TArticle[تاریخ],TDays[[#This Row],[تاریخ]],TArticle[افزایش بدهی])</f>
        <v>0</v>
      </c>
      <c r="N1609" s="164">
        <f>-SUMIF(TArticle[تاریخ],TDays[[#This Row],[تاریخ]],TArticle[افزایش سرمایه])</f>
        <v>0</v>
      </c>
      <c r="O1609" s="164">
        <f>SUMIF(TArticle[تاریخ],TDays[[#This Row],[تاریخ]],TArticle[تعداد تراکنش انجام شده])</f>
        <v>0</v>
      </c>
      <c r="P1609" s="164">
        <f>INT(((TDays[[#This Row],[ماه]]-1)*31+TDays[[#This Row],[روز]]+1)/7)+1</f>
        <v>22</v>
      </c>
      <c r="Q1609" s="164">
        <f>SUMIF(TArticle[تاریخ],TDays[[#This Row],[تاریخ]],TArticle[تراکنش برنامه ریزی شده])</f>
        <v>0</v>
      </c>
    </row>
    <row r="1610" spans="1:17" x14ac:dyDescent="0.25">
      <c r="A1610" s="3" t="s">
        <v>2193</v>
      </c>
      <c r="B1610" s="164" t="str">
        <f>RIGHT(TDays[[#This Row],[تاریخ]],2)</f>
        <v>25</v>
      </c>
      <c r="C1610" s="164" t="str">
        <f>RIGHT(LEFT(TDays[[#This Row],[تاریخ]],7),2)</f>
        <v>05</v>
      </c>
      <c r="D1610" s="164" t="str">
        <f>LEFT(TDays[[#This Row],[تاریخ]],4)</f>
        <v>1405</v>
      </c>
      <c r="E1610" s="164" t="str">
        <f>LEFT(TDays[[#This Row],[تاریخ]],7)</f>
        <v>1405-05</v>
      </c>
      <c r="F1610">
        <v>0</v>
      </c>
      <c r="G1610" s="165" t="str">
        <f>VLOOKUP(TDays[[#This Row],[کد روز هفته]],TDaysOfTheWeek[],2,FALSE)</f>
        <v>شنبه</v>
      </c>
      <c r="H1610" s="165">
        <f>IFERROR(IF(E1609&lt;&gt;E1610,1,INT(H1609)+IF(TDays[[#This Row],[کد روز هفته]]=0,1,0)),1)</f>
        <v>5</v>
      </c>
      <c r="I1610" s="164">
        <f>-SUMIF(TArticle[تاریخ],TDays[[#This Row],[تاریخ]],TArticle[هزینه])</f>
        <v>0</v>
      </c>
      <c r="J1610" s="164">
        <f>SUMIF(TArticle[تاریخ],TDays[[#This Row],[تاریخ]],TArticle[درآمد تتا])</f>
        <v>0</v>
      </c>
      <c r="K1610" s="164">
        <f>SUMIF(TArticle[تاریخ],TDays[[#This Row],[تاریخ]],TArticle[اسنپ])</f>
        <v>0</v>
      </c>
      <c r="L1610" s="164">
        <f>-SUMIF(TArticle[تاریخ],TDays[[#This Row],[تاریخ]],TArticle[پرداخت بدهی])</f>
        <v>0</v>
      </c>
      <c r="M1610" s="164">
        <f>SUMIF(TArticle[تاریخ],TDays[[#This Row],[تاریخ]],TArticle[افزایش بدهی])</f>
        <v>0</v>
      </c>
      <c r="N1610" s="164">
        <f>-SUMIF(TArticle[تاریخ],TDays[[#This Row],[تاریخ]],TArticle[افزایش سرمایه])</f>
        <v>0</v>
      </c>
      <c r="O1610" s="164">
        <f>SUMIF(TArticle[تاریخ],TDays[[#This Row],[تاریخ]],TArticle[تعداد تراکنش انجام شده])</f>
        <v>0</v>
      </c>
      <c r="P1610" s="164">
        <f>INT(((TDays[[#This Row],[ماه]]-1)*31+TDays[[#This Row],[روز]]+1)/7)+1</f>
        <v>22</v>
      </c>
      <c r="Q1610" s="164">
        <f>SUMIF(TArticle[تاریخ],TDays[[#This Row],[تاریخ]],TArticle[تراکنش برنامه ریزی شده])</f>
        <v>0</v>
      </c>
    </row>
    <row r="1611" spans="1:17" x14ac:dyDescent="0.25">
      <c r="A1611" s="3" t="s">
        <v>2194</v>
      </c>
      <c r="B1611" s="164" t="str">
        <f>RIGHT(TDays[[#This Row],[تاریخ]],2)</f>
        <v>26</v>
      </c>
      <c r="C1611" s="164" t="str">
        <f>RIGHT(LEFT(TDays[[#This Row],[تاریخ]],7),2)</f>
        <v>05</v>
      </c>
      <c r="D1611" s="164" t="str">
        <f>LEFT(TDays[[#This Row],[تاریخ]],4)</f>
        <v>1405</v>
      </c>
      <c r="E1611" s="164" t="str">
        <f>LEFT(TDays[[#This Row],[تاریخ]],7)</f>
        <v>1405-05</v>
      </c>
      <c r="F1611">
        <v>1</v>
      </c>
      <c r="G1611" s="165" t="str">
        <f>VLOOKUP(TDays[[#This Row],[کد روز هفته]],TDaysOfTheWeek[],2,FALSE)</f>
        <v>یکشنبه</v>
      </c>
      <c r="H1611" s="165">
        <f>IFERROR(IF(E1610&lt;&gt;E1611,1,INT(H1610)+IF(TDays[[#This Row],[کد روز هفته]]=0,1,0)),1)</f>
        <v>5</v>
      </c>
      <c r="I1611" s="164">
        <f>-SUMIF(TArticle[تاریخ],TDays[[#This Row],[تاریخ]],TArticle[هزینه])</f>
        <v>0</v>
      </c>
      <c r="J1611" s="164">
        <f>SUMIF(TArticle[تاریخ],TDays[[#This Row],[تاریخ]],TArticle[درآمد تتا])</f>
        <v>0</v>
      </c>
      <c r="K1611" s="164">
        <f>SUMIF(TArticle[تاریخ],TDays[[#This Row],[تاریخ]],TArticle[اسنپ])</f>
        <v>0</v>
      </c>
      <c r="L1611" s="164">
        <f>-SUMIF(TArticle[تاریخ],TDays[[#This Row],[تاریخ]],TArticle[پرداخت بدهی])</f>
        <v>0</v>
      </c>
      <c r="M1611" s="164">
        <f>SUMIF(TArticle[تاریخ],TDays[[#This Row],[تاریخ]],TArticle[افزایش بدهی])</f>
        <v>0</v>
      </c>
      <c r="N1611" s="164">
        <f>-SUMIF(TArticle[تاریخ],TDays[[#This Row],[تاریخ]],TArticle[افزایش سرمایه])</f>
        <v>0</v>
      </c>
      <c r="O1611" s="164">
        <f>SUMIF(TArticle[تاریخ],TDays[[#This Row],[تاریخ]],TArticle[تعداد تراکنش انجام شده])</f>
        <v>0</v>
      </c>
      <c r="P1611" s="164">
        <f>INT(((TDays[[#This Row],[ماه]]-1)*31+TDays[[#This Row],[روز]]+1)/7)+1</f>
        <v>22</v>
      </c>
      <c r="Q1611" s="164">
        <f>SUMIF(TArticle[تاریخ],TDays[[#This Row],[تاریخ]],TArticle[تراکنش برنامه ریزی شده])</f>
        <v>0</v>
      </c>
    </row>
    <row r="1612" spans="1:17" x14ac:dyDescent="0.25">
      <c r="A1612" s="3" t="s">
        <v>2195</v>
      </c>
      <c r="B1612" s="164" t="str">
        <f>RIGHT(TDays[[#This Row],[تاریخ]],2)</f>
        <v>27</v>
      </c>
      <c r="C1612" s="164" t="str">
        <f>RIGHT(LEFT(TDays[[#This Row],[تاریخ]],7),2)</f>
        <v>05</v>
      </c>
      <c r="D1612" s="164" t="str">
        <f>LEFT(TDays[[#This Row],[تاریخ]],4)</f>
        <v>1405</v>
      </c>
      <c r="E1612" s="164" t="str">
        <f>LEFT(TDays[[#This Row],[تاریخ]],7)</f>
        <v>1405-05</v>
      </c>
      <c r="F1612">
        <v>2</v>
      </c>
      <c r="G1612" s="165" t="str">
        <f>VLOOKUP(TDays[[#This Row],[کد روز هفته]],TDaysOfTheWeek[],2,FALSE)</f>
        <v>دوشنبه</v>
      </c>
      <c r="H1612" s="165">
        <f>IFERROR(IF(E1611&lt;&gt;E1612,1,INT(H1611)+IF(TDays[[#This Row],[کد روز هفته]]=0,1,0)),1)</f>
        <v>5</v>
      </c>
      <c r="I1612" s="164">
        <f>-SUMIF(TArticle[تاریخ],TDays[[#This Row],[تاریخ]],TArticle[هزینه])</f>
        <v>0</v>
      </c>
      <c r="J1612" s="164">
        <f>SUMIF(TArticle[تاریخ],TDays[[#This Row],[تاریخ]],TArticle[درآمد تتا])</f>
        <v>0</v>
      </c>
      <c r="K1612" s="164">
        <f>SUMIF(TArticle[تاریخ],TDays[[#This Row],[تاریخ]],TArticle[اسنپ])</f>
        <v>0</v>
      </c>
      <c r="L1612" s="164">
        <f>-SUMIF(TArticle[تاریخ],TDays[[#This Row],[تاریخ]],TArticle[پرداخت بدهی])</f>
        <v>0</v>
      </c>
      <c r="M1612" s="164">
        <f>SUMIF(TArticle[تاریخ],TDays[[#This Row],[تاریخ]],TArticle[افزایش بدهی])</f>
        <v>0</v>
      </c>
      <c r="N1612" s="164">
        <f>-SUMIF(TArticle[تاریخ],TDays[[#This Row],[تاریخ]],TArticle[افزایش سرمایه])</f>
        <v>0</v>
      </c>
      <c r="O1612" s="164">
        <f>SUMIF(TArticle[تاریخ],TDays[[#This Row],[تاریخ]],TArticle[تعداد تراکنش انجام شده])</f>
        <v>0</v>
      </c>
      <c r="P1612" s="164">
        <f>INT(((TDays[[#This Row],[ماه]]-1)*31+TDays[[#This Row],[روز]]+1)/7)+1</f>
        <v>22</v>
      </c>
      <c r="Q1612" s="164">
        <f>SUMIF(TArticle[تاریخ],TDays[[#This Row],[تاریخ]],TArticle[تراکنش برنامه ریزی شده])</f>
        <v>0</v>
      </c>
    </row>
    <row r="1613" spans="1:17" x14ac:dyDescent="0.25">
      <c r="A1613" s="3" t="s">
        <v>2196</v>
      </c>
      <c r="B1613" s="164" t="str">
        <f>RIGHT(TDays[[#This Row],[تاریخ]],2)</f>
        <v>28</v>
      </c>
      <c r="C1613" s="164" t="str">
        <f>RIGHT(LEFT(TDays[[#This Row],[تاریخ]],7),2)</f>
        <v>05</v>
      </c>
      <c r="D1613" s="164" t="str">
        <f>LEFT(TDays[[#This Row],[تاریخ]],4)</f>
        <v>1405</v>
      </c>
      <c r="E1613" s="164" t="str">
        <f>LEFT(TDays[[#This Row],[تاریخ]],7)</f>
        <v>1405-05</v>
      </c>
      <c r="F1613">
        <v>3</v>
      </c>
      <c r="G1613" s="165" t="str">
        <f>VLOOKUP(TDays[[#This Row],[کد روز هفته]],TDaysOfTheWeek[],2,FALSE)</f>
        <v>سه شنبه</v>
      </c>
      <c r="H1613" s="165">
        <f>IFERROR(IF(E1612&lt;&gt;E1613,1,INT(H1612)+IF(TDays[[#This Row],[کد روز هفته]]=0,1,0)),1)</f>
        <v>5</v>
      </c>
      <c r="I1613" s="164">
        <f>-SUMIF(TArticle[تاریخ],TDays[[#This Row],[تاریخ]],TArticle[هزینه])</f>
        <v>0</v>
      </c>
      <c r="J1613" s="164">
        <f>SUMIF(TArticle[تاریخ],TDays[[#This Row],[تاریخ]],TArticle[درآمد تتا])</f>
        <v>0</v>
      </c>
      <c r="K1613" s="164">
        <f>SUMIF(TArticle[تاریخ],TDays[[#This Row],[تاریخ]],TArticle[اسنپ])</f>
        <v>0</v>
      </c>
      <c r="L1613" s="164">
        <f>-SUMIF(TArticle[تاریخ],TDays[[#This Row],[تاریخ]],TArticle[پرداخت بدهی])</f>
        <v>0</v>
      </c>
      <c r="M1613" s="164">
        <f>SUMIF(TArticle[تاریخ],TDays[[#This Row],[تاریخ]],TArticle[افزایش بدهی])</f>
        <v>0</v>
      </c>
      <c r="N1613" s="164">
        <f>-SUMIF(TArticle[تاریخ],TDays[[#This Row],[تاریخ]],TArticle[افزایش سرمایه])</f>
        <v>0</v>
      </c>
      <c r="O1613" s="164">
        <f>SUMIF(TArticle[تاریخ],TDays[[#This Row],[تاریخ]],TArticle[تعداد تراکنش انجام شده])</f>
        <v>0</v>
      </c>
      <c r="P1613" s="164">
        <f>INT(((TDays[[#This Row],[ماه]]-1)*31+TDays[[#This Row],[روز]]+1)/7)+1</f>
        <v>22</v>
      </c>
      <c r="Q1613" s="164">
        <f>SUMIF(TArticle[تاریخ],TDays[[#This Row],[تاریخ]],TArticle[تراکنش برنامه ریزی شده])</f>
        <v>0</v>
      </c>
    </row>
    <row r="1614" spans="1:17" x14ac:dyDescent="0.25">
      <c r="A1614" s="3" t="s">
        <v>2197</v>
      </c>
      <c r="B1614" s="164" t="str">
        <f>RIGHT(TDays[[#This Row],[تاریخ]],2)</f>
        <v>29</v>
      </c>
      <c r="C1614" s="164" t="str">
        <f>RIGHT(LEFT(TDays[[#This Row],[تاریخ]],7),2)</f>
        <v>05</v>
      </c>
      <c r="D1614" s="164" t="str">
        <f>LEFT(TDays[[#This Row],[تاریخ]],4)</f>
        <v>1405</v>
      </c>
      <c r="E1614" s="164" t="str">
        <f>LEFT(TDays[[#This Row],[تاریخ]],7)</f>
        <v>1405-05</v>
      </c>
      <c r="F1614">
        <v>4</v>
      </c>
      <c r="G1614" s="165" t="str">
        <f>VLOOKUP(TDays[[#This Row],[کد روز هفته]],TDaysOfTheWeek[],2,FALSE)</f>
        <v>چهارشنبه</v>
      </c>
      <c r="H1614" s="165">
        <f>IFERROR(IF(E1613&lt;&gt;E1614,1,INT(H1613)+IF(TDays[[#This Row],[کد روز هفته]]=0,1,0)),1)</f>
        <v>5</v>
      </c>
      <c r="I1614" s="164">
        <f>-SUMIF(TArticle[تاریخ],TDays[[#This Row],[تاریخ]],TArticle[هزینه])</f>
        <v>0</v>
      </c>
      <c r="J1614" s="164">
        <f>SUMIF(TArticle[تاریخ],TDays[[#This Row],[تاریخ]],TArticle[درآمد تتا])</f>
        <v>0</v>
      </c>
      <c r="K1614" s="164">
        <f>SUMIF(TArticle[تاریخ],TDays[[#This Row],[تاریخ]],TArticle[اسنپ])</f>
        <v>0</v>
      </c>
      <c r="L1614" s="164">
        <f>-SUMIF(TArticle[تاریخ],TDays[[#This Row],[تاریخ]],TArticle[پرداخت بدهی])</f>
        <v>0</v>
      </c>
      <c r="M1614" s="164">
        <f>SUMIF(TArticle[تاریخ],TDays[[#This Row],[تاریخ]],TArticle[افزایش بدهی])</f>
        <v>0</v>
      </c>
      <c r="N1614" s="164">
        <f>-SUMIF(TArticle[تاریخ],TDays[[#This Row],[تاریخ]],TArticle[افزایش سرمایه])</f>
        <v>0</v>
      </c>
      <c r="O1614" s="164">
        <f>SUMIF(TArticle[تاریخ],TDays[[#This Row],[تاریخ]],TArticle[تعداد تراکنش انجام شده])</f>
        <v>0</v>
      </c>
      <c r="P1614" s="164">
        <f>INT(((TDays[[#This Row],[ماه]]-1)*31+TDays[[#This Row],[روز]]+1)/7)+1</f>
        <v>23</v>
      </c>
      <c r="Q1614" s="164">
        <f>SUMIF(TArticle[تاریخ],TDays[[#This Row],[تاریخ]],TArticle[تراکنش برنامه ریزی شده])</f>
        <v>0</v>
      </c>
    </row>
    <row r="1615" spans="1:17" x14ac:dyDescent="0.25">
      <c r="A1615" s="3" t="s">
        <v>2198</v>
      </c>
      <c r="B1615" s="164" t="str">
        <f>RIGHT(TDays[[#This Row],[تاریخ]],2)</f>
        <v>30</v>
      </c>
      <c r="C1615" s="164" t="str">
        <f>RIGHT(LEFT(TDays[[#This Row],[تاریخ]],7),2)</f>
        <v>05</v>
      </c>
      <c r="D1615" s="164" t="str">
        <f>LEFT(TDays[[#This Row],[تاریخ]],4)</f>
        <v>1405</v>
      </c>
      <c r="E1615" s="164" t="str">
        <f>LEFT(TDays[[#This Row],[تاریخ]],7)</f>
        <v>1405-05</v>
      </c>
      <c r="F1615">
        <v>5</v>
      </c>
      <c r="G1615" s="165" t="str">
        <f>VLOOKUP(TDays[[#This Row],[کد روز هفته]],TDaysOfTheWeek[],2,FALSE)</f>
        <v>پنجشنبه</v>
      </c>
      <c r="H1615" s="165">
        <f>IFERROR(IF(E1614&lt;&gt;E1615,1,INT(H1614)+IF(TDays[[#This Row],[کد روز هفته]]=0,1,0)),1)</f>
        <v>5</v>
      </c>
      <c r="I1615" s="164">
        <f>-SUMIF(TArticle[تاریخ],TDays[[#This Row],[تاریخ]],TArticle[هزینه])</f>
        <v>0</v>
      </c>
      <c r="J1615" s="164">
        <f>SUMIF(TArticle[تاریخ],TDays[[#This Row],[تاریخ]],TArticle[درآمد تتا])</f>
        <v>0</v>
      </c>
      <c r="K1615" s="164">
        <f>SUMIF(TArticle[تاریخ],TDays[[#This Row],[تاریخ]],TArticle[اسنپ])</f>
        <v>0</v>
      </c>
      <c r="L1615" s="164">
        <f>-SUMIF(TArticle[تاریخ],TDays[[#This Row],[تاریخ]],TArticle[پرداخت بدهی])</f>
        <v>0</v>
      </c>
      <c r="M1615" s="164">
        <f>SUMIF(TArticle[تاریخ],TDays[[#This Row],[تاریخ]],TArticle[افزایش بدهی])</f>
        <v>0</v>
      </c>
      <c r="N1615" s="164">
        <f>-SUMIF(TArticle[تاریخ],TDays[[#This Row],[تاریخ]],TArticle[افزایش سرمایه])</f>
        <v>0</v>
      </c>
      <c r="O1615" s="164">
        <f>SUMIF(TArticle[تاریخ],TDays[[#This Row],[تاریخ]],TArticle[تعداد تراکنش انجام شده])</f>
        <v>0</v>
      </c>
      <c r="P1615" s="164">
        <f>INT(((TDays[[#This Row],[ماه]]-1)*31+TDays[[#This Row],[روز]]+1)/7)+1</f>
        <v>23</v>
      </c>
      <c r="Q1615" s="164">
        <f>SUMIF(TArticle[تاریخ],TDays[[#This Row],[تاریخ]],TArticle[تراکنش برنامه ریزی شده])</f>
        <v>0</v>
      </c>
    </row>
    <row r="1616" spans="1:17" x14ac:dyDescent="0.25">
      <c r="A1616" s="3" t="s">
        <v>2199</v>
      </c>
      <c r="B1616" s="164" t="str">
        <f>RIGHT(TDays[[#This Row],[تاریخ]],2)</f>
        <v>31</v>
      </c>
      <c r="C1616" s="164" t="str">
        <f>RIGHT(LEFT(TDays[[#This Row],[تاریخ]],7),2)</f>
        <v>05</v>
      </c>
      <c r="D1616" s="164" t="str">
        <f>LEFT(TDays[[#This Row],[تاریخ]],4)</f>
        <v>1405</v>
      </c>
      <c r="E1616" s="164" t="str">
        <f>LEFT(TDays[[#This Row],[تاریخ]],7)</f>
        <v>1405-05</v>
      </c>
      <c r="F1616">
        <v>6</v>
      </c>
      <c r="G1616" s="165" t="str">
        <f>VLOOKUP(TDays[[#This Row],[کد روز هفته]],TDaysOfTheWeek[],2,FALSE)</f>
        <v>جمعه</v>
      </c>
      <c r="H1616" s="165">
        <f>IFERROR(IF(E1615&lt;&gt;E1616,1,INT(H1615)+IF(TDays[[#This Row],[کد روز هفته]]=0,1,0)),1)</f>
        <v>5</v>
      </c>
      <c r="I1616" s="164">
        <f>-SUMIF(TArticle[تاریخ],TDays[[#This Row],[تاریخ]],TArticle[هزینه])</f>
        <v>0</v>
      </c>
      <c r="J1616" s="164">
        <f>SUMIF(TArticle[تاریخ],TDays[[#This Row],[تاریخ]],TArticle[درآمد تتا])</f>
        <v>0</v>
      </c>
      <c r="K1616" s="164">
        <f>SUMIF(TArticle[تاریخ],TDays[[#This Row],[تاریخ]],TArticle[اسنپ])</f>
        <v>0</v>
      </c>
      <c r="L1616" s="164">
        <f>-SUMIF(TArticle[تاریخ],TDays[[#This Row],[تاریخ]],TArticle[پرداخت بدهی])</f>
        <v>0</v>
      </c>
      <c r="M1616" s="164">
        <f>SUMIF(TArticle[تاریخ],TDays[[#This Row],[تاریخ]],TArticle[افزایش بدهی])</f>
        <v>0</v>
      </c>
      <c r="N1616" s="164">
        <f>-SUMIF(TArticle[تاریخ],TDays[[#This Row],[تاریخ]],TArticle[افزایش سرمایه])</f>
        <v>0</v>
      </c>
      <c r="O1616" s="164">
        <f>SUMIF(TArticle[تاریخ],TDays[[#This Row],[تاریخ]],TArticle[تعداد تراکنش انجام شده])</f>
        <v>0</v>
      </c>
      <c r="P1616" s="164">
        <f>INT(((TDays[[#This Row],[ماه]]-1)*31+TDays[[#This Row],[روز]]+1)/7)+1</f>
        <v>23</v>
      </c>
      <c r="Q1616" s="164">
        <f>SUMIF(TArticle[تاریخ],TDays[[#This Row],[تاریخ]],TArticle[تراکنش برنامه ریزی شده])</f>
        <v>0</v>
      </c>
    </row>
    <row r="1617" spans="1:17" x14ac:dyDescent="0.25">
      <c r="A1617" s="3" t="s">
        <v>2200</v>
      </c>
      <c r="B1617" s="164" t="str">
        <f>RIGHT(TDays[[#This Row],[تاریخ]],2)</f>
        <v>01</v>
      </c>
      <c r="C1617" s="164" t="str">
        <f>RIGHT(LEFT(TDays[[#This Row],[تاریخ]],7),2)</f>
        <v>06</v>
      </c>
      <c r="D1617" s="164" t="str">
        <f>LEFT(TDays[[#This Row],[تاریخ]],4)</f>
        <v>1405</v>
      </c>
      <c r="E1617" s="164" t="str">
        <f>LEFT(TDays[[#This Row],[تاریخ]],7)</f>
        <v>1405-06</v>
      </c>
      <c r="F1617">
        <v>0</v>
      </c>
      <c r="G1617" s="165" t="str">
        <f>VLOOKUP(TDays[[#This Row],[کد روز هفته]],TDaysOfTheWeek[],2,FALSE)</f>
        <v>شنبه</v>
      </c>
      <c r="H1617" s="165">
        <f>IFERROR(IF(E1616&lt;&gt;E1617,1,INT(H1616)+IF(TDays[[#This Row],[کد روز هفته]]=0,1,0)),1)</f>
        <v>1</v>
      </c>
      <c r="I1617" s="164">
        <f>-SUMIF(TArticle[تاریخ],TDays[[#This Row],[تاریخ]],TArticle[هزینه])</f>
        <v>0</v>
      </c>
      <c r="J1617" s="164">
        <f>SUMIF(TArticle[تاریخ],TDays[[#This Row],[تاریخ]],TArticle[درآمد تتا])</f>
        <v>0</v>
      </c>
      <c r="K1617" s="164">
        <f>SUMIF(TArticle[تاریخ],TDays[[#This Row],[تاریخ]],TArticle[اسنپ])</f>
        <v>0</v>
      </c>
      <c r="L1617" s="164">
        <f>-SUMIF(TArticle[تاریخ],TDays[[#This Row],[تاریخ]],TArticle[پرداخت بدهی])</f>
        <v>0</v>
      </c>
      <c r="M1617" s="164">
        <f>SUMIF(TArticle[تاریخ],TDays[[#This Row],[تاریخ]],TArticle[افزایش بدهی])</f>
        <v>0</v>
      </c>
      <c r="N1617" s="164">
        <f>-SUMIF(TArticle[تاریخ],TDays[[#This Row],[تاریخ]],TArticle[افزایش سرمایه])</f>
        <v>0</v>
      </c>
      <c r="O1617" s="164">
        <f>SUMIF(TArticle[تاریخ],TDays[[#This Row],[تاریخ]],TArticle[تعداد تراکنش انجام شده])</f>
        <v>0</v>
      </c>
      <c r="P1617" s="164">
        <f>INT(((TDays[[#This Row],[ماه]]-1)*31+TDays[[#This Row],[روز]]+1)/7)+1</f>
        <v>23</v>
      </c>
      <c r="Q1617" s="164">
        <f>SUMIF(TArticle[تاریخ],TDays[[#This Row],[تاریخ]],TArticle[تراکنش برنامه ریزی شده])</f>
        <v>0</v>
      </c>
    </row>
    <row r="1618" spans="1:17" x14ac:dyDescent="0.25">
      <c r="A1618" s="3" t="s">
        <v>2201</v>
      </c>
      <c r="B1618" s="164" t="str">
        <f>RIGHT(TDays[[#This Row],[تاریخ]],2)</f>
        <v>02</v>
      </c>
      <c r="C1618" s="164" t="str">
        <f>RIGHT(LEFT(TDays[[#This Row],[تاریخ]],7),2)</f>
        <v>06</v>
      </c>
      <c r="D1618" s="164" t="str">
        <f>LEFT(TDays[[#This Row],[تاریخ]],4)</f>
        <v>1405</v>
      </c>
      <c r="E1618" s="164" t="str">
        <f>LEFT(TDays[[#This Row],[تاریخ]],7)</f>
        <v>1405-06</v>
      </c>
      <c r="F1618">
        <v>1</v>
      </c>
      <c r="G1618" s="165" t="str">
        <f>VLOOKUP(TDays[[#This Row],[کد روز هفته]],TDaysOfTheWeek[],2,FALSE)</f>
        <v>یکشنبه</v>
      </c>
      <c r="H1618" s="165">
        <f>IFERROR(IF(E1617&lt;&gt;E1618,1,INT(H1617)+IF(TDays[[#This Row],[کد روز هفته]]=0,1,0)),1)</f>
        <v>1</v>
      </c>
      <c r="I1618" s="164">
        <f>-SUMIF(TArticle[تاریخ],TDays[[#This Row],[تاریخ]],TArticle[هزینه])</f>
        <v>0</v>
      </c>
      <c r="J1618" s="164">
        <f>SUMIF(TArticle[تاریخ],TDays[[#This Row],[تاریخ]],TArticle[درآمد تتا])</f>
        <v>0</v>
      </c>
      <c r="K1618" s="164">
        <f>SUMIF(TArticle[تاریخ],TDays[[#This Row],[تاریخ]],TArticle[اسنپ])</f>
        <v>0</v>
      </c>
      <c r="L1618" s="164">
        <f>-SUMIF(TArticle[تاریخ],TDays[[#This Row],[تاریخ]],TArticle[پرداخت بدهی])</f>
        <v>0</v>
      </c>
      <c r="M1618" s="164">
        <f>SUMIF(TArticle[تاریخ],TDays[[#This Row],[تاریخ]],TArticle[افزایش بدهی])</f>
        <v>0</v>
      </c>
      <c r="N1618" s="164">
        <f>-SUMIF(TArticle[تاریخ],TDays[[#This Row],[تاریخ]],TArticle[افزایش سرمایه])</f>
        <v>0</v>
      </c>
      <c r="O1618" s="164">
        <f>SUMIF(TArticle[تاریخ],TDays[[#This Row],[تاریخ]],TArticle[تعداد تراکنش انجام شده])</f>
        <v>0</v>
      </c>
      <c r="P1618" s="164">
        <f>INT(((TDays[[#This Row],[ماه]]-1)*31+TDays[[#This Row],[روز]]+1)/7)+1</f>
        <v>23</v>
      </c>
      <c r="Q1618" s="164">
        <f>SUMIF(TArticle[تاریخ],TDays[[#This Row],[تاریخ]],TArticle[تراکنش برنامه ریزی شده])</f>
        <v>0</v>
      </c>
    </row>
    <row r="1619" spans="1:17" x14ac:dyDescent="0.25">
      <c r="A1619" s="3" t="s">
        <v>2202</v>
      </c>
      <c r="B1619" s="164" t="str">
        <f>RIGHT(TDays[[#This Row],[تاریخ]],2)</f>
        <v>03</v>
      </c>
      <c r="C1619" s="164" t="str">
        <f>RIGHT(LEFT(TDays[[#This Row],[تاریخ]],7),2)</f>
        <v>06</v>
      </c>
      <c r="D1619" s="164" t="str">
        <f>LEFT(TDays[[#This Row],[تاریخ]],4)</f>
        <v>1405</v>
      </c>
      <c r="E1619" s="164" t="str">
        <f>LEFT(TDays[[#This Row],[تاریخ]],7)</f>
        <v>1405-06</v>
      </c>
      <c r="F1619">
        <v>2</v>
      </c>
      <c r="G1619" s="165" t="str">
        <f>VLOOKUP(TDays[[#This Row],[کد روز هفته]],TDaysOfTheWeek[],2,FALSE)</f>
        <v>دوشنبه</v>
      </c>
      <c r="H1619" s="165">
        <f>IFERROR(IF(E1618&lt;&gt;E1619,1,INT(H1618)+IF(TDays[[#This Row],[کد روز هفته]]=0,1,0)),1)</f>
        <v>1</v>
      </c>
      <c r="I1619" s="164">
        <f>-SUMIF(TArticle[تاریخ],TDays[[#This Row],[تاریخ]],TArticle[هزینه])</f>
        <v>0</v>
      </c>
      <c r="J1619" s="164">
        <f>SUMIF(TArticle[تاریخ],TDays[[#This Row],[تاریخ]],TArticle[درآمد تتا])</f>
        <v>0</v>
      </c>
      <c r="K1619" s="164">
        <f>SUMIF(TArticle[تاریخ],TDays[[#This Row],[تاریخ]],TArticle[اسنپ])</f>
        <v>0</v>
      </c>
      <c r="L1619" s="164">
        <f>-SUMIF(TArticle[تاریخ],TDays[[#This Row],[تاریخ]],TArticle[پرداخت بدهی])</f>
        <v>0</v>
      </c>
      <c r="M1619" s="164">
        <f>SUMIF(TArticle[تاریخ],TDays[[#This Row],[تاریخ]],TArticle[افزایش بدهی])</f>
        <v>0</v>
      </c>
      <c r="N1619" s="164">
        <f>-SUMIF(TArticle[تاریخ],TDays[[#This Row],[تاریخ]],TArticle[افزایش سرمایه])</f>
        <v>0</v>
      </c>
      <c r="O1619" s="164">
        <f>SUMIF(TArticle[تاریخ],TDays[[#This Row],[تاریخ]],TArticle[تعداد تراکنش انجام شده])</f>
        <v>0</v>
      </c>
      <c r="P1619" s="164">
        <f>INT(((TDays[[#This Row],[ماه]]-1)*31+TDays[[#This Row],[روز]]+1)/7)+1</f>
        <v>23</v>
      </c>
      <c r="Q1619" s="164">
        <f>SUMIF(TArticle[تاریخ],TDays[[#This Row],[تاریخ]],TArticle[تراکنش برنامه ریزی شده])</f>
        <v>1</v>
      </c>
    </row>
    <row r="1620" spans="1:17" x14ac:dyDescent="0.25">
      <c r="A1620" s="3" t="s">
        <v>2203</v>
      </c>
      <c r="B1620" s="164" t="str">
        <f>RIGHT(TDays[[#This Row],[تاریخ]],2)</f>
        <v>04</v>
      </c>
      <c r="C1620" s="164" t="str">
        <f>RIGHT(LEFT(TDays[[#This Row],[تاریخ]],7),2)</f>
        <v>06</v>
      </c>
      <c r="D1620" s="164" t="str">
        <f>LEFT(TDays[[#This Row],[تاریخ]],4)</f>
        <v>1405</v>
      </c>
      <c r="E1620" s="164" t="str">
        <f>LEFT(TDays[[#This Row],[تاریخ]],7)</f>
        <v>1405-06</v>
      </c>
      <c r="F1620">
        <v>3</v>
      </c>
      <c r="G1620" s="165" t="str">
        <f>VLOOKUP(TDays[[#This Row],[کد روز هفته]],TDaysOfTheWeek[],2,FALSE)</f>
        <v>سه شنبه</v>
      </c>
      <c r="H1620" s="165">
        <f>IFERROR(IF(E1619&lt;&gt;E1620,1,INT(H1619)+IF(TDays[[#This Row],[کد روز هفته]]=0,1,0)),1)</f>
        <v>1</v>
      </c>
      <c r="I1620" s="164">
        <f>-SUMIF(TArticle[تاریخ],TDays[[#This Row],[تاریخ]],TArticle[هزینه])</f>
        <v>0</v>
      </c>
      <c r="J1620" s="164">
        <f>SUMIF(TArticle[تاریخ],TDays[[#This Row],[تاریخ]],TArticle[درآمد تتا])</f>
        <v>0</v>
      </c>
      <c r="K1620" s="164">
        <f>SUMIF(TArticle[تاریخ],TDays[[#This Row],[تاریخ]],TArticle[اسنپ])</f>
        <v>0</v>
      </c>
      <c r="L1620" s="164">
        <f>-SUMIF(TArticle[تاریخ],TDays[[#This Row],[تاریخ]],TArticle[پرداخت بدهی])</f>
        <v>0</v>
      </c>
      <c r="M1620" s="164">
        <f>SUMIF(TArticle[تاریخ],TDays[[#This Row],[تاریخ]],TArticle[افزایش بدهی])</f>
        <v>0</v>
      </c>
      <c r="N1620" s="164">
        <f>-SUMIF(TArticle[تاریخ],TDays[[#This Row],[تاریخ]],TArticle[افزایش سرمایه])</f>
        <v>0</v>
      </c>
      <c r="O1620" s="164">
        <f>SUMIF(TArticle[تاریخ],TDays[[#This Row],[تاریخ]],TArticle[تعداد تراکنش انجام شده])</f>
        <v>0</v>
      </c>
      <c r="P1620" s="164">
        <f>INT(((TDays[[#This Row],[ماه]]-1)*31+TDays[[#This Row],[روز]]+1)/7)+1</f>
        <v>23</v>
      </c>
      <c r="Q1620" s="164">
        <f>SUMIF(TArticle[تاریخ],TDays[[#This Row],[تاریخ]],TArticle[تراکنش برنامه ریزی شده])</f>
        <v>0</v>
      </c>
    </row>
    <row r="1621" spans="1:17" x14ac:dyDescent="0.25">
      <c r="A1621" s="3" t="s">
        <v>2204</v>
      </c>
      <c r="B1621" s="164" t="str">
        <f>RIGHT(TDays[[#This Row],[تاریخ]],2)</f>
        <v>05</v>
      </c>
      <c r="C1621" s="164" t="str">
        <f>RIGHT(LEFT(TDays[[#This Row],[تاریخ]],7),2)</f>
        <v>06</v>
      </c>
      <c r="D1621" s="164" t="str">
        <f>LEFT(TDays[[#This Row],[تاریخ]],4)</f>
        <v>1405</v>
      </c>
      <c r="E1621" s="164" t="str">
        <f>LEFT(TDays[[#This Row],[تاریخ]],7)</f>
        <v>1405-06</v>
      </c>
      <c r="F1621">
        <v>4</v>
      </c>
      <c r="G1621" s="165" t="str">
        <f>VLOOKUP(TDays[[#This Row],[کد روز هفته]],TDaysOfTheWeek[],2,FALSE)</f>
        <v>چهارشنبه</v>
      </c>
      <c r="H1621" s="165">
        <f>IFERROR(IF(E1620&lt;&gt;E1621,1,INT(H1620)+IF(TDays[[#This Row],[کد روز هفته]]=0,1,0)),1)</f>
        <v>1</v>
      </c>
      <c r="I1621" s="164">
        <f>-SUMIF(TArticle[تاریخ],TDays[[#This Row],[تاریخ]],TArticle[هزینه])</f>
        <v>0</v>
      </c>
      <c r="J1621" s="164">
        <f>SUMIF(TArticle[تاریخ],TDays[[#This Row],[تاریخ]],TArticle[درآمد تتا])</f>
        <v>0</v>
      </c>
      <c r="K1621" s="164">
        <f>SUMIF(TArticle[تاریخ],TDays[[#This Row],[تاریخ]],TArticle[اسنپ])</f>
        <v>0</v>
      </c>
      <c r="L1621" s="164">
        <f>-SUMIF(TArticle[تاریخ],TDays[[#This Row],[تاریخ]],TArticle[پرداخت بدهی])</f>
        <v>0</v>
      </c>
      <c r="M1621" s="164">
        <f>SUMIF(TArticle[تاریخ],TDays[[#This Row],[تاریخ]],TArticle[افزایش بدهی])</f>
        <v>0</v>
      </c>
      <c r="N1621" s="164">
        <f>-SUMIF(TArticle[تاریخ],TDays[[#This Row],[تاریخ]],TArticle[افزایش سرمایه])</f>
        <v>0</v>
      </c>
      <c r="O1621" s="164">
        <f>SUMIF(TArticle[تاریخ],TDays[[#This Row],[تاریخ]],TArticle[تعداد تراکنش انجام شده])</f>
        <v>0</v>
      </c>
      <c r="P1621" s="164">
        <f>INT(((TDays[[#This Row],[ماه]]-1)*31+TDays[[#This Row],[روز]]+1)/7)+1</f>
        <v>24</v>
      </c>
      <c r="Q1621" s="164">
        <f>SUMIF(TArticle[تاریخ],TDays[[#This Row],[تاریخ]],TArticle[تراکنش برنامه ریزی شده])</f>
        <v>0</v>
      </c>
    </row>
    <row r="1622" spans="1:17" x14ac:dyDescent="0.25">
      <c r="A1622" s="3" t="s">
        <v>2205</v>
      </c>
      <c r="B1622" s="164" t="str">
        <f>RIGHT(TDays[[#This Row],[تاریخ]],2)</f>
        <v>06</v>
      </c>
      <c r="C1622" s="164" t="str">
        <f>RIGHT(LEFT(TDays[[#This Row],[تاریخ]],7),2)</f>
        <v>06</v>
      </c>
      <c r="D1622" s="164" t="str">
        <f>LEFT(TDays[[#This Row],[تاریخ]],4)</f>
        <v>1405</v>
      </c>
      <c r="E1622" s="164" t="str">
        <f>LEFT(TDays[[#This Row],[تاریخ]],7)</f>
        <v>1405-06</v>
      </c>
      <c r="F1622">
        <v>5</v>
      </c>
      <c r="G1622" s="165" t="str">
        <f>VLOOKUP(TDays[[#This Row],[کد روز هفته]],TDaysOfTheWeek[],2,FALSE)</f>
        <v>پنجشنبه</v>
      </c>
      <c r="H1622" s="165">
        <f>IFERROR(IF(E1621&lt;&gt;E1622,1,INT(H1621)+IF(TDays[[#This Row],[کد روز هفته]]=0,1,0)),1)</f>
        <v>1</v>
      </c>
      <c r="I1622" s="164">
        <f>-SUMIF(TArticle[تاریخ],TDays[[#This Row],[تاریخ]],TArticle[هزینه])</f>
        <v>0</v>
      </c>
      <c r="J1622" s="164">
        <f>SUMIF(TArticle[تاریخ],TDays[[#This Row],[تاریخ]],TArticle[درآمد تتا])</f>
        <v>0</v>
      </c>
      <c r="K1622" s="164">
        <f>SUMIF(TArticle[تاریخ],TDays[[#This Row],[تاریخ]],TArticle[اسنپ])</f>
        <v>0</v>
      </c>
      <c r="L1622" s="164">
        <f>-SUMIF(TArticle[تاریخ],TDays[[#This Row],[تاریخ]],TArticle[پرداخت بدهی])</f>
        <v>0</v>
      </c>
      <c r="M1622" s="164">
        <f>SUMIF(TArticle[تاریخ],TDays[[#This Row],[تاریخ]],TArticle[افزایش بدهی])</f>
        <v>0</v>
      </c>
      <c r="N1622" s="164">
        <f>-SUMIF(TArticle[تاریخ],TDays[[#This Row],[تاریخ]],TArticle[افزایش سرمایه])</f>
        <v>0</v>
      </c>
      <c r="O1622" s="164">
        <f>SUMIF(TArticle[تاریخ],TDays[[#This Row],[تاریخ]],TArticle[تعداد تراکنش انجام شده])</f>
        <v>0</v>
      </c>
      <c r="P1622" s="164">
        <f>INT(((TDays[[#This Row],[ماه]]-1)*31+TDays[[#This Row],[روز]]+1)/7)+1</f>
        <v>24</v>
      </c>
      <c r="Q1622" s="164">
        <f>SUMIF(TArticle[تاریخ],TDays[[#This Row],[تاریخ]],TArticle[تراکنش برنامه ریزی شده])</f>
        <v>0</v>
      </c>
    </row>
    <row r="1623" spans="1:17" x14ac:dyDescent="0.25">
      <c r="A1623" s="3" t="s">
        <v>2206</v>
      </c>
      <c r="B1623" s="164" t="str">
        <f>RIGHT(TDays[[#This Row],[تاریخ]],2)</f>
        <v>07</v>
      </c>
      <c r="C1623" s="164" t="str">
        <f>RIGHT(LEFT(TDays[[#This Row],[تاریخ]],7),2)</f>
        <v>06</v>
      </c>
      <c r="D1623" s="164" t="str">
        <f>LEFT(TDays[[#This Row],[تاریخ]],4)</f>
        <v>1405</v>
      </c>
      <c r="E1623" s="164" t="str">
        <f>LEFT(TDays[[#This Row],[تاریخ]],7)</f>
        <v>1405-06</v>
      </c>
      <c r="F1623">
        <v>6</v>
      </c>
      <c r="G1623" s="165" t="str">
        <f>VLOOKUP(TDays[[#This Row],[کد روز هفته]],TDaysOfTheWeek[],2,FALSE)</f>
        <v>جمعه</v>
      </c>
      <c r="H1623" s="165">
        <f>IFERROR(IF(E1622&lt;&gt;E1623,1,INT(H1622)+IF(TDays[[#This Row],[کد روز هفته]]=0,1,0)),1)</f>
        <v>1</v>
      </c>
      <c r="I1623" s="164">
        <f>-SUMIF(TArticle[تاریخ],TDays[[#This Row],[تاریخ]],TArticle[هزینه])</f>
        <v>0</v>
      </c>
      <c r="J1623" s="164">
        <f>SUMIF(TArticle[تاریخ],TDays[[#This Row],[تاریخ]],TArticle[درآمد تتا])</f>
        <v>0</v>
      </c>
      <c r="K1623" s="164">
        <f>SUMIF(TArticle[تاریخ],TDays[[#This Row],[تاریخ]],TArticle[اسنپ])</f>
        <v>0</v>
      </c>
      <c r="L1623" s="164">
        <f>-SUMIF(TArticle[تاریخ],TDays[[#This Row],[تاریخ]],TArticle[پرداخت بدهی])</f>
        <v>0</v>
      </c>
      <c r="M1623" s="164">
        <f>SUMIF(TArticle[تاریخ],TDays[[#This Row],[تاریخ]],TArticle[افزایش بدهی])</f>
        <v>0</v>
      </c>
      <c r="N1623" s="164">
        <f>-SUMIF(TArticle[تاریخ],TDays[[#This Row],[تاریخ]],TArticle[افزایش سرمایه])</f>
        <v>0</v>
      </c>
      <c r="O1623" s="164">
        <f>SUMIF(TArticle[تاریخ],TDays[[#This Row],[تاریخ]],TArticle[تعداد تراکنش انجام شده])</f>
        <v>0</v>
      </c>
      <c r="P1623" s="164">
        <f>INT(((TDays[[#This Row],[ماه]]-1)*31+TDays[[#This Row],[روز]]+1)/7)+1</f>
        <v>24</v>
      </c>
      <c r="Q1623" s="164">
        <f>SUMIF(TArticle[تاریخ],TDays[[#This Row],[تاریخ]],TArticle[تراکنش برنامه ریزی شده])</f>
        <v>0</v>
      </c>
    </row>
    <row r="1624" spans="1:17" x14ac:dyDescent="0.25">
      <c r="A1624" s="3" t="s">
        <v>2207</v>
      </c>
      <c r="B1624" s="164" t="str">
        <f>RIGHT(TDays[[#This Row],[تاریخ]],2)</f>
        <v>08</v>
      </c>
      <c r="C1624" s="164" t="str">
        <f>RIGHT(LEFT(TDays[[#This Row],[تاریخ]],7),2)</f>
        <v>06</v>
      </c>
      <c r="D1624" s="164" t="str">
        <f>LEFT(TDays[[#This Row],[تاریخ]],4)</f>
        <v>1405</v>
      </c>
      <c r="E1624" s="164" t="str">
        <f>LEFT(TDays[[#This Row],[تاریخ]],7)</f>
        <v>1405-06</v>
      </c>
      <c r="F1624">
        <v>0</v>
      </c>
      <c r="G1624" s="165" t="str">
        <f>VLOOKUP(TDays[[#This Row],[کد روز هفته]],TDaysOfTheWeek[],2,FALSE)</f>
        <v>شنبه</v>
      </c>
      <c r="H1624" s="165">
        <f>IFERROR(IF(E1623&lt;&gt;E1624,1,INT(H1623)+IF(TDays[[#This Row],[کد روز هفته]]=0,1,0)),1)</f>
        <v>2</v>
      </c>
      <c r="I1624" s="164">
        <f>-SUMIF(TArticle[تاریخ],TDays[[#This Row],[تاریخ]],TArticle[هزینه])</f>
        <v>0</v>
      </c>
      <c r="J1624" s="164">
        <f>SUMIF(TArticle[تاریخ],TDays[[#This Row],[تاریخ]],TArticle[درآمد تتا])</f>
        <v>0</v>
      </c>
      <c r="K1624" s="164">
        <f>SUMIF(TArticle[تاریخ],TDays[[#This Row],[تاریخ]],TArticle[اسنپ])</f>
        <v>0</v>
      </c>
      <c r="L1624" s="164">
        <f>-SUMIF(TArticle[تاریخ],TDays[[#This Row],[تاریخ]],TArticle[پرداخت بدهی])</f>
        <v>0</v>
      </c>
      <c r="M1624" s="164">
        <f>SUMIF(TArticle[تاریخ],TDays[[#This Row],[تاریخ]],TArticle[افزایش بدهی])</f>
        <v>0</v>
      </c>
      <c r="N1624" s="164">
        <f>-SUMIF(TArticle[تاریخ],TDays[[#This Row],[تاریخ]],TArticle[افزایش سرمایه])</f>
        <v>0</v>
      </c>
      <c r="O1624" s="164">
        <f>SUMIF(TArticle[تاریخ],TDays[[#This Row],[تاریخ]],TArticle[تعداد تراکنش انجام شده])</f>
        <v>0</v>
      </c>
      <c r="P1624" s="164">
        <f>INT(((TDays[[#This Row],[ماه]]-1)*31+TDays[[#This Row],[روز]]+1)/7)+1</f>
        <v>24</v>
      </c>
      <c r="Q1624" s="164">
        <f>SUMIF(TArticle[تاریخ],TDays[[#This Row],[تاریخ]],TArticle[تراکنش برنامه ریزی شده])</f>
        <v>0</v>
      </c>
    </row>
    <row r="1625" spans="1:17" x14ac:dyDescent="0.25">
      <c r="A1625" s="3" t="s">
        <v>2208</v>
      </c>
      <c r="B1625" s="164" t="str">
        <f>RIGHT(TDays[[#This Row],[تاریخ]],2)</f>
        <v>09</v>
      </c>
      <c r="C1625" s="164" t="str">
        <f>RIGHT(LEFT(TDays[[#This Row],[تاریخ]],7),2)</f>
        <v>06</v>
      </c>
      <c r="D1625" s="164" t="str">
        <f>LEFT(TDays[[#This Row],[تاریخ]],4)</f>
        <v>1405</v>
      </c>
      <c r="E1625" s="164" t="str">
        <f>LEFT(TDays[[#This Row],[تاریخ]],7)</f>
        <v>1405-06</v>
      </c>
      <c r="F1625">
        <v>1</v>
      </c>
      <c r="G1625" s="165" t="str">
        <f>VLOOKUP(TDays[[#This Row],[کد روز هفته]],TDaysOfTheWeek[],2,FALSE)</f>
        <v>یکشنبه</v>
      </c>
      <c r="H1625" s="165">
        <f>IFERROR(IF(E1624&lt;&gt;E1625,1,INT(H1624)+IF(TDays[[#This Row],[کد روز هفته]]=0,1,0)),1)</f>
        <v>2</v>
      </c>
      <c r="I1625" s="164">
        <f>-SUMIF(TArticle[تاریخ],TDays[[#This Row],[تاریخ]],TArticle[هزینه])</f>
        <v>0</v>
      </c>
      <c r="J1625" s="164">
        <f>SUMIF(TArticle[تاریخ],TDays[[#This Row],[تاریخ]],TArticle[درآمد تتا])</f>
        <v>0</v>
      </c>
      <c r="K1625" s="164">
        <f>SUMIF(TArticle[تاریخ],TDays[[#This Row],[تاریخ]],TArticle[اسنپ])</f>
        <v>0</v>
      </c>
      <c r="L1625" s="164">
        <f>-SUMIF(TArticle[تاریخ],TDays[[#This Row],[تاریخ]],TArticle[پرداخت بدهی])</f>
        <v>0</v>
      </c>
      <c r="M1625" s="164">
        <f>SUMIF(TArticle[تاریخ],TDays[[#This Row],[تاریخ]],TArticle[افزایش بدهی])</f>
        <v>0</v>
      </c>
      <c r="N1625" s="164">
        <f>-SUMIF(TArticle[تاریخ],TDays[[#This Row],[تاریخ]],TArticle[افزایش سرمایه])</f>
        <v>0</v>
      </c>
      <c r="O1625" s="164">
        <f>SUMIF(TArticle[تاریخ],TDays[[#This Row],[تاریخ]],TArticle[تعداد تراکنش انجام شده])</f>
        <v>0</v>
      </c>
      <c r="P1625" s="164">
        <f>INT(((TDays[[#This Row],[ماه]]-1)*31+TDays[[#This Row],[روز]]+1)/7)+1</f>
        <v>24</v>
      </c>
      <c r="Q1625" s="164">
        <f>SUMIF(TArticle[تاریخ],TDays[[#This Row],[تاریخ]],TArticle[تراکنش برنامه ریزی شده])</f>
        <v>0</v>
      </c>
    </row>
    <row r="1626" spans="1:17" x14ac:dyDescent="0.25">
      <c r="A1626" s="3" t="s">
        <v>2209</v>
      </c>
      <c r="B1626" s="164" t="str">
        <f>RIGHT(TDays[[#This Row],[تاریخ]],2)</f>
        <v>10</v>
      </c>
      <c r="C1626" s="164" t="str">
        <f>RIGHT(LEFT(TDays[[#This Row],[تاریخ]],7),2)</f>
        <v>06</v>
      </c>
      <c r="D1626" s="164" t="str">
        <f>LEFT(TDays[[#This Row],[تاریخ]],4)</f>
        <v>1405</v>
      </c>
      <c r="E1626" s="164" t="str">
        <f>LEFT(TDays[[#This Row],[تاریخ]],7)</f>
        <v>1405-06</v>
      </c>
      <c r="F1626">
        <v>2</v>
      </c>
      <c r="G1626" s="165" t="str">
        <f>VLOOKUP(TDays[[#This Row],[کد روز هفته]],TDaysOfTheWeek[],2,FALSE)</f>
        <v>دوشنبه</v>
      </c>
      <c r="H1626" s="165">
        <f>IFERROR(IF(E1625&lt;&gt;E1626,1,INT(H1625)+IF(TDays[[#This Row],[کد روز هفته]]=0,1,0)),1)</f>
        <v>2</v>
      </c>
      <c r="I1626" s="164">
        <f>-SUMIF(TArticle[تاریخ],TDays[[#This Row],[تاریخ]],TArticle[هزینه])</f>
        <v>0</v>
      </c>
      <c r="J1626" s="164">
        <f>SUMIF(TArticle[تاریخ],TDays[[#This Row],[تاریخ]],TArticle[درآمد تتا])</f>
        <v>0</v>
      </c>
      <c r="K1626" s="164">
        <f>SUMIF(TArticle[تاریخ],TDays[[#This Row],[تاریخ]],TArticle[اسنپ])</f>
        <v>0</v>
      </c>
      <c r="L1626" s="164">
        <f>-SUMIF(TArticle[تاریخ],TDays[[#This Row],[تاریخ]],TArticle[پرداخت بدهی])</f>
        <v>0</v>
      </c>
      <c r="M1626" s="164">
        <f>SUMIF(TArticle[تاریخ],TDays[[#This Row],[تاریخ]],TArticle[افزایش بدهی])</f>
        <v>0</v>
      </c>
      <c r="N1626" s="164">
        <f>-SUMIF(TArticle[تاریخ],TDays[[#This Row],[تاریخ]],TArticle[افزایش سرمایه])</f>
        <v>0</v>
      </c>
      <c r="O1626" s="164">
        <f>SUMIF(TArticle[تاریخ],TDays[[#This Row],[تاریخ]],TArticle[تعداد تراکنش انجام شده])</f>
        <v>0</v>
      </c>
      <c r="P1626" s="164">
        <f>INT(((TDays[[#This Row],[ماه]]-1)*31+TDays[[#This Row],[روز]]+1)/7)+1</f>
        <v>24</v>
      </c>
      <c r="Q1626" s="164">
        <f>SUMIF(TArticle[تاریخ],TDays[[#This Row],[تاریخ]],TArticle[تراکنش برنامه ریزی شده])</f>
        <v>0</v>
      </c>
    </row>
    <row r="1627" spans="1:17" x14ac:dyDescent="0.25">
      <c r="A1627" s="3" t="s">
        <v>2210</v>
      </c>
      <c r="B1627" s="164" t="str">
        <f>RIGHT(TDays[[#This Row],[تاریخ]],2)</f>
        <v>11</v>
      </c>
      <c r="C1627" s="164" t="str">
        <f>RIGHT(LEFT(TDays[[#This Row],[تاریخ]],7),2)</f>
        <v>06</v>
      </c>
      <c r="D1627" s="164" t="str">
        <f>LEFT(TDays[[#This Row],[تاریخ]],4)</f>
        <v>1405</v>
      </c>
      <c r="E1627" s="164" t="str">
        <f>LEFT(TDays[[#This Row],[تاریخ]],7)</f>
        <v>1405-06</v>
      </c>
      <c r="F1627" s="164">
        <v>3</v>
      </c>
      <c r="G1627" s="165" t="str">
        <f>VLOOKUP(TDays[[#This Row],[کد روز هفته]],TDaysOfTheWeek[],2,FALSE)</f>
        <v>سه شنبه</v>
      </c>
      <c r="H1627" s="165">
        <f>IFERROR(IF(E1626&lt;&gt;E1627,1,INT(H1626)+IF(TDays[[#This Row],[کد روز هفته]]=0,1,0)),1)</f>
        <v>2</v>
      </c>
      <c r="I1627" s="164">
        <f>-SUMIF(TArticle[تاریخ],TDays[[#This Row],[تاریخ]],TArticle[هزینه])</f>
        <v>0</v>
      </c>
      <c r="J1627" s="164">
        <f>SUMIF(TArticle[تاریخ],TDays[[#This Row],[تاریخ]],TArticle[درآمد تتا])</f>
        <v>0</v>
      </c>
      <c r="K1627" s="164">
        <f>SUMIF(TArticle[تاریخ],TDays[[#This Row],[تاریخ]],TArticle[اسنپ])</f>
        <v>0</v>
      </c>
      <c r="L1627" s="164">
        <f>-SUMIF(TArticle[تاریخ],TDays[[#This Row],[تاریخ]],TArticle[پرداخت بدهی])</f>
        <v>0</v>
      </c>
      <c r="M1627" s="164">
        <f>SUMIF(TArticle[تاریخ],TDays[[#This Row],[تاریخ]],TArticle[افزایش بدهی])</f>
        <v>0</v>
      </c>
      <c r="N1627" s="164">
        <f>-SUMIF(TArticle[تاریخ],TDays[[#This Row],[تاریخ]],TArticle[افزایش سرمایه])</f>
        <v>0</v>
      </c>
      <c r="O1627" s="164">
        <f>SUMIF(TArticle[تاریخ],TDays[[#This Row],[تاریخ]],TArticle[تعداد تراکنش انجام شده])</f>
        <v>0</v>
      </c>
      <c r="P1627" s="164">
        <f>INT(((TDays[[#This Row],[ماه]]-1)*31+TDays[[#This Row],[روز]]+1)/7)+1</f>
        <v>24</v>
      </c>
      <c r="Q1627" s="164">
        <f>SUMIF(TArticle[تاریخ],TDays[[#This Row],[تاریخ]],TArticle[تراکنش برنامه ریزی شده])</f>
        <v>0</v>
      </c>
    </row>
    <row r="1628" spans="1:17" x14ac:dyDescent="0.25">
      <c r="A1628" s="3" t="s">
        <v>2211</v>
      </c>
      <c r="B1628" s="164" t="str">
        <f>RIGHT(TDays[[#This Row],[تاریخ]],2)</f>
        <v>12</v>
      </c>
      <c r="C1628" s="164" t="str">
        <f>RIGHT(LEFT(TDays[[#This Row],[تاریخ]],7),2)</f>
        <v>06</v>
      </c>
      <c r="D1628" s="164" t="str">
        <f>LEFT(TDays[[#This Row],[تاریخ]],4)</f>
        <v>1405</v>
      </c>
      <c r="E1628" s="164" t="str">
        <f>LEFT(TDays[[#This Row],[تاریخ]],7)</f>
        <v>1405-06</v>
      </c>
      <c r="F1628" s="164">
        <v>4</v>
      </c>
      <c r="G1628" s="165" t="str">
        <f>VLOOKUP(TDays[[#This Row],[کد روز هفته]],TDaysOfTheWeek[],2,FALSE)</f>
        <v>چهارشنبه</v>
      </c>
      <c r="H1628" s="165">
        <f>IFERROR(IF(E1627&lt;&gt;E1628,1,INT(H1627)+IF(TDays[[#This Row],[کد روز هفته]]=0,1,0)),1)</f>
        <v>2</v>
      </c>
      <c r="I1628" s="164">
        <f>-SUMIF(TArticle[تاریخ],TDays[[#This Row],[تاریخ]],TArticle[هزینه])</f>
        <v>0</v>
      </c>
      <c r="J1628" s="164">
        <f>SUMIF(TArticle[تاریخ],TDays[[#This Row],[تاریخ]],TArticle[درآمد تتا])</f>
        <v>0</v>
      </c>
      <c r="K1628" s="164">
        <f>SUMIF(TArticle[تاریخ],TDays[[#This Row],[تاریخ]],TArticle[اسنپ])</f>
        <v>0</v>
      </c>
      <c r="L1628" s="164">
        <f>-SUMIF(TArticle[تاریخ],TDays[[#This Row],[تاریخ]],TArticle[پرداخت بدهی])</f>
        <v>0</v>
      </c>
      <c r="M1628" s="164">
        <f>SUMIF(TArticle[تاریخ],TDays[[#This Row],[تاریخ]],TArticle[افزایش بدهی])</f>
        <v>0</v>
      </c>
      <c r="N1628" s="164">
        <f>-SUMIF(TArticle[تاریخ],TDays[[#This Row],[تاریخ]],TArticle[افزایش سرمایه])</f>
        <v>0</v>
      </c>
      <c r="O1628" s="164">
        <f>SUMIF(TArticle[تاریخ],TDays[[#This Row],[تاریخ]],TArticle[تعداد تراکنش انجام شده])</f>
        <v>0</v>
      </c>
      <c r="P1628" s="164">
        <f>INT(((TDays[[#This Row],[ماه]]-1)*31+TDays[[#This Row],[روز]]+1)/7)+1</f>
        <v>25</v>
      </c>
      <c r="Q1628" s="164">
        <f>SUMIF(TArticle[تاریخ],TDays[[#This Row],[تاریخ]],TArticle[تراکنش برنامه ریزی شده])</f>
        <v>0</v>
      </c>
    </row>
    <row r="1629" spans="1:17" x14ac:dyDescent="0.25">
      <c r="A1629" s="3" t="s">
        <v>2212</v>
      </c>
      <c r="B1629" s="164" t="str">
        <f>RIGHT(TDays[[#This Row],[تاریخ]],2)</f>
        <v>13</v>
      </c>
      <c r="C1629" s="164" t="str">
        <f>RIGHT(LEFT(TDays[[#This Row],[تاریخ]],7),2)</f>
        <v>06</v>
      </c>
      <c r="D1629" s="164" t="str">
        <f>LEFT(TDays[[#This Row],[تاریخ]],4)</f>
        <v>1405</v>
      </c>
      <c r="E1629" s="164" t="str">
        <f>LEFT(TDays[[#This Row],[تاریخ]],7)</f>
        <v>1405-06</v>
      </c>
      <c r="F1629">
        <v>5</v>
      </c>
      <c r="G1629" s="165" t="str">
        <f>VLOOKUP(TDays[[#This Row],[کد روز هفته]],TDaysOfTheWeek[],2,FALSE)</f>
        <v>پنجشنبه</v>
      </c>
      <c r="H1629" s="165">
        <f>IFERROR(IF(E1628&lt;&gt;E1629,1,INT(H1628)+IF(TDays[[#This Row],[کد روز هفته]]=0,1,0)),1)</f>
        <v>2</v>
      </c>
      <c r="I1629" s="164">
        <f>-SUMIF(TArticle[تاریخ],TDays[[#This Row],[تاریخ]],TArticle[هزینه])</f>
        <v>0</v>
      </c>
      <c r="J1629" s="164">
        <f>SUMIF(TArticle[تاریخ],TDays[[#This Row],[تاریخ]],TArticle[درآمد تتا])</f>
        <v>0</v>
      </c>
      <c r="K1629" s="164">
        <f>SUMIF(TArticle[تاریخ],TDays[[#This Row],[تاریخ]],TArticle[اسنپ])</f>
        <v>0</v>
      </c>
      <c r="L1629" s="164">
        <f>-SUMIF(TArticle[تاریخ],TDays[[#This Row],[تاریخ]],TArticle[پرداخت بدهی])</f>
        <v>0</v>
      </c>
      <c r="M1629" s="164">
        <f>SUMIF(TArticle[تاریخ],TDays[[#This Row],[تاریخ]],TArticle[افزایش بدهی])</f>
        <v>0</v>
      </c>
      <c r="N1629" s="164">
        <f>-SUMIF(TArticle[تاریخ],TDays[[#This Row],[تاریخ]],TArticle[افزایش سرمایه])</f>
        <v>0</v>
      </c>
      <c r="O1629" s="164">
        <f>SUMIF(TArticle[تاریخ],TDays[[#This Row],[تاریخ]],TArticle[تعداد تراکنش انجام شده])</f>
        <v>0</v>
      </c>
      <c r="P1629" s="164">
        <f>INT(((TDays[[#This Row],[ماه]]-1)*31+TDays[[#This Row],[روز]]+1)/7)+1</f>
        <v>25</v>
      </c>
      <c r="Q1629" s="164">
        <f>SUMIF(TArticle[تاریخ],TDays[[#This Row],[تاریخ]],TArticle[تراکنش برنامه ریزی شده])</f>
        <v>0</v>
      </c>
    </row>
    <row r="1630" spans="1:17" x14ac:dyDescent="0.25">
      <c r="A1630" s="3" t="s">
        <v>2213</v>
      </c>
      <c r="B1630" s="164" t="str">
        <f>RIGHT(TDays[[#This Row],[تاریخ]],2)</f>
        <v>14</v>
      </c>
      <c r="C1630" s="164" t="str">
        <f>RIGHT(LEFT(TDays[[#This Row],[تاریخ]],7),2)</f>
        <v>06</v>
      </c>
      <c r="D1630" s="164" t="str">
        <f>LEFT(TDays[[#This Row],[تاریخ]],4)</f>
        <v>1405</v>
      </c>
      <c r="E1630" s="164" t="str">
        <f>LEFT(TDays[[#This Row],[تاریخ]],7)</f>
        <v>1405-06</v>
      </c>
      <c r="F1630">
        <v>6</v>
      </c>
      <c r="G1630" s="165" t="str">
        <f>VLOOKUP(TDays[[#This Row],[کد روز هفته]],TDaysOfTheWeek[],2,FALSE)</f>
        <v>جمعه</v>
      </c>
      <c r="H1630" s="165">
        <f>IFERROR(IF(E1629&lt;&gt;E1630,1,INT(H1629)+IF(TDays[[#This Row],[کد روز هفته]]=0,1,0)),1)</f>
        <v>2</v>
      </c>
      <c r="I1630" s="164">
        <f>-SUMIF(TArticle[تاریخ],TDays[[#This Row],[تاریخ]],TArticle[هزینه])</f>
        <v>0</v>
      </c>
      <c r="J1630" s="164">
        <f>SUMIF(TArticle[تاریخ],TDays[[#This Row],[تاریخ]],TArticle[درآمد تتا])</f>
        <v>0</v>
      </c>
      <c r="K1630" s="164">
        <f>SUMIF(TArticle[تاریخ],TDays[[#This Row],[تاریخ]],TArticle[اسنپ])</f>
        <v>0</v>
      </c>
      <c r="L1630" s="164">
        <f>-SUMIF(TArticle[تاریخ],TDays[[#This Row],[تاریخ]],TArticle[پرداخت بدهی])</f>
        <v>0</v>
      </c>
      <c r="M1630" s="164">
        <f>SUMIF(TArticle[تاریخ],TDays[[#This Row],[تاریخ]],TArticle[افزایش بدهی])</f>
        <v>0</v>
      </c>
      <c r="N1630" s="164">
        <f>-SUMIF(TArticle[تاریخ],TDays[[#This Row],[تاریخ]],TArticle[افزایش سرمایه])</f>
        <v>0</v>
      </c>
      <c r="O1630" s="164">
        <f>SUMIF(TArticle[تاریخ],TDays[[#This Row],[تاریخ]],TArticle[تعداد تراکنش انجام شده])</f>
        <v>0</v>
      </c>
      <c r="P1630" s="164">
        <f>INT(((TDays[[#This Row],[ماه]]-1)*31+TDays[[#This Row],[روز]]+1)/7)+1</f>
        <v>25</v>
      </c>
      <c r="Q1630" s="164">
        <f>SUMIF(TArticle[تاریخ],TDays[[#This Row],[تاریخ]],TArticle[تراکنش برنامه ریزی شده])</f>
        <v>0</v>
      </c>
    </row>
    <row r="1631" spans="1:17" x14ac:dyDescent="0.25">
      <c r="A1631" s="3" t="s">
        <v>2214</v>
      </c>
      <c r="B1631" s="164" t="str">
        <f>RIGHT(TDays[[#This Row],[تاریخ]],2)</f>
        <v>15</v>
      </c>
      <c r="C1631" s="164" t="str">
        <f>RIGHT(LEFT(TDays[[#This Row],[تاریخ]],7),2)</f>
        <v>06</v>
      </c>
      <c r="D1631" s="164" t="str">
        <f>LEFT(TDays[[#This Row],[تاریخ]],4)</f>
        <v>1405</v>
      </c>
      <c r="E1631" s="164" t="str">
        <f>LEFT(TDays[[#This Row],[تاریخ]],7)</f>
        <v>1405-06</v>
      </c>
      <c r="F1631">
        <v>0</v>
      </c>
      <c r="G1631" s="165" t="str">
        <f>VLOOKUP(TDays[[#This Row],[کد روز هفته]],TDaysOfTheWeek[],2,FALSE)</f>
        <v>شنبه</v>
      </c>
      <c r="H1631" s="165">
        <f>IFERROR(IF(E1630&lt;&gt;E1631,1,INT(H1630)+IF(TDays[[#This Row],[کد روز هفته]]=0,1,0)),1)</f>
        <v>3</v>
      </c>
      <c r="I1631" s="164">
        <f>-SUMIF(TArticle[تاریخ],TDays[[#This Row],[تاریخ]],TArticle[هزینه])</f>
        <v>0</v>
      </c>
      <c r="J1631" s="164">
        <f>SUMIF(TArticle[تاریخ],TDays[[#This Row],[تاریخ]],TArticle[درآمد تتا])</f>
        <v>0</v>
      </c>
      <c r="K1631" s="164">
        <f>SUMIF(TArticle[تاریخ],TDays[[#This Row],[تاریخ]],TArticle[اسنپ])</f>
        <v>0</v>
      </c>
      <c r="L1631" s="164">
        <f>-SUMIF(TArticle[تاریخ],TDays[[#This Row],[تاریخ]],TArticle[پرداخت بدهی])</f>
        <v>0</v>
      </c>
      <c r="M1631" s="164">
        <f>SUMIF(TArticle[تاریخ],TDays[[#This Row],[تاریخ]],TArticle[افزایش بدهی])</f>
        <v>0</v>
      </c>
      <c r="N1631" s="164">
        <f>-SUMIF(TArticle[تاریخ],TDays[[#This Row],[تاریخ]],TArticle[افزایش سرمایه])</f>
        <v>0</v>
      </c>
      <c r="O1631" s="164">
        <f>SUMIF(TArticle[تاریخ],TDays[[#This Row],[تاریخ]],TArticle[تعداد تراکنش انجام شده])</f>
        <v>0</v>
      </c>
      <c r="P1631" s="164">
        <f>INT(((TDays[[#This Row],[ماه]]-1)*31+TDays[[#This Row],[روز]]+1)/7)+1</f>
        <v>25</v>
      </c>
      <c r="Q1631" s="164">
        <f>SUMIF(TArticle[تاریخ],TDays[[#This Row],[تاریخ]],TArticle[تراکنش برنامه ریزی شده])</f>
        <v>0</v>
      </c>
    </row>
    <row r="1632" spans="1:17" x14ac:dyDescent="0.25">
      <c r="A1632" s="3" t="s">
        <v>2215</v>
      </c>
      <c r="B1632" s="164" t="str">
        <f>RIGHT(TDays[[#This Row],[تاریخ]],2)</f>
        <v>16</v>
      </c>
      <c r="C1632" s="164" t="str">
        <f>RIGHT(LEFT(TDays[[#This Row],[تاریخ]],7),2)</f>
        <v>06</v>
      </c>
      <c r="D1632" s="164" t="str">
        <f>LEFT(TDays[[#This Row],[تاریخ]],4)</f>
        <v>1405</v>
      </c>
      <c r="E1632" s="164" t="str">
        <f>LEFT(TDays[[#This Row],[تاریخ]],7)</f>
        <v>1405-06</v>
      </c>
      <c r="F1632">
        <v>1</v>
      </c>
      <c r="G1632" s="165" t="str">
        <f>VLOOKUP(TDays[[#This Row],[کد روز هفته]],TDaysOfTheWeek[],2,FALSE)</f>
        <v>یکشنبه</v>
      </c>
      <c r="H1632" s="165">
        <f>IFERROR(IF(E1631&lt;&gt;E1632,1,INT(H1631)+IF(TDays[[#This Row],[کد روز هفته]]=0,1,0)),1)</f>
        <v>3</v>
      </c>
      <c r="I1632" s="164">
        <f>-SUMIF(TArticle[تاریخ],TDays[[#This Row],[تاریخ]],TArticle[هزینه])</f>
        <v>0</v>
      </c>
      <c r="J1632" s="164">
        <f>SUMIF(TArticle[تاریخ],TDays[[#This Row],[تاریخ]],TArticle[درآمد تتا])</f>
        <v>0</v>
      </c>
      <c r="K1632" s="164">
        <f>SUMIF(TArticle[تاریخ],TDays[[#This Row],[تاریخ]],TArticle[اسنپ])</f>
        <v>0</v>
      </c>
      <c r="L1632" s="164">
        <f>-SUMIF(TArticle[تاریخ],TDays[[#This Row],[تاریخ]],TArticle[پرداخت بدهی])</f>
        <v>0</v>
      </c>
      <c r="M1632" s="164">
        <f>SUMIF(TArticle[تاریخ],TDays[[#This Row],[تاریخ]],TArticle[افزایش بدهی])</f>
        <v>0</v>
      </c>
      <c r="N1632" s="164">
        <f>-SUMIF(TArticle[تاریخ],TDays[[#This Row],[تاریخ]],TArticle[افزایش سرمایه])</f>
        <v>0</v>
      </c>
      <c r="O1632" s="164">
        <f>SUMIF(TArticle[تاریخ],TDays[[#This Row],[تاریخ]],TArticle[تعداد تراکنش انجام شده])</f>
        <v>0</v>
      </c>
      <c r="P1632" s="164">
        <f>INT(((TDays[[#This Row],[ماه]]-1)*31+TDays[[#This Row],[روز]]+1)/7)+1</f>
        <v>25</v>
      </c>
      <c r="Q1632" s="164">
        <f>SUMIF(TArticle[تاریخ],TDays[[#This Row],[تاریخ]],TArticle[تراکنش برنامه ریزی شده])</f>
        <v>0</v>
      </c>
    </row>
    <row r="1633" spans="1:17" x14ac:dyDescent="0.25">
      <c r="A1633" s="3" t="s">
        <v>2216</v>
      </c>
      <c r="B1633" s="164" t="str">
        <f>RIGHT(TDays[[#This Row],[تاریخ]],2)</f>
        <v>17</v>
      </c>
      <c r="C1633" s="164" t="str">
        <f>RIGHT(LEFT(TDays[[#This Row],[تاریخ]],7),2)</f>
        <v>06</v>
      </c>
      <c r="D1633" s="164" t="str">
        <f>LEFT(TDays[[#This Row],[تاریخ]],4)</f>
        <v>1405</v>
      </c>
      <c r="E1633" s="164" t="str">
        <f>LEFT(TDays[[#This Row],[تاریخ]],7)</f>
        <v>1405-06</v>
      </c>
      <c r="F1633">
        <v>2</v>
      </c>
      <c r="G1633" s="165" t="str">
        <f>VLOOKUP(TDays[[#This Row],[کد روز هفته]],TDaysOfTheWeek[],2,FALSE)</f>
        <v>دوشنبه</v>
      </c>
      <c r="H1633" s="165">
        <f>IFERROR(IF(E1632&lt;&gt;E1633,1,INT(H1632)+IF(TDays[[#This Row],[کد روز هفته]]=0,1,0)),1)</f>
        <v>3</v>
      </c>
      <c r="I1633" s="164">
        <f>-SUMIF(TArticle[تاریخ],TDays[[#This Row],[تاریخ]],TArticle[هزینه])</f>
        <v>0</v>
      </c>
      <c r="J1633" s="164">
        <f>SUMIF(TArticle[تاریخ],TDays[[#This Row],[تاریخ]],TArticle[درآمد تتا])</f>
        <v>0</v>
      </c>
      <c r="K1633" s="164">
        <f>SUMIF(TArticle[تاریخ],TDays[[#This Row],[تاریخ]],TArticle[اسنپ])</f>
        <v>0</v>
      </c>
      <c r="L1633" s="164">
        <f>-SUMIF(TArticle[تاریخ],TDays[[#This Row],[تاریخ]],TArticle[پرداخت بدهی])</f>
        <v>0</v>
      </c>
      <c r="M1633" s="164">
        <f>SUMIF(TArticle[تاریخ],TDays[[#This Row],[تاریخ]],TArticle[افزایش بدهی])</f>
        <v>0</v>
      </c>
      <c r="N1633" s="164">
        <f>-SUMIF(TArticle[تاریخ],TDays[[#This Row],[تاریخ]],TArticle[افزایش سرمایه])</f>
        <v>0</v>
      </c>
      <c r="O1633" s="164">
        <f>SUMIF(TArticle[تاریخ],TDays[[#This Row],[تاریخ]],TArticle[تعداد تراکنش انجام شده])</f>
        <v>0</v>
      </c>
      <c r="P1633" s="164">
        <f>INT(((TDays[[#This Row],[ماه]]-1)*31+TDays[[#This Row],[روز]]+1)/7)+1</f>
        <v>25</v>
      </c>
      <c r="Q1633" s="164">
        <f>SUMIF(TArticle[تاریخ],TDays[[#This Row],[تاریخ]],TArticle[تراکنش برنامه ریزی شده])</f>
        <v>0</v>
      </c>
    </row>
    <row r="1634" spans="1:17" x14ac:dyDescent="0.25">
      <c r="A1634" s="3" t="s">
        <v>2217</v>
      </c>
      <c r="B1634" s="164" t="str">
        <f>RIGHT(TDays[[#This Row],[تاریخ]],2)</f>
        <v>18</v>
      </c>
      <c r="C1634" s="164" t="str">
        <f>RIGHT(LEFT(TDays[[#This Row],[تاریخ]],7),2)</f>
        <v>06</v>
      </c>
      <c r="D1634" s="164" t="str">
        <f>LEFT(TDays[[#This Row],[تاریخ]],4)</f>
        <v>1405</v>
      </c>
      <c r="E1634" s="164" t="str">
        <f>LEFT(TDays[[#This Row],[تاریخ]],7)</f>
        <v>1405-06</v>
      </c>
      <c r="F1634">
        <v>3</v>
      </c>
      <c r="G1634" s="165" t="str">
        <f>VLOOKUP(TDays[[#This Row],[کد روز هفته]],TDaysOfTheWeek[],2,FALSE)</f>
        <v>سه شنبه</v>
      </c>
      <c r="H1634" s="165">
        <f>IFERROR(IF(E1633&lt;&gt;E1634,1,INT(H1633)+IF(TDays[[#This Row],[کد روز هفته]]=0,1,0)),1)</f>
        <v>3</v>
      </c>
      <c r="I1634" s="164">
        <f>-SUMIF(TArticle[تاریخ],TDays[[#This Row],[تاریخ]],TArticle[هزینه])</f>
        <v>0</v>
      </c>
      <c r="J1634" s="164">
        <f>SUMIF(TArticle[تاریخ],TDays[[#This Row],[تاریخ]],TArticle[درآمد تتا])</f>
        <v>0</v>
      </c>
      <c r="K1634" s="164">
        <f>SUMIF(TArticle[تاریخ],TDays[[#This Row],[تاریخ]],TArticle[اسنپ])</f>
        <v>0</v>
      </c>
      <c r="L1634" s="164">
        <f>-SUMIF(TArticle[تاریخ],TDays[[#This Row],[تاریخ]],TArticle[پرداخت بدهی])</f>
        <v>0</v>
      </c>
      <c r="M1634" s="164">
        <f>SUMIF(TArticle[تاریخ],TDays[[#This Row],[تاریخ]],TArticle[افزایش بدهی])</f>
        <v>0</v>
      </c>
      <c r="N1634" s="164">
        <f>-SUMIF(TArticle[تاریخ],TDays[[#This Row],[تاریخ]],TArticle[افزایش سرمایه])</f>
        <v>0</v>
      </c>
      <c r="O1634" s="164">
        <f>SUMIF(TArticle[تاریخ],TDays[[#This Row],[تاریخ]],TArticle[تعداد تراکنش انجام شده])</f>
        <v>0</v>
      </c>
      <c r="P1634" s="164">
        <f>INT(((TDays[[#This Row],[ماه]]-1)*31+TDays[[#This Row],[روز]]+1)/7)+1</f>
        <v>25</v>
      </c>
      <c r="Q1634" s="164">
        <f>SUMIF(TArticle[تاریخ],TDays[[#This Row],[تاریخ]],TArticle[تراکنش برنامه ریزی شده])</f>
        <v>0</v>
      </c>
    </row>
    <row r="1635" spans="1:17" x14ac:dyDescent="0.25">
      <c r="A1635" s="3" t="s">
        <v>2218</v>
      </c>
      <c r="B1635" s="164" t="str">
        <f>RIGHT(TDays[[#This Row],[تاریخ]],2)</f>
        <v>19</v>
      </c>
      <c r="C1635" s="164" t="str">
        <f>RIGHT(LEFT(TDays[[#This Row],[تاریخ]],7),2)</f>
        <v>06</v>
      </c>
      <c r="D1635" s="164" t="str">
        <f>LEFT(TDays[[#This Row],[تاریخ]],4)</f>
        <v>1405</v>
      </c>
      <c r="E1635" s="164" t="str">
        <f>LEFT(TDays[[#This Row],[تاریخ]],7)</f>
        <v>1405-06</v>
      </c>
      <c r="F1635">
        <v>4</v>
      </c>
      <c r="G1635" s="165" t="str">
        <f>VLOOKUP(TDays[[#This Row],[کد روز هفته]],TDaysOfTheWeek[],2,FALSE)</f>
        <v>چهارشنبه</v>
      </c>
      <c r="H1635" s="165">
        <f>IFERROR(IF(E1634&lt;&gt;E1635,1,INT(H1634)+IF(TDays[[#This Row],[کد روز هفته]]=0,1,0)),1)</f>
        <v>3</v>
      </c>
      <c r="I1635" s="164">
        <f>-SUMIF(TArticle[تاریخ],TDays[[#This Row],[تاریخ]],TArticle[هزینه])</f>
        <v>0</v>
      </c>
      <c r="J1635" s="164">
        <f>SUMIF(TArticle[تاریخ],TDays[[#This Row],[تاریخ]],TArticle[درآمد تتا])</f>
        <v>0</v>
      </c>
      <c r="K1635" s="164">
        <f>SUMIF(TArticle[تاریخ],TDays[[#This Row],[تاریخ]],TArticle[اسنپ])</f>
        <v>0</v>
      </c>
      <c r="L1635" s="164">
        <f>-SUMIF(TArticle[تاریخ],TDays[[#This Row],[تاریخ]],TArticle[پرداخت بدهی])</f>
        <v>0</v>
      </c>
      <c r="M1635" s="164">
        <f>SUMIF(TArticle[تاریخ],TDays[[#This Row],[تاریخ]],TArticle[افزایش بدهی])</f>
        <v>0</v>
      </c>
      <c r="N1635" s="164">
        <f>-SUMIF(TArticle[تاریخ],TDays[[#This Row],[تاریخ]],TArticle[افزایش سرمایه])</f>
        <v>0</v>
      </c>
      <c r="O1635" s="164">
        <f>SUMIF(TArticle[تاریخ],TDays[[#This Row],[تاریخ]],TArticle[تعداد تراکنش انجام شده])</f>
        <v>0</v>
      </c>
      <c r="P1635" s="164">
        <f>INT(((TDays[[#This Row],[ماه]]-1)*31+TDays[[#This Row],[روز]]+1)/7)+1</f>
        <v>26</v>
      </c>
      <c r="Q1635" s="164">
        <f>SUMIF(TArticle[تاریخ],TDays[[#This Row],[تاریخ]],TArticle[تراکنش برنامه ریزی شده])</f>
        <v>0</v>
      </c>
    </row>
    <row r="1636" spans="1:17" x14ac:dyDescent="0.25">
      <c r="A1636" s="3" t="s">
        <v>2219</v>
      </c>
      <c r="B1636" s="164" t="str">
        <f>RIGHT(TDays[[#This Row],[تاریخ]],2)</f>
        <v>20</v>
      </c>
      <c r="C1636" s="164" t="str">
        <f>RIGHT(LEFT(TDays[[#This Row],[تاریخ]],7),2)</f>
        <v>06</v>
      </c>
      <c r="D1636" s="164" t="str">
        <f>LEFT(TDays[[#This Row],[تاریخ]],4)</f>
        <v>1405</v>
      </c>
      <c r="E1636" s="164" t="str">
        <f>LEFT(TDays[[#This Row],[تاریخ]],7)</f>
        <v>1405-06</v>
      </c>
      <c r="F1636">
        <v>5</v>
      </c>
      <c r="G1636" s="165" t="str">
        <f>VLOOKUP(TDays[[#This Row],[کد روز هفته]],TDaysOfTheWeek[],2,FALSE)</f>
        <v>پنجشنبه</v>
      </c>
      <c r="H1636" s="165">
        <f>IFERROR(IF(E1635&lt;&gt;E1636,1,INT(H1635)+IF(TDays[[#This Row],[کد روز هفته]]=0,1,0)),1)</f>
        <v>3</v>
      </c>
      <c r="I1636" s="164">
        <f>-SUMIF(TArticle[تاریخ],TDays[[#This Row],[تاریخ]],TArticle[هزینه])</f>
        <v>0</v>
      </c>
      <c r="J1636" s="164">
        <f>SUMIF(TArticle[تاریخ],TDays[[#This Row],[تاریخ]],TArticle[درآمد تتا])</f>
        <v>0</v>
      </c>
      <c r="K1636" s="164">
        <f>SUMIF(TArticle[تاریخ],TDays[[#This Row],[تاریخ]],TArticle[اسنپ])</f>
        <v>0</v>
      </c>
      <c r="L1636" s="164">
        <f>-SUMIF(TArticle[تاریخ],TDays[[#This Row],[تاریخ]],TArticle[پرداخت بدهی])</f>
        <v>0</v>
      </c>
      <c r="M1636" s="164">
        <f>SUMIF(TArticle[تاریخ],TDays[[#This Row],[تاریخ]],TArticle[افزایش بدهی])</f>
        <v>0</v>
      </c>
      <c r="N1636" s="164">
        <f>-SUMIF(TArticle[تاریخ],TDays[[#This Row],[تاریخ]],TArticle[افزایش سرمایه])</f>
        <v>0</v>
      </c>
      <c r="O1636" s="164">
        <f>SUMIF(TArticle[تاریخ],TDays[[#This Row],[تاریخ]],TArticle[تعداد تراکنش انجام شده])</f>
        <v>0</v>
      </c>
      <c r="P1636" s="164">
        <f>INT(((TDays[[#This Row],[ماه]]-1)*31+TDays[[#This Row],[روز]]+1)/7)+1</f>
        <v>26</v>
      </c>
      <c r="Q1636" s="164">
        <f>SUMIF(TArticle[تاریخ],TDays[[#This Row],[تاریخ]],TArticle[تراکنش برنامه ریزی شده])</f>
        <v>0</v>
      </c>
    </row>
    <row r="1637" spans="1:17" x14ac:dyDescent="0.25">
      <c r="A1637" s="3" t="s">
        <v>2220</v>
      </c>
      <c r="B1637" s="164" t="str">
        <f>RIGHT(TDays[[#This Row],[تاریخ]],2)</f>
        <v>21</v>
      </c>
      <c r="C1637" s="164" t="str">
        <f>RIGHT(LEFT(TDays[[#This Row],[تاریخ]],7),2)</f>
        <v>06</v>
      </c>
      <c r="D1637" s="164" t="str">
        <f>LEFT(TDays[[#This Row],[تاریخ]],4)</f>
        <v>1405</v>
      </c>
      <c r="E1637" s="164" t="str">
        <f>LEFT(TDays[[#This Row],[تاریخ]],7)</f>
        <v>1405-06</v>
      </c>
      <c r="F1637">
        <v>6</v>
      </c>
      <c r="G1637" s="165" t="str">
        <f>VLOOKUP(TDays[[#This Row],[کد روز هفته]],TDaysOfTheWeek[],2,FALSE)</f>
        <v>جمعه</v>
      </c>
      <c r="H1637" s="165">
        <f>IFERROR(IF(E1636&lt;&gt;E1637,1,INT(H1636)+IF(TDays[[#This Row],[کد روز هفته]]=0,1,0)),1)</f>
        <v>3</v>
      </c>
      <c r="I1637" s="164">
        <f>-SUMIF(TArticle[تاریخ],TDays[[#This Row],[تاریخ]],TArticle[هزینه])</f>
        <v>0</v>
      </c>
      <c r="J1637" s="164">
        <f>SUMIF(TArticle[تاریخ],TDays[[#This Row],[تاریخ]],TArticle[درآمد تتا])</f>
        <v>0</v>
      </c>
      <c r="K1637" s="164">
        <f>SUMIF(TArticle[تاریخ],TDays[[#This Row],[تاریخ]],TArticle[اسنپ])</f>
        <v>0</v>
      </c>
      <c r="L1637" s="164">
        <f>-SUMIF(TArticle[تاریخ],TDays[[#This Row],[تاریخ]],TArticle[پرداخت بدهی])</f>
        <v>0</v>
      </c>
      <c r="M1637" s="164">
        <f>SUMIF(TArticle[تاریخ],TDays[[#This Row],[تاریخ]],TArticle[افزایش بدهی])</f>
        <v>0</v>
      </c>
      <c r="N1637" s="164">
        <f>-SUMIF(TArticle[تاریخ],TDays[[#This Row],[تاریخ]],TArticle[افزایش سرمایه])</f>
        <v>0</v>
      </c>
      <c r="O1637" s="164">
        <f>SUMIF(TArticle[تاریخ],TDays[[#This Row],[تاریخ]],TArticle[تعداد تراکنش انجام شده])</f>
        <v>0</v>
      </c>
      <c r="P1637" s="164">
        <f>INT(((TDays[[#This Row],[ماه]]-1)*31+TDays[[#This Row],[روز]]+1)/7)+1</f>
        <v>26</v>
      </c>
      <c r="Q1637" s="164">
        <f>SUMIF(TArticle[تاریخ],TDays[[#This Row],[تاریخ]],TArticle[تراکنش برنامه ریزی شده])</f>
        <v>0</v>
      </c>
    </row>
    <row r="1638" spans="1:17" x14ac:dyDescent="0.25">
      <c r="A1638" s="3" t="s">
        <v>2221</v>
      </c>
      <c r="B1638" s="164" t="str">
        <f>RIGHT(TDays[[#This Row],[تاریخ]],2)</f>
        <v>22</v>
      </c>
      <c r="C1638" s="164" t="str">
        <f>RIGHT(LEFT(TDays[[#This Row],[تاریخ]],7),2)</f>
        <v>06</v>
      </c>
      <c r="D1638" s="164" t="str">
        <f>LEFT(TDays[[#This Row],[تاریخ]],4)</f>
        <v>1405</v>
      </c>
      <c r="E1638" s="164" t="str">
        <f>LEFT(TDays[[#This Row],[تاریخ]],7)</f>
        <v>1405-06</v>
      </c>
      <c r="F1638">
        <v>0</v>
      </c>
      <c r="G1638" s="165" t="str">
        <f>VLOOKUP(TDays[[#This Row],[کد روز هفته]],TDaysOfTheWeek[],2,FALSE)</f>
        <v>شنبه</v>
      </c>
      <c r="H1638" s="165">
        <f>IFERROR(IF(E1637&lt;&gt;E1638,1,INT(H1637)+IF(TDays[[#This Row],[کد روز هفته]]=0,1,0)),1)</f>
        <v>4</v>
      </c>
      <c r="I1638" s="164">
        <f>-SUMIF(TArticle[تاریخ],TDays[[#This Row],[تاریخ]],TArticle[هزینه])</f>
        <v>0</v>
      </c>
      <c r="J1638" s="164">
        <f>SUMIF(TArticle[تاریخ],TDays[[#This Row],[تاریخ]],TArticle[درآمد تتا])</f>
        <v>0</v>
      </c>
      <c r="K1638" s="164">
        <f>SUMIF(TArticle[تاریخ],TDays[[#This Row],[تاریخ]],TArticle[اسنپ])</f>
        <v>0</v>
      </c>
      <c r="L1638" s="164">
        <f>-SUMIF(TArticle[تاریخ],TDays[[#This Row],[تاریخ]],TArticle[پرداخت بدهی])</f>
        <v>0</v>
      </c>
      <c r="M1638" s="164">
        <f>SUMIF(TArticle[تاریخ],TDays[[#This Row],[تاریخ]],TArticle[افزایش بدهی])</f>
        <v>0</v>
      </c>
      <c r="N1638" s="164">
        <f>-SUMIF(TArticle[تاریخ],TDays[[#This Row],[تاریخ]],TArticle[افزایش سرمایه])</f>
        <v>0</v>
      </c>
      <c r="O1638" s="164">
        <f>SUMIF(TArticle[تاریخ],TDays[[#This Row],[تاریخ]],TArticle[تعداد تراکنش انجام شده])</f>
        <v>0</v>
      </c>
      <c r="P1638" s="164">
        <f>INT(((TDays[[#This Row],[ماه]]-1)*31+TDays[[#This Row],[روز]]+1)/7)+1</f>
        <v>26</v>
      </c>
      <c r="Q1638" s="164">
        <f>SUMIF(TArticle[تاریخ],TDays[[#This Row],[تاریخ]],TArticle[تراکنش برنامه ریزی شده])</f>
        <v>0</v>
      </c>
    </row>
    <row r="1639" spans="1:17" x14ac:dyDescent="0.25">
      <c r="A1639" s="3" t="s">
        <v>2222</v>
      </c>
      <c r="B1639" s="164" t="str">
        <f>RIGHT(TDays[[#This Row],[تاریخ]],2)</f>
        <v>23</v>
      </c>
      <c r="C1639" s="164" t="str">
        <f>RIGHT(LEFT(TDays[[#This Row],[تاریخ]],7),2)</f>
        <v>06</v>
      </c>
      <c r="D1639" s="164" t="str">
        <f>LEFT(TDays[[#This Row],[تاریخ]],4)</f>
        <v>1405</v>
      </c>
      <c r="E1639" s="164" t="str">
        <f>LEFT(TDays[[#This Row],[تاریخ]],7)</f>
        <v>1405-06</v>
      </c>
      <c r="F1639">
        <v>1</v>
      </c>
      <c r="G1639" s="165" t="str">
        <f>VLOOKUP(TDays[[#This Row],[کد روز هفته]],TDaysOfTheWeek[],2,FALSE)</f>
        <v>یکشنبه</v>
      </c>
      <c r="H1639" s="165">
        <f>IFERROR(IF(E1638&lt;&gt;E1639,1,INT(H1638)+IF(TDays[[#This Row],[کد روز هفته]]=0,1,0)),1)</f>
        <v>4</v>
      </c>
      <c r="I1639" s="164">
        <f>-SUMIF(TArticle[تاریخ],TDays[[#This Row],[تاریخ]],TArticle[هزینه])</f>
        <v>0</v>
      </c>
      <c r="J1639" s="164">
        <f>SUMIF(TArticle[تاریخ],TDays[[#This Row],[تاریخ]],TArticle[درآمد تتا])</f>
        <v>0</v>
      </c>
      <c r="K1639" s="164">
        <f>SUMIF(TArticle[تاریخ],TDays[[#This Row],[تاریخ]],TArticle[اسنپ])</f>
        <v>0</v>
      </c>
      <c r="L1639" s="164">
        <f>-SUMIF(TArticle[تاریخ],TDays[[#This Row],[تاریخ]],TArticle[پرداخت بدهی])</f>
        <v>0</v>
      </c>
      <c r="M1639" s="164">
        <f>SUMIF(TArticle[تاریخ],TDays[[#This Row],[تاریخ]],TArticle[افزایش بدهی])</f>
        <v>0</v>
      </c>
      <c r="N1639" s="164">
        <f>-SUMIF(TArticle[تاریخ],TDays[[#This Row],[تاریخ]],TArticle[افزایش سرمایه])</f>
        <v>0</v>
      </c>
      <c r="O1639" s="164">
        <f>SUMIF(TArticle[تاریخ],TDays[[#This Row],[تاریخ]],TArticle[تعداد تراکنش انجام شده])</f>
        <v>0</v>
      </c>
      <c r="P1639" s="164">
        <f>INT(((TDays[[#This Row],[ماه]]-1)*31+TDays[[#This Row],[روز]]+1)/7)+1</f>
        <v>26</v>
      </c>
      <c r="Q1639" s="164">
        <f>SUMIF(TArticle[تاریخ],TDays[[#This Row],[تاریخ]],TArticle[تراکنش برنامه ریزی شده])</f>
        <v>0</v>
      </c>
    </row>
    <row r="1640" spans="1:17" x14ac:dyDescent="0.25">
      <c r="A1640" s="3" t="s">
        <v>2223</v>
      </c>
      <c r="B1640" s="164" t="str">
        <f>RIGHT(TDays[[#This Row],[تاریخ]],2)</f>
        <v>24</v>
      </c>
      <c r="C1640" s="164" t="str">
        <f>RIGHT(LEFT(TDays[[#This Row],[تاریخ]],7),2)</f>
        <v>06</v>
      </c>
      <c r="D1640" s="164" t="str">
        <f>LEFT(TDays[[#This Row],[تاریخ]],4)</f>
        <v>1405</v>
      </c>
      <c r="E1640" s="164" t="str">
        <f>LEFT(TDays[[#This Row],[تاریخ]],7)</f>
        <v>1405-06</v>
      </c>
      <c r="F1640">
        <v>2</v>
      </c>
      <c r="G1640" s="165" t="str">
        <f>VLOOKUP(TDays[[#This Row],[کد روز هفته]],TDaysOfTheWeek[],2,FALSE)</f>
        <v>دوشنبه</v>
      </c>
      <c r="H1640" s="165">
        <f>IFERROR(IF(E1639&lt;&gt;E1640,1,INT(H1639)+IF(TDays[[#This Row],[کد روز هفته]]=0,1,0)),1)</f>
        <v>4</v>
      </c>
      <c r="I1640" s="164">
        <f>-SUMIF(TArticle[تاریخ],TDays[[#This Row],[تاریخ]],TArticle[هزینه])</f>
        <v>0</v>
      </c>
      <c r="J1640" s="164">
        <f>SUMIF(TArticle[تاریخ],TDays[[#This Row],[تاریخ]],TArticle[درآمد تتا])</f>
        <v>0</v>
      </c>
      <c r="K1640" s="164">
        <f>SUMIF(TArticle[تاریخ],TDays[[#This Row],[تاریخ]],TArticle[اسنپ])</f>
        <v>0</v>
      </c>
      <c r="L1640" s="164">
        <f>-SUMIF(TArticle[تاریخ],TDays[[#This Row],[تاریخ]],TArticle[پرداخت بدهی])</f>
        <v>0</v>
      </c>
      <c r="M1640" s="164">
        <f>SUMIF(TArticle[تاریخ],TDays[[#This Row],[تاریخ]],TArticle[افزایش بدهی])</f>
        <v>0</v>
      </c>
      <c r="N1640" s="164">
        <f>-SUMIF(TArticle[تاریخ],TDays[[#This Row],[تاریخ]],TArticle[افزایش سرمایه])</f>
        <v>0</v>
      </c>
      <c r="O1640" s="164">
        <f>SUMIF(TArticle[تاریخ],TDays[[#This Row],[تاریخ]],TArticle[تعداد تراکنش انجام شده])</f>
        <v>0</v>
      </c>
      <c r="P1640" s="164">
        <f>INT(((TDays[[#This Row],[ماه]]-1)*31+TDays[[#This Row],[روز]]+1)/7)+1</f>
        <v>26</v>
      </c>
      <c r="Q1640" s="164">
        <f>SUMIF(TArticle[تاریخ],TDays[[#This Row],[تاریخ]],TArticle[تراکنش برنامه ریزی شده])</f>
        <v>0</v>
      </c>
    </row>
    <row r="1641" spans="1:17" x14ac:dyDescent="0.25">
      <c r="A1641" s="3" t="s">
        <v>2224</v>
      </c>
      <c r="B1641" s="164" t="str">
        <f>RIGHT(TDays[[#This Row],[تاریخ]],2)</f>
        <v>25</v>
      </c>
      <c r="C1641" s="164" t="str">
        <f>RIGHT(LEFT(TDays[[#This Row],[تاریخ]],7),2)</f>
        <v>06</v>
      </c>
      <c r="D1641" s="164" t="str">
        <f>LEFT(TDays[[#This Row],[تاریخ]],4)</f>
        <v>1405</v>
      </c>
      <c r="E1641" s="164" t="str">
        <f>LEFT(TDays[[#This Row],[تاریخ]],7)</f>
        <v>1405-06</v>
      </c>
      <c r="F1641">
        <v>3</v>
      </c>
      <c r="G1641" s="165" t="str">
        <f>VLOOKUP(TDays[[#This Row],[کد روز هفته]],TDaysOfTheWeek[],2,FALSE)</f>
        <v>سه شنبه</v>
      </c>
      <c r="H1641" s="165">
        <f>IFERROR(IF(E1640&lt;&gt;E1641,1,INT(H1640)+IF(TDays[[#This Row],[کد روز هفته]]=0,1,0)),1)</f>
        <v>4</v>
      </c>
      <c r="I1641" s="164">
        <f>-SUMIF(TArticle[تاریخ],TDays[[#This Row],[تاریخ]],TArticle[هزینه])</f>
        <v>0</v>
      </c>
      <c r="J1641" s="164">
        <f>SUMIF(TArticle[تاریخ],TDays[[#This Row],[تاریخ]],TArticle[درآمد تتا])</f>
        <v>0</v>
      </c>
      <c r="K1641" s="164">
        <f>SUMIF(TArticle[تاریخ],TDays[[#This Row],[تاریخ]],TArticle[اسنپ])</f>
        <v>0</v>
      </c>
      <c r="L1641" s="164">
        <f>-SUMIF(TArticle[تاریخ],TDays[[#This Row],[تاریخ]],TArticle[پرداخت بدهی])</f>
        <v>0</v>
      </c>
      <c r="M1641" s="164">
        <f>SUMIF(TArticle[تاریخ],TDays[[#This Row],[تاریخ]],TArticle[افزایش بدهی])</f>
        <v>0</v>
      </c>
      <c r="N1641" s="164">
        <f>-SUMIF(TArticle[تاریخ],TDays[[#This Row],[تاریخ]],TArticle[افزایش سرمایه])</f>
        <v>0</v>
      </c>
      <c r="O1641" s="164">
        <f>SUMIF(TArticle[تاریخ],TDays[[#This Row],[تاریخ]],TArticle[تعداد تراکنش انجام شده])</f>
        <v>0</v>
      </c>
      <c r="P1641" s="164">
        <f>INT(((TDays[[#This Row],[ماه]]-1)*31+TDays[[#This Row],[روز]]+1)/7)+1</f>
        <v>26</v>
      </c>
      <c r="Q1641" s="164">
        <f>SUMIF(TArticle[تاریخ],TDays[[#This Row],[تاریخ]],TArticle[تراکنش برنامه ریزی شده])</f>
        <v>0</v>
      </c>
    </row>
    <row r="1642" spans="1:17" x14ac:dyDescent="0.25">
      <c r="A1642" s="3" t="s">
        <v>2225</v>
      </c>
      <c r="B1642" s="164" t="str">
        <f>RIGHT(TDays[[#This Row],[تاریخ]],2)</f>
        <v>26</v>
      </c>
      <c r="C1642" s="164" t="str">
        <f>RIGHT(LEFT(TDays[[#This Row],[تاریخ]],7),2)</f>
        <v>06</v>
      </c>
      <c r="D1642" s="164" t="str">
        <f>LEFT(TDays[[#This Row],[تاریخ]],4)</f>
        <v>1405</v>
      </c>
      <c r="E1642" s="164" t="str">
        <f>LEFT(TDays[[#This Row],[تاریخ]],7)</f>
        <v>1405-06</v>
      </c>
      <c r="F1642">
        <v>4</v>
      </c>
      <c r="G1642" s="165" t="str">
        <f>VLOOKUP(TDays[[#This Row],[کد روز هفته]],TDaysOfTheWeek[],2,FALSE)</f>
        <v>چهارشنبه</v>
      </c>
      <c r="H1642" s="165">
        <f>IFERROR(IF(E1641&lt;&gt;E1642,1,INT(H1641)+IF(TDays[[#This Row],[کد روز هفته]]=0,1,0)),1)</f>
        <v>4</v>
      </c>
      <c r="I1642" s="164">
        <f>-SUMIF(TArticle[تاریخ],TDays[[#This Row],[تاریخ]],TArticle[هزینه])</f>
        <v>0</v>
      </c>
      <c r="J1642" s="164">
        <f>SUMIF(TArticle[تاریخ],TDays[[#This Row],[تاریخ]],TArticle[درآمد تتا])</f>
        <v>0</v>
      </c>
      <c r="K1642" s="164">
        <f>SUMIF(TArticle[تاریخ],TDays[[#This Row],[تاریخ]],TArticle[اسنپ])</f>
        <v>0</v>
      </c>
      <c r="L1642" s="164">
        <f>-SUMIF(TArticle[تاریخ],TDays[[#This Row],[تاریخ]],TArticle[پرداخت بدهی])</f>
        <v>0</v>
      </c>
      <c r="M1642" s="164">
        <f>SUMIF(TArticle[تاریخ],TDays[[#This Row],[تاریخ]],TArticle[افزایش بدهی])</f>
        <v>0</v>
      </c>
      <c r="N1642" s="164">
        <f>-SUMIF(TArticle[تاریخ],TDays[[#This Row],[تاریخ]],TArticle[افزایش سرمایه])</f>
        <v>0</v>
      </c>
      <c r="O1642" s="164">
        <f>SUMIF(TArticle[تاریخ],TDays[[#This Row],[تاریخ]],TArticle[تعداد تراکنش انجام شده])</f>
        <v>0</v>
      </c>
      <c r="P1642" s="164">
        <f>INT(((TDays[[#This Row],[ماه]]-1)*31+TDays[[#This Row],[روز]]+1)/7)+1</f>
        <v>27</v>
      </c>
      <c r="Q1642" s="164">
        <f>SUMIF(TArticle[تاریخ],TDays[[#This Row],[تاریخ]],TArticle[تراکنش برنامه ریزی شده])</f>
        <v>0</v>
      </c>
    </row>
    <row r="1643" spans="1:17" x14ac:dyDescent="0.25">
      <c r="A1643" s="3" t="s">
        <v>2226</v>
      </c>
      <c r="B1643" s="164" t="str">
        <f>RIGHT(TDays[[#This Row],[تاریخ]],2)</f>
        <v>27</v>
      </c>
      <c r="C1643" s="164" t="str">
        <f>RIGHT(LEFT(TDays[[#This Row],[تاریخ]],7),2)</f>
        <v>06</v>
      </c>
      <c r="D1643" s="164" t="str">
        <f>LEFT(TDays[[#This Row],[تاریخ]],4)</f>
        <v>1405</v>
      </c>
      <c r="E1643" s="164" t="str">
        <f>LEFT(TDays[[#This Row],[تاریخ]],7)</f>
        <v>1405-06</v>
      </c>
      <c r="F1643">
        <v>5</v>
      </c>
      <c r="G1643" s="165" t="str">
        <f>VLOOKUP(TDays[[#This Row],[کد روز هفته]],TDaysOfTheWeek[],2,FALSE)</f>
        <v>پنجشنبه</v>
      </c>
      <c r="H1643" s="165">
        <f>IFERROR(IF(E1642&lt;&gt;E1643,1,INT(H1642)+IF(TDays[[#This Row],[کد روز هفته]]=0,1,0)),1)</f>
        <v>4</v>
      </c>
      <c r="I1643" s="164">
        <f>-SUMIF(TArticle[تاریخ],TDays[[#This Row],[تاریخ]],TArticle[هزینه])</f>
        <v>0</v>
      </c>
      <c r="J1643" s="164">
        <f>SUMIF(TArticle[تاریخ],TDays[[#This Row],[تاریخ]],TArticle[درآمد تتا])</f>
        <v>0</v>
      </c>
      <c r="K1643" s="164">
        <f>SUMIF(TArticle[تاریخ],TDays[[#This Row],[تاریخ]],TArticle[اسنپ])</f>
        <v>0</v>
      </c>
      <c r="L1643" s="164">
        <f>-SUMIF(TArticle[تاریخ],TDays[[#This Row],[تاریخ]],TArticle[پرداخت بدهی])</f>
        <v>0</v>
      </c>
      <c r="M1643" s="164">
        <f>SUMIF(TArticle[تاریخ],TDays[[#This Row],[تاریخ]],TArticle[افزایش بدهی])</f>
        <v>0</v>
      </c>
      <c r="N1643" s="164">
        <f>-SUMIF(TArticle[تاریخ],TDays[[#This Row],[تاریخ]],TArticle[افزایش سرمایه])</f>
        <v>0</v>
      </c>
      <c r="O1643" s="164">
        <f>SUMIF(TArticle[تاریخ],TDays[[#This Row],[تاریخ]],TArticle[تعداد تراکنش انجام شده])</f>
        <v>0</v>
      </c>
      <c r="P1643" s="164">
        <f>INT(((TDays[[#This Row],[ماه]]-1)*31+TDays[[#This Row],[روز]]+1)/7)+1</f>
        <v>27</v>
      </c>
      <c r="Q1643" s="164">
        <f>SUMIF(TArticle[تاریخ],TDays[[#This Row],[تاریخ]],TArticle[تراکنش برنامه ریزی شده])</f>
        <v>0</v>
      </c>
    </row>
    <row r="1644" spans="1:17" x14ac:dyDescent="0.25">
      <c r="A1644" s="3" t="s">
        <v>2227</v>
      </c>
      <c r="B1644" s="164" t="str">
        <f>RIGHT(TDays[[#This Row],[تاریخ]],2)</f>
        <v>28</v>
      </c>
      <c r="C1644" s="164" t="str">
        <f>RIGHT(LEFT(TDays[[#This Row],[تاریخ]],7),2)</f>
        <v>06</v>
      </c>
      <c r="D1644" s="164" t="str">
        <f>LEFT(TDays[[#This Row],[تاریخ]],4)</f>
        <v>1405</v>
      </c>
      <c r="E1644" s="164" t="str">
        <f>LEFT(TDays[[#This Row],[تاریخ]],7)</f>
        <v>1405-06</v>
      </c>
      <c r="F1644">
        <v>6</v>
      </c>
      <c r="G1644" s="165" t="str">
        <f>VLOOKUP(TDays[[#This Row],[کد روز هفته]],TDaysOfTheWeek[],2,FALSE)</f>
        <v>جمعه</v>
      </c>
      <c r="H1644" s="165">
        <f>IFERROR(IF(E1643&lt;&gt;E1644,1,INT(H1643)+IF(TDays[[#This Row],[کد روز هفته]]=0,1,0)),1)</f>
        <v>4</v>
      </c>
      <c r="I1644" s="164">
        <f>-SUMIF(TArticle[تاریخ],TDays[[#This Row],[تاریخ]],TArticle[هزینه])</f>
        <v>0</v>
      </c>
      <c r="J1644" s="164">
        <f>SUMIF(TArticle[تاریخ],TDays[[#This Row],[تاریخ]],TArticle[درآمد تتا])</f>
        <v>0</v>
      </c>
      <c r="K1644" s="164">
        <f>SUMIF(TArticle[تاریخ],TDays[[#This Row],[تاریخ]],TArticle[اسنپ])</f>
        <v>0</v>
      </c>
      <c r="L1644" s="164">
        <f>-SUMIF(TArticle[تاریخ],TDays[[#This Row],[تاریخ]],TArticle[پرداخت بدهی])</f>
        <v>0</v>
      </c>
      <c r="M1644" s="164">
        <f>SUMIF(TArticle[تاریخ],TDays[[#This Row],[تاریخ]],TArticle[افزایش بدهی])</f>
        <v>0</v>
      </c>
      <c r="N1644" s="164">
        <f>-SUMIF(TArticle[تاریخ],TDays[[#This Row],[تاریخ]],TArticle[افزایش سرمایه])</f>
        <v>0</v>
      </c>
      <c r="O1644" s="164">
        <f>SUMIF(TArticle[تاریخ],TDays[[#This Row],[تاریخ]],TArticle[تعداد تراکنش انجام شده])</f>
        <v>0</v>
      </c>
      <c r="P1644" s="164">
        <f>INT(((TDays[[#This Row],[ماه]]-1)*31+TDays[[#This Row],[روز]]+1)/7)+1</f>
        <v>27</v>
      </c>
      <c r="Q1644" s="164">
        <f>SUMIF(TArticle[تاریخ],TDays[[#This Row],[تاریخ]],TArticle[تراکنش برنامه ریزی شده])</f>
        <v>0</v>
      </c>
    </row>
    <row r="1645" spans="1:17" x14ac:dyDescent="0.25">
      <c r="A1645" s="3" t="s">
        <v>2228</v>
      </c>
      <c r="B1645" s="164" t="str">
        <f>RIGHT(TDays[[#This Row],[تاریخ]],2)</f>
        <v>29</v>
      </c>
      <c r="C1645" s="164" t="str">
        <f>RIGHT(LEFT(TDays[[#This Row],[تاریخ]],7),2)</f>
        <v>06</v>
      </c>
      <c r="D1645" s="164" t="str">
        <f>LEFT(TDays[[#This Row],[تاریخ]],4)</f>
        <v>1405</v>
      </c>
      <c r="E1645" s="164" t="str">
        <f>LEFT(TDays[[#This Row],[تاریخ]],7)</f>
        <v>1405-06</v>
      </c>
      <c r="F1645">
        <v>0</v>
      </c>
      <c r="G1645" s="165" t="str">
        <f>VLOOKUP(TDays[[#This Row],[کد روز هفته]],TDaysOfTheWeek[],2,FALSE)</f>
        <v>شنبه</v>
      </c>
      <c r="H1645" s="165">
        <f>IFERROR(IF(E1644&lt;&gt;E1645,1,INT(H1644)+IF(TDays[[#This Row],[کد روز هفته]]=0,1,0)),1)</f>
        <v>5</v>
      </c>
      <c r="I1645" s="164">
        <f>-SUMIF(TArticle[تاریخ],TDays[[#This Row],[تاریخ]],TArticle[هزینه])</f>
        <v>0</v>
      </c>
      <c r="J1645" s="164">
        <f>SUMIF(TArticle[تاریخ],TDays[[#This Row],[تاریخ]],TArticle[درآمد تتا])</f>
        <v>0</v>
      </c>
      <c r="K1645" s="164">
        <f>SUMIF(TArticle[تاریخ],TDays[[#This Row],[تاریخ]],TArticle[اسنپ])</f>
        <v>0</v>
      </c>
      <c r="L1645" s="164">
        <f>-SUMIF(TArticle[تاریخ],TDays[[#This Row],[تاریخ]],TArticle[پرداخت بدهی])</f>
        <v>0</v>
      </c>
      <c r="M1645" s="164">
        <f>SUMIF(TArticle[تاریخ],TDays[[#This Row],[تاریخ]],TArticle[افزایش بدهی])</f>
        <v>0</v>
      </c>
      <c r="N1645" s="164">
        <f>-SUMIF(TArticle[تاریخ],TDays[[#This Row],[تاریخ]],TArticle[افزایش سرمایه])</f>
        <v>0</v>
      </c>
      <c r="O1645" s="164">
        <f>SUMIF(TArticle[تاریخ],TDays[[#This Row],[تاریخ]],TArticle[تعداد تراکنش انجام شده])</f>
        <v>0</v>
      </c>
      <c r="P1645" s="164">
        <f>INT(((TDays[[#This Row],[ماه]]-1)*31+TDays[[#This Row],[روز]]+1)/7)+1</f>
        <v>27</v>
      </c>
      <c r="Q1645" s="164">
        <f>SUMIF(TArticle[تاریخ],TDays[[#This Row],[تاریخ]],TArticle[تراکنش برنامه ریزی شده])</f>
        <v>0</v>
      </c>
    </row>
    <row r="1646" spans="1:17" x14ac:dyDescent="0.25">
      <c r="A1646" s="3" t="s">
        <v>2229</v>
      </c>
      <c r="B1646" s="164" t="str">
        <f>RIGHT(TDays[[#This Row],[تاریخ]],2)</f>
        <v>30</v>
      </c>
      <c r="C1646" s="164" t="str">
        <f>RIGHT(LEFT(TDays[[#This Row],[تاریخ]],7),2)</f>
        <v>06</v>
      </c>
      <c r="D1646" s="164" t="str">
        <f>LEFT(TDays[[#This Row],[تاریخ]],4)</f>
        <v>1405</v>
      </c>
      <c r="E1646" s="164" t="str">
        <f>LEFT(TDays[[#This Row],[تاریخ]],7)</f>
        <v>1405-06</v>
      </c>
      <c r="F1646">
        <v>1</v>
      </c>
      <c r="G1646" s="165" t="str">
        <f>VLOOKUP(TDays[[#This Row],[کد روز هفته]],TDaysOfTheWeek[],2,FALSE)</f>
        <v>یکشنبه</v>
      </c>
      <c r="H1646" s="165">
        <f>IFERROR(IF(E1645&lt;&gt;E1646,1,INT(H1645)+IF(TDays[[#This Row],[کد روز هفته]]=0,1,0)),1)</f>
        <v>5</v>
      </c>
      <c r="I1646" s="164">
        <f>-SUMIF(TArticle[تاریخ],TDays[[#This Row],[تاریخ]],TArticle[هزینه])</f>
        <v>0</v>
      </c>
      <c r="J1646" s="164">
        <f>SUMIF(TArticle[تاریخ],TDays[[#This Row],[تاریخ]],TArticle[درآمد تتا])</f>
        <v>0</v>
      </c>
      <c r="K1646" s="164">
        <f>SUMIF(TArticle[تاریخ],TDays[[#This Row],[تاریخ]],TArticle[اسنپ])</f>
        <v>0</v>
      </c>
      <c r="L1646" s="164">
        <f>-SUMIF(TArticle[تاریخ],TDays[[#This Row],[تاریخ]],TArticle[پرداخت بدهی])</f>
        <v>0</v>
      </c>
      <c r="M1646" s="164">
        <f>SUMIF(TArticle[تاریخ],TDays[[#This Row],[تاریخ]],TArticle[افزایش بدهی])</f>
        <v>0</v>
      </c>
      <c r="N1646" s="164">
        <f>-SUMIF(TArticle[تاریخ],TDays[[#This Row],[تاریخ]],TArticle[افزایش سرمایه])</f>
        <v>0</v>
      </c>
      <c r="O1646" s="164">
        <f>SUMIF(TArticle[تاریخ],TDays[[#This Row],[تاریخ]],TArticle[تعداد تراکنش انجام شده])</f>
        <v>0</v>
      </c>
      <c r="P1646" s="164">
        <f>INT(((TDays[[#This Row],[ماه]]-1)*31+TDays[[#This Row],[روز]]+1)/7)+1</f>
        <v>27</v>
      </c>
      <c r="Q1646" s="164">
        <f>SUMIF(TArticle[تاریخ],TDays[[#This Row],[تاریخ]],TArticle[تراکنش برنامه ریزی شده])</f>
        <v>0</v>
      </c>
    </row>
    <row r="1647" spans="1:17" x14ac:dyDescent="0.25">
      <c r="A1647" s="3" t="s">
        <v>2230</v>
      </c>
      <c r="B1647" s="164" t="str">
        <f>RIGHT(TDays[[#This Row],[تاریخ]],2)</f>
        <v>31</v>
      </c>
      <c r="C1647" s="164" t="str">
        <f>RIGHT(LEFT(TDays[[#This Row],[تاریخ]],7),2)</f>
        <v>06</v>
      </c>
      <c r="D1647" s="164" t="str">
        <f>LEFT(TDays[[#This Row],[تاریخ]],4)</f>
        <v>1405</v>
      </c>
      <c r="E1647" s="164" t="str">
        <f>LEFT(TDays[[#This Row],[تاریخ]],7)</f>
        <v>1405-06</v>
      </c>
      <c r="F1647">
        <v>2</v>
      </c>
      <c r="G1647" s="165" t="str">
        <f>VLOOKUP(TDays[[#This Row],[کد روز هفته]],TDaysOfTheWeek[],2,FALSE)</f>
        <v>دوشنبه</v>
      </c>
      <c r="H1647" s="165">
        <f>IFERROR(IF(E1646&lt;&gt;E1647,1,INT(H1646)+IF(TDays[[#This Row],[کد روز هفته]]=0,1,0)),1)</f>
        <v>5</v>
      </c>
      <c r="I1647" s="164">
        <f>-SUMIF(TArticle[تاریخ],TDays[[#This Row],[تاریخ]],TArticle[هزینه])</f>
        <v>0</v>
      </c>
      <c r="J1647" s="164">
        <f>SUMIF(TArticle[تاریخ],TDays[[#This Row],[تاریخ]],TArticle[درآمد تتا])</f>
        <v>0</v>
      </c>
      <c r="K1647" s="164">
        <f>SUMIF(TArticle[تاریخ],TDays[[#This Row],[تاریخ]],TArticle[اسنپ])</f>
        <v>0</v>
      </c>
      <c r="L1647" s="164">
        <f>-SUMIF(TArticle[تاریخ],TDays[[#This Row],[تاریخ]],TArticle[پرداخت بدهی])</f>
        <v>0</v>
      </c>
      <c r="M1647" s="164">
        <f>SUMIF(TArticle[تاریخ],TDays[[#This Row],[تاریخ]],TArticle[افزایش بدهی])</f>
        <v>0</v>
      </c>
      <c r="N1647" s="164">
        <f>-SUMIF(TArticle[تاریخ],TDays[[#This Row],[تاریخ]],TArticle[افزایش سرمایه])</f>
        <v>0</v>
      </c>
      <c r="O1647" s="164">
        <f>SUMIF(TArticle[تاریخ],TDays[[#This Row],[تاریخ]],TArticle[تعداد تراکنش انجام شده])</f>
        <v>0</v>
      </c>
      <c r="P1647" s="164">
        <f>INT(((TDays[[#This Row],[ماه]]-1)*31+TDays[[#This Row],[روز]]+1)/7)+1</f>
        <v>27</v>
      </c>
      <c r="Q1647" s="164">
        <f>SUMIF(TArticle[تاریخ],TDays[[#This Row],[تاریخ]],TArticle[تراکنش برنامه ریزی شده])</f>
        <v>0</v>
      </c>
    </row>
    <row r="1648" spans="1:17" x14ac:dyDescent="0.25">
      <c r="A1648" s="3" t="s">
        <v>2231</v>
      </c>
      <c r="B1648" s="164" t="str">
        <f>RIGHT(TDays[[#This Row],[تاریخ]],2)</f>
        <v>01</v>
      </c>
      <c r="C1648" s="164" t="str">
        <f>RIGHT(LEFT(TDays[[#This Row],[تاریخ]],7),2)</f>
        <v>07</v>
      </c>
      <c r="D1648" s="164" t="str">
        <f>LEFT(TDays[[#This Row],[تاریخ]],4)</f>
        <v>1405</v>
      </c>
      <c r="E1648" s="164" t="str">
        <f>LEFT(TDays[[#This Row],[تاریخ]],7)</f>
        <v>1405-07</v>
      </c>
      <c r="F1648">
        <v>3</v>
      </c>
      <c r="G1648" s="165" t="str">
        <f>VLOOKUP(TDays[[#This Row],[کد روز هفته]],TDaysOfTheWeek[],2,FALSE)</f>
        <v>سه شنبه</v>
      </c>
      <c r="H1648" s="165">
        <f>IFERROR(IF(E1647&lt;&gt;E1648,1,INT(H1647)+IF(TDays[[#This Row],[کد روز هفته]]=0,1,0)),1)</f>
        <v>1</v>
      </c>
      <c r="I1648" s="164">
        <f>-SUMIF(TArticle[تاریخ],TDays[[#This Row],[تاریخ]],TArticle[هزینه])</f>
        <v>0</v>
      </c>
      <c r="J1648" s="164">
        <f>SUMIF(TArticle[تاریخ],TDays[[#This Row],[تاریخ]],TArticle[درآمد تتا])</f>
        <v>0</v>
      </c>
      <c r="K1648" s="164">
        <f>SUMIF(TArticle[تاریخ],TDays[[#This Row],[تاریخ]],TArticle[اسنپ])</f>
        <v>0</v>
      </c>
      <c r="L1648" s="164">
        <f>-SUMIF(TArticle[تاریخ],TDays[[#This Row],[تاریخ]],TArticle[پرداخت بدهی])</f>
        <v>0</v>
      </c>
      <c r="M1648" s="164">
        <f>SUMIF(TArticle[تاریخ],TDays[[#This Row],[تاریخ]],TArticle[افزایش بدهی])</f>
        <v>0</v>
      </c>
      <c r="N1648" s="164">
        <f>-SUMIF(TArticle[تاریخ],TDays[[#This Row],[تاریخ]],TArticle[افزایش سرمایه])</f>
        <v>0</v>
      </c>
      <c r="O1648" s="164">
        <f>SUMIF(TArticle[تاریخ],TDays[[#This Row],[تاریخ]],TArticle[تعداد تراکنش انجام شده])</f>
        <v>0</v>
      </c>
      <c r="P1648" s="164">
        <f>INT(((TDays[[#This Row],[ماه]]-1)*31+TDays[[#This Row],[روز]]+1)/7)+1</f>
        <v>27</v>
      </c>
      <c r="Q1648" s="164">
        <f>SUMIF(TArticle[تاریخ],TDays[[#This Row],[تاریخ]],TArticle[تراکنش برنامه ریزی شده])</f>
        <v>0</v>
      </c>
    </row>
    <row r="1649" spans="1:17" x14ac:dyDescent="0.25">
      <c r="A1649" s="3" t="s">
        <v>2232</v>
      </c>
      <c r="B1649" s="164" t="str">
        <f>RIGHT(TDays[[#This Row],[تاریخ]],2)</f>
        <v>02</v>
      </c>
      <c r="C1649" s="164" t="str">
        <f>RIGHT(LEFT(TDays[[#This Row],[تاریخ]],7),2)</f>
        <v>07</v>
      </c>
      <c r="D1649" s="164" t="str">
        <f>LEFT(TDays[[#This Row],[تاریخ]],4)</f>
        <v>1405</v>
      </c>
      <c r="E1649" s="164" t="str">
        <f>LEFT(TDays[[#This Row],[تاریخ]],7)</f>
        <v>1405-07</v>
      </c>
      <c r="F1649">
        <v>4</v>
      </c>
      <c r="G1649" s="165" t="str">
        <f>VLOOKUP(TDays[[#This Row],[کد روز هفته]],TDaysOfTheWeek[],2,FALSE)</f>
        <v>چهارشنبه</v>
      </c>
      <c r="H1649" s="165">
        <f>IFERROR(IF(E1648&lt;&gt;E1649,1,INT(H1648)+IF(TDays[[#This Row],[کد روز هفته]]=0,1,0)),1)</f>
        <v>1</v>
      </c>
      <c r="I1649" s="164">
        <f>-SUMIF(TArticle[تاریخ],TDays[[#This Row],[تاریخ]],TArticle[هزینه])</f>
        <v>0</v>
      </c>
      <c r="J1649" s="164">
        <f>SUMIF(TArticle[تاریخ],TDays[[#This Row],[تاریخ]],TArticle[درآمد تتا])</f>
        <v>0</v>
      </c>
      <c r="K1649" s="164">
        <f>SUMIF(TArticle[تاریخ],TDays[[#This Row],[تاریخ]],TArticle[اسنپ])</f>
        <v>0</v>
      </c>
      <c r="L1649" s="164">
        <f>-SUMIF(TArticle[تاریخ],TDays[[#This Row],[تاریخ]],TArticle[پرداخت بدهی])</f>
        <v>0</v>
      </c>
      <c r="M1649" s="164">
        <f>SUMIF(TArticle[تاریخ],TDays[[#This Row],[تاریخ]],TArticle[افزایش بدهی])</f>
        <v>0</v>
      </c>
      <c r="N1649" s="164">
        <f>-SUMIF(TArticle[تاریخ],TDays[[#This Row],[تاریخ]],TArticle[افزایش سرمایه])</f>
        <v>0</v>
      </c>
      <c r="O1649" s="164">
        <f>SUMIF(TArticle[تاریخ],TDays[[#This Row],[تاریخ]],TArticle[تعداد تراکنش انجام شده])</f>
        <v>0</v>
      </c>
      <c r="P1649" s="164">
        <f>INT(((TDays[[#This Row],[ماه]]-1)*31+TDays[[#This Row],[روز]]+1)/7)+1</f>
        <v>28</v>
      </c>
      <c r="Q1649" s="164">
        <f>SUMIF(TArticle[تاریخ],TDays[[#This Row],[تاریخ]],TArticle[تراکنش برنامه ریزی شده])</f>
        <v>0</v>
      </c>
    </row>
    <row r="1650" spans="1:17" x14ac:dyDescent="0.25">
      <c r="A1650" s="3" t="s">
        <v>2233</v>
      </c>
      <c r="B1650" s="164" t="str">
        <f>RIGHT(TDays[[#This Row],[تاریخ]],2)</f>
        <v>03</v>
      </c>
      <c r="C1650" s="164" t="str">
        <f>RIGHT(LEFT(TDays[[#This Row],[تاریخ]],7),2)</f>
        <v>07</v>
      </c>
      <c r="D1650" s="164" t="str">
        <f>LEFT(TDays[[#This Row],[تاریخ]],4)</f>
        <v>1405</v>
      </c>
      <c r="E1650" s="164" t="str">
        <f>LEFT(TDays[[#This Row],[تاریخ]],7)</f>
        <v>1405-07</v>
      </c>
      <c r="F1650">
        <v>5</v>
      </c>
      <c r="G1650" s="165" t="str">
        <f>VLOOKUP(TDays[[#This Row],[کد روز هفته]],TDaysOfTheWeek[],2,FALSE)</f>
        <v>پنجشنبه</v>
      </c>
      <c r="H1650" s="165">
        <f>IFERROR(IF(E1649&lt;&gt;E1650,1,INT(H1649)+IF(TDays[[#This Row],[کد روز هفته]]=0,1,0)),1)</f>
        <v>1</v>
      </c>
      <c r="I1650" s="164">
        <f>-SUMIF(TArticle[تاریخ],TDays[[#This Row],[تاریخ]],TArticle[هزینه])</f>
        <v>0</v>
      </c>
      <c r="J1650" s="164">
        <f>SUMIF(TArticle[تاریخ],TDays[[#This Row],[تاریخ]],TArticle[درآمد تتا])</f>
        <v>0</v>
      </c>
      <c r="K1650" s="164">
        <f>SUMIF(TArticle[تاریخ],TDays[[#This Row],[تاریخ]],TArticle[اسنپ])</f>
        <v>0</v>
      </c>
      <c r="L1650" s="164">
        <f>-SUMIF(TArticle[تاریخ],TDays[[#This Row],[تاریخ]],TArticle[پرداخت بدهی])</f>
        <v>0</v>
      </c>
      <c r="M1650" s="164">
        <f>SUMIF(TArticle[تاریخ],TDays[[#This Row],[تاریخ]],TArticle[افزایش بدهی])</f>
        <v>0</v>
      </c>
      <c r="N1650" s="164">
        <f>-SUMIF(TArticle[تاریخ],TDays[[#This Row],[تاریخ]],TArticle[افزایش سرمایه])</f>
        <v>0</v>
      </c>
      <c r="O1650" s="164">
        <f>SUMIF(TArticle[تاریخ],TDays[[#This Row],[تاریخ]],TArticle[تعداد تراکنش انجام شده])</f>
        <v>0</v>
      </c>
      <c r="P1650" s="164">
        <f>INT(((TDays[[#This Row],[ماه]]-1)*31+TDays[[#This Row],[روز]]+1)/7)+1</f>
        <v>28</v>
      </c>
      <c r="Q1650" s="164">
        <f>SUMIF(TArticle[تاریخ],TDays[[#This Row],[تاریخ]],TArticle[تراکنش برنامه ریزی شده])</f>
        <v>1</v>
      </c>
    </row>
    <row r="1651" spans="1:17" x14ac:dyDescent="0.25">
      <c r="A1651" s="3" t="s">
        <v>2234</v>
      </c>
      <c r="B1651" s="164" t="str">
        <f>RIGHT(TDays[[#This Row],[تاریخ]],2)</f>
        <v>04</v>
      </c>
      <c r="C1651" s="164" t="str">
        <f>RIGHT(LEFT(TDays[[#This Row],[تاریخ]],7),2)</f>
        <v>07</v>
      </c>
      <c r="D1651" s="164" t="str">
        <f>LEFT(TDays[[#This Row],[تاریخ]],4)</f>
        <v>1405</v>
      </c>
      <c r="E1651" s="164" t="str">
        <f>LEFT(TDays[[#This Row],[تاریخ]],7)</f>
        <v>1405-07</v>
      </c>
      <c r="F1651">
        <v>6</v>
      </c>
      <c r="G1651" s="165" t="str">
        <f>VLOOKUP(TDays[[#This Row],[کد روز هفته]],TDaysOfTheWeek[],2,FALSE)</f>
        <v>جمعه</v>
      </c>
      <c r="H1651" s="165">
        <f>IFERROR(IF(E1650&lt;&gt;E1651,1,INT(H1650)+IF(TDays[[#This Row],[کد روز هفته]]=0,1,0)),1)</f>
        <v>1</v>
      </c>
      <c r="I1651" s="164">
        <f>-SUMIF(TArticle[تاریخ],TDays[[#This Row],[تاریخ]],TArticle[هزینه])</f>
        <v>0</v>
      </c>
      <c r="J1651" s="164">
        <f>SUMIF(TArticle[تاریخ],TDays[[#This Row],[تاریخ]],TArticle[درآمد تتا])</f>
        <v>0</v>
      </c>
      <c r="K1651" s="164">
        <f>SUMIF(TArticle[تاریخ],TDays[[#This Row],[تاریخ]],TArticle[اسنپ])</f>
        <v>0</v>
      </c>
      <c r="L1651" s="164">
        <f>-SUMIF(TArticle[تاریخ],TDays[[#This Row],[تاریخ]],TArticle[پرداخت بدهی])</f>
        <v>0</v>
      </c>
      <c r="M1651" s="164">
        <f>SUMIF(TArticle[تاریخ],TDays[[#This Row],[تاریخ]],TArticle[افزایش بدهی])</f>
        <v>0</v>
      </c>
      <c r="N1651" s="164">
        <f>-SUMIF(TArticle[تاریخ],TDays[[#This Row],[تاریخ]],TArticle[افزایش سرمایه])</f>
        <v>0</v>
      </c>
      <c r="O1651" s="164">
        <f>SUMIF(TArticle[تاریخ],TDays[[#This Row],[تاریخ]],TArticle[تعداد تراکنش انجام شده])</f>
        <v>0</v>
      </c>
      <c r="P1651" s="164">
        <f>INT(((TDays[[#This Row],[ماه]]-1)*31+TDays[[#This Row],[روز]]+1)/7)+1</f>
        <v>28</v>
      </c>
      <c r="Q1651" s="164">
        <f>SUMIF(TArticle[تاریخ],TDays[[#This Row],[تاریخ]],TArticle[تراکنش برنامه ریزی شده])</f>
        <v>0</v>
      </c>
    </row>
    <row r="1652" spans="1:17" x14ac:dyDescent="0.25">
      <c r="A1652" s="3" t="s">
        <v>2235</v>
      </c>
      <c r="B1652" s="164" t="str">
        <f>RIGHT(TDays[[#This Row],[تاریخ]],2)</f>
        <v>05</v>
      </c>
      <c r="C1652" s="164" t="str">
        <f>RIGHT(LEFT(TDays[[#This Row],[تاریخ]],7),2)</f>
        <v>07</v>
      </c>
      <c r="D1652" s="164" t="str">
        <f>LEFT(TDays[[#This Row],[تاریخ]],4)</f>
        <v>1405</v>
      </c>
      <c r="E1652" s="164" t="str">
        <f>LEFT(TDays[[#This Row],[تاریخ]],7)</f>
        <v>1405-07</v>
      </c>
      <c r="F1652">
        <v>0</v>
      </c>
      <c r="G1652" s="165" t="str">
        <f>VLOOKUP(TDays[[#This Row],[کد روز هفته]],TDaysOfTheWeek[],2,FALSE)</f>
        <v>شنبه</v>
      </c>
      <c r="H1652" s="165">
        <f>IFERROR(IF(E1651&lt;&gt;E1652,1,INT(H1651)+IF(TDays[[#This Row],[کد روز هفته]]=0,1,0)),1)</f>
        <v>2</v>
      </c>
      <c r="I1652" s="164">
        <f>-SUMIF(TArticle[تاریخ],TDays[[#This Row],[تاریخ]],TArticle[هزینه])</f>
        <v>0</v>
      </c>
      <c r="J1652" s="164">
        <f>SUMIF(TArticle[تاریخ],TDays[[#This Row],[تاریخ]],TArticle[درآمد تتا])</f>
        <v>0</v>
      </c>
      <c r="K1652" s="164">
        <f>SUMIF(TArticle[تاریخ],TDays[[#This Row],[تاریخ]],TArticle[اسنپ])</f>
        <v>0</v>
      </c>
      <c r="L1652" s="164">
        <f>-SUMIF(TArticle[تاریخ],TDays[[#This Row],[تاریخ]],TArticle[پرداخت بدهی])</f>
        <v>0</v>
      </c>
      <c r="M1652" s="164">
        <f>SUMIF(TArticle[تاریخ],TDays[[#This Row],[تاریخ]],TArticle[افزایش بدهی])</f>
        <v>0</v>
      </c>
      <c r="N1652" s="164">
        <f>-SUMIF(TArticle[تاریخ],TDays[[#This Row],[تاریخ]],TArticle[افزایش سرمایه])</f>
        <v>0</v>
      </c>
      <c r="O1652" s="164">
        <f>SUMIF(TArticle[تاریخ],TDays[[#This Row],[تاریخ]],TArticle[تعداد تراکنش انجام شده])</f>
        <v>0</v>
      </c>
      <c r="P1652" s="164">
        <f>INT(((TDays[[#This Row],[ماه]]-1)*31+TDays[[#This Row],[روز]]+1)/7)+1</f>
        <v>28</v>
      </c>
      <c r="Q1652" s="164">
        <f>SUMIF(TArticle[تاریخ],TDays[[#This Row],[تاریخ]],TArticle[تراکنش برنامه ریزی شده])</f>
        <v>0</v>
      </c>
    </row>
    <row r="1653" spans="1:17" x14ac:dyDescent="0.25">
      <c r="A1653" s="3" t="s">
        <v>2236</v>
      </c>
      <c r="B1653" s="164" t="str">
        <f>RIGHT(TDays[[#This Row],[تاریخ]],2)</f>
        <v>06</v>
      </c>
      <c r="C1653" s="164" t="str">
        <f>RIGHT(LEFT(TDays[[#This Row],[تاریخ]],7),2)</f>
        <v>07</v>
      </c>
      <c r="D1653" s="164" t="str">
        <f>LEFT(TDays[[#This Row],[تاریخ]],4)</f>
        <v>1405</v>
      </c>
      <c r="E1653" s="164" t="str">
        <f>LEFT(TDays[[#This Row],[تاریخ]],7)</f>
        <v>1405-07</v>
      </c>
      <c r="F1653">
        <v>1</v>
      </c>
      <c r="G1653" s="165" t="str">
        <f>VLOOKUP(TDays[[#This Row],[کد روز هفته]],TDaysOfTheWeek[],2,FALSE)</f>
        <v>یکشنبه</v>
      </c>
      <c r="H1653" s="165">
        <f>IFERROR(IF(E1652&lt;&gt;E1653,1,INT(H1652)+IF(TDays[[#This Row],[کد روز هفته]]=0,1,0)),1)</f>
        <v>2</v>
      </c>
      <c r="I1653" s="164">
        <f>-SUMIF(TArticle[تاریخ],TDays[[#This Row],[تاریخ]],TArticle[هزینه])</f>
        <v>0</v>
      </c>
      <c r="J1653" s="164">
        <f>SUMIF(TArticle[تاریخ],TDays[[#This Row],[تاریخ]],TArticle[درآمد تتا])</f>
        <v>0</v>
      </c>
      <c r="K1653" s="164">
        <f>SUMIF(TArticle[تاریخ],TDays[[#This Row],[تاریخ]],TArticle[اسنپ])</f>
        <v>0</v>
      </c>
      <c r="L1653" s="164">
        <f>-SUMIF(TArticle[تاریخ],TDays[[#This Row],[تاریخ]],TArticle[پرداخت بدهی])</f>
        <v>0</v>
      </c>
      <c r="M1653" s="164">
        <f>SUMIF(TArticle[تاریخ],TDays[[#This Row],[تاریخ]],TArticle[افزایش بدهی])</f>
        <v>0</v>
      </c>
      <c r="N1653" s="164">
        <f>-SUMIF(TArticle[تاریخ],TDays[[#This Row],[تاریخ]],TArticle[افزایش سرمایه])</f>
        <v>0</v>
      </c>
      <c r="O1653" s="164">
        <f>SUMIF(TArticle[تاریخ],TDays[[#This Row],[تاریخ]],TArticle[تعداد تراکنش انجام شده])</f>
        <v>0</v>
      </c>
      <c r="P1653" s="164">
        <f>INT(((TDays[[#This Row],[ماه]]-1)*31+TDays[[#This Row],[روز]]+1)/7)+1</f>
        <v>28</v>
      </c>
      <c r="Q1653" s="164">
        <f>SUMIF(TArticle[تاریخ],TDays[[#This Row],[تاریخ]],TArticle[تراکنش برنامه ریزی شده])</f>
        <v>0</v>
      </c>
    </row>
    <row r="1654" spans="1:17" x14ac:dyDescent="0.25">
      <c r="A1654" s="3" t="s">
        <v>2237</v>
      </c>
      <c r="B1654" s="164" t="str">
        <f>RIGHT(TDays[[#This Row],[تاریخ]],2)</f>
        <v>07</v>
      </c>
      <c r="C1654" s="164" t="str">
        <f>RIGHT(LEFT(TDays[[#This Row],[تاریخ]],7),2)</f>
        <v>07</v>
      </c>
      <c r="D1654" s="164" t="str">
        <f>LEFT(TDays[[#This Row],[تاریخ]],4)</f>
        <v>1405</v>
      </c>
      <c r="E1654" s="164" t="str">
        <f>LEFT(TDays[[#This Row],[تاریخ]],7)</f>
        <v>1405-07</v>
      </c>
      <c r="F1654">
        <v>2</v>
      </c>
      <c r="G1654" s="165" t="str">
        <f>VLOOKUP(TDays[[#This Row],[کد روز هفته]],TDaysOfTheWeek[],2,FALSE)</f>
        <v>دوشنبه</v>
      </c>
      <c r="H1654" s="165">
        <f>IFERROR(IF(E1653&lt;&gt;E1654,1,INT(H1653)+IF(TDays[[#This Row],[کد روز هفته]]=0,1,0)),1)</f>
        <v>2</v>
      </c>
      <c r="I1654" s="164">
        <f>-SUMIF(TArticle[تاریخ],TDays[[#This Row],[تاریخ]],TArticle[هزینه])</f>
        <v>0</v>
      </c>
      <c r="J1654" s="164">
        <f>SUMIF(TArticle[تاریخ],TDays[[#This Row],[تاریخ]],TArticle[درآمد تتا])</f>
        <v>0</v>
      </c>
      <c r="K1654" s="164">
        <f>SUMIF(TArticle[تاریخ],TDays[[#This Row],[تاریخ]],TArticle[اسنپ])</f>
        <v>0</v>
      </c>
      <c r="L1654" s="164">
        <f>-SUMIF(TArticle[تاریخ],TDays[[#This Row],[تاریخ]],TArticle[پرداخت بدهی])</f>
        <v>0</v>
      </c>
      <c r="M1654" s="164">
        <f>SUMIF(TArticle[تاریخ],TDays[[#This Row],[تاریخ]],TArticle[افزایش بدهی])</f>
        <v>0</v>
      </c>
      <c r="N1654" s="164">
        <f>-SUMIF(TArticle[تاریخ],TDays[[#This Row],[تاریخ]],TArticle[افزایش سرمایه])</f>
        <v>0</v>
      </c>
      <c r="O1654" s="164">
        <f>SUMIF(TArticle[تاریخ],TDays[[#This Row],[تاریخ]],TArticle[تعداد تراکنش انجام شده])</f>
        <v>0</v>
      </c>
      <c r="P1654" s="164">
        <f>INT(((TDays[[#This Row],[ماه]]-1)*31+TDays[[#This Row],[روز]]+1)/7)+1</f>
        <v>28</v>
      </c>
      <c r="Q1654" s="164">
        <f>SUMIF(TArticle[تاریخ],TDays[[#This Row],[تاریخ]],TArticle[تراکنش برنامه ریزی شده])</f>
        <v>0</v>
      </c>
    </row>
    <row r="1655" spans="1:17" x14ac:dyDescent="0.25">
      <c r="A1655" s="3" t="s">
        <v>2238</v>
      </c>
      <c r="B1655" s="164" t="str">
        <f>RIGHT(TDays[[#This Row],[تاریخ]],2)</f>
        <v>08</v>
      </c>
      <c r="C1655" s="164" t="str">
        <f>RIGHT(LEFT(TDays[[#This Row],[تاریخ]],7),2)</f>
        <v>07</v>
      </c>
      <c r="D1655" s="164" t="str">
        <f>LEFT(TDays[[#This Row],[تاریخ]],4)</f>
        <v>1405</v>
      </c>
      <c r="E1655" s="164" t="str">
        <f>LEFT(TDays[[#This Row],[تاریخ]],7)</f>
        <v>1405-07</v>
      </c>
      <c r="F1655" s="164">
        <v>3</v>
      </c>
      <c r="G1655" s="165" t="str">
        <f>VLOOKUP(TDays[[#This Row],[کد روز هفته]],TDaysOfTheWeek[],2,FALSE)</f>
        <v>سه شنبه</v>
      </c>
      <c r="H1655" s="165">
        <f>IFERROR(IF(E1654&lt;&gt;E1655,1,INT(H1654)+IF(TDays[[#This Row],[کد روز هفته]]=0,1,0)),1)</f>
        <v>2</v>
      </c>
      <c r="I1655" s="164">
        <f>-SUMIF(TArticle[تاریخ],TDays[[#This Row],[تاریخ]],TArticle[هزینه])</f>
        <v>0</v>
      </c>
      <c r="J1655" s="164">
        <f>SUMIF(TArticle[تاریخ],TDays[[#This Row],[تاریخ]],TArticle[درآمد تتا])</f>
        <v>0</v>
      </c>
      <c r="K1655" s="164">
        <f>SUMIF(TArticle[تاریخ],TDays[[#This Row],[تاریخ]],TArticle[اسنپ])</f>
        <v>0</v>
      </c>
      <c r="L1655" s="164">
        <f>-SUMIF(TArticle[تاریخ],TDays[[#This Row],[تاریخ]],TArticle[پرداخت بدهی])</f>
        <v>0</v>
      </c>
      <c r="M1655" s="164">
        <f>SUMIF(TArticle[تاریخ],TDays[[#This Row],[تاریخ]],TArticle[افزایش بدهی])</f>
        <v>0</v>
      </c>
      <c r="N1655" s="164">
        <f>-SUMIF(TArticle[تاریخ],TDays[[#This Row],[تاریخ]],TArticle[افزایش سرمایه])</f>
        <v>0</v>
      </c>
      <c r="O1655" s="164">
        <f>SUMIF(TArticle[تاریخ],TDays[[#This Row],[تاریخ]],TArticle[تعداد تراکنش انجام شده])</f>
        <v>0</v>
      </c>
      <c r="P1655" s="164">
        <f>INT(((TDays[[#This Row],[ماه]]-1)*31+TDays[[#This Row],[روز]]+1)/7)+1</f>
        <v>28</v>
      </c>
      <c r="Q1655" s="164">
        <f>SUMIF(TArticle[تاریخ],TDays[[#This Row],[تاریخ]],TArticle[تراکنش برنامه ریزی شده])</f>
        <v>0</v>
      </c>
    </row>
    <row r="1656" spans="1:17" x14ac:dyDescent="0.25">
      <c r="A1656" s="3" t="s">
        <v>2239</v>
      </c>
      <c r="B1656" s="164" t="str">
        <f>RIGHT(TDays[[#This Row],[تاریخ]],2)</f>
        <v>09</v>
      </c>
      <c r="C1656" s="164" t="str">
        <f>RIGHT(LEFT(TDays[[#This Row],[تاریخ]],7),2)</f>
        <v>07</v>
      </c>
      <c r="D1656" s="164" t="str">
        <f>LEFT(TDays[[#This Row],[تاریخ]],4)</f>
        <v>1405</v>
      </c>
      <c r="E1656" s="164" t="str">
        <f>LEFT(TDays[[#This Row],[تاریخ]],7)</f>
        <v>1405-07</v>
      </c>
      <c r="F1656" s="164">
        <v>4</v>
      </c>
      <c r="G1656" s="165" t="str">
        <f>VLOOKUP(TDays[[#This Row],[کد روز هفته]],TDaysOfTheWeek[],2,FALSE)</f>
        <v>چهارشنبه</v>
      </c>
      <c r="H1656" s="165">
        <f>IFERROR(IF(E1655&lt;&gt;E1656,1,INT(H1655)+IF(TDays[[#This Row],[کد روز هفته]]=0,1,0)),1)</f>
        <v>2</v>
      </c>
      <c r="I1656" s="164">
        <f>-SUMIF(TArticle[تاریخ],TDays[[#This Row],[تاریخ]],TArticle[هزینه])</f>
        <v>0</v>
      </c>
      <c r="J1656" s="164">
        <f>SUMIF(TArticle[تاریخ],TDays[[#This Row],[تاریخ]],TArticle[درآمد تتا])</f>
        <v>0</v>
      </c>
      <c r="K1656" s="164">
        <f>SUMIF(TArticle[تاریخ],TDays[[#This Row],[تاریخ]],TArticle[اسنپ])</f>
        <v>0</v>
      </c>
      <c r="L1656" s="164">
        <f>-SUMIF(TArticle[تاریخ],TDays[[#This Row],[تاریخ]],TArticle[پرداخت بدهی])</f>
        <v>0</v>
      </c>
      <c r="M1656" s="164">
        <f>SUMIF(TArticle[تاریخ],TDays[[#This Row],[تاریخ]],TArticle[افزایش بدهی])</f>
        <v>0</v>
      </c>
      <c r="N1656" s="164">
        <f>-SUMIF(TArticle[تاریخ],TDays[[#This Row],[تاریخ]],TArticle[افزایش سرمایه])</f>
        <v>0</v>
      </c>
      <c r="O1656" s="164">
        <f>SUMIF(TArticle[تاریخ],TDays[[#This Row],[تاریخ]],TArticle[تعداد تراکنش انجام شده])</f>
        <v>0</v>
      </c>
      <c r="P1656" s="164">
        <f>INT(((TDays[[#This Row],[ماه]]-1)*31+TDays[[#This Row],[روز]]+1)/7)+1</f>
        <v>29</v>
      </c>
      <c r="Q1656" s="164">
        <f>SUMIF(TArticle[تاریخ],TDays[[#This Row],[تاریخ]],TArticle[تراکنش برنامه ریزی شده])</f>
        <v>0</v>
      </c>
    </row>
    <row r="1657" spans="1:17" x14ac:dyDescent="0.25">
      <c r="A1657" s="3" t="s">
        <v>2240</v>
      </c>
      <c r="B1657" s="164" t="str">
        <f>RIGHT(TDays[[#This Row],[تاریخ]],2)</f>
        <v>10</v>
      </c>
      <c r="C1657" s="164" t="str">
        <f>RIGHT(LEFT(TDays[[#This Row],[تاریخ]],7),2)</f>
        <v>07</v>
      </c>
      <c r="D1657" s="164" t="str">
        <f>LEFT(TDays[[#This Row],[تاریخ]],4)</f>
        <v>1405</v>
      </c>
      <c r="E1657" s="164" t="str">
        <f>LEFT(TDays[[#This Row],[تاریخ]],7)</f>
        <v>1405-07</v>
      </c>
      <c r="F1657">
        <v>5</v>
      </c>
      <c r="G1657" s="165" t="str">
        <f>VLOOKUP(TDays[[#This Row],[کد روز هفته]],TDaysOfTheWeek[],2,FALSE)</f>
        <v>پنجشنبه</v>
      </c>
      <c r="H1657" s="165">
        <f>IFERROR(IF(E1656&lt;&gt;E1657,1,INT(H1656)+IF(TDays[[#This Row],[کد روز هفته]]=0,1,0)),1)</f>
        <v>2</v>
      </c>
      <c r="I1657" s="164">
        <f>-SUMIF(TArticle[تاریخ],TDays[[#This Row],[تاریخ]],TArticle[هزینه])</f>
        <v>0</v>
      </c>
      <c r="J1657" s="164">
        <f>SUMIF(TArticle[تاریخ],TDays[[#This Row],[تاریخ]],TArticle[درآمد تتا])</f>
        <v>0</v>
      </c>
      <c r="K1657" s="164">
        <f>SUMIF(TArticle[تاریخ],TDays[[#This Row],[تاریخ]],TArticle[اسنپ])</f>
        <v>0</v>
      </c>
      <c r="L1657" s="164">
        <f>-SUMIF(TArticle[تاریخ],TDays[[#This Row],[تاریخ]],TArticle[پرداخت بدهی])</f>
        <v>0</v>
      </c>
      <c r="M1657" s="164">
        <f>SUMIF(TArticle[تاریخ],TDays[[#This Row],[تاریخ]],TArticle[افزایش بدهی])</f>
        <v>0</v>
      </c>
      <c r="N1657" s="164">
        <f>-SUMIF(TArticle[تاریخ],TDays[[#This Row],[تاریخ]],TArticle[افزایش سرمایه])</f>
        <v>0</v>
      </c>
      <c r="O1657" s="164">
        <f>SUMIF(TArticle[تاریخ],TDays[[#This Row],[تاریخ]],TArticle[تعداد تراکنش انجام شده])</f>
        <v>0</v>
      </c>
      <c r="P1657" s="164">
        <f>INT(((TDays[[#This Row],[ماه]]-1)*31+TDays[[#This Row],[روز]]+1)/7)+1</f>
        <v>29</v>
      </c>
      <c r="Q1657" s="164">
        <f>SUMIF(TArticle[تاریخ],TDays[[#This Row],[تاریخ]],TArticle[تراکنش برنامه ریزی شده])</f>
        <v>0</v>
      </c>
    </row>
    <row r="1658" spans="1:17" x14ac:dyDescent="0.25">
      <c r="A1658" s="3" t="s">
        <v>2241</v>
      </c>
      <c r="B1658" s="164" t="str">
        <f>RIGHT(TDays[[#This Row],[تاریخ]],2)</f>
        <v>11</v>
      </c>
      <c r="C1658" s="164" t="str">
        <f>RIGHT(LEFT(TDays[[#This Row],[تاریخ]],7),2)</f>
        <v>07</v>
      </c>
      <c r="D1658" s="164" t="str">
        <f>LEFT(TDays[[#This Row],[تاریخ]],4)</f>
        <v>1405</v>
      </c>
      <c r="E1658" s="164" t="str">
        <f>LEFT(TDays[[#This Row],[تاریخ]],7)</f>
        <v>1405-07</v>
      </c>
      <c r="F1658">
        <v>6</v>
      </c>
      <c r="G1658" s="165" t="str">
        <f>VLOOKUP(TDays[[#This Row],[کد روز هفته]],TDaysOfTheWeek[],2,FALSE)</f>
        <v>جمعه</v>
      </c>
      <c r="H1658" s="165">
        <f>IFERROR(IF(E1657&lt;&gt;E1658,1,INT(H1657)+IF(TDays[[#This Row],[کد روز هفته]]=0,1,0)),1)</f>
        <v>2</v>
      </c>
      <c r="I1658" s="164">
        <f>-SUMIF(TArticle[تاریخ],TDays[[#This Row],[تاریخ]],TArticle[هزینه])</f>
        <v>0</v>
      </c>
      <c r="J1658" s="164">
        <f>SUMIF(TArticle[تاریخ],TDays[[#This Row],[تاریخ]],TArticle[درآمد تتا])</f>
        <v>0</v>
      </c>
      <c r="K1658" s="164">
        <f>SUMIF(TArticle[تاریخ],TDays[[#This Row],[تاریخ]],TArticle[اسنپ])</f>
        <v>0</v>
      </c>
      <c r="L1658" s="164">
        <f>-SUMIF(TArticle[تاریخ],TDays[[#This Row],[تاریخ]],TArticle[پرداخت بدهی])</f>
        <v>0</v>
      </c>
      <c r="M1658" s="164">
        <f>SUMIF(TArticle[تاریخ],TDays[[#This Row],[تاریخ]],TArticle[افزایش بدهی])</f>
        <v>0</v>
      </c>
      <c r="N1658" s="164">
        <f>-SUMIF(TArticle[تاریخ],TDays[[#This Row],[تاریخ]],TArticle[افزایش سرمایه])</f>
        <v>0</v>
      </c>
      <c r="O1658" s="164">
        <f>SUMIF(TArticle[تاریخ],TDays[[#This Row],[تاریخ]],TArticle[تعداد تراکنش انجام شده])</f>
        <v>0</v>
      </c>
      <c r="P1658" s="164">
        <f>INT(((TDays[[#This Row],[ماه]]-1)*31+TDays[[#This Row],[روز]]+1)/7)+1</f>
        <v>29</v>
      </c>
      <c r="Q1658" s="164">
        <f>SUMIF(TArticle[تاریخ],TDays[[#This Row],[تاریخ]],TArticle[تراکنش برنامه ریزی شده])</f>
        <v>0</v>
      </c>
    </row>
    <row r="1659" spans="1:17" x14ac:dyDescent="0.25">
      <c r="A1659" s="3" t="s">
        <v>2242</v>
      </c>
      <c r="B1659" s="164" t="str">
        <f>RIGHT(TDays[[#This Row],[تاریخ]],2)</f>
        <v>12</v>
      </c>
      <c r="C1659" s="164" t="str">
        <f>RIGHT(LEFT(TDays[[#This Row],[تاریخ]],7),2)</f>
        <v>07</v>
      </c>
      <c r="D1659" s="164" t="str">
        <f>LEFT(TDays[[#This Row],[تاریخ]],4)</f>
        <v>1405</v>
      </c>
      <c r="E1659" s="164" t="str">
        <f>LEFT(TDays[[#This Row],[تاریخ]],7)</f>
        <v>1405-07</v>
      </c>
      <c r="F1659">
        <v>0</v>
      </c>
      <c r="G1659" s="165" t="str">
        <f>VLOOKUP(TDays[[#This Row],[کد روز هفته]],TDaysOfTheWeek[],2,FALSE)</f>
        <v>شنبه</v>
      </c>
      <c r="H1659" s="165">
        <f>IFERROR(IF(E1658&lt;&gt;E1659,1,INT(H1658)+IF(TDays[[#This Row],[کد روز هفته]]=0,1,0)),1)</f>
        <v>3</v>
      </c>
      <c r="I1659" s="164">
        <f>-SUMIF(TArticle[تاریخ],TDays[[#This Row],[تاریخ]],TArticle[هزینه])</f>
        <v>0</v>
      </c>
      <c r="J1659" s="164">
        <f>SUMIF(TArticle[تاریخ],TDays[[#This Row],[تاریخ]],TArticle[درآمد تتا])</f>
        <v>0</v>
      </c>
      <c r="K1659" s="164">
        <f>SUMIF(TArticle[تاریخ],TDays[[#This Row],[تاریخ]],TArticle[اسنپ])</f>
        <v>0</v>
      </c>
      <c r="L1659" s="164">
        <f>-SUMIF(TArticle[تاریخ],TDays[[#This Row],[تاریخ]],TArticle[پرداخت بدهی])</f>
        <v>0</v>
      </c>
      <c r="M1659" s="164">
        <f>SUMIF(TArticle[تاریخ],TDays[[#This Row],[تاریخ]],TArticle[افزایش بدهی])</f>
        <v>0</v>
      </c>
      <c r="N1659" s="164">
        <f>-SUMIF(TArticle[تاریخ],TDays[[#This Row],[تاریخ]],TArticle[افزایش سرمایه])</f>
        <v>0</v>
      </c>
      <c r="O1659" s="164">
        <f>SUMIF(TArticle[تاریخ],TDays[[#This Row],[تاریخ]],TArticle[تعداد تراکنش انجام شده])</f>
        <v>0</v>
      </c>
      <c r="P1659" s="164">
        <f>INT(((TDays[[#This Row],[ماه]]-1)*31+TDays[[#This Row],[روز]]+1)/7)+1</f>
        <v>29</v>
      </c>
      <c r="Q1659" s="164">
        <f>SUMIF(TArticle[تاریخ],TDays[[#This Row],[تاریخ]],TArticle[تراکنش برنامه ریزی شده])</f>
        <v>0</v>
      </c>
    </row>
    <row r="1660" spans="1:17" x14ac:dyDescent="0.25">
      <c r="A1660" s="3" t="s">
        <v>2243</v>
      </c>
      <c r="B1660" s="164" t="str">
        <f>RIGHT(TDays[[#This Row],[تاریخ]],2)</f>
        <v>13</v>
      </c>
      <c r="C1660" s="164" t="str">
        <f>RIGHT(LEFT(TDays[[#This Row],[تاریخ]],7),2)</f>
        <v>07</v>
      </c>
      <c r="D1660" s="164" t="str">
        <f>LEFT(TDays[[#This Row],[تاریخ]],4)</f>
        <v>1405</v>
      </c>
      <c r="E1660" s="164" t="str">
        <f>LEFT(TDays[[#This Row],[تاریخ]],7)</f>
        <v>1405-07</v>
      </c>
      <c r="F1660">
        <v>1</v>
      </c>
      <c r="G1660" s="165" t="str">
        <f>VLOOKUP(TDays[[#This Row],[کد روز هفته]],TDaysOfTheWeek[],2,FALSE)</f>
        <v>یکشنبه</v>
      </c>
      <c r="H1660" s="165">
        <f>IFERROR(IF(E1659&lt;&gt;E1660,1,INT(H1659)+IF(TDays[[#This Row],[کد روز هفته]]=0,1,0)),1)</f>
        <v>3</v>
      </c>
      <c r="I1660" s="164">
        <f>-SUMIF(TArticle[تاریخ],TDays[[#This Row],[تاریخ]],TArticle[هزینه])</f>
        <v>0</v>
      </c>
      <c r="J1660" s="164">
        <f>SUMIF(TArticle[تاریخ],TDays[[#This Row],[تاریخ]],TArticle[درآمد تتا])</f>
        <v>0</v>
      </c>
      <c r="K1660" s="164">
        <f>SUMIF(TArticle[تاریخ],TDays[[#This Row],[تاریخ]],TArticle[اسنپ])</f>
        <v>0</v>
      </c>
      <c r="L1660" s="164">
        <f>-SUMIF(TArticle[تاریخ],TDays[[#This Row],[تاریخ]],TArticle[پرداخت بدهی])</f>
        <v>0</v>
      </c>
      <c r="M1660" s="164">
        <f>SUMIF(TArticle[تاریخ],TDays[[#This Row],[تاریخ]],TArticle[افزایش بدهی])</f>
        <v>0</v>
      </c>
      <c r="N1660" s="164">
        <f>-SUMIF(TArticle[تاریخ],TDays[[#This Row],[تاریخ]],TArticle[افزایش سرمایه])</f>
        <v>0</v>
      </c>
      <c r="O1660" s="164">
        <f>SUMIF(TArticle[تاریخ],TDays[[#This Row],[تاریخ]],TArticle[تعداد تراکنش انجام شده])</f>
        <v>0</v>
      </c>
      <c r="P1660" s="164">
        <f>INT(((TDays[[#This Row],[ماه]]-1)*31+TDays[[#This Row],[روز]]+1)/7)+1</f>
        <v>29</v>
      </c>
      <c r="Q1660" s="164">
        <f>SUMIF(TArticle[تاریخ],TDays[[#This Row],[تاریخ]],TArticle[تراکنش برنامه ریزی شده])</f>
        <v>0</v>
      </c>
    </row>
    <row r="1661" spans="1:17" x14ac:dyDescent="0.25">
      <c r="A1661" s="3" t="s">
        <v>2244</v>
      </c>
      <c r="B1661" s="164" t="str">
        <f>RIGHT(TDays[[#This Row],[تاریخ]],2)</f>
        <v>14</v>
      </c>
      <c r="C1661" s="164" t="str">
        <f>RIGHT(LEFT(TDays[[#This Row],[تاریخ]],7),2)</f>
        <v>07</v>
      </c>
      <c r="D1661" s="164" t="str">
        <f>LEFT(TDays[[#This Row],[تاریخ]],4)</f>
        <v>1405</v>
      </c>
      <c r="E1661" s="164" t="str">
        <f>LEFT(TDays[[#This Row],[تاریخ]],7)</f>
        <v>1405-07</v>
      </c>
      <c r="F1661">
        <v>2</v>
      </c>
      <c r="G1661" s="165" t="str">
        <f>VLOOKUP(TDays[[#This Row],[کد روز هفته]],TDaysOfTheWeek[],2,FALSE)</f>
        <v>دوشنبه</v>
      </c>
      <c r="H1661" s="165">
        <f>IFERROR(IF(E1660&lt;&gt;E1661,1,INT(H1660)+IF(TDays[[#This Row],[کد روز هفته]]=0,1,0)),1)</f>
        <v>3</v>
      </c>
      <c r="I1661" s="164">
        <f>-SUMIF(TArticle[تاریخ],TDays[[#This Row],[تاریخ]],TArticle[هزینه])</f>
        <v>0</v>
      </c>
      <c r="J1661" s="164">
        <f>SUMIF(TArticle[تاریخ],TDays[[#This Row],[تاریخ]],TArticle[درآمد تتا])</f>
        <v>0</v>
      </c>
      <c r="K1661" s="164">
        <f>SUMIF(TArticle[تاریخ],TDays[[#This Row],[تاریخ]],TArticle[اسنپ])</f>
        <v>0</v>
      </c>
      <c r="L1661" s="164">
        <f>-SUMIF(TArticle[تاریخ],TDays[[#This Row],[تاریخ]],TArticle[پرداخت بدهی])</f>
        <v>0</v>
      </c>
      <c r="M1661" s="164">
        <f>SUMIF(TArticle[تاریخ],TDays[[#This Row],[تاریخ]],TArticle[افزایش بدهی])</f>
        <v>0</v>
      </c>
      <c r="N1661" s="164">
        <f>-SUMIF(TArticle[تاریخ],TDays[[#This Row],[تاریخ]],TArticle[افزایش سرمایه])</f>
        <v>0</v>
      </c>
      <c r="O1661" s="164">
        <f>SUMIF(TArticle[تاریخ],TDays[[#This Row],[تاریخ]],TArticle[تعداد تراکنش انجام شده])</f>
        <v>0</v>
      </c>
      <c r="P1661" s="164">
        <f>INT(((TDays[[#This Row],[ماه]]-1)*31+TDays[[#This Row],[روز]]+1)/7)+1</f>
        <v>29</v>
      </c>
      <c r="Q1661" s="164">
        <f>SUMIF(TArticle[تاریخ],TDays[[#This Row],[تاریخ]],TArticle[تراکنش برنامه ریزی شده])</f>
        <v>0</v>
      </c>
    </row>
    <row r="1662" spans="1:17" x14ac:dyDescent="0.25">
      <c r="A1662" s="3" t="s">
        <v>2245</v>
      </c>
      <c r="B1662" s="164" t="str">
        <f>RIGHT(TDays[[#This Row],[تاریخ]],2)</f>
        <v>15</v>
      </c>
      <c r="C1662" s="164" t="str">
        <f>RIGHT(LEFT(TDays[[#This Row],[تاریخ]],7),2)</f>
        <v>07</v>
      </c>
      <c r="D1662" s="164" t="str">
        <f>LEFT(TDays[[#This Row],[تاریخ]],4)</f>
        <v>1405</v>
      </c>
      <c r="E1662" s="164" t="str">
        <f>LEFT(TDays[[#This Row],[تاریخ]],7)</f>
        <v>1405-07</v>
      </c>
      <c r="F1662">
        <v>3</v>
      </c>
      <c r="G1662" s="165" t="str">
        <f>VLOOKUP(TDays[[#This Row],[کد روز هفته]],TDaysOfTheWeek[],2,FALSE)</f>
        <v>سه شنبه</v>
      </c>
      <c r="H1662" s="165">
        <f>IFERROR(IF(E1661&lt;&gt;E1662,1,INT(H1661)+IF(TDays[[#This Row],[کد روز هفته]]=0,1,0)),1)</f>
        <v>3</v>
      </c>
      <c r="I1662" s="164">
        <f>-SUMIF(TArticle[تاریخ],TDays[[#This Row],[تاریخ]],TArticle[هزینه])</f>
        <v>0</v>
      </c>
      <c r="J1662" s="164">
        <f>SUMIF(TArticle[تاریخ],TDays[[#This Row],[تاریخ]],TArticle[درآمد تتا])</f>
        <v>0</v>
      </c>
      <c r="K1662" s="164">
        <f>SUMIF(TArticle[تاریخ],TDays[[#This Row],[تاریخ]],TArticle[اسنپ])</f>
        <v>0</v>
      </c>
      <c r="L1662" s="164">
        <f>-SUMIF(TArticle[تاریخ],TDays[[#This Row],[تاریخ]],TArticle[پرداخت بدهی])</f>
        <v>0</v>
      </c>
      <c r="M1662" s="164">
        <f>SUMIF(TArticle[تاریخ],TDays[[#This Row],[تاریخ]],TArticle[افزایش بدهی])</f>
        <v>0</v>
      </c>
      <c r="N1662" s="164">
        <f>-SUMIF(TArticle[تاریخ],TDays[[#This Row],[تاریخ]],TArticle[افزایش سرمایه])</f>
        <v>0</v>
      </c>
      <c r="O1662" s="164">
        <f>SUMIF(TArticle[تاریخ],TDays[[#This Row],[تاریخ]],TArticle[تعداد تراکنش انجام شده])</f>
        <v>0</v>
      </c>
      <c r="P1662" s="164">
        <f>INT(((TDays[[#This Row],[ماه]]-1)*31+TDays[[#This Row],[روز]]+1)/7)+1</f>
        <v>29</v>
      </c>
      <c r="Q1662" s="164">
        <f>SUMIF(TArticle[تاریخ],TDays[[#This Row],[تاریخ]],TArticle[تراکنش برنامه ریزی شده])</f>
        <v>0</v>
      </c>
    </row>
    <row r="1663" spans="1:17" x14ac:dyDescent="0.25">
      <c r="A1663" s="3" t="s">
        <v>2246</v>
      </c>
      <c r="B1663" s="164" t="str">
        <f>RIGHT(TDays[[#This Row],[تاریخ]],2)</f>
        <v>16</v>
      </c>
      <c r="C1663" s="164" t="str">
        <f>RIGHT(LEFT(TDays[[#This Row],[تاریخ]],7),2)</f>
        <v>07</v>
      </c>
      <c r="D1663" s="164" t="str">
        <f>LEFT(TDays[[#This Row],[تاریخ]],4)</f>
        <v>1405</v>
      </c>
      <c r="E1663" s="164" t="str">
        <f>LEFT(TDays[[#This Row],[تاریخ]],7)</f>
        <v>1405-07</v>
      </c>
      <c r="F1663">
        <v>4</v>
      </c>
      <c r="G1663" s="165" t="str">
        <f>VLOOKUP(TDays[[#This Row],[کد روز هفته]],TDaysOfTheWeek[],2,FALSE)</f>
        <v>چهارشنبه</v>
      </c>
      <c r="H1663" s="165">
        <f>IFERROR(IF(E1662&lt;&gt;E1663,1,INT(H1662)+IF(TDays[[#This Row],[کد روز هفته]]=0,1,0)),1)</f>
        <v>3</v>
      </c>
      <c r="I1663" s="164">
        <f>-SUMIF(TArticle[تاریخ],TDays[[#This Row],[تاریخ]],TArticle[هزینه])</f>
        <v>0</v>
      </c>
      <c r="J1663" s="164">
        <f>SUMIF(TArticle[تاریخ],TDays[[#This Row],[تاریخ]],TArticle[درآمد تتا])</f>
        <v>0</v>
      </c>
      <c r="K1663" s="164">
        <f>SUMIF(TArticle[تاریخ],TDays[[#This Row],[تاریخ]],TArticle[اسنپ])</f>
        <v>0</v>
      </c>
      <c r="L1663" s="164">
        <f>-SUMIF(TArticle[تاریخ],TDays[[#This Row],[تاریخ]],TArticle[پرداخت بدهی])</f>
        <v>0</v>
      </c>
      <c r="M1663" s="164">
        <f>SUMIF(TArticle[تاریخ],TDays[[#This Row],[تاریخ]],TArticle[افزایش بدهی])</f>
        <v>0</v>
      </c>
      <c r="N1663" s="164">
        <f>-SUMIF(TArticle[تاریخ],TDays[[#This Row],[تاریخ]],TArticle[افزایش سرمایه])</f>
        <v>0</v>
      </c>
      <c r="O1663" s="164">
        <f>SUMIF(TArticle[تاریخ],TDays[[#This Row],[تاریخ]],TArticle[تعداد تراکنش انجام شده])</f>
        <v>0</v>
      </c>
      <c r="P1663" s="164">
        <f>INT(((TDays[[#This Row],[ماه]]-1)*31+TDays[[#This Row],[روز]]+1)/7)+1</f>
        <v>30</v>
      </c>
      <c r="Q1663" s="164">
        <f>SUMIF(TArticle[تاریخ],TDays[[#This Row],[تاریخ]],TArticle[تراکنش برنامه ریزی شده])</f>
        <v>0</v>
      </c>
    </row>
    <row r="1664" spans="1:17" x14ac:dyDescent="0.25">
      <c r="A1664" s="3" t="s">
        <v>2247</v>
      </c>
      <c r="B1664" s="164" t="str">
        <f>RIGHT(TDays[[#This Row],[تاریخ]],2)</f>
        <v>17</v>
      </c>
      <c r="C1664" s="164" t="str">
        <f>RIGHT(LEFT(TDays[[#This Row],[تاریخ]],7),2)</f>
        <v>07</v>
      </c>
      <c r="D1664" s="164" t="str">
        <f>LEFT(TDays[[#This Row],[تاریخ]],4)</f>
        <v>1405</v>
      </c>
      <c r="E1664" s="164" t="str">
        <f>LEFT(TDays[[#This Row],[تاریخ]],7)</f>
        <v>1405-07</v>
      </c>
      <c r="F1664">
        <v>5</v>
      </c>
      <c r="G1664" s="165" t="str">
        <f>VLOOKUP(TDays[[#This Row],[کد روز هفته]],TDaysOfTheWeek[],2,FALSE)</f>
        <v>پنجشنبه</v>
      </c>
      <c r="H1664" s="165">
        <f>IFERROR(IF(E1663&lt;&gt;E1664,1,INT(H1663)+IF(TDays[[#This Row],[کد روز هفته]]=0,1,0)),1)</f>
        <v>3</v>
      </c>
      <c r="I1664" s="164">
        <f>-SUMIF(TArticle[تاریخ],TDays[[#This Row],[تاریخ]],TArticle[هزینه])</f>
        <v>0</v>
      </c>
      <c r="J1664" s="164">
        <f>SUMIF(TArticle[تاریخ],TDays[[#This Row],[تاریخ]],TArticle[درآمد تتا])</f>
        <v>0</v>
      </c>
      <c r="K1664" s="164">
        <f>SUMIF(TArticle[تاریخ],TDays[[#This Row],[تاریخ]],TArticle[اسنپ])</f>
        <v>0</v>
      </c>
      <c r="L1664" s="164">
        <f>-SUMIF(TArticle[تاریخ],TDays[[#This Row],[تاریخ]],TArticle[پرداخت بدهی])</f>
        <v>0</v>
      </c>
      <c r="M1664" s="164">
        <f>SUMIF(TArticle[تاریخ],TDays[[#This Row],[تاریخ]],TArticle[افزایش بدهی])</f>
        <v>0</v>
      </c>
      <c r="N1664" s="164">
        <f>-SUMIF(TArticle[تاریخ],TDays[[#This Row],[تاریخ]],TArticle[افزایش سرمایه])</f>
        <v>0</v>
      </c>
      <c r="O1664" s="164">
        <f>SUMIF(TArticle[تاریخ],TDays[[#This Row],[تاریخ]],TArticle[تعداد تراکنش انجام شده])</f>
        <v>0</v>
      </c>
      <c r="P1664" s="164">
        <f>INT(((TDays[[#This Row],[ماه]]-1)*31+TDays[[#This Row],[روز]]+1)/7)+1</f>
        <v>30</v>
      </c>
      <c r="Q1664" s="164">
        <f>SUMIF(TArticle[تاریخ],TDays[[#This Row],[تاریخ]],TArticle[تراکنش برنامه ریزی شده])</f>
        <v>0</v>
      </c>
    </row>
    <row r="1665" spans="1:17" x14ac:dyDescent="0.25">
      <c r="A1665" s="3" t="s">
        <v>2248</v>
      </c>
      <c r="B1665" s="164" t="str">
        <f>RIGHT(TDays[[#This Row],[تاریخ]],2)</f>
        <v>18</v>
      </c>
      <c r="C1665" s="164" t="str">
        <f>RIGHT(LEFT(TDays[[#This Row],[تاریخ]],7),2)</f>
        <v>07</v>
      </c>
      <c r="D1665" s="164" t="str">
        <f>LEFT(TDays[[#This Row],[تاریخ]],4)</f>
        <v>1405</v>
      </c>
      <c r="E1665" s="164" t="str">
        <f>LEFT(TDays[[#This Row],[تاریخ]],7)</f>
        <v>1405-07</v>
      </c>
      <c r="F1665">
        <v>6</v>
      </c>
      <c r="G1665" s="165" t="str">
        <f>VLOOKUP(TDays[[#This Row],[کد روز هفته]],TDaysOfTheWeek[],2,FALSE)</f>
        <v>جمعه</v>
      </c>
      <c r="H1665" s="165">
        <f>IFERROR(IF(E1664&lt;&gt;E1665,1,INT(H1664)+IF(TDays[[#This Row],[کد روز هفته]]=0,1,0)),1)</f>
        <v>3</v>
      </c>
      <c r="I1665" s="164">
        <f>-SUMIF(TArticle[تاریخ],TDays[[#This Row],[تاریخ]],TArticle[هزینه])</f>
        <v>0</v>
      </c>
      <c r="J1665" s="164">
        <f>SUMIF(TArticle[تاریخ],TDays[[#This Row],[تاریخ]],TArticle[درآمد تتا])</f>
        <v>0</v>
      </c>
      <c r="K1665" s="164">
        <f>SUMIF(TArticle[تاریخ],TDays[[#This Row],[تاریخ]],TArticle[اسنپ])</f>
        <v>0</v>
      </c>
      <c r="L1665" s="164">
        <f>-SUMIF(TArticle[تاریخ],TDays[[#This Row],[تاریخ]],TArticle[پرداخت بدهی])</f>
        <v>0</v>
      </c>
      <c r="M1665" s="164">
        <f>SUMIF(TArticle[تاریخ],TDays[[#This Row],[تاریخ]],TArticle[افزایش بدهی])</f>
        <v>0</v>
      </c>
      <c r="N1665" s="164">
        <f>-SUMIF(TArticle[تاریخ],TDays[[#This Row],[تاریخ]],TArticle[افزایش سرمایه])</f>
        <v>0</v>
      </c>
      <c r="O1665" s="164">
        <f>SUMIF(TArticle[تاریخ],TDays[[#This Row],[تاریخ]],TArticle[تعداد تراکنش انجام شده])</f>
        <v>0</v>
      </c>
      <c r="P1665" s="164">
        <f>INT(((TDays[[#This Row],[ماه]]-1)*31+TDays[[#This Row],[روز]]+1)/7)+1</f>
        <v>30</v>
      </c>
      <c r="Q1665" s="164">
        <f>SUMIF(TArticle[تاریخ],TDays[[#This Row],[تاریخ]],TArticle[تراکنش برنامه ریزی شده])</f>
        <v>0</v>
      </c>
    </row>
    <row r="1666" spans="1:17" x14ac:dyDescent="0.25">
      <c r="A1666" s="3" t="s">
        <v>2249</v>
      </c>
      <c r="B1666" s="164" t="str">
        <f>RIGHT(TDays[[#This Row],[تاریخ]],2)</f>
        <v>19</v>
      </c>
      <c r="C1666" s="164" t="str">
        <f>RIGHT(LEFT(TDays[[#This Row],[تاریخ]],7),2)</f>
        <v>07</v>
      </c>
      <c r="D1666" s="164" t="str">
        <f>LEFT(TDays[[#This Row],[تاریخ]],4)</f>
        <v>1405</v>
      </c>
      <c r="E1666" s="164" t="str">
        <f>LEFT(TDays[[#This Row],[تاریخ]],7)</f>
        <v>1405-07</v>
      </c>
      <c r="F1666">
        <v>0</v>
      </c>
      <c r="G1666" s="165" t="str">
        <f>VLOOKUP(TDays[[#This Row],[کد روز هفته]],TDaysOfTheWeek[],2,FALSE)</f>
        <v>شنبه</v>
      </c>
      <c r="H1666" s="165">
        <f>IFERROR(IF(E1665&lt;&gt;E1666,1,INT(H1665)+IF(TDays[[#This Row],[کد روز هفته]]=0,1,0)),1)</f>
        <v>4</v>
      </c>
      <c r="I1666" s="164">
        <f>-SUMIF(TArticle[تاریخ],TDays[[#This Row],[تاریخ]],TArticle[هزینه])</f>
        <v>0</v>
      </c>
      <c r="J1666" s="164">
        <f>SUMIF(TArticle[تاریخ],TDays[[#This Row],[تاریخ]],TArticle[درآمد تتا])</f>
        <v>0</v>
      </c>
      <c r="K1666" s="164">
        <f>SUMIF(TArticle[تاریخ],TDays[[#This Row],[تاریخ]],TArticle[اسنپ])</f>
        <v>0</v>
      </c>
      <c r="L1666" s="164">
        <f>-SUMIF(TArticle[تاریخ],TDays[[#This Row],[تاریخ]],TArticle[پرداخت بدهی])</f>
        <v>0</v>
      </c>
      <c r="M1666" s="164">
        <f>SUMIF(TArticle[تاریخ],TDays[[#This Row],[تاریخ]],TArticle[افزایش بدهی])</f>
        <v>0</v>
      </c>
      <c r="N1666" s="164">
        <f>-SUMIF(TArticle[تاریخ],TDays[[#This Row],[تاریخ]],TArticle[افزایش سرمایه])</f>
        <v>0</v>
      </c>
      <c r="O1666" s="164">
        <f>SUMIF(TArticle[تاریخ],TDays[[#This Row],[تاریخ]],TArticle[تعداد تراکنش انجام شده])</f>
        <v>0</v>
      </c>
      <c r="P1666" s="164">
        <f>INT(((TDays[[#This Row],[ماه]]-1)*31+TDays[[#This Row],[روز]]+1)/7)+1</f>
        <v>30</v>
      </c>
      <c r="Q1666" s="164">
        <f>SUMIF(TArticle[تاریخ],TDays[[#This Row],[تاریخ]],TArticle[تراکنش برنامه ریزی شده])</f>
        <v>0</v>
      </c>
    </row>
    <row r="1667" spans="1:17" x14ac:dyDescent="0.25">
      <c r="A1667" s="3" t="s">
        <v>2250</v>
      </c>
      <c r="B1667" s="164" t="str">
        <f>RIGHT(TDays[[#This Row],[تاریخ]],2)</f>
        <v>20</v>
      </c>
      <c r="C1667" s="164" t="str">
        <f>RIGHT(LEFT(TDays[[#This Row],[تاریخ]],7),2)</f>
        <v>07</v>
      </c>
      <c r="D1667" s="164" t="str">
        <f>LEFT(TDays[[#This Row],[تاریخ]],4)</f>
        <v>1405</v>
      </c>
      <c r="E1667" s="164" t="str">
        <f>LEFT(TDays[[#This Row],[تاریخ]],7)</f>
        <v>1405-07</v>
      </c>
      <c r="F1667">
        <v>1</v>
      </c>
      <c r="G1667" s="165" t="str">
        <f>VLOOKUP(TDays[[#This Row],[کد روز هفته]],TDaysOfTheWeek[],2,FALSE)</f>
        <v>یکشنبه</v>
      </c>
      <c r="H1667" s="165">
        <f>IFERROR(IF(E1666&lt;&gt;E1667,1,INT(H1666)+IF(TDays[[#This Row],[کد روز هفته]]=0,1,0)),1)</f>
        <v>4</v>
      </c>
      <c r="I1667" s="164">
        <f>-SUMIF(TArticle[تاریخ],TDays[[#This Row],[تاریخ]],TArticle[هزینه])</f>
        <v>0</v>
      </c>
      <c r="J1667" s="164">
        <f>SUMIF(TArticle[تاریخ],TDays[[#This Row],[تاریخ]],TArticle[درآمد تتا])</f>
        <v>0</v>
      </c>
      <c r="K1667" s="164">
        <f>SUMIF(TArticle[تاریخ],TDays[[#This Row],[تاریخ]],TArticle[اسنپ])</f>
        <v>0</v>
      </c>
      <c r="L1667" s="164">
        <f>-SUMIF(TArticle[تاریخ],TDays[[#This Row],[تاریخ]],TArticle[پرداخت بدهی])</f>
        <v>0</v>
      </c>
      <c r="M1667" s="164">
        <f>SUMIF(TArticle[تاریخ],TDays[[#This Row],[تاریخ]],TArticle[افزایش بدهی])</f>
        <v>0</v>
      </c>
      <c r="N1667" s="164">
        <f>-SUMIF(TArticle[تاریخ],TDays[[#This Row],[تاریخ]],TArticle[افزایش سرمایه])</f>
        <v>0</v>
      </c>
      <c r="O1667" s="164">
        <f>SUMIF(TArticle[تاریخ],TDays[[#This Row],[تاریخ]],TArticle[تعداد تراکنش انجام شده])</f>
        <v>0</v>
      </c>
      <c r="P1667" s="164">
        <f>INT(((TDays[[#This Row],[ماه]]-1)*31+TDays[[#This Row],[روز]]+1)/7)+1</f>
        <v>30</v>
      </c>
      <c r="Q1667" s="164">
        <f>SUMIF(TArticle[تاریخ],TDays[[#This Row],[تاریخ]],TArticle[تراکنش برنامه ریزی شده])</f>
        <v>0</v>
      </c>
    </row>
    <row r="1668" spans="1:17" x14ac:dyDescent="0.25">
      <c r="A1668" s="3" t="s">
        <v>2251</v>
      </c>
      <c r="B1668" s="164" t="str">
        <f>RIGHT(TDays[[#This Row],[تاریخ]],2)</f>
        <v>21</v>
      </c>
      <c r="C1668" s="164" t="str">
        <f>RIGHT(LEFT(TDays[[#This Row],[تاریخ]],7),2)</f>
        <v>07</v>
      </c>
      <c r="D1668" s="164" t="str">
        <f>LEFT(TDays[[#This Row],[تاریخ]],4)</f>
        <v>1405</v>
      </c>
      <c r="E1668" s="164" t="str">
        <f>LEFT(TDays[[#This Row],[تاریخ]],7)</f>
        <v>1405-07</v>
      </c>
      <c r="F1668">
        <v>2</v>
      </c>
      <c r="G1668" s="165" t="str">
        <f>VLOOKUP(TDays[[#This Row],[کد روز هفته]],TDaysOfTheWeek[],2,FALSE)</f>
        <v>دوشنبه</v>
      </c>
      <c r="H1668" s="165">
        <f>IFERROR(IF(E1667&lt;&gt;E1668,1,INT(H1667)+IF(TDays[[#This Row],[کد روز هفته]]=0,1,0)),1)</f>
        <v>4</v>
      </c>
      <c r="I1668" s="164">
        <f>-SUMIF(TArticle[تاریخ],TDays[[#This Row],[تاریخ]],TArticle[هزینه])</f>
        <v>0</v>
      </c>
      <c r="J1668" s="164">
        <f>SUMIF(TArticle[تاریخ],TDays[[#This Row],[تاریخ]],TArticle[درآمد تتا])</f>
        <v>0</v>
      </c>
      <c r="K1668" s="164">
        <f>SUMIF(TArticle[تاریخ],TDays[[#This Row],[تاریخ]],TArticle[اسنپ])</f>
        <v>0</v>
      </c>
      <c r="L1668" s="164">
        <f>-SUMIF(TArticle[تاریخ],TDays[[#This Row],[تاریخ]],TArticle[پرداخت بدهی])</f>
        <v>0</v>
      </c>
      <c r="M1668" s="164">
        <f>SUMIF(TArticle[تاریخ],TDays[[#This Row],[تاریخ]],TArticle[افزایش بدهی])</f>
        <v>0</v>
      </c>
      <c r="N1668" s="164">
        <f>-SUMIF(TArticle[تاریخ],TDays[[#This Row],[تاریخ]],TArticle[افزایش سرمایه])</f>
        <v>0</v>
      </c>
      <c r="O1668" s="164">
        <f>SUMIF(TArticle[تاریخ],TDays[[#This Row],[تاریخ]],TArticle[تعداد تراکنش انجام شده])</f>
        <v>0</v>
      </c>
      <c r="P1668" s="164">
        <f>INT(((TDays[[#This Row],[ماه]]-1)*31+TDays[[#This Row],[روز]]+1)/7)+1</f>
        <v>30</v>
      </c>
      <c r="Q1668" s="164">
        <f>SUMIF(TArticle[تاریخ],TDays[[#This Row],[تاریخ]],TArticle[تراکنش برنامه ریزی شده])</f>
        <v>0</v>
      </c>
    </row>
    <row r="1669" spans="1:17" x14ac:dyDescent="0.25">
      <c r="A1669" s="3" t="s">
        <v>2252</v>
      </c>
      <c r="B1669" s="164" t="str">
        <f>RIGHT(TDays[[#This Row],[تاریخ]],2)</f>
        <v>22</v>
      </c>
      <c r="C1669" s="164" t="str">
        <f>RIGHT(LEFT(TDays[[#This Row],[تاریخ]],7),2)</f>
        <v>07</v>
      </c>
      <c r="D1669" s="164" t="str">
        <f>LEFT(TDays[[#This Row],[تاریخ]],4)</f>
        <v>1405</v>
      </c>
      <c r="E1669" s="164" t="str">
        <f>LEFT(TDays[[#This Row],[تاریخ]],7)</f>
        <v>1405-07</v>
      </c>
      <c r="F1669">
        <v>3</v>
      </c>
      <c r="G1669" s="165" t="str">
        <f>VLOOKUP(TDays[[#This Row],[کد روز هفته]],TDaysOfTheWeek[],2,FALSE)</f>
        <v>سه شنبه</v>
      </c>
      <c r="H1669" s="165">
        <f>IFERROR(IF(E1668&lt;&gt;E1669,1,INT(H1668)+IF(TDays[[#This Row],[کد روز هفته]]=0,1,0)),1)</f>
        <v>4</v>
      </c>
      <c r="I1669" s="164">
        <f>-SUMIF(TArticle[تاریخ],TDays[[#This Row],[تاریخ]],TArticle[هزینه])</f>
        <v>0</v>
      </c>
      <c r="J1669" s="164">
        <f>SUMIF(TArticle[تاریخ],TDays[[#This Row],[تاریخ]],TArticle[درآمد تتا])</f>
        <v>0</v>
      </c>
      <c r="K1669" s="164">
        <f>SUMIF(TArticle[تاریخ],TDays[[#This Row],[تاریخ]],TArticle[اسنپ])</f>
        <v>0</v>
      </c>
      <c r="L1669" s="164">
        <f>-SUMIF(TArticle[تاریخ],TDays[[#This Row],[تاریخ]],TArticle[پرداخت بدهی])</f>
        <v>0</v>
      </c>
      <c r="M1669" s="164">
        <f>SUMIF(TArticle[تاریخ],TDays[[#This Row],[تاریخ]],TArticle[افزایش بدهی])</f>
        <v>0</v>
      </c>
      <c r="N1669" s="164">
        <f>-SUMIF(TArticle[تاریخ],TDays[[#This Row],[تاریخ]],TArticle[افزایش سرمایه])</f>
        <v>0</v>
      </c>
      <c r="O1669" s="164">
        <f>SUMIF(TArticle[تاریخ],TDays[[#This Row],[تاریخ]],TArticle[تعداد تراکنش انجام شده])</f>
        <v>0</v>
      </c>
      <c r="P1669" s="164">
        <f>INT(((TDays[[#This Row],[ماه]]-1)*31+TDays[[#This Row],[روز]]+1)/7)+1</f>
        <v>30</v>
      </c>
      <c r="Q1669" s="164">
        <f>SUMIF(TArticle[تاریخ],TDays[[#This Row],[تاریخ]],TArticle[تراکنش برنامه ریزی شده])</f>
        <v>0</v>
      </c>
    </row>
    <row r="1670" spans="1:17" x14ac:dyDescent="0.25">
      <c r="A1670" s="3" t="s">
        <v>2253</v>
      </c>
      <c r="B1670" s="164" t="str">
        <f>RIGHT(TDays[[#This Row],[تاریخ]],2)</f>
        <v>23</v>
      </c>
      <c r="C1670" s="164" t="str">
        <f>RIGHT(LEFT(TDays[[#This Row],[تاریخ]],7),2)</f>
        <v>07</v>
      </c>
      <c r="D1670" s="164" t="str">
        <f>LEFT(TDays[[#This Row],[تاریخ]],4)</f>
        <v>1405</v>
      </c>
      <c r="E1670" s="164" t="str">
        <f>LEFT(TDays[[#This Row],[تاریخ]],7)</f>
        <v>1405-07</v>
      </c>
      <c r="F1670">
        <v>4</v>
      </c>
      <c r="G1670" s="165" t="str">
        <f>VLOOKUP(TDays[[#This Row],[کد روز هفته]],TDaysOfTheWeek[],2,FALSE)</f>
        <v>چهارشنبه</v>
      </c>
      <c r="H1670" s="165">
        <f>IFERROR(IF(E1669&lt;&gt;E1670,1,INT(H1669)+IF(TDays[[#This Row],[کد روز هفته]]=0,1,0)),1)</f>
        <v>4</v>
      </c>
      <c r="I1670" s="164">
        <f>-SUMIF(TArticle[تاریخ],TDays[[#This Row],[تاریخ]],TArticle[هزینه])</f>
        <v>0</v>
      </c>
      <c r="J1670" s="164">
        <f>SUMIF(TArticle[تاریخ],TDays[[#This Row],[تاریخ]],TArticle[درآمد تتا])</f>
        <v>0</v>
      </c>
      <c r="K1670" s="164">
        <f>SUMIF(TArticle[تاریخ],TDays[[#This Row],[تاریخ]],TArticle[اسنپ])</f>
        <v>0</v>
      </c>
      <c r="L1670" s="164">
        <f>-SUMIF(TArticle[تاریخ],TDays[[#This Row],[تاریخ]],TArticle[پرداخت بدهی])</f>
        <v>0</v>
      </c>
      <c r="M1670" s="164">
        <f>SUMIF(TArticle[تاریخ],TDays[[#This Row],[تاریخ]],TArticle[افزایش بدهی])</f>
        <v>0</v>
      </c>
      <c r="N1670" s="164">
        <f>-SUMIF(TArticle[تاریخ],TDays[[#This Row],[تاریخ]],TArticle[افزایش سرمایه])</f>
        <v>0</v>
      </c>
      <c r="O1670" s="164">
        <f>SUMIF(TArticle[تاریخ],TDays[[#This Row],[تاریخ]],TArticle[تعداد تراکنش انجام شده])</f>
        <v>0</v>
      </c>
      <c r="P1670" s="164">
        <f>INT(((TDays[[#This Row],[ماه]]-1)*31+TDays[[#This Row],[روز]]+1)/7)+1</f>
        <v>31</v>
      </c>
      <c r="Q1670" s="164">
        <f>SUMIF(TArticle[تاریخ],TDays[[#This Row],[تاریخ]],TArticle[تراکنش برنامه ریزی شده])</f>
        <v>0</v>
      </c>
    </row>
    <row r="1671" spans="1:17" x14ac:dyDescent="0.25">
      <c r="A1671" s="3" t="s">
        <v>2254</v>
      </c>
      <c r="B1671" s="164" t="str">
        <f>RIGHT(TDays[[#This Row],[تاریخ]],2)</f>
        <v>24</v>
      </c>
      <c r="C1671" s="164" t="str">
        <f>RIGHT(LEFT(TDays[[#This Row],[تاریخ]],7),2)</f>
        <v>07</v>
      </c>
      <c r="D1671" s="164" t="str">
        <f>LEFT(TDays[[#This Row],[تاریخ]],4)</f>
        <v>1405</v>
      </c>
      <c r="E1671" s="164" t="str">
        <f>LEFT(TDays[[#This Row],[تاریخ]],7)</f>
        <v>1405-07</v>
      </c>
      <c r="F1671">
        <v>5</v>
      </c>
      <c r="G1671" s="165" t="str">
        <f>VLOOKUP(TDays[[#This Row],[کد روز هفته]],TDaysOfTheWeek[],2,FALSE)</f>
        <v>پنجشنبه</v>
      </c>
      <c r="H1671" s="165">
        <f>IFERROR(IF(E1670&lt;&gt;E1671,1,INT(H1670)+IF(TDays[[#This Row],[کد روز هفته]]=0,1,0)),1)</f>
        <v>4</v>
      </c>
      <c r="I1671" s="164">
        <f>-SUMIF(TArticle[تاریخ],TDays[[#This Row],[تاریخ]],TArticle[هزینه])</f>
        <v>0</v>
      </c>
      <c r="J1671" s="164">
        <f>SUMIF(TArticle[تاریخ],TDays[[#This Row],[تاریخ]],TArticle[درآمد تتا])</f>
        <v>0</v>
      </c>
      <c r="K1671" s="164">
        <f>SUMIF(TArticle[تاریخ],TDays[[#This Row],[تاریخ]],TArticle[اسنپ])</f>
        <v>0</v>
      </c>
      <c r="L1671" s="164">
        <f>-SUMIF(TArticle[تاریخ],TDays[[#This Row],[تاریخ]],TArticle[پرداخت بدهی])</f>
        <v>0</v>
      </c>
      <c r="M1671" s="164">
        <f>SUMIF(TArticle[تاریخ],TDays[[#This Row],[تاریخ]],TArticle[افزایش بدهی])</f>
        <v>0</v>
      </c>
      <c r="N1671" s="164">
        <f>-SUMIF(TArticle[تاریخ],TDays[[#This Row],[تاریخ]],TArticle[افزایش سرمایه])</f>
        <v>0</v>
      </c>
      <c r="O1671" s="164">
        <f>SUMIF(TArticle[تاریخ],TDays[[#This Row],[تاریخ]],TArticle[تعداد تراکنش انجام شده])</f>
        <v>0</v>
      </c>
      <c r="P1671" s="164">
        <f>INT(((TDays[[#This Row],[ماه]]-1)*31+TDays[[#This Row],[روز]]+1)/7)+1</f>
        <v>31</v>
      </c>
      <c r="Q1671" s="164">
        <f>SUMIF(TArticle[تاریخ],TDays[[#This Row],[تاریخ]],TArticle[تراکنش برنامه ریزی شده])</f>
        <v>0</v>
      </c>
    </row>
    <row r="1672" spans="1:17" x14ac:dyDescent="0.25">
      <c r="A1672" s="3" t="s">
        <v>2255</v>
      </c>
      <c r="B1672" s="164" t="str">
        <f>RIGHT(TDays[[#This Row],[تاریخ]],2)</f>
        <v>25</v>
      </c>
      <c r="C1672" s="164" t="str">
        <f>RIGHT(LEFT(TDays[[#This Row],[تاریخ]],7),2)</f>
        <v>07</v>
      </c>
      <c r="D1672" s="164" t="str">
        <f>LEFT(TDays[[#This Row],[تاریخ]],4)</f>
        <v>1405</v>
      </c>
      <c r="E1672" s="164" t="str">
        <f>LEFT(TDays[[#This Row],[تاریخ]],7)</f>
        <v>1405-07</v>
      </c>
      <c r="F1672">
        <v>6</v>
      </c>
      <c r="G1672" s="165" t="str">
        <f>VLOOKUP(TDays[[#This Row],[کد روز هفته]],TDaysOfTheWeek[],2,FALSE)</f>
        <v>جمعه</v>
      </c>
      <c r="H1672" s="165">
        <f>IFERROR(IF(E1671&lt;&gt;E1672,1,INT(H1671)+IF(TDays[[#This Row],[کد روز هفته]]=0,1,0)),1)</f>
        <v>4</v>
      </c>
      <c r="I1672" s="164">
        <f>-SUMIF(TArticle[تاریخ],TDays[[#This Row],[تاریخ]],TArticle[هزینه])</f>
        <v>0</v>
      </c>
      <c r="J1672" s="164">
        <f>SUMIF(TArticle[تاریخ],TDays[[#This Row],[تاریخ]],TArticle[درآمد تتا])</f>
        <v>0</v>
      </c>
      <c r="K1672" s="164">
        <f>SUMIF(TArticle[تاریخ],TDays[[#This Row],[تاریخ]],TArticle[اسنپ])</f>
        <v>0</v>
      </c>
      <c r="L1672" s="164">
        <f>-SUMIF(TArticle[تاریخ],TDays[[#This Row],[تاریخ]],TArticle[پرداخت بدهی])</f>
        <v>0</v>
      </c>
      <c r="M1672" s="164">
        <f>SUMIF(TArticle[تاریخ],TDays[[#This Row],[تاریخ]],TArticle[افزایش بدهی])</f>
        <v>0</v>
      </c>
      <c r="N1672" s="164">
        <f>-SUMIF(TArticle[تاریخ],TDays[[#This Row],[تاریخ]],TArticle[افزایش سرمایه])</f>
        <v>0</v>
      </c>
      <c r="O1672" s="164">
        <f>SUMIF(TArticle[تاریخ],TDays[[#This Row],[تاریخ]],TArticle[تعداد تراکنش انجام شده])</f>
        <v>0</v>
      </c>
      <c r="P1672" s="164">
        <f>INT(((TDays[[#This Row],[ماه]]-1)*31+TDays[[#This Row],[روز]]+1)/7)+1</f>
        <v>31</v>
      </c>
      <c r="Q1672" s="164">
        <f>SUMIF(TArticle[تاریخ],TDays[[#This Row],[تاریخ]],TArticle[تراکنش برنامه ریزی شده])</f>
        <v>0</v>
      </c>
    </row>
    <row r="1673" spans="1:17" x14ac:dyDescent="0.25">
      <c r="A1673" s="3" t="s">
        <v>2256</v>
      </c>
      <c r="B1673" s="164" t="str">
        <f>RIGHT(TDays[[#This Row],[تاریخ]],2)</f>
        <v>26</v>
      </c>
      <c r="C1673" s="164" t="str">
        <f>RIGHT(LEFT(TDays[[#This Row],[تاریخ]],7),2)</f>
        <v>07</v>
      </c>
      <c r="D1673" s="164" t="str">
        <f>LEFT(TDays[[#This Row],[تاریخ]],4)</f>
        <v>1405</v>
      </c>
      <c r="E1673" s="164" t="str">
        <f>LEFT(TDays[[#This Row],[تاریخ]],7)</f>
        <v>1405-07</v>
      </c>
      <c r="F1673">
        <v>0</v>
      </c>
      <c r="G1673" s="165" t="str">
        <f>VLOOKUP(TDays[[#This Row],[کد روز هفته]],TDaysOfTheWeek[],2,FALSE)</f>
        <v>شنبه</v>
      </c>
      <c r="H1673" s="165">
        <f>IFERROR(IF(E1672&lt;&gt;E1673,1,INT(H1672)+IF(TDays[[#This Row],[کد روز هفته]]=0,1,0)),1)</f>
        <v>5</v>
      </c>
      <c r="I1673" s="164">
        <f>-SUMIF(TArticle[تاریخ],TDays[[#This Row],[تاریخ]],TArticle[هزینه])</f>
        <v>0</v>
      </c>
      <c r="J1673" s="164">
        <f>SUMIF(TArticle[تاریخ],TDays[[#This Row],[تاریخ]],TArticle[درآمد تتا])</f>
        <v>0</v>
      </c>
      <c r="K1673" s="164">
        <f>SUMIF(TArticle[تاریخ],TDays[[#This Row],[تاریخ]],TArticle[اسنپ])</f>
        <v>0</v>
      </c>
      <c r="L1673" s="164">
        <f>-SUMIF(TArticle[تاریخ],TDays[[#This Row],[تاریخ]],TArticle[پرداخت بدهی])</f>
        <v>0</v>
      </c>
      <c r="M1673" s="164">
        <f>SUMIF(TArticle[تاریخ],TDays[[#This Row],[تاریخ]],TArticle[افزایش بدهی])</f>
        <v>0</v>
      </c>
      <c r="N1673" s="164">
        <f>-SUMIF(TArticle[تاریخ],TDays[[#This Row],[تاریخ]],TArticle[افزایش سرمایه])</f>
        <v>0</v>
      </c>
      <c r="O1673" s="164">
        <f>SUMIF(TArticle[تاریخ],TDays[[#This Row],[تاریخ]],TArticle[تعداد تراکنش انجام شده])</f>
        <v>0</v>
      </c>
      <c r="P1673" s="164">
        <f>INT(((TDays[[#This Row],[ماه]]-1)*31+TDays[[#This Row],[روز]]+1)/7)+1</f>
        <v>31</v>
      </c>
      <c r="Q1673" s="164">
        <f>SUMIF(TArticle[تاریخ],TDays[[#This Row],[تاریخ]],TArticle[تراکنش برنامه ریزی شده])</f>
        <v>0</v>
      </c>
    </row>
    <row r="1674" spans="1:17" x14ac:dyDescent="0.25">
      <c r="A1674" s="3" t="s">
        <v>2257</v>
      </c>
      <c r="B1674" s="164" t="str">
        <f>RIGHT(TDays[[#This Row],[تاریخ]],2)</f>
        <v>27</v>
      </c>
      <c r="C1674" s="164" t="str">
        <f>RIGHT(LEFT(TDays[[#This Row],[تاریخ]],7),2)</f>
        <v>07</v>
      </c>
      <c r="D1674" s="164" t="str">
        <f>LEFT(TDays[[#This Row],[تاریخ]],4)</f>
        <v>1405</v>
      </c>
      <c r="E1674" s="164" t="str">
        <f>LEFT(TDays[[#This Row],[تاریخ]],7)</f>
        <v>1405-07</v>
      </c>
      <c r="F1674">
        <v>1</v>
      </c>
      <c r="G1674" s="165" t="str">
        <f>VLOOKUP(TDays[[#This Row],[کد روز هفته]],TDaysOfTheWeek[],2,FALSE)</f>
        <v>یکشنبه</v>
      </c>
      <c r="H1674" s="165">
        <f>IFERROR(IF(E1673&lt;&gt;E1674,1,INT(H1673)+IF(TDays[[#This Row],[کد روز هفته]]=0,1,0)),1)</f>
        <v>5</v>
      </c>
      <c r="I1674" s="164">
        <f>-SUMIF(TArticle[تاریخ],TDays[[#This Row],[تاریخ]],TArticle[هزینه])</f>
        <v>0</v>
      </c>
      <c r="J1674" s="164">
        <f>SUMIF(TArticle[تاریخ],TDays[[#This Row],[تاریخ]],TArticle[درآمد تتا])</f>
        <v>0</v>
      </c>
      <c r="K1674" s="164">
        <f>SUMIF(TArticle[تاریخ],TDays[[#This Row],[تاریخ]],TArticle[اسنپ])</f>
        <v>0</v>
      </c>
      <c r="L1674" s="164">
        <f>-SUMIF(TArticle[تاریخ],TDays[[#This Row],[تاریخ]],TArticle[پرداخت بدهی])</f>
        <v>0</v>
      </c>
      <c r="M1674" s="164">
        <f>SUMIF(TArticle[تاریخ],TDays[[#This Row],[تاریخ]],TArticle[افزایش بدهی])</f>
        <v>0</v>
      </c>
      <c r="N1674" s="164">
        <f>-SUMIF(TArticle[تاریخ],TDays[[#This Row],[تاریخ]],TArticle[افزایش سرمایه])</f>
        <v>0</v>
      </c>
      <c r="O1674" s="164">
        <f>SUMIF(TArticle[تاریخ],TDays[[#This Row],[تاریخ]],TArticle[تعداد تراکنش انجام شده])</f>
        <v>0</v>
      </c>
      <c r="P1674" s="164">
        <f>INT(((TDays[[#This Row],[ماه]]-1)*31+TDays[[#This Row],[روز]]+1)/7)+1</f>
        <v>31</v>
      </c>
      <c r="Q1674" s="164">
        <f>SUMIF(TArticle[تاریخ],TDays[[#This Row],[تاریخ]],TArticle[تراکنش برنامه ریزی شده])</f>
        <v>0</v>
      </c>
    </row>
    <row r="1675" spans="1:17" x14ac:dyDescent="0.25">
      <c r="A1675" s="3" t="s">
        <v>2258</v>
      </c>
      <c r="B1675" s="164" t="str">
        <f>RIGHT(TDays[[#This Row],[تاریخ]],2)</f>
        <v>28</v>
      </c>
      <c r="C1675" s="164" t="str">
        <f>RIGHT(LEFT(TDays[[#This Row],[تاریخ]],7),2)</f>
        <v>07</v>
      </c>
      <c r="D1675" s="164" t="str">
        <f>LEFT(TDays[[#This Row],[تاریخ]],4)</f>
        <v>1405</v>
      </c>
      <c r="E1675" s="164" t="str">
        <f>LEFT(TDays[[#This Row],[تاریخ]],7)</f>
        <v>1405-07</v>
      </c>
      <c r="F1675">
        <v>2</v>
      </c>
      <c r="G1675" s="165" t="str">
        <f>VLOOKUP(TDays[[#This Row],[کد روز هفته]],TDaysOfTheWeek[],2,FALSE)</f>
        <v>دوشنبه</v>
      </c>
      <c r="H1675" s="165">
        <f>IFERROR(IF(E1674&lt;&gt;E1675,1,INT(H1674)+IF(TDays[[#This Row],[کد روز هفته]]=0,1,0)),1)</f>
        <v>5</v>
      </c>
      <c r="I1675" s="164">
        <f>-SUMIF(TArticle[تاریخ],TDays[[#This Row],[تاریخ]],TArticle[هزینه])</f>
        <v>0</v>
      </c>
      <c r="J1675" s="164">
        <f>SUMIF(TArticle[تاریخ],TDays[[#This Row],[تاریخ]],TArticle[درآمد تتا])</f>
        <v>0</v>
      </c>
      <c r="K1675" s="164">
        <f>SUMIF(TArticle[تاریخ],TDays[[#This Row],[تاریخ]],TArticle[اسنپ])</f>
        <v>0</v>
      </c>
      <c r="L1675" s="164">
        <f>-SUMIF(TArticle[تاریخ],TDays[[#This Row],[تاریخ]],TArticle[پرداخت بدهی])</f>
        <v>0</v>
      </c>
      <c r="M1675" s="164">
        <f>SUMIF(TArticle[تاریخ],TDays[[#This Row],[تاریخ]],TArticle[افزایش بدهی])</f>
        <v>0</v>
      </c>
      <c r="N1675" s="164">
        <f>-SUMIF(TArticle[تاریخ],TDays[[#This Row],[تاریخ]],TArticle[افزایش سرمایه])</f>
        <v>0</v>
      </c>
      <c r="O1675" s="164">
        <f>SUMIF(TArticle[تاریخ],TDays[[#This Row],[تاریخ]],TArticle[تعداد تراکنش انجام شده])</f>
        <v>0</v>
      </c>
      <c r="P1675" s="164">
        <f>INT(((TDays[[#This Row],[ماه]]-1)*31+TDays[[#This Row],[روز]]+1)/7)+1</f>
        <v>31</v>
      </c>
      <c r="Q1675" s="164">
        <f>SUMIF(TArticle[تاریخ],TDays[[#This Row],[تاریخ]],TArticle[تراکنش برنامه ریزی شده])</f>
        <v>0</v>
      </c>
    </row>
    <row r="1676" spans="1:17" x14ac:dyDescent="0.25">
      <c r="A1676" s="3" t="s">
        <v>2259</v>
      </c>
      <c r="B1676" s="164" t="str">
        <f>RIGHT(TDays[[#This Row],[تاریخ]],2)</f>
        <v>29</v>
      </c>
      <c r="C1676" s="164" t="str">
        <f>RIGHT(LEFT(TDays[[#This Row],[تاریخ]],7),2)</f>
        <v>07</v>
      </c>
      <c r="D1676" s="164" t="str">
        <f>LEFT(TDays[[#This Row],[تاریخ]],4)</f>
        <v>1405</v>
      </c>
      <c r="E1676" s="164" t="str">
        <f>LEFT(TDays[[#This Row],[تاریخ]],7)</f>
        <v>1405-07</v>
      </c>
      <c r="F1676">
        <v>3</v>
      </c>
      <c r="G1676" s="165" t="str">
        <f>VLOOKUP(TDays[[#This Row],[کد روز هفته]],TDaysOfTheWeek[],2,FALSE)</f>
        <v>سه شنبه</v>
      </c>
      <c r="H1676" s="165">
        <f>IFERROR(IF(E1675&lt;&gt;E1676,1,INT(H1675)+IF(TDays[[#This Row],[کد روز هفته]]=0,1,0)),1)</f>
        <v>5</v>
      </c>
      <c r="I1676" s="164">
        <f>-SUMIF(TArticle[تاریخ],TDays[[#This Row],[تاریخ]],TArticle[هزینه])</f>
        <v>0</v>
      </c>
      <c r="J1676" s="164">
        <f>SUMIF(TArticle[تاریخ],TDays[[#This Row],[تاریخ]],TArticle[درآمد تتا])</f>
        <v>0</v>
      </c>
      <c r="K1676" s="164">
        <f>SUMIF(TArticle[تاریخ],TDays[[#This Row],[تاریخ]],TArticle[اسنپ])</f>
        <v>0</v>
      </c>
      <c r="L1676" s="164">
        <f>-SUMIF(TArticle[تاریخ],TDays[[#This Row],[تاریخ]],TArticle[پرداخت بدهی])</f>
        <v>0</v>
      </c>
      <c r="M1676" s="164">
        <f>SUMIF(TArticle[تاریخ],TDays[[#This Row],[تاریخ]],TArticle[افزایش بدهی])</f>
        <v>0</v>
      </c>
      <c r="N1676" s="164">
        <f>-SUMIF(TArticle[تاریخ],TDays[[#This Row],[تاریخ]],TArticle[افزایش سرمایه])</f>
        <v>0</v>
      </c>
      <c r="O1676" s="164">
        <f>SUMIF(TArticle[تاریخ],TDays[[#This Row],[تاریخ]],TArticle[تعداد تراکنش انجام شده])</f>
        <v>0</v>
      </c>
      <c r="P1676" s="164">
        <f>INT(((TDays[[#This Row],[ماه]]-1)*31+TDays[[#This Row],[روز]]+1)/7)+1</f>
        <v>31</v>
      </c>
      <c r="Q1676" s="164">
        <f>SUMIF(TArticle[تاریخ],TDays[[#This Row],[تاریخ]],TArticle[تراکنش برنامه ریزی شده])</f>
        <v>0</v>
      </c>
    </row>
    <row r="1677" spans="1:17" x14ac:dyDescent="0.25">
      <c r="A1677" s="3" t="s">
        <v>2260</v>
      </c>
      <c r="B1677" s="164" t="str">
        <f>RIGHT(TDays[[#This Row],[تاریخ]],2)</f>
        <v>30</v>
      </c>
      <c r="C1677" s="164" t="str">
        <f>RIGHT(LEFT(TDays[[#This Row],[تاریخ]],7),2)</f>
        <v>07</v>
      </c>
      <c r="D1677" s="164" t="str">
        <f>LEFT(TDays[[#This Row],[تاریخ]],4)</f>
        <v>1405</v>
      </c>
      <c r="E1677" s="164" t="str">
        <f>LEFT(TDays[[#This Row],[تاریخ]],7)</f>
        <v>1405-07</v>
      </c>
      <c r="F1677">
        <v>4</v>
      </c>
      <c r="G1677" s="165" t="str">
        <f>VLOOKUP(TDays[[#This Row],[کد روز هفته]],TDaysOfTheWeek[],2,FALSE)</f>
        <v>چهارشنبه</v>
      </c>
      <c r="H1677" s="165">
        <f>IFERROR(IF(E1676&lt;&gt;E1677,1,INT(H1676)+IF(TDays[[#This Row],[کد روز هفته]]=0,1,0)),1)</f>
        <v>5</v>
      </c>
      <c r="I1677" s="164">
        <f>-SUMIF(TArticle[تاریخ],TDays[[#This Row],[تاریخ]],TArticle[هزینه])</f>
        <v>0</v>
      </c>
      <c r="J1677" s="164">
        <f>SUMIF(TArticle[تاریخ],TDays[[#This Row],[تاریخ]],TArticle[درآمد تتا])</f>
        <v>0</v>
      </c>
      <c r="K1677" s="164">
        <f>SUMIF(TArticle[تاریخ],TDays[[#This Row],[تاریخ]],TArticle[اسنپ])</f>
        <v>0</v>
      </c>
      <c r="L1677" s="164">
        <f>-SUMIF(TArticle[تاریخ],TDays[[#This Row],[تاریخ]],TArticle[پرداخت بدهی])</f>
        <v>0</v>
      </c>
      <c r="M1677" s="164">
        <f>SUMIF(TArticle[تاریخ],TDays[[#This Row],[تاریخ]],TArticle[افزایش بدهی])</f>
        <v>0</v>
      </c>
      <c r="N1677" s="164">
        <f>-SUMIF(TArticle[تاریخ],TDays[[#This Row],[تاریخ]],TArticle[افزایش سرمایه])</f>
        <v>0</v>
      </c>
      <c r="O1677" s="164">
        <f>SUMIF(TArticle[تاریخ],TDays[[#This Row],[تاریخ]],TArticle[تعداد تراکنش انجام شده])</f>
        <v>0</v>
      </c>
      <c r="P1677" s="164">
        <f>INT(((TDays[[#This Row],[ماه]]-1)*31+TDays[[#This Row],[روز]]+1)/7)+1</f>
        <v>32</v>
      </c>
      <c r="Q1677" s="164">
        <f>SUMIF(TArticle[تاریخ],TDays[[#This Row],[تاریخ]],TArticle[تراکنش برنامه ریزی شده])</f>
        <v>0</v>
      </c>
    </row>
    <row r="1678" spans="1:17" x14ac:dyDescent="0.25">
      <c r="A1678" s="3" t="s">
        <v>2261</v>
      </c>
      <c r="B1678" s="164" t="str">
        <f>RIGHT(TDays[[#This Row],[تاریخ]],2)</f>
        <v>01</v>
      </c>
      <c r="C1678" s="164" t="str">
        <f>RIGHT(LEFT(TDays[[#This Row],[تاریخ]],7),2)</f>
        <v>08</v>
      </c>
      <c r="D1678" s="164" t="str">
        <f>LEFT(TDays[[#This Row],[تاریخ]],4)</f>
        <v>1405</v>
      </c>
      <c r="E1678" s="164" t="str">
        <f>LEFT(TDays[[#This Row],[تاریخ]],7)</f>
        <v>1405-08</v>
      </c>
      <c r="F1678">
        <v>5</v>
      </c>
      <c r="G1678" s="165" t="str">
        <f>VLOOKUP(TDays[[#This Row],[کد روز هفته]],TDaysOfTheWeek[],2,FALSE)</f>
        <v>پنجشنبه</v>
      </c>
      <c r="H1678" s="165">
        <f>IFERROR(IF(E1677&lt;&gt;E1678,1,INT(H1677)+IF(TDays[[#This Row],[کد روز هفته]]=0,1,0)),1)</f>
        <v>1</v>
      </c>
      <c r="I1678" s="164">
        <f>-SUMIF(TArticle[تاریخ],TDays[[#This Row],[تاریخ]],TArticle[هزینه])</f>
        <v>0</v>
      </c>
      <c r="J1678" s="164">
        <f>SUMIF(TArticle[تاریخ],TDays[[#This Row],[تاریخ]],TArticle[درآمد تتا])</f>
        <v>0</v>
      </c>
      <c r="K1678" s="164">
        <f>SUMIF(TArticle[تاریخ],TDays[[#This Row],[تاریخ]],TArticle[اسنپ])</f>
        <v>0</v>
      </c>
      <c r="L1678" s="164">
        <f>-SUMIF(TArticle[تاریخ],TDays[[#This Row],[تاریخ]],TArticle[پرداخت بدهی])</f>
        <v>0</v>
      </c>
      <c r="M1678" s="164">
        <f>SUMIF(TArticle[تاریخ],TDays[[#This Row],[تاریخ]],TArticle[افزایش بدهی])</f>
        <v>0</v>
      </c>
      <c r="N1678" s="164">
        <f>-SUMIF(TArticle[تاریخ],TDays[[#This Row],[تاریخ]],TArticle[افزایش سرمایه])</f>
        <v>0</v>
      </c>
      <c r="O1678" s="164">
        <f>SUMIF(TArticle[تاریخ],TDays[[#This Row],[تاریخ]],TArticle[تعداد تراکنش انجام شده])</f>
        <v>0</v>
      </c>
      <c r="P1678" s="164">
        <f>INT(((TDays[[#This Row],[ماه]]-1)*31+TDays[[#This Row],[روز]]+1)/7)+1</f>
        <v>32</v>
      </c>
      <c r="Q1678" s="164">
        <f>SUMIF(TArticle[تاریخ],TDays[[#This Row],[تاریخ]],TArticle[تراکنش برنامه ریزی شده])</f>
        <v>0</v>
      </c>
    </row>
    <row r="1679" spans="1:17" x14ac:dyDescent="0.25">
      <c r="A1679" s="3" t="s">
        <v>2262</v>
      </c>
      <c r="B1679" s="164" t="str">
        <f>RIGHT(TDays[[#This Row],[تاریخ]],2)</f>
        <v>02</v>
      </c>
      <c r="C1679" s="164" t="str">
        <f>RIGHT(LEFT(TDays[[#This Row],[تاریخ]],7),2)</f>
        <v>08</v>
      </c>
      <c r="D1679" s="164" t="str">
        <f>LEFT(TDays[[#This Row],[تاریخ]],4)</f>
        <v>1405</v>
      </c>
      <c r="E1679" s="164" t="str">
        <f>LEFT(TDays[[#This Row],[تاریخ]],7)</f>
        <v>1405-08</v>
      </c>
      <c r="F1679">
        <v>6</v>
      </c>
      <c r="G1679" s="165" t="str">
        <f>VLOOKUP(TDays[[#This Row],[کد روز هفته]],TDaysOfTheWeek[],2,FALSE)</f>
        <v>جمعه</v>
      </c>
      <c r="H1679" s="165">
        <f>IFERROR(IF(E1678&lt;&gt;E1679,1,INT(H1678)+IF(TDays[[#This Row],[کد روز هفته]]=0,1,0)),1)</f>
        <v>1</v>
      </c>
      <c r="I1679" s="164">
        <f>-SUMIF(TArticle[تاریخ],TDays[[#This Row],[تاریخ]],TArticle[هزینه])</f>
        <v>0</v>
      </c>
      <c r="J1679" s="164">
        <f>SUMIF(TArticle[تاریخ],TDays[[#This Row],[تاریخ]],TArticle[درآمد تتا])</f>
        <v>0</v>
      </c>
      <c r="K1679" s="164">
        <f>SUMIF(TArticle[تاریخ],TDays[[#This Row],[تاریخ]],TArticle[اسنپ])</f>
        <v>0</v>
      </c>
      <c r="L1679" s="164">
        <f>-SUMIF(TArticle[تاریخ],TDays[[#This Row],[تاریخ]],TArticle[پرداخت بدهی])</f>
        <v>0</v>
      </c>
      <c r="M1679" s="164">
        <f>SUMIF(TArticle[تاریخ],TDays[[#This Row],[تاریخ]],TArticle[افزایش بدهی])</f>
        <v>0</v>
      </c>
      <c r="N1679" s="164">
        <f>-SUMIF(TArticle[تاریخ],TDays[[#This Row],[تاریخ]],TArticle[افزایش سرمایه])</f>
        <v>0</v>
      </c>
      <c r="O1679" s="164">
        <f>SUMIF(TArticle[تاریخ],TDays[[#This Row],[تاریخ]],TArticle[تعداد تراکنش انجام شده])</f>
        <v>0</v>
      </c>
      <c r="P1679" s="164">
        <f>INT(((TDays[[#This Row],[ماه]]-1)*31+TDays[[#This Row],[روز]]+1)/7)+1</f>
        <v>32</v>
      </c>
      <c r="Q1679" s="164">
        <f>SUMIF(TArticle[تاریخ],TDays[[#This Row],[تاریخ]],TArticle[تراکنش برنامه ریزی شده])</f>
        <v>0</v>
      </c>
    </row>
    <row r="1680" spans="1:17" x14ac:dyDescent="0.25">
      <c r="A1680" s="3" t="s">
        <v>2263</v>
      </c>
      <c r="B1680" s="164" t="str">
        <f>RIGHT(TDays[[#This Row],[تاریخ]],2)</f>
        <v>03</v>
      </c>
      <c r="C1680" s="164" t="str">
        <f>RIGHT(LEFT(TDays[[#This Row],[تاریخ]],7),2)</f>
        <v>08</v>
      </c>
      <c r="D1680" s="164" t="str">
        <f>LEFT(TDays[[#This Row],[تاریخ]],4)</f>
        <v>1405</v>
      </c>
      <c r="E1680" s="164" t="str">
        <f>LEFT(TDays[[#This Row],[تاریخ]],7)</f>
        <v>1405-08</v>
      </c>
      <c r="F1680">
        <v>0</v>
      </c>
      <c r="G1680" s="165" t="str">
        <f>VLOOKUP(TDays[[#This Row],[کد روز هفته]],TDaysOfTheWeek[],2,FALSE)</f>
        <v>شنبه</v>
      </c>
      <c r="H1680" s="165">
        <f>IFERROR(IF(E1679&lt;&gt;E1680,1,INT(H1679)+IF(TDays[[#This Row],[کد روز هفته]]=0,1,0)),1)</f>
        <v>2</v>
      </c>
      <c r="I1680" s="164">
        <f>-SUMIF(TArticle[تاریخ],TDays[[#This Row],[تاریخ]],TArticle[هزینه])</f>
        <v>0</v>
      </c>
      <c r="J1680" s="164">
        <f>SUMIF(TArticle[تاریخ],TDays[[#This Row],[تاریخ]],TArticle[درآمد تتا])</f>
        <v>0</v>
      </c>
      <c r="K1680" s="164">
        <f>SUMIF(TArticle[تاریخ],TDays[[#This Row],[تاریخ]],TArticle[اسنپ])</f>
        <v>0</v>
      </c>
      <c r="L1680" s="164">
        <f>-SUMIF(TArticle[تاریخ],TDays[[#This Row],[تاریخ]],TArticle[پرداخت بدهی])</f>
        <v>0</v>
      </c>
      <c r="M1680" s="164">
        <f>SUMIF(TArticle[تاریخ],TDays[[#This Row],[تاریخ]],TArticle[افزایش بدهی])</f>
        <v>0</v>
      </c>
      <c r="N1680" s="164">
        <f>-SUMIF(TArticle[تاریخ],TDays[[#This Row],[تاریخ]],TArticle[افزایش سرمایه])</f>
        <v>0</v>
      </c>
      <c r="O1680" s="164">
        <f>SUMIF(TArticle[تاریخ],TDays[[#This Row],[تاریخ]],TArticle[تعداد تراکنش انجام شده])</f>
        <v>0</v>
      </c>
      <c r="P1680" s="164">
        <f>INT(((TDays[[#This Row],[ماه]]-1)*31+TDays[[#This Row],[روز]]+1)/7)+1</f>
        <v>32</v>
      </c>
      <c r="Q1680" s="164">
        <f>SUMIF(TArticle[تاریخ],TDays[[#This Row],[تاریخ]],TArticle[تراکنش برنامه ریزی شده])</f>
        <v>1</v>
      </c>
    </row>
    <row r="1681" spans="1:17" x14ac:dyDescent="0.25">
      <c r="A1681" s="3" t="s">
        <v>2264</v>
      </c>
      <c r="B1681" s="164" t="str">
        <f>RIGHT(TDays[[#This Row],[تاریخ]],2)</f>
        <v>04</v>
      </c>
      <c r="C1681" s="164" t="str">
        <f>RIGHT(LEFT(TDays[[#This Row],[تاریخ]],7),2)</f>
        <v>08</v>
      </c>
      <c r="D1681" s="164" t="str">
        <f>LEFT(TDays[[#This Row],[تاریخ]],4)</f>
        <v>1405</v>
      </c>
      <c r="E1681" s="164" t="str">
        <f>LEFT(TDays[[#This Row],[تاریخ]],7)</f>
        <v>1405-08</v>
      </c>
      <c r="F1681">
        <v>1</v>
      </c>
      <c r="G1681" s="165" t="str">
        <f>VLOOKUP(TDays[[#This Row],[کد روز هفته]],TDaysOfTheWeek[],2,FALSE)</f>
        <v>یکشنبه</v>
      </c>
      <c r="H1681" s="165">
        <f>IFERROR(IF(E1680&lt;&gt;E1681,1,INT(H1680)+IF(TDays[[#This Row],[کد روز هفته]]=0,1,0)),1)</f>
        <v>2</v>
      </c>
      <c r="I1681" s="164">
        <f>-SUMIF(TArticle[تاریخ],TDays[[#This Row],[تاریخ]],TArticle[هزینه])</f>
        <v>0</v>
      </c>
      <c r="J1681" s="164">
        <f>SUMIF(TArticle[تاریخ],TDays[[#This Row],[تاریخ]],TArticle[درآمد تتا])</f>
        <v>0</v>
      </c>
      <c r="K1681" s="164">
        <f>SUMIF(TArticle[تاریخ],TDays[[#This Row],[تاریخ]],TArticle[اسنپ])</f>
        <v>0</v>
      </c>
      <c r="L1681" s="164">
        <f>-SUMIF(TArticle[تاریخ],TDays[[#This Row],[تاریخ]],TArticle[پرداخت بدهی])</f>
        <v>0</v>
      </c>
      <c r="M1681" s="164">
        <f>SUMIF(TArticle[تاریخ],TDays[[#This Row],[تاریخ]],TArticle[افزایش بدهی])</f>
        <v>0</v>
      </c>
      <c r="N1681" s="164">
        <f>-SUMIF(TArticle[تاریخ],TDays[[#This Row],[تاریخ]],TArticle[افزایش سرمایه])</f>
        <v>0</v>
      </c>
      <c r="O1681" s="164">
        <f>SUMIF(TArticle[تاریخ],TDays[[#This Row],[تاریخ]],TArticle[تعداد تراکنش انجام شده])</f>
        <v>0</v>
      </c>
      <c r="P1681" s="164">
        <f>INT(((TDays[[#This Row],[ماه]]-1)*31+TDays[[#This Row],[روز]]+1)/7)+1</f>
        <v>32</v>
      </c>
      <c r="Q1681" s="164">
        <f>SUMIF(TArticle[تاریخ],TDays[[#This Row],[تاریخ]],TArticle[تراکنش برنامه ریزی شده])</f>
        <v>0</v>
      </c>
    </row>
    <row r="1682" spans="1:17" x14ac:dyDescent="0.25">
      <c r="A1682" s="3" t="s">
        <v>2265</v>
      </c>
      <c r="B1682" s="164" t="str">
        <f>RIGHT(TDays[[#This Row],[تاریخ]],2)</f>
        <v>05</v>
      </c>
      <c r="C1682" s="164" t="str">
        <f>RIGHT(LEFT(TDays[[#This Row],[تاریخ]],7),2)</f>
        <v>08</v>
      </c>
      <c r="D1682" s="164" t="str">
        <f>LEFT(TDays[[#This Row],[تاریخ]],4)</f>
        <v>1405</v>
      </c>
      <c r="E1682" s="164" t="str">
        <f>LEFT(TDays[[#This Row],[تاریخ]],7)</f>
        <v>1405-08</v>
      </c>
      <c r="F1682">
        <v>2</v>
      </c>
      <c r="G1682" s="165" t="str">
        <f>VLOOKUP(TDays[[#This Row],[کد روز هفته]],TDaysOfTheWeek[],2,FALSE)</f>
        <v>دوشنبه</v>
      </c>
      <c r="H1682" s="165">
        <f>IFERROR(IF(E1681&lt;&gt;E1682,1,INT(H1681)+IF(TDays[[#This Row],[کد روز هفته]]=0,1,0)),1)</f>
        <v>2</v>
      </c>
      <c r="I1682" s="164">
        <f>-SUMIF(TArticle[تاریخ],TDays[[#This Row],[تاریخ]],TArticle[هزینه])</f>
        <v>0</v>
      </c>
      <c r="J1682" s="164">
        <f>SUMIF(TArticle[تاریخ],TDays[[#This Row],[تاریخ]],TArticle[درآمد تتا])</f>
        <v>0</v>
      </c>
      <c r="K1682" s="164">
        <f>SUMIF(TArticle[تاریخ],TDays[[#This Row],[تاریخ]],TArticle[اسنپ])</f>
        <v>0</v>
      </c>
      <c r="L1682" s="164">
        <f>-SUMIF(TArticle[تاریخ],TDays[[#This Row],[تاریخ]],TArticle[پرداخت بدهی])</f>
        <v>0</v>
      </c>
      <c r="M1682" s="164">
        <f>SUMIF(TArticle[تاریخ],TDays[[#This Row],[تاریخ]],TArticle[افزایش بدهی])</f>
        <v>0</v>
      </c>
      <c r="N1682" s="164">
        <f>-SUMIF(TArticle[تاریخ],TDays[[#This Row],[تاریخ]],TArticle[افزایش سرمایه])</f>
        <v>0</v>
      </c>
      <c r="O1682" s="164">
        <f>SUMIF(TArticle[تاریخ],TDays[[#This Row],[تاریخ]],TArticle[تعداد تراکنش انجام شده])</f>
        <v>0</v>
      </c>
      <c r="P1682" s="164">
        <f>INT(((TDays[[#This Row],[ماه]]-1)*31+TDays[[#This Row],[روز]]+1)/7)+1</f>
        <v>32</v>
      </c>
      <c r="Q1682" s="164">
        <f>SUMIF(TArticle[تاریخ],TDays[[#This Row],[تاریخ]],TArticle[تراکنش برنامه ریزی شده])</f>
        <v>0</v>
      </c>
    </row>
    <row r="1683" spans="1:17" x14ac:dyDescent="0.25">
      <c r="A1683" s="3" t="s">
        <v>2266</v>
      </c>
      <c r="B1683" s="164" t="str">
        <f>RIGHT(TDays[[#This Row],[تاریخ]],2)</f>
        <v>06</v>
      </c>
      <c r="C1683" s="164" t="str">
        <f>RIGHT(LEFT(TDays[[#This Row],[تاریخ]],7),2)</f>
        <v>08</v>
      </c>
      <c r="D1683" s="164" t="str">
        <f>LEFT(TDays[[#This Row],[تاریخ]],4)</f>
        <v>1405</v>
      </c>
      <c r="E1683" s="164" t="str">
        <f>LEFT(TDays[[#This Row],[تاریخ]],7)</f>
        <v>1405-08</v>
      </c>
      <c r="F1683" s="164">
        <v>3</v>
      </c>
      <c r="G1683" s="165" t="str">
        <f>VLOOKUP(TDays[[#This Row],[کد روز هفته]],TDaysOfTheWeek[],2,FALSE)</f>
        <v>سه شنبه</v>
      </c>
      <c r="H1683" s="165">
        <f>IFERROR(IF(E1682&lt;&gt;E1683,1,INT(H1682)+IF(TDays[[#This Row],[کد روز هفته]]=0,1,0)),1)</f>
        <v>2</v>
      </c>
      <c r="I1683" s="164">
        <f>-SUMIF(TArticle[تاریخ],TDays[[#This Row],[تاریخ]],TArticle[هزینه])</f>
        <v>0</v>
      </c>
      <c r="J1683" s="164">
        <f>SUMIF(TArticle[تاریخ],TDays[[#This Row],[تاریخ]],TArticle[درآمد تتا])</f>
        <v>0</v>
      </c>
      <c r="K1683" s="164">
        <f>SUMIF(TArticle[تاریخ],TDays[[#This Row],[تاریخ]],TArticle[اسنپ])</f>
        <v>0</v>
      </c>
      <c r="L1683" s="164">
        <f>-SUMIF(TArticle[تاریخ],TDays[[#This Row],[تاریخ]],TArticle[پرداخت بدهی])</f>
        <v>0</v>
      </c>
      <c r="M1683" s="164">
        <f>SUMIF(TArticle[تاریخ],TDays[[#This Row],[تاریخ]],TArticle[افزایش بدهی])</f>
        <v>0</v>
      </c>
      <c r="N1683" s="164">
        <f>-SUMIF(TArticle[تاریخ],TDays[[#This Row],[تاریخ]],TArticle[افزایش سرمایه])</f>
        <v>0</v>
      </c>
      <c r="O1683" s="164">
        <f>SUMIF(TArticle[تاریخ],TDays[[#This Row],[تاریخ]],TArticle[تعداد تراکنش انجام شده])</f>
        <v>0</v>
      </c>
      <c r="P1683" s="164">
        <f>INT(((TDays[[#This Row],[ماه]]-1)*31+TDays[[#This Row],[روز]]+1)/7)+1</f>
        <v>33</v>
      </c>
      <c r="Q1683" s="164">
        <f>SUMIF(TArticle[تاریخ],TDays[[#This Row],[تاریخ]],TArticle[تراکنش برنامه ریزی شده])</f>
        <v>0</v>
      </c>
    </row>
    <row r="1684" spans="1:17" x14ac:dyDescent="0.25">
      <c r="A1684" s="3" t="s">
        <v>2267</v>
      </c>
      <c r="B1684" s="164" t="str">
        <f>RIGHT(TDays[[#This Row],[تاریخ]],2)</f>
        <v>07</v>
      </c>
      <c r="C1684" s="164" t="str">
        <f>RIGHT(LEFT(TDays[[#This Row],[تاریخ]],7),2)</f>
        <v>08</v>
      </c>
      <c r="D1684" s="164" t="str">
        <f>LEFT(TDays[[#This Row],[تاریخ]],4)</f>
        <v>1405</v>
      </c>
      <c r="E1684" s="164" t="str">
        <f>LEFT(TDays[[#This Row],[تاریخ]],7)</f>
        <v>1405-08</v>
      </c>
      <c r="F1684" s="164">
        <v>4</v>
      </c>
      <c r="G1684" s="165" t="str">
        <f>VLOOKUP(TDays[[#This Row],[کد روز هفته]],TDaysOfTheWeek[],2,FALSE)</f>
        <v>چهارشنبه</v>
      </c>
      <c r="H1684" s="165">
        <f>IFERROR(IF(E1683&lt;&gt;E1684,1,INT(H1683)+IF(TDays[[#This Row],[کد روز هفته]]=0,1,0)),1)</f>
        <v>2</v>
      </c>
      <c r="I1684" s="164">
        <f>-SUMIF(TArticle[تاریخ],TDays[[#This Row],[تاریخ]],TArticle[هزینه])</f>
        <v>0</v>
      </c>
      <c r="J1684" s="164">
        <f>SUMIF(TArticle[تاریخ],TDays[[#This Row],[تاریخ]],TArticle[درآمد تتا])</f>
        <v>0</v>
      </c>
      <c r="K1684" s="164">
        <f>SUMIF(TArticle[تاریخ],TDays[[#This Row],[تاریخ]],TArticle[اسنپ])</f>
        <v>0</v>
      </c>
      <c r="L1684" s="164">
        <f>-SUMIF(TArticle[تاریخ],TDays[[#This Row],[تاریخ]],TArticle[پرداخت بدهی])</f>
        <v>0</v>
      </c>
      <c r="M1684" s="164">
        <f>SUMIF(TArticle[تاریخ],TDays[[#This Row],[تاریخ]],TArticle[افزایش بدهی])</f>
        <v>0</v>
      </c>
      <c r="N1684" s="164">
        <f>-SUMIF(TArticle[تاریخ],TDays[[#This Row],[تاریخ]],TArticle[افزایش سرمایه])</f>
        <v>0</v>
      </c>
      <c r="O1684" s="164">
        <f>SUMIF(TArticle[تاریخ],TDays[[#This Row],[تاریخ]],TArticle[تعداد تراکنش انجام شده])</f>
        <v>0</v>
      </c>
      <c r="P1684" s="164">
        <f>INT(((TDays[[#This Row],[ماه]]-1)*31+TDays[[#This Row],[روز]]+1)/7)+1</f>
        <v>33</v>
      </c>
      <c r="Q1684" s="164">
        <f>SUMIF(TArticle[تاریخ],TDays[[#This Row],[تاریخ]],TArticle[تراکنش برنامه ریزی شده])</f>
        <v>0</v>
      </c>
    </row>
    <row r="1685" spans="1:17" x14ac:dyDescent="0.25">
      <c r="A1685" s="3" t="s">
        <v>2268</v>
      </c>
      <c r="B1685" s="164" t="str">
        <f>RIGHT(TDays[[#This Row],[تاریخ]],2)</f>
        <v>08</v>
      </c>
      <c r="C1685" s="164" t="str">
        <f>RIGHT(LEFT(TDays[[#This Row],[تاریخ]],7),2)</f>
        <v>08</v>
      </c>
      <c r="D1685" s="164" t="str">
        <f>LEFT(TDays[[#This Row],[تاریخ]],4)</f>
        <v>1405</v>
      </c>
      <c r="E1685" s="164" t="str">
        <f>LEFT(TDays[[#This Row],[تاریخ]],7)</f>
        <v>1405-08</v>
      </c>
      <c r="F1685">
        <v>5</v>
      </c>
      <c r="G1685" s="165" t="str">
        <f>VLOOKUP(TDays[[#This Row],[کد روز هفته]],TDaysOfTheWeek[],2,FALSE)</f>
        <v>پنجشنبه</v>
      </c>
      <c r="H1685" s="165">
        <f>IFERROR(IF(E1684&lt;&gt;E1685,1,INT(H1684)+IF(TDays[[#This Row],[کد روز هفته]]=0,1,0)),1)</f>
        <v>2</v>
      </c>
      <c r="I1685" s="164">
        <f>-SUMIF(TArticle[تاریخ],TDays[[#This Row],[تاریخ]],TArticle[هزینه])</f>
        <v>0</v>
      </c>
      <c r="J1685" s="164">
        <f>SUMIF(TArticle[تاریخ],TDays[[#This Row],[تاریخ]],TArticle[درآمد تتا])</f>
        <v>0</v>
      </c>
      <c r="K1685" s="164">
        <f>SUMIF(TArticle[تاریخ],TDays[[#This Row],[تاریخ]],TArticle[اسنپ])</f>
        <v>0</v>
      </c>
      <c r="L1685" s="164">
        <f>-SUMIF(TArticle[تاریخ],TDays[[#This Row],[تاریخ]],TArticle[پرداخت بدهی])</f>
        <v>0</v>
      </c>
      <c r="M1685" s="164">
        <f>SUMIF(TArticle[تاریخ],TDays[[#This Row],[تاریخ]],TArticle[افزایش بدهی])</f>
        <v>0</v>
      </c>
      <c r="N1685" s="164">
        <f>-SUMIF(TArticle[تاریخ],TDays[[#This Row],[تاریخ]],TArticle[افزایش سرمایه])</f>
        <v>0</v>
      </c>
      <c r="O1685" s="164">
        <f>SUMIF(TArticle[تاریخ],TDays[[#This Row],[تاریخ]],TArticle[تعداد تراکنش انجام شده])</f>
        <v>0</v>
      </c>
      <c r="P1685" s="164">
        <f>INT(((TDays[[#This Row],[ماه]]-1)*31+TDays[[#This Row],[روز]]+1)/7)+1</f>
        <v>33</v>
      </c>
      <c r="Q1685" s="164">
        <f>SUMIF(TArticle[تاریخ],TDays[[#This Row],[تاریخ]],TArticle[تراکنش برنامه ریزی شده])</f>
        <v>0</v>
      </c>
    </row>
    <row r="1686" spans="1:17" x14ac:dyDescent="0.25">
      <c r="A1686" s="3" t="s">
        <v>2269</v>
      </c>
      <c r="B1686" s="164" t="str">
        <f>RIGHT(TDays[[#This Row],[تاریخ]],2)</f>
        <v>09</v>
      </c>
      <c r="C1686" s="164" t="str">
        <f>RIGHT(LEFT(TDays[[#This Row],[تاریخ]],7),2)</f>
        <v>08</v>
      </c>
      <c r="D1686" s="164" t="str">
        <f>LEFT(TDays[[#This Row],[تاریخ]],4)</f>
        <v>1405</v>
      </c>
      <c r="E1686" s="164" t="str">
        <f>LEFT(TDays[[#This Row],[تاریخ]],7)</f>
        <v>1405-08</v>
      </c>
      <c r="F1686">
        <v>6</v>
      </c>
      <c r="G1686" s="165" t="str">
        <f>VLOOKUP(TDays[[#This Row],[کد روز هفته]],TDaysOfTheWeek[],2,FALSE)</f>
        <v>جمعه</v>
      </c>
      <c r="H1686" s="165">
        <f>IFERROR(IF(E1685&lt;&gt;E1686,1,INT(H1685)+IF(TDays[[#This Row],[کد روز هفته]]=0,1,0)),1)</f>
        <v>2</v>
      </c>
      <c r="I1686" s="164">
        <f>-SUMIF(TArticle[تاریخ],TDays[[#This Row],[تاریخ]],TArticle[هزینه])</f>
        <v>0</v>
      </c>
      <c r="J1686" s="164">
        <f>SUMIF(TArticle[تاریخ],TDays[[#This Row],[تاریخ]],TArticle[درآمد تتا])</f>
        <v>0</v>
      </c>
      <c r="K1686" s="164">
        <f>SUMIF(TArticle[تاریخ],TDays[[#This Row],[تاریخ]],TArticle[اسنپ])</f>
        <v>0</v>
      </c>
      <c r="L1686" s="164">
        <f>-SUMIF(TArticle[تاریخ],TDays[[#This Row],[تاریخ]],TArticle[پرداخت بدهی])</f>
        <v>0</v>
      </c>
      <c r="M1686" s="164">
        <f>SUMIF(TArticle[تاریخ],TDays[[#This Row],[تاریخ]],TArticle[افزایش بدهی])</f>
        <v>0</v>
      </c>
      <c r="N1686" s="164">
        <f>-SUMIF(TArticle[تاریخ],TDays[[#This Row],[تاریخ]],TArticle[افزایش سرمایه])</f>
        <v>0</v>
      </c>
      <c r="O1686" s="164">
        <f>SUMIF(TArticle[تاریخ],TDays[[#This Row],[تاریخ]],TArticle[تعداد تراکنش انجام شده])</f>
        <v>0</v>
      </c>
      <c r="P1686" s="164">
        <f>INT(((TDays[[#This Row],[ماه]]-1)*31+TDays[[#This Row],[روز]]+1)/7)+1</f>
        <v>33</v>
      </c>
      <c r="Q1686" s="164">
        <f>SUMIF(TArticle[تاریخ],TDays[[#This Row],[تاریخ]],TArticle[تراکنش برنامه ریزی شده])</f>
        <v>0</v>
      </c>
    </row>
    <row r="1687" spans="1:17" x14ac:dyDescent="0.25">
      <c r="A1687" s="3" t="s">
        <v>2270</v>
      </c>
      <c r="B1687" s="164" t="str">
        <f>RIGHT(TDays[[#This Row],[تاریخ]],2)</f>
        <v>10</v>
      </c>
      <c r="C1687" s="164" t="str">
        <f>RIGHT(LEFT(TDays[[#This Row],[تاریخ]],7),2)</f>
        <v>08</v>
      </c>
      <c r="D1687" s="164" t="str">
        <f>LEFT(TDays[[#This Row],[تاریخ]],4)</f>
        <v>1405</v>
      </c>
      <c r="E1687" s="164" t="str">
        <f>LEFT(TDays[[#This Row],[تاریخ]],7)</f>
        <v>1405-08</v>
      </c>
      <c r="F1687">
        <v>0</v>
      </c>
      <c r="G1687" s="165" t="str">
        <f>VLOOKUP(TDays[[#This Row],[کد روز هفته]],TDaysOfTheWeek[],2,FALSE)</f>
        <v>شنبه</v>
      </c>
      <c r="H1687" s="165">
        <f>IFERROR(IF(E1686&lt;&gt;E1687,1,INT(H1686)+IF(TDays[[#This Row],[کد روز هفته]]=0,1,0)),1)</f>
        <v>3</v>
      </c>
      <c r="I1687" s="164">
        <f>-SUMIF(TArticle[تاریخ],TDays[[#This Row],[تاریخ]],TArticle[هزینه])</f>
        <v>0</v>
      </c>
      <c r="J1687" s="164">
        <f>SUMIF(TArticle[تاریخ],TDays[[#This Row],[تاریخ]],TArticle[درآمد تتا])</f>
        <v>0</v>
      </c>
      <c r="K1687" s="164">
        <f>SUMIF(TArticle[تاریخ],TDays[[#This Row],[تاریخ]],TArticle[اسنپ])</f>
        <v>0</v>
      </c>
      <c r="L1687" s="164">
        <f>-SUMIF(TArticle[تاریخ],TDays[[#This Row],[تاریخ]],TArticle[پرداخت بدهی])</f>
        <v>0</v>
      </c>
      <c r="M1687" s="164">
        <f>SUMIF(TArticle[تاریخ],TDays[[#This Row],[تاریخ]],TArticle[افزایش بدهی])</f>
        <v>0</v>
      </c>
      <c r="N1687" s="164">
        <f>-SUMIF(TArticle[تاریخ],TDays[[#This Row],[تاریخ]],TArticle[افزایش سرمایه])</f>
        <v>0</v>
      </c>
      <c r="O1687" s="164">
        <f>SUMIF(TArticle[تاریخ],TDays[[#This Row],[تاریخ]],TArticle[تعداد تراکنش انجام شده])</f>
        <v>0</v>
      </c>
      <c r="P1687" s="164">
        <f>INT(((TDays[[#This Row],[ماه]]-1)*31+TDays[[#This Row],[روز]]+1)/7)+1</f>
        <v>33</v>
      </c>
      <c r="Q1687" s="164">
        <f>SUMIF(TArticle[تاریخ],TDays[[#This Row],[تاریخ]],TArticle[تراکنش برنامه ریزی شده])</f>
        <v>0</v>
      </c>
    </row>
    <row r="1688" spans="1:17" x14ac:dyDescent="0.25">
      <c r="A1688" s="3" t="s">
        <v>2271</v>
      </c>
      <c r="B1688" s="164" t="str">
        <f>RIGHT(TDays[[#This Row],[تاریخ]],2)</f>
        <v>11</v>
      </c>
      <c r="C1688" s="164" t="str">
        <f>RIGHT(LEFT(TDays[[#This Row],[تاریخ]],7),2)</f>
        <v>08</v>
      </c>
      <c r="D1688" s="164" t="str">
        <f>LEFT(TDays[[#This Row],[تاریخ]],4)</f>
        <v>1405</v>
      </c>
      <c r="E1688" s="164" t="str">
        <f>LEFT(TDays[[#This Row],[تاریخ]],7)</f>
        <v>1405-08</v>
      </c>
      <c r="F1688">
        <v>1</v>
      </c>
      <c r="G1688" s="165" t="str">
        <f>VLOOKUP(TDays[[#This Row],[کد روز هفته]],TDaysOfTheWeek[],2,FALSE)</f>
        <v>یکشنبه</v>
      </c>
      <c r="H1688" s="165">
        <f>IFERROR(IF(E1687&lt;&gt;E1688,1,INT(H1687)+IF(TDays[[#This Row],[کد روز هفته]]=0,1,0)),1)</f>
        <v>3</v>
      </c>
      <c r="I1688" s="164">
        <f>-SUMIF(TArticle[تاریخ],TDays[[#This Row],[تاریخ]],TArticle[هزینه])</f>
        <v>0</v>
      </c>
      <c r="J1688" s="164">
        <f>SUMIF(TArticle[تاریخ],TDays[[#This Row],[تاریخ]],TArticle[درآمد تتا])</f>
        <v>0</v>
      </c>
      <c r="K1688" s="164">
        <f>SUMIF(TArticle[تاریخ],TDays[[#This Row],[تاریخ]],TArticle[اسنپ])</f>
        <v>0</v>
      </c>
      <c r="L1688" s="164">
        <f>-SUMIF(TArticle[تاریخ],TDays[[#This Row],[تاریخ]],TArticle[پرداخت بدهی])</f>
        <v>0</v>
      </c>
      <c r="M1688" s="164">
        <f>SUMIF(TArticle[تاریخ],TDays[[#This Row],[تاریخ]],TArticle[افزایش بدهی])</f>
        <v>0</v>
      </c>
      <c r="N1688" s="164">
        <f>-SUMIF(TArticle[تاریخ],TDays[[#This Row],[تاریخ]],TArticle[افزایش سرمایه])</f>
        <v>0</v>
      </c>
      <c r="O1688" s="164">
        <f>SUMIF(TArticle[تاریخ],TDays[[#This Row],[تاریخ]],TArticle[تعداد تراکنش انجام شده])</f>
        <v>0</v>
      </c>
      <c r="P1688" s="164">
        <f>INT(((TDays[[#This Row],[ماه]]-1)*31+TDays[[#This Row],[روز]]+1)/7)+1</f>
        <v>33</v>
      </c>
      <c r="Q1688" s="164">
        <f>SUMIF(TArticle[تاریخ],TDays[[#This Row],[تاریخ]],TArticle[تراکنش برنامه ریزی شده])</f>
        <v>0</v>
      </c>
    </row>
    <row r="1689" spans="1:17" x14ac:dyDescent="0.25">
      <c r="A1689" s="3" t="s">
        <v>2272</v>
      </c>
      <c r="B1689" s="164" t="str">
        <f>RIGHT(TDays[[#This Row],[تاریخ]],2)</f>
        <v>12</v>
      </c>
      <c r="C1689" s="164" t="str">
        <f>RIGHT(LEFT(TDays[[#This Row],[تاریخ]],7),2)</f>
        <v>08</v>
      </c>
      <c r="D1689" s="164" t="str">
        <f>LEFT(TDays[[#This Row],[تاریخ]],4)</f>
        <v>1405</v>
      </c>
      <c r="E1689" s="164" t="str">
        <f>LEFT(TDays[[#This Row],[تاریخ]],7)</f>
        <v>1405-08</v>
      </c>
      <c r="F1689">
        <v>2</v>
      </c>
      <c r="G1689" s="165" t="str">
        <f>VLOOKUP(TDays[[#This Row],[کد روز هفته]],TDaysOfTheWeek[],2,FALSE)</f>
        <v>دوشنبه</v>
      </c>
      <c r="H1689" s="165">
        <f>IFERROR(IF(E1688&lt;&gt;E1689,1,INT(H1688)+IF(TDays[[#This Row],[کد روز هفته]]=0,1,0)),1)</f>
        <v>3</v>
      </c>
      <c r="I1689" s="164">
        <f>-SUMIF(TArticle[تاریخ],TDays[[#This Row],[تاریخ]],TArticle[هزینه])</f>
        <v>0</v>
      </c>
      <c r="J1689" s="164">
        <f>SUMIF(TArticle[تاریخ],TDays[[#This Row],[تاریخ]],TArticle[درآمد تتا])</f>
        <v>0</v>
      </c>
      <c r="K1689" s="164">
        <f>SUMIF(TArticle[تاریخ],TDays[[#This Row],[تاریخ]],TArticle[اسنپ])</f>
        <v>0</v>
      </c>
      <c r="L1689" s="164">
        <f>-SUMIF(TArticle[تاریخ],TDays[[#This Row],[تاریخ]],TArticle[پرداخت بدهی])</f>
        <v>0</v>
      </c>
      <c r="M1689" s="164">
        <f>SUMIF(TArticle[تاریخ],TDays[[#This Row],[تاریخ]],TArticle[افزایش بدهی])</f>
        <v>0</v>
      </c>
      <c r="N1689" s="164">
        <f>-SUMIF(TArticle[تاریخ],TDays[[#This Row],[تاریخ]],TArticle[افزایش سرمایه])</f>
        <v>0</v>
      </c>
      <c r="O1689" s="164">
        <f>SUMIF(TArticle[تاریخ],TDays[[#This Row],[تاریخ]],TArticle[تعداد تراکنش انجام شده])</f>
        <v>0</v>
      </c>
      <c r="P1689" s="164">
        <f>INT(((TDays[[#This Row],[ماه]]-1)*31+TDays[[#This Row],[روز]]+1)/7)+1</f>
        <v>33</v>
      </c>
      <c r="Q1689" s="164">
        <f>SUMIF(TArticle[تاریخ],TDays[[#This Row],[تاریخ]],TArticle[تراکنش برنامه ریزی شده])</f>
        <v>0</v>
      </c>
    </row>
    <row r="1690" spans="1:17" x14ac:dyDescent="0.25">
      <c r="A1690" s="3" t="s">
        <v>2273</v>
      </c>
      <c r="B1690" s="164" t="str">
        <f>RIGHT(TDays[[#This Row],[تاریخ]],2)</f>
        <v>13</v>
      </c>
      <c r="C1690" s="164" t="str">
        <f>RIGHT(LEFT(TDays[[#This Row],[تاریخ]],7),2)</f>
        <v>08</v>
      </c>
      <c r="D1690" s="164" t="str">
        <f>LEFT(TDays[[#This Row],[تاریخ]],4)</f>
        <v>1405</v>
      </c>
      <c r="E1690" s="164" t="str">
        <f>LEFT(TDays[[#This Row],[تاریخ]],7)</f>
        <v>1405-08</v>
      </c>
      <c r="F1690">
        <v>3</v>
      </c>
      <c r="G1690" s="165" t="str">
        <f>VLOOKUP(TDays[[#This Row],[کد روز هفته]],TDaysOfTheWeek[],2,FALSE)</f>
        <v>سه شنبه</v>
      </c>
      <c r="H1690" s="165">
        <f>IFERROR(IF(E1689&lt;&gt;E1690,1,INT(H1689)+IF(TDays[[#This Row],[کد روز هفته]]=0,1,0)),1)</f>
        <v>3</v>
      </c>
      <c r="I1690" s="164">
        <f>-SUMIF(TArticle[تاریخ],TDays[[#This Row],[تاریخ]],TArticle[هزینه])</f>
        <v>0</v>
      </c>
      <c r="J1690" s="164">
        <f>SUMIF(TArticle[تاریخ],TDays[[#This Row],[تاریخ]],TArticle[درآمد تتا])</f>
        <v>0</v>
      </c>
      <c r="K1690" s="164">
        <f>SUMIF(TArticle[تاریخ],TDays[[#This Row],[تاریخ]],TArticle[اسنپ])</f>
        <v>0</v>
      </c>
      <c r="L1690" s="164">
        <f>-SUMIF(TArticle[تاریخ],TDays[[#This Row],[تاریخ]],TArticle[پرداخت بدهی])</f>
        <v>0</v>
      </c>
      <c r="M1690" s="164">
        <f>SUMIF(TArticle[تاریخ],TDays[[#This Row],[تاریخ]],TArticle[افزایش بدهی])</f>
        <v>0</v>
      </c>
      <c r="N1690" s="164">
        <f>-SUMIF(TArticle[تاریخ],TDays[[#This Row],[تاریخ]],TArticle[افزایش سرمایه])</f>
        <v>0</v>
      </c>
      <c r="O1690" s="164">
        <f>SUMIF(TArticle[تاریخ],TDays[[#This Row],[تاریخ]],TArticle[تعداد تراکنش انجام شده])</f>
        <v>0</v>
      </c>
      <c r="P1690" s="164">
        <f>INT(((TDays[[#This Row],[ماه]]-1)*31+TDays[[#This Row],[روز]]+1)/7)+1</f>
        <v>34</v>
      </c>
      <c r="Q1690" s="164">
        <f>SUMIF(TArticle[تاریخ],TDays[[#This Row],[تاریخ]],TArticle[تراکنش برنامه ریزی شده])</f>
        <v>0</v>
      </c>
    </row>
    <row r="1691" spans="1:17" x14ac:dyDescent="0.25">
      <c r="A1691" s="3" t="s">
        <v>2274</v>
      </c>
      <c r="B1691" s="164" t="str">
        <f>RIGHT(TDays[[#This Row],[تاریخ]],2)</f>
        <v>14</v>
      </c>
      <c r="C1691" s="164" t="str">
        <f>RIGHT(LEFT(TDays[[#This Row],[تاریخ]],7),2)</f>
        <v>08</v>
      </c>
      <c r="D1691" s="164" t="str">
        <f>LEFT(TDays[[#This Row],[تاریخ]],4)</f>
        <v>1405</v>
      </c>
      <c r="E1691" s="164" t="str">
        <f>LEFT(TDays[[#This Row],[تاریخ]],7)</f>
        <v>1405-08</v>
      </c>
      <c r="F1691">
        <v>4</v>
      </c>
      <c r="G1691" s="165" t="str">
        <f>VLOOKUP(TDays[[#This Row],[کد روز هفته]],TDaysOfTheWeek[],2,FALSE)</f>
        <v>چهارشنبه</v>
      </c>
      <c r="H1691" s="165">
        <f>IFERROR(IF(E1690&lt;&gt;E1691,1,INT(H1690)+IF(TDays[[#This Row],[کد روز هفته]]=0,1,0)),1)</f>
        <v>3</v>
      </c>
      <c r="I1691" s="164">
        <f>-SUMIF(TArticle[تاریخ],TDays[[#This Row],[تاریخ]],TArticle[هزینه])</f>
        <v>0</v>
      </c>
      <c r="J1691" s="164">
        <f>SUMIF(TArticle[تاریخ],TDays[[#This Row],[تاریخ]],TArticle[درآمد تتا])</f>
        <v>0</v>
      </c>
      <c r="K1691" s="164">
        <f>SUMIF(TArticle[تاریخ],TDays[[#This Row],[تاریخ]],TArticle[اسنپ])</f>
        <v>0</v>
      </c>
      <c r="L1691" s="164">
        <f>-SUMIF(TArticle[تاریخ],TDays[[#This Row],[تاریخ]],TArticle[پرداخت بدهی])</f>
        <v>0</v>
      </c>
      <c r="M1691" s="164">
        <f>SUMIF(TArticle[تاریخ],TDays[[#This Row],[تاریخ]],TArticle[افزایش بدهی])</f>
        <v>0</v>
      </c>
      <c r="N1691" s="164">
        <f>-SUMIF(TArticle[تاریخ],TDays[[#This Row],[تاریخ]],TArticle[افزایش سرمایه])</f>
        <v>0</v>
      </c>
      <c r="O1691" s="164">
        <f>SUMIF(TArticle[تاریخ],TDays[[#This Row],[تاریخ]],TArticle[تعداد تراکنش انجام شده])</f>
        <v>0</v>
      </c>
      <c r="P1691" s="164">
        <f>INT(((TDays[[#This Row],[ماه]]-1)*31+TDays[[#This Row],[روز]]+1)/7)+1</f>
        <v>34</v>
      </c>
      <c r="Q1691" s="164">
        <f>SUMIF(TArticle[تاریخ],TDays[[#This Row],[تاریخ]],TArticle[تراکنش برنامه ریزی شده])</f>
        <v>0</v>
      </c>
    </row>
    <row r="1692" spans="1:17" x14ac:dyDescent="0.25">
      <c r="A1692" s="3" t="s">
        <v>2275</v>
      </c>
      <c r="B1692" s="164" t="str">
        <f>RIGHT(TDays[[#This Row],[تاریخ]],2)</f>
        <v>15</v>
      </c>
      <c r="C1692" s="164" t="str">
        <f>RIGHT(LEFT(TDays[[#This Row],[تاریخ]],7),2)</f>
        <v>08</v>
      </c>
      <c r="D1692" s="164" t="str">
        <f>LEFT(TDays[[#This Row],[تاریخ]],4)</f>
        <v>1405</v>
      </c>
      <c r="E1692" s="164" t="str">
        <f>LEFT(TDays[[#This Row],[تاریخ]],7)</f>
        <v>1405-08</v>
      </c>
      <c r="F1692">
        <v>5</v>
      </c>
      <c r="G1692" s="165" t="str">
        <f>VLOOKUP(TDays[[#This Row],[کد روز هفته]],TDaysOfTheWeek[],2,FALSE)</f>
        <v>پنجشنبه</v>
      </c>
      <c r="H1692" s="165">
        <f>IFERROR(IF(E1691&lt;&gt;E1692,1,INT(H1691)+IF(TDays[[#This Row],[کد روز هفته]]=0,1,0)),1)</f>
        <v>3</v>
      </c>
      <c r="I1692" s="164">
        <f>-SUMIF(TArticle[تاریخ],TDays[[#This Row],[تاریخ]],TArticle[هزینه])</f>
        <v>0</v>
      </c>
      <c r="J1692" s="164">
        <f>SUMIF(TArticle[تاریخ],TDays[[#This Row],[تاریخ]],TArticle[درآمد تتا])</f>
        <v>0</v>
      </c>
      <c r="K1692" s="164">
        <f>SUMIF(TArticle[تاریخ],TDays[[#This Row],[تاریخ]],TArticle[اسنپ])</f>
        <v>0</v>
      </c>
      <c r="L1692" s="164">
        <f>-SUMIF(TArticle[تاریخ],TDays[[#This Row],[تاریخ]],TArticle[پرداخت بدهی])</f>
        <v>0</v>
      </c>
      <c r="M1692" s="164">
        <f>SUMIF(TArticle[تاریخ],TDays[[#This Row],[تاریخ]],TArticle[افزایش بدهی])</f>
        <v>0</v>
      </c>
      <c r="N1692" s="164">
        <f>-SUMIF(TArticle[تاریخ],TDays[[#This Row],[تاریخ]],TArticle[افزایش سرمایه])</f>
        <v>0</v>
      </c>
      <c r="O1692" s="164">
        <f>SUMIF(TArticle[تاریخ],TDays[[#This Row],[تاریخ]],TArticle[تعداد تراکنش انجام شده])</f>
        <v>0</v>
      </c>
      <c r="P1692" s="164">
        <f>INT(((TDays[[#This Row],[ماه]]-1)*31+TDays[[#This Row],[روز]]+1)/7)+1</f>
        <v>34</v>
      </c>
      <c r="Q1692" s="164">
        <f>SUMIF(TArticle[تاریخ],TDays[[#This Row],[تاریخ]],TArticle[تراکنش برنامه ریزی شده])</f>
        <v>0</v>
      </c>
    </row>
    <row r="1693" spans="1:17" x14ac:dyDescent="0.25">
      <c r="A1693" s="3" t="s">
        <v>2276</v>
      </c>
      <c r="B1693" s="164" t="str">
        <f>RIGHT(TDays[[#This Row],[تاریخ]],2)</f>
        <v>16</v>
      </c>
      <c r="C1693" s="164" t="str">
        <f>RIGHT(LEFT(TDays[[#This Row],[تاریخ]],7),2)</f>
        <v>08</v>
      </c>
      <c r="D1693" s="164" t="str">
        <f>LEFT(TDays[[#This Row],[تاریخ]],4)</f>
        <v>1405</v>
      </c>
      <c r="E1693" s="164" t="str">
        <f>LEFT(TDays[[#This Row],[تاریخ]],7)</f>
        <v>1405-08</v>
      </c>
      <c r="F1693">
        <v>6</v>
      </c>
      <c r="G1693" s="165" t="str">
        <f>VLOOKUP(TDays[[#This Row],[کد روز هفته]],TDaysOfTheWeek[],2,FALSE)</f>
        <v>جمعه</v>
      </c>
      <c r="H1693" s="165">
        <f>IFERROR(IF(E1692&lt;&gt;E1693,1,INT(H1692)+IF(TDays[[#This Row],[کد روز هفته]]=0,1,0)),1)</f>
        <v>3</v>
      </c>
      <c r="I1693" s="164">
        <f>-SUMIF(TArticle[تاریخ],TDays[[#This Row],[تاریخ]],TArticle[هزینه])</f>
        <v>0</v>
      </c>
      <c r="J1693" s="164">
        <f>SUMIF(TArticle[تاریخ],TDays[[#This Row],[تاریخ]],TArticle[درآمد تتا])</f>
        <v>0</v>
      </c>
      <c r="K1693" s="164">
        <f>SUMIF(TArticle[تاریخ],TDays[[#This Row],[تاریخ]],TArticle[اسنپ])</f>
        <v>0</v>
      </c>
      <c r="L1693" s="164">
        <f>-SUMIF(TArticle[تاریخ],TDays[[#This Row],[تاریخ]],TArticle[پرداخت بدهی])</f>
        <v>0</v>
      </c>
      <c r="M1693" s="164">
        <f>SUMIF(TArticle[تاریخ],TDays[[#This Row],[تاریخ]],TArticle[افزایش بدهی])</f>
        <v>0</v>
      </c>
      <c r="N1693" s="164">
        <f>-SUMIF(TArticle[تاریخ],TDays[[#This Row],[تاریخ]],TArticle[افزایش سرمایه])</f>
        <v>0</v>
      </c>
      <c r="O1693" s="164">
        <f>SUMIF(TArticle[تاریخ],TDays[[#This Row],[تاریخ]],TArticle[تعداد تراکنش انجام شده])</f>
        <v>0</v>
      </c>
      <c r="P1693" s="164">
        <f>INT(((TDays[[#This Row],[ماه]]-1)*31+TDays[[#This Row],[روز]]+1)/7)+1</f>
        <v>34</v>
      </c>
      <c r="Q1693" s="164">
        <f>SUMIF(TArticle[تاریخ],TDays[[#This Row],[تاریخ]],TArticle[تراکنش برنامه ریزی شده])</f>
        <v>0</v>
      </c>
    </row>
    <row r="1694" spans="1:17" x14ac:dyDescent="0.25">
      <c r="A1694" s="3" t="s">
        <v>2277</v>
      </c>
      <c r="B1694" s="164" t="str">
        <f>RIGHT(TDays[[#This Row],[تاریخ]],2)</f>
        <v>17</v>
      </c>
      <c r="C1694" s="164" t="str">
        <f>RIGHT(LEFT(TDays[[#This Row],[تاریخ]],7),2)</f>
        <v>08</v>
      </c>
      <c r="D1694" s="164" t="str">
        <f>LEFT(TDays[[#This Row],[تاریخ]],4)</f>
        <v>1405</v>
      </c>
      <c r="E1694" s="164" t="str">
        <f>LEFT(TDays[[#This Row],[تاریخ]],7)</f>
        <v>1405-08</v>
      </c>
      <c r="F1694">
        <v>0</v>
      </c>
      <c r="G1694" s="165" t="str">
        <f>VLOOKUP(TDays[[#This Row],[کد روز هفته]],TDaysOfTheWeek[],2,FALSE)</f>
        <v>شنبه</v>
      </c>
      <c r="H1694" s="165">
        <f>IFERROR(IF(E1693&lt;&gt;E1694,1,INT(H1693)+IF(TDays[[#This Row],[کد روز هفته]]=0,1,0)),1)</f>
        <v>4</v>
      </c>
      <c r="I1694" s="164">
        <f>-SUMIF(TArticle[تاریخ],TDays[[#This Row],[تاریخ]],TArticle[هزینه])</f>
        <v>0</v>
      </c>
      <c r="J1694" s="164">
        <f>SUMIF(TArticle[تاریخ],TDays[[#This Row],[تاریخ]],TArticle[درآمد تتا])</f>
        <v>0</v>
      </c>
      <c r="K1694" s="164">
        <f>SUMIF(TArticle[تاریخ],TDays[[#This Row],[تاریخ]],TArticle[اسنپ])</f>
        <v>0</v>
      </c>
      <c r="L1694" s="164">
        <f>-SUMIF(TArticle[تاریخ],TDays[[#This Row],[تاریخ]],TArticle[پرداخت بدهی])</f>
        <v>0</v>
      </c>
      <c r="M1694" s="164">
        <f>SUMIF(TArticle[تاریخ],TDays[[#This Row],[تاریخ]],TArticle[افزایش بدهی])</f>
        <v>0</v>
      </c>
      <c r="N1694" s="164">
        <f>-SUMIF(TArticle[تاریخ],TDays[[#This Row],[تاریخ]],TArticle[افزایش سرمایه])</f>
        <v>0</v>
      </c>
      <c r="O1694" s="164">
        <f>SUMIF(TArticle[تاریخ],TDays[[#This Row],[تاریخ]],TArticle[تعداد تراکنش انجام شده])</f>
        <v>0</v>
      </c>
      <c r="P1694" s="164">
        <f>INT(((TDays[[#This Row],[ماه]]-1)*31+TDays[[#This Row],[روز]]+1)/7)+1</f>
        <v>34</v>
      </c>
      <c r="Q1694" s="164">
        <f>SUMIF(TArticle[تاریخ],TDays[[#This Row],[تاریخ]],TArticle[تراکنش برنامه ریزی شده])</f>
        <v>0</v>
      </c>
    </row>
    <row r="1695" spans="1:17" x14ac:dyDescent="0.25">
      <c r="A1695" s="3" t="s">
        <v>2278</v>
      </c>
      <c r="B1695" s="164" t="str">
        <f>RIGHT(TDays[[#This Row],[تاریخ]],2)</f>
        <v>18</v>
      </c>
      <c r="C1695" s="164" t="str">
        <f>RIGHT(LEFT(TDays[[#This Row],[تاریخ]],7),2)</f>
        <v>08</v>
      </c>
      <c r="D1695" s="164" t="str">
        <f>LEFT(TDays[[#This Row],[تاریخ]],4)</f>
        <v>1405</v>
      </c>
      <c r="E1695" s="164" t="str">
        <f>LEFT(TDays[[#This Row],[تاریخ]],7)</f>
        <v>1405-08</v>
      </c>
      <c r="F1695">
        <v>1</v>
      </c>
      <c r="G1695" s="165" t="str">
        <f>VLOOKUP(TDays[[#This Row],[کد روز هفته]],TDaysOfTheWeek[],2,FALSE)</f>
        <v>یکشنبه</v>
      </c>
      <c r="H1695" s="165">
        <f>IFERROR(IF(E1694&lt;&gt;E1695,1,INT(H1694)+IF(TDays[[#This Row],[کد روز هفته]]=0,1,0)),1)</f>
        <v>4</v>
      </c>
      <c r="I1695" s="164">
        <f>-SUMIF(TArticle[تاریخ],TDays[[#This Row],[تاریخ]],TArticle[هزینه])</f>
        <v>0</v>
      </c>
      <c r="J1695" s="164">
        <f>SUMIF(TArticle[تاریخ],TDays[[#This Row],[تاریخ]],TArticle[درآمد تتا])</f>
        <v>0</v>
      </c>
      <c r="K1695" s="164">
        <f>SUMIF(TArticle[تاریخ],TDays[[#This Row],[تاریخ]],TArticle[اسنپ])</f>
        <v>0</v>
      </c>
      <c r="L1695" s="164">
        <f>-SUMIF(TArticle[تاریخ],TDays[[#This Row],[تاریخ]],TArticle[پرداخت بدهی])</f>
        <v>0</v>
      </c>
      <c r="M1695" s="164">
        <f>SUMIF(TArticle[تاریخ],TDays[[#This Row],[تاریخ]],TArticle[افزایش بدهی])</f>
        <v>0</v>
      </c>
      <c r="N1695" s="164">
        <f>-SUMIF(TArticle[تاریخ],TDays[[#This Row],[تاریخ]],TArticle[افزایش سرمایه])</f>
        <v>0</v>
      </c>
      <c r="O1695" s="164">
        <f>SUMIF(TArticle[تاریخ],TDays[[#This Row],[تاریخ]],TArticle[تعداد تراکنش انجام شده])</f>
        <v>0</v>
      </c>
      <c r="P1695" s="164">
        <f>INT(((TDays[[#This Row],[ماه]]-1)*31+TDays[[#This Row],[روز]]+1)/7)+1</f>
        <v>34</v>
      </c>
      <c r="Q1695" s="164">
        <f>SUMIF(TArticle[تاریخ],TDays[[#This Row],[تاریخ]],TArticle[تراکنش برنامه ریزی شده])</f>
        <v>0</v>
      </c>
    </row>
    <row r="1696" spans="1:17" x14ac:dyDescent="0.25">
      <c r="A1696" s="3" t="s">
        <v>2279</v>
      </c>
      <c r="B1696" s="164" t="str">
        <f>RIGHT(TDays[[#This Row],[تاریخ]],2)</f>
        <v>19</v>
      </c>
      <c r="C1696" s="164" t="str">
        <f>RIGHT(LEFT(TDays[[#This Row],[تاریخ]],7),2)</f>
        <v>08</v>
      </c>
      <c r="D1696" s="164" t="str">
        <f>LEFT(TDays[[#This Row],[تاریخ]],4)</f>
        <v>1405</v>
      </c>
      <c r="E1696" s="164" t="str">
        <f>LEFT(TDays[[#This Row],[تاریخ]],7)</f>
        <v>1405-08</v>
      </c>
      <c r="F1696">
        <v>2</v>
      </c>
      <c r="G1696" s="165" t="str">
        <f>VLOOKUP(TDays[[#This Row],[کد روز هفته]],TDaysOfTheWeek[],2,FALSE)</f>
        <v>دوشنبه</v>
      </c>
      <c r="H1696" s="165">
        <f>IFERROR(IF(E1695&lt;&gt;E1696,1,INT(H1695)+IF(TDays[[#This Row],[کد روز هفته]]=0,1,0)),1)</f>
        <v>4</v>
      </c>
      <c r="I1696" s="164">
        <f>-SUMIF(TArticle[تاریخ],TDays[[#This Row],[تاریخ]],TArticle[هزینه])</f>
        <v>0</v>
      </c>
      <c r="J1696" s="164">
        <f>SUMIF(TArticle[تاریخ],TDays[[#This Row],[تاریخ]],TArticle[درآمد تتا])</f>
        <v>0</v>
      </c>
      <c r="K1696" s="164">
        <f>SUMIF(TArticle[تاریخ],TDays[[#This Row],[تاریخ]],TArticle[اسنپ])</f>
        <v>0</v>
      </c>
      <c r="L1696" s="164">
        <f>-SUMIF(TArticle[تاریخ],TDays[[#This Row],[تاریخ]],TArticle[پرداخت بدهی])</f>
        <v>0</v>
      </c>
      <c r="M1696" s="164">
        <f>SUMIF(TArticle[تاریخ],TDays[[#This Row],[تاریخ]],TArticle[افزایش بدهی])</f>
        <v>0</v>
      </c>
      <c r="N1696" s="164">
        <f>-SUMIF(TArticle[تاریخ],TDays[[#This Row],[تاریخ]],TArticle[افزایش سرمایه])</f>
        <v>0</v>
      </c>
      <c r="O1696" s="164">
        <f>SUMIF(TArticle[تاریخ],TDays[[#This Row],[تاریخ]],TArticle[تعداد تراکنش انجام شده])</f>
        <v>0</v>
      </c>
      <c r="P1696" s="164">
        <f>INT(((TDays[[#This Row],[ماه]]-1)*31+TDays[[#This Row],[روز]]+1)/7)+1</f>
        <v>34</v>
      </c>
      <c r="Q1696" s="164">
        <f>SUMIF(TArticle[تاریخ],TDays[[#This Row],[تاریخ]],TArticle[تراکنش برنامه ریزی شده])</f>
        <v>0</v>
      </c>
    </row>
    <row r="1697" spans="1:17" x14ac:dyDescent="0.25">
      <c r="A1697" s="3" t="s">
        <v>2280</v>
      </c>
      <c r="B1697" s="164" t="str">
        <f>RIGHT(TDays[[#This Row],[تاریخ]],2)</f>
        <v>20</v>
      </c>
      <c r="C1697" s="164" t="str">
        <f>RIGHT(LEFT(TDays[[#This Row],[تاریخ]],7),2)</f>
        <v>08</v>
      </c>
      <c r="D1697" s="164" t="str">
        <f>LEFT(TDays[[#This Row],[تاریخ]],4)</f>
        <v>1405</v>
      </c>
      <c r="E1697" s="164" t="str">
        <f>LEFT(TDays[[#This Row],[تاریخ]],7)</f>
        <v>1405-08</v>
      </c>
      <c r="F1697">
        <v>3</v>
      </c>
      <c r="G1697" s="165" t="str">
        <f>VLOOKUP(TDays[[#This Row],[کد روز هفته]],TDaysOfTheWeek[],2,FALSE)</f>
        <v>سه شنبه</v>
      </c>
      <c r="H1697" s="165">
        <f>IFERROR(IF(E1696&lt;&gt;E1697,1,INT(H1696)+IF(TDays[[#This Row],[کد روز هفته]]=0,1,0)),1)</f>
        <v>4</v>
      </c>
      <c r="I1697" s="164">
        <f>-SUMIF(TArticle[تاریخ],TDays[[#This Row],[تاریخ]],TArticle[هزینه])</f>
        <v>0</v>
      </c>
      <c r="J1697" s="164">
        <f>SUMIF(TArticle[تاریخ],TDays[[#This Row],[تاریخ]],TArticle[درآمد تتا])</f>
        <v>0</v>
      </c>
      <c r="K1697" s="164">
        <f>SUMIF(TArticle[تاریخ],TDays[[#This Row],[تاریخ]],TArticle[اسنپ])</f>
        <v>0</v>
      </c>
      <c r="L1697" s="164">
        <f>-SUMIF(TArticle[تاریخ],TDays[[#This Row],[تاریخ]],TArticle[پرداخت بدهی])</f>
        <v>0</v>
      </c>
      <c r="M1697" s="164">
        <f>SUMIF(TArticle[تاریخ],TDays[[#This Row],[تاریخ]],TArticle[افزایش بدهی])</f>
        <v>0</v>
      </c>
      <c r="N1697" s="164">
        <f>-SUMIF(TArticle[تاریخ],TDays[[#This Row],[تاریخ]],TArticle[افزایش سرمایه])</f>
        <v>0</v>
      </c>
      <c r="O1697" s="164">
        <f>SUMIF(TArticle[تاریخ],TDays[[#This Row],[تاریخ]],TArticle[تعداد تراکنش انجام شده])</f>
        <v>0</v>
      </c>
      <c r="P1697" s="164">
        <f>INT(((TDays[[#This Row],[ماه]]-1)*31+TDays[[#This Row],[روز]]+1)/7)+1</f>
        <v>35</v>
      </c>
      <c r="Q1697" s="164">
        <f>SUMIF(TArticle[تاریخ],TDays[[#This Row],[تاریخ]],TArticle[تراکنش برنامه ریزی شده])</f>
        <v>0</v>
      </c>
    </row>
    <row r="1698" spans="1:17" x14ac:dyDescent="0.25">
      <c r="A1698" s="3" t="s">
        <v>2281</v>
      </c>
      <c r="B1698" s="164" t="str">
        <f>RIGHT(TDays[[#This Row],[تاریخ]],2)</f>
        <v>21</v>
      </c>
      <c r="C1698" s="164" t="str">
        <f>RIGHT(LEFT(TDays[[#This Row],[تاریخ]],7),2)</f>
        <v>08</v>
      </c>
      <c r="D1698" s="164" t="str">
        <f>LEFT(TDays[[#This Row],[تاریخ]],4)</f>
        <v>1405</v>
      </c>
      <c r="E1698" s="164" t="str">
        <f>LEFT(TDays[[#This Row],[تاریخ]],7)</f>
        <v>1405-08</v>
      </c>
      <c r="F1698">
        <v>4</v>
      </c>
      <c r="G1698" s="165" t="str">
        <f>VLOOKUP(TDays[[#This Row],[کد روز هفته]],TDaysOfTheWeek[],2,FALSE)</f>
        <v>چهارشنبه</v>
      </c>
      <c r="H1698" s="165">
        <f>IFERROR(IF(E1697&lt;&gt;E1698,1,INT(H1697)+IF(TDays[[#This Row],[کد روز هفته]]=0,1,0)),1)</f>
        <v>4</v>
      </c>
      <c r="I1698" s="164">
        <f>-SUMIF(TArticle[تاریخ],TDays[[#This Row],[تاریخ]],TArticle[هزینه])</f>
        <v>0</v>
      </c>
      <c r="J1698" s="164">
        <f>SUMIF(TArticle[تاریخ],TDays[[#This Row],[تاریخ]],TArticle[درآمد تتا])</f>
        <v>0</v>
      </c>
      <c r="K1698" s="164">
        <f>SUMIF(TArticle[تاریخ],TDays[[#This Row],[تاریخ]],TArticle[اسنپ])</f>
        <v>0</v>
      </c>
      <c r="L1698" s="164">
        <f>-SUMIF(TArticle[تاریخ],TDays[[#This Row],[تاریخ]],TArticle[پرداخت بدهی])</f>
        <v>0</v>
      </c>
      <c r="M1698" s="164">
        <f>SUMIF(TArticle[تاریخ],TDays[[#This Row],[تاریخ]],TArticle[افزایش بدهی])</f>
        <v>0</v>
      </c>
      <c r="N1698" s="164">
        <f>-SUMIF(TArticle[تاریخ],TDays[[#This Row],[تاریخ]],TArticle[افزایش سرمایه])</f>
        <v>0</v>
      </c>
      <c r="O1698" s="164">
        <f>SUMIF(TArticle[تاریخ],TDays[[#This Row],[تاریخ]],TArticle[تعداد تراکنش انجام شده])</f>
        <v>0</v>
      </c>
      <c r="P1698" s="164">
        <f>INT(((TDays[[#This Row],[ماه]]-1)*31+TDays[[#This Row],[روز]]+1)/7)+1</f>
        <v>35</v>
      </c>
      <c r="Q1698" s="164">
        <f>SUMIF(TArticle[تاریخ],TDays[[#This Row],[تاریخ]],TArticle[تراکنش برنامه ریزی شده])</f>
        <v>0</v>
      </c>
    </row>
    <row r="1699" spans="1:17" x14ac:dyDescent="0.25">
      <c r="A1699" s="3" t="s">
        <v>2282</v>
      </c>
      <c r="B1699" s="164" t="str">
        <f>RIGHT(TDays[[#This Row],[تاریخ]],2)</f>
        <v>22</v>
      </c>
      <c r="C1699" s="164" t="str">
        <f>RIGHT(LEFT(TDays[[#This Row],[تاریخ]],7),2)</f>
        <v>08</v>
      </c>
      <c r="D1699" s="164" t="str">
        <f>LEFT(TDays[[#This Row],[تاریخ]],4)</f>
        <v>1405</v>
      </c>
      <c r="E1699" s="164" t="str">
        <f>LEFT(TDays[[#This Row],[تاریخ]],7)</f>
        <v>1405-08</v>
      </c>
      <c r="F1699">
        <v>5</v>
      </c>
      <c r="G1699" s="165" t="str">
        <f>VLOOKUP(TDays[[#This Row],[کد روز هفته]],TDaysOfTheWeek[],2,FALSE)</f>
        <v>پنجشنبه</v>
      </c>
      <c r="H1699" s="165">
        <f>IFERROR(IF(E1698&lt;&gt;E1699,1,INT(H1698)+IF(TDays[[#This Row],[کد روز هفته]]=0,1,0)),1)</f>
        <v>4</v>
      </c>
      <c r="I1699" s="164">
        <f>-SUMIF(TArticle[تاریخ],TDays[[#This Row],[تاریخ]],TArticle[هزینه])</f>
        <v>0</v>
      </c>
      <c r="J1699" s="164">
        <f>SUMIF(TArticle[تاریخ],TDays[[#This Row],[تاریخ]],TArticle[درآمد تتا])</f>
        <v>0</v>
      </c>
      <c r="K1699" s="164">
        <f>SUMIF(TArticle[تاریخ],TDays[[#This Row],[تاریخ]],TArticle[اسنپ])</f>
        <v>0</v>
      </c>
      <c r="L1699" s="164">
        <f>-SUMIF(TArticle[تاریخ],TDays[[#This Row],[تاریخ]],TArticle[پرداخت بدهی])</f>
        <v>0</v>
      </c>
      <c r="M1699" s="164">
        <f>SUMIF(TArticle[تاریخ],TDays[[#This Row],[تاریخ]],TArticle[افزایش بدهی])</f>
        <v>0</v>
      </c>
      <c r="N1699" s="164">
        <f>-SUMIF(TArticle[تاریخ],TDays[[#This Row],[تاریخ]],TArticle[افزایش سرمایه])</f>
        <v>0</v>
      </c>
      <c r="O1699" s="164">
        <f>SUMIF(TArticle[تاریخ],TDays[[#This Row],[تاریخ]],TArticle[تعداد تراکنش انجام شده])</f>
        <v>0</v>
      </c>
      <c r="P1699" s="164">
        <f>INT(((TDays[[#This Row],[ماه]]-1)*31+TDays[[#This Row],[روز]]+1)/7)+1</f>
        <v>35</v>
      </c>
      <c r="Q1699" s="164">
        <f>SUMIF(TArticle[تاریخ],TDays[[#This Row],[تاریخ]],TArticle[تراکنش برنامه ریزی شده])</f>
        <v>0</v>
      </c>
    </row>
    <row r="1700" spans="1:17" x14ac:dyDescent="0.25">
      <c r="A1700" s="3" t="s">
        <v>2283</v>
      </c>
      <c r="B1700" s="164" t="str">
        <f>RIGHT(TDays[[#This Row],[تاریخ]],2)</f>
        <v>23</v>
      </c>
      <c r="C1700" s="164" t="str">
        <f>RIGHT(LEFT(TDays[[#This Row],[تاریخ]],7),2)</f>
        <v>08</v>
      </c>
      <c r="D1700" s="164" t="str">
        <f>LEFT(TDays[[#This Row],[تاریخ]],4)</f>
        <v>1405</v>
      </c>
      <c r="E1700" s="164" t="str">
        <f>LEFT(TDays[[#This Row],[تاریخ]],7)</f>
        <v>1405-08</v>
      </c>
      <c r="F1700">
        <v>6</v>
      </c>
      <c r="G1700" s="165" t="str">
        <f>VLOOKUP(TDays[[#This Row],[کد روز هفته]],TDaysOfTheWeek[],2,FALSE)</f>
        <v>جمعه</v>
      </c>
      <c r="H1700" s="165">
        <f>IFERROR(IF(E1699&lt;&gt;E1700,1,INT(H1699)+IF(TDays[[#This Row],[کد روز هفته]]=0,1,0)),1)</f>
        <v>4</v>
      </c>
      <c r="I1700" s="164">
        <f>-SUMIF(TArticle[تاریخ],TDays[[#This Row],[تاریخ]],TArticle[هزینه])</f>
        <v>0</v>
      </c>
      <c r="J1700" s="164">
        <f>SUMIF(TArticle[تاریخ],TDays[[#This Row],[تاریخ]],TArticle[درآمد تتا])</f>
        <v>0</v>
      </c>
      <c r="K1700" s="164">
        <f>SUMIF(TArticle[تاریخ],TDays[[#This Row],[تاریخ]],TArticle[اسنپ])</f>
        <v>0</v>
      </c>
      <c r="L1700" s="164">
        <f>-SUMIF(TArticle[تاریخ],TDays[[#This Row],[تاریخ]],TArticle[پرداخت بدهی])</f>
        <v>0</v>
      </c>
      <c r="M1700" s="164">
        <f>SUMIF(TArticle[تاریخ],TDays[[#This Row],[تاریخ]],TArticle[افزایش بدهی])</f>
        <v>0</v>
      </c>
      <c r="N1700" s="164">
        <f>-SUMIF(TArticle[تاریخ],TDays[[#This Row],[تاریخ]],TArticle[افزایش سرمایه])</f>
        <v>0</v>
      </c>
      <c r="O1700" s="164">
        <f>SUMIF(TArticle[تاریخ],TDays[[#This Row],[تاریخ]],TArticle[تعداد تراکنش انجام شده])</f>
        <v>0</v>
      </c>
      <c r="P1700" s="164">
        <f>INT(((TDays[[#This Row],[ماه]]-1)*31+TDays[[#This Row],[روز]]+1)/7)+1</f>
        <v>35</v>
      </c>
      <c r="Q1700" s="164">
        <f>SUMIF(TArticle[تاریخ],TDays[[#This Row],[تاریخ]],TArticle[تراکنش برنامه ریزی شده])</f>
        <v>0</v>
      </c>
    </row>
    <row r="1701" spans="1:17" x14ac:dyDescent="0.25">
      <c r="A1701" s="3" t="s">
        <v>2284</v>
      </c>
      <c r="B1701" s="164" t="str">
        <f>RIGHT(TDays[[#This Row],[تاریخ]],2)</f>
        <v>24</v>
      </c>
      <c r="C1701" s="164" t="str">
        <f>RIGHT(LEFT(TDays[[#This Row],[تاریخ]],7),2)</f>
        <v>08</v>
      </c>
      <c r="D1701" s="164" t="str">
        <f>LEFT(TDays[[#This Row],[تاریخ]],4)</f>
        <v>1405</v>
      </c>
      <c r="E1701" s="164" t="str">
        <f>LEFT(TDays[[#This Row],[تاریخ]],7)</f>
        <v>1405-08</v>
      </c>
      <c r="F1701">
        <v>0</v>
      </c>
      <c r="G1701" s="165" t="str">
        <f>VLOOKUP(TDays[[#This Row],[کد روز هفته]],TDaysOfTheWeek[],2,FALSE)</f>
        <v>شنبه</v>
      </c>
      <c r="H1701" s="165">
        <f>IFERROR(IF(E1700&lt;&gt;E1701,1,INT(H1700)+IF(TDays[[#This Row],[کد روز هفته]]=0,1,0)),1)</f>
        <v>5</v>
      </c>
      <c r="I1701" s="164">
        <f>-SUMIF(TArticle[تاریخ],TDays[[#This Row],[تاریخ]],TArticle[هزینه])</f>
        <v>0</v>
      </c>
      <c r="J1701" s="164">
        <f>SUMIF(TArticle[تاریخ],TDays[[#This Row],[تاریخ]],TArticle[درآمد تتا])</f>
        <v>0</v>
      </c>
      <c r="K1701" s="164">
        <f>SUMIF(TArticle[تاریخ],TDays[[#This Row],[تاریخ]],TArticle[اسنپ])</f>
        <v>0</v>
      </c>
      <c r="L1701" s="164">
        <f>-SUMIF(TArticle[تاریخ],TDays[[#This Row],[تاریخ]],TArticle[پرداخت بدهی])</f>
        <v>0</v>
      </c>
      <c r="M1701" s="164">
        <f>SUMIF(TArticle[تاریخ],TDays[[#This Row],[تاریخ]],TArticle[افزایش بدهی])</f>
        <v>0</v>
      </c>
      <c r="N1701" s="164">
        <f>-SUMIF(TArticle[تاریخ],TDays[[#This Row],[تاریخ]],TArticle[افزایش سرمایه])</f>
        <v>0</v>
      </c>
      <c r="O1701" s="164">
        <f>SUMIF(TArticle[تاریخ],TDays[[#This Row],[تاریخ]],TArticle[تعداد تراکنش انجام شده])</f>
        <v>0</v>
      </c>
      <c r="P1701" s="164">
        <f>INT(((TDays[[#This Row],[ماه]]-1)*31+TDays[[#This Row],[روز]]+1)/7)+1</f>
        <v>35</v>
      </c>
      <c r="Q1701" s="164">
        <f>SUMIF(TArticle[تاریخ],TDays[[#This Row],[تاریخ]],TArticle[تراکنش برنامه ریزی شده])</f>
        <v>0</v>
      </c>
    </row>
    <row r="1702" spans="1:17" x14ac:dyDescent="0.25">
      <c r="A1702" s="3" t="s">
        <v>2285</v>
      </c>
      <c r="B1702" s="164" t="str">
        <f>RIGHT(TDays[[#This Row],[تاریخ]],2)</f>
        <v>25</v>
      </c>
      <c r="C1702" s="164" t="str">
        <f>RIGHT(LEFT(TDays[[#This Row],[تاریخ]],7),2)</f>
        <v>08</v>
      </c>
      <c r="D1702" s="164" t="str">
        <f>LEFT(TDays[[#This Row],[تاریخ]],4)</f>
        <v>1405</v>
      </c>
      <c r="E1702" s="164" t="str">
        <f>LEFT(TDays[[#This Row],[تاریخ]],7)</f>
        <v>1405-08</v>
      </c>
      <c r="F1702">
        <v>1</v>
      </c>
      <c r="G1702" s="165" t="str">
        <f>VLOOKUP(TDays[[#This Row],[کد روز هفته]],TDaysOfTheWeek[],2,FALSE)</f>
        <v>یکشنبه</v>
      </c>
      <c r="H1702" s="165">
        <f>IFERROR(IF(E1701&lt;&gt;E1702,1,INT(H1701)+IF(TDays[[#This Row],[کد روز هفته]]=0,1,0)),1)</f>
        <v>5</v>
      </c>
      <c r="I1702" s="164">
        <f>-SUMIF(TArticle[تاریخ],TDays[[#This Row],[تاریخ]],TArticle[هزینه])</f>
        <v>0</v>
      </c>
      <c r="J1702" s="164">
        <f>SUMIF(TArticle[تاریخ],TDays[[#This Row],[تاریخ]],TArticle[درآمد تتا])</f>
        <v>0</v>
      </c>
      <c r="K1702" s="164">
        <f>SUMIF(TArticle[تاریخ],TDays[[#This Row],[تاریخ]],TArticle[اسنپ])</f>
        <v>0</v>
      </c>
      <c r="L1702" s="164">
        <f>-SUMIF(TArticle[تاریخ],TDays[[#This Row],[تاریخ]],TArticle[پرداخت بدهی])</f>
        <v>0</v>
      </c>
      <c r="M1702" s="164">
        <f>SUMIF(TArticle[تاریخ],TDays[[#This Row],[تاریخ]],TArticle[افزایش بدهی])</f>
        <v>0</v>
      </c>
      <c r="N1702" s="164">
        <f>-SUMIF(TArticle[تاریخ],TDays[[#This Row],[تاریخ]],TArticle[افزایش سرمایه])</f>
        <v>0</v>
      </c>
      <c r="O1702" s="164">
        <f>SUMIF(TArticle[تاریخ],TDays[[#This Row],[تاریخ]],TArticle[تعداد تراکنش انجام شده])</f>
        <v>0</v>
      </c>
      <c r="P1702" s="164">
        <f>INT(((TDays[[#This Row],[ماه]]-1)*31+TDays[[#This Row],[روز]]+1)/7)+1</f>
        <v>35</v>
      </c>
      <c r="Q1702" s="164">
        <f>SUMIF(TArticle[تاریخ],TDays[[#This Row],[تاریخ]],TArticle[تراکنش برنامه ریزی شده])</f>
        <v>0</v>
      </c>
    </row>
    <row r="1703" spans="1:17" x14ac:dyDescent="0.25">
      <c r="A1703" s="3" t="s">
        <v>2286</v>
      </c>
      <c r="B1703" s="164" t="str">
        <f>RIGHT(TDays[[#This Row],[تاریخ]],2)</f>
        <v>26</v>
      </c>
      <c r="C1703" s="164" t="str">
        <f>RIGHT(LEFT(TDays[[#This Row],[تاریخ]],7),2)</f>
        <v>08</v>
      </c>
      <c r="D1703" s="164" t="str">
        <f>LEFT(TDays[[#This Row],[تاریخ]],4)</f>
        <v>1405</v>
      </c>
      <c r="E1703" s="164" t="str">
        <f>LEFT(TDays[[#This Row],[تاریخ]],7)</f>
        <v>1405-08</v>
      </c>
      <c r="F1703">
        <v>2</v>
      </c>
      <c r="G1703" s="165" t="str">
        <f>VLOOKUP(TDays[[#This Row],[کد روز هفته]],TDaysOfTheWeek[],2,FALSE)</f>
        <v>دوشنبه</v>
      </c>
      <c r="H1703" s="165">
        <f>IFERROR(IF(E1702&lt;&gt;E1703,1,INT(H1702)+IF(TDays[[#This Row],[کد روز هفته]]=0,1,0)),1)</f>
        <v>5</v>
      </c>
      <c r="I1703" s="164">
        <f>-SUMIF(TArticle[تاریخ],TDays[[#This Row],[تاریخ]],TArticle[هزینه])</f>
        <v>0</v>
      </c>
      <c r="J1703" s="164">
        <f>SUMIF(TArticle[تاریخ],TDays[[#This Row],[تاریخ]],TArticle[درآمد تتا])</f>
        <v>0</v>
      </c>
      <c r="K1703" s="164">
        <f>SUMIF(TArticle[تاریخ],TDays[[#This Row],[تاریخ]],TArticle[اسنپ])</f>
        <v>0</v>
      </c>
      <c r="L1703" s="164">
        <f>-SUMIF(TArticle[تاریخ],TDays[[#This Row],[تاریخ]],TArticle[پرداخت بدهی])</f>
        <v>0</v>
      </c>
      <c r="M1703" s="164">
        <f>SUMIF(TArticle[تاریخ],TDays[[#This Row],[تاریخ]],TArticle[افزایش بدهی])</f>
        <v>0</v>
      </c>
      <c r="N1703" s="164">
        <f>-SUMIF(TArticle[تاریخ],TDays[[#This Row],[تاریخ]],TArticle[افزایش سرمایه])</f>
        <v>0</v>
      </c>
      <c r="O1703" s="164">
        <f>SUMIF(TArticle[تاریخ],TDays[[#This Row],[تاریخ]],TArticle[تعداد تراکنش انجام شده])</f>
        <v>0</v>
      </c>
      <c r="P1703" s="164">
        <f>INT(((TDays[[#This Row],[ماه]]-1)*31+TDays[[#This Row],[روز]]+1)/7)+1</f>
        <v>35</v>
      </c>
      <c r="Q1703" s="164">
        <f>SUMIF(TArticle[تاریخ],TDays[[#This Row],[تاریخ]],TArticle[تراکنش برنامه ریزی شده])</f>
        <v>0</v>
      </c>
    </row>
    <row r="1704" spans="1:17" x14ac:dyDescent="0.25">
      <c r="A1704" s="3" t="s">
        <v>2287</v>
      </c>
      <c r="B1704" s="164" t="str">
        <f>RIGHT(TDays[[#This Row],[تاریخ]],2)</f>
        <v>27</v>
      </c>
      <c r="C1704" s="164" t="str">
        <f>RIGHT(LEFT(TDays[[#This Row],[تاریخ]],7),2)</f>
        <v>08</v>
      </c>
      <c r="D1704" s="164" t="str">
        <f>LEFT(TDays[[#This Row],[تاریخ]],4)</f>
        <v>1405</v>
      </c>
      <c r="E1704" s="164" t="str">
        <f>LEFT(TDays[[#This Row],[تاریخ]],7)</f>
        <v>1405-08</v>
      </c>
      <c r="F1704">
        <v>3</v>
      </c>
      <c r="G1704" s="165" t="str">
        <f>VLOOKUP(TDays[[#This Row],[کد روز هفته]],TDaysOfTheWeek[],2,FALSE)</f>
        <v>سه شنبه</v>
      </c>
      <c r="H1704" s="165">
        <f>IFERROR(IF(E1703&lt;&gt;E1704,1,INT(H1703)+IF(TDays[[#This Row],[کد روز هفته]]=0,1,0)),1)</f>
        <v>5</v>
      </c>
      <c r="I1704" s="164">
        <f>-SUMIF(TArticle[تاریخ],TDays[[#This Row],[تاریخ]],TArticle[هزینه])</f>
        <v>0</v>
      </c>
      <c r="J1704" s="164">
        <f>SUMIF(TArticle[تاریخ],TDays[[#This Row],[تاریخ]],TArticle[درآمد تتا])</f>
        <v>0</v>
      </c>
      <c r="K1704" s="164">
        <f>SUMIF(TArticle[تاریخ],TDays[[#This Row],[تاریخ]],TArticle[اسنپ])</f>
        <v>0</v>
      </c>
      <c r="L1704" s="164">
        <f>-SUMIF(TArticle[تاریخ],TDays[[#This Row],[تاریخ]],TArticle[پرداخت بدهی])</f>
        <v>0</v>
      </c>
      <c r="M1704" s="164">
        <f>SUMIF(TArticle[تاریخ],TDays[[#This Row],[تاریخ]],TArticle[افزایش بدهی])</f>
        <v>0</v>
      </c>
      <c r="N1704" s="164">
        <f>-SUMIF(TArticle[تاریخ],TDays[[#This Row],[تاریخ]],TArticle[افزایش سرمایه])</f>
        <v>0</v>
      </c>
      <c r="O1704" s="164">
        <f>SUMIF(TArticle[تاریخ],TDays[[#This Row],[تاریخ]],TArticle[تعداد تراکنش انجام شده])</f>
        <v>0</v>
      </c>
      <c r="P1704" s="164">
        <f>INT(((TDays[[#This Row],[ماه]]-1)*31+TDays[[#This Row],[روز]]+1)/7)+1</f>
        <v>36</v>
      </c>
      <c r="Q1704" s="164">
        <f>SUMIF(TArticle[تاریخ],TDays[[#This Row],[تاریخ]],TArticle[تراکنش برنامه ریزی شده])</f>
        <v>0</v>
      </c>
    </row>
    <row r="1705" spans="1:17" x14ac:dyDescent="0.25">
      <c r="A1705" s="3" t="s">
        <v>2288</v>
      </c>
      <c r="B1705" s="164" t="str">
        <f>RIGHT(TDays[[#This Row],[تاریخ]],2)</f>
        <v>28</v>
      </c>
      <c r="C1705" s="164" t="str">
        <f>RIGHT(LEFT(TDays[[#This Row],[تاریخ]],7),2)</f>
        <v>08</v>
      </c>
      <c r="D1705" s="164" t="str">
        <f>LEFT(TDays[[#This Row],[تاریخ]],4)</f>
        <v>1405</v>
      </c>
      <c r="E1705" s="164" t="str">
        <f>LEFT(TDays[[#This Row],[تاریخ]],7)</f>
        <v>1405-08</v>
      </c>
      <c r="F1705">
        <v>4</v>
      </c>
      <c r="G1705" s="165" t="str">
        <f>VLOOKUP(TDays[[#This Row],[کد روز هفته]],TDaysOfTheWeek[],2,FALSE)</f>
        <v>چهارشنبه</v>
      </c>
      <c r="H1705" s="165">
        <f>IFERROR(IF(E1704&lt;&gt;E1705,1,INT(H1704)+IF(TDays[[#This Row],[کد روز هفته]]=0,1,0)),1)</f>
        <v>5</v>
      </c>
      <c r="I1705" s="164">
        <f>-SUMIF(TArticle[تاریخ],TDays[[#This Row],[تاریخ]],TArticle[هزینه])</f>
        <v>0</v>
      </c>
      <c r="J1705" s="164">
        <f>SUMIF(TArticle[تاریخ],TDays[[#This Row],[تاریخ]],TArticle[درآمد تتا])</f>
        <v>0</v>
      </c>
      <c r="K1705" s="164">
        <f>SUMIF(TArticle[تاریخ],TDays[[#This Row],[تاریخ]],TArticle[اسنپ])</f>
        <v>0</v>
      </c>
      <c r="L1705" s="164">
        <f>-SUMIF(TArticle[تاریخ],TDays[[#This Row],[تاریخ]],TArticle[پرداخت بدهی])</f>
        <v>0</v>
      </c>
      <c r="M1705" s="164">
        <f>SUMIF(TArticle[تاریخ],TDays[[#This Row],[تاریخ]],TArticle[افزایش بدهی])</f>
        <v>0</v>
      </c>
      <c r="N1705" s="164">
        <f>-SUMIF(TArticle[تاریخ],TDays[[#This Row],[تاریخ]],TArticle[افزایش سرمایه])</f>
        <v>0</v>
      </c>
      <c r="O1705" s="164">
        <f>SUMIF(TArticle[تاریخ],TDays[[#This Row],[تاریخ]],TArticle[تعداد تراکنش انجام شده])</f>
        <v>0</v>
      </c>
      <c r="P1705" s="164">
        <f>INT(((TDays[[#This Row],[ماه]]-1)*31+TDays[[#This Row],[روز]]+1)/7)+1</f>
        <v>36</v>
      </c>
      <c r="Q1705" s="164">
        <f>SUMIF(TArticle[تاریخ],TDays[[#This Row],[تاریخ]],TArticle[تراکنش برنامه ریزی شده])</f>
        <v>0</v>
      </c>
    </row>
    <row r="1706" spans="1:17" x14ac:dyDescent="0.25">
      <c r="A1706" s="3" t="s">
        <v>2289</v>
      </c>
      <c r="B1706" s="164" t="str">
        <f>RIGHT(TDays[[#This Row],[تاریخ]],2)</f>
        <v>29</v>
      </c>
      <c r="C1706" s="164" t="str">
        <f>RIGHT(LEFT(TDays[[#This Row],[تاریخ]],7),2)</f>
        <v>08</v>
      </c>
      <c r="D1706" s="164" t="str">
        <f>LEFT(TDays[[#This Row],[تاریخ]],4)</f>
        <v>1405</v>
      </c>
      <c r="E1706" s="164" t="str">
        <f>LEFT(TDays[[#This Row],[تاریخ]],7)</f>
        <v>1405-08</v>
      </c>
      <c r="F1706">
        <v>5</v>
      </c>
      <c r="G1706" s="165" t="str">
        <f>VLOOKUP(TDays[[#This Row],[کد روز هفته]],TDaysOfTheWeek[],2,FALSE)</f>
        <v>پنجشنبه</v>
      </c>
      <c r="H1706" s="165">
        <f>IFERROR(IF(E1705&lt;&gt;E1706,1,INT(H1705)+IF(TDays[[#This Row],[کد روز هفته]]=0,1,0)),1)</f>
        <v>5</v>
      </c>
      <c r="I1706" s="164">
        <f>-SUMIF(TArticle[تاریخ],TDays[[#This Row],[تاریخ]],TArticle[هزینه])</f>
        <v>0</v>
      </c>
      <c r="J1706" s="164">
        <f>SUMIF(TArticle[تاریخ],TDays[[#This Row],[تاریخ]],TArticle[درآمد تتا])</f>
        <v>0</v>
      </c>
      <c r="K1706" s="164">
        <f>SUMIF(TArticle[تاریخ],TDays[[#This Row],[تاریخ]],TArticle[اسنپ])</f>
        <v>0</v>
      </c>
      <c r="L1706" s="164">
        <f>-SUMIF(TArticle[تاریخ],TDays[[#This Row],[تاریخ]],TArticle[پرداخت بدهی])</f>
        <v>0</v>
      </c>
      <c r="M1706" s="164">
        <f>SUMIF(TArticle[تاریخ],TDays[[#This Row],[تاریخ]],TArticle[افزایش بدهی])</f>
        <v>0</v>
      </c>
      <c r="N1706" s="164">
        <f>-SUMIF(TArticle[تاریخ],TDays[[#This Row],[تاریخ]],TArticle[افزایش سرمایه])</f>
        <v>0</v>
      </c>
      <c r="O1706" s="164">
        <f>SUMIF(TArticle[تاریخ],TDays[[#This Row],[تاریخ]],TArticle[تعداد تراکنش انجام شده])</f>
        <v>0</v>
      </c>
      <c r="P1706" s="164">
        <f>INT(((TDays[[#This Row],[ماه]]-1)*31+TDays[[#This Row],[روز]]+1)/7)+1</f>
        <v>36</v>
      </c>
      <c r="Q1706" s="164">
        <f>SUMIF(TArticle[تاریخ],TDays[[#This Row],[تاریخ]],TArticle[تراکنش برنامه ریزی شده])</f>
        <v>0</v>
      </c>
    </row>
    <row r="1707" spans="1:17" x14ac:dyDescent="0.25">
      <c r="A1707" s="3" t="s">
        <v>2290</v>
      </c>
      <c r="B1707" s="164" t="str">
        <f>RIGHT(TDays[[#This Row],[تاریخ]],2)</f>
        <v>30</v>
      </c>
      <c r="C1707" s="164" t="str">
        <f>RIGHT(LEFT(TDays[[#This Row],[تاریخ]],7),2)</f>
        <v>08</v>
      </c>
      <c r="D1707" s="164" t="str">
        <f>LEFT(TDays[[#This Row],[تاریخ]],4)</f>
        <v>1405</v>
      </c>
      <c r="E1707" s="164" t="str">
        <f>LEFT(TDays[[#This Row],[تاریخ]],7)</f>
        <v>1405-08</v>
      </c>
      <c r="F1707">
        <v>6</v>
      </c>
      <c r="G1707" s="165" t="str">
        <f>VLOOKUP(TDays[[#This Row],[کد روز هفته]],TDaysOfTheWeek[],2,FALSE)</f>
        <v>جمعه</v>
      </c>
      <c r="H1707" s="165">
        <f>IFERROR(IF(E1706&lt;&gt;E1707,1,INT(H1706)+IF(TDays[[#This Row],[کد روز هفته]]=0,1,0)),1)</f>
        <v>5</v>
      </c>
      <c r="I1707" s="164">
        <f>-SUMIF(TArticle[تاریخ],TDays[[#This Row],[تاریخ]],TArticle[هزینه])</f>
        <v>0</v>
      </c>
      <c r="J1707" s="164">
        <f>SUMIF(TArticle[تاریخ],TDays[[#This Row],[تاریخ]],TArticle[درآمد تتا])</f>
        <v>0</v>
      </c>
      <c r="K1707" s="164">
        <f>SUMIF(TArticle[تاریخ],TDays[[#This Row],[تاریخ]],TArticle[اسنپ])</f>
        <v>0</v>
      </c>
      <c r="L1707" s="164">
        <f>-SUMIF(TArticle[تاریخ],TDays[[#This Row],[تاریخ]],TArticle[پرداخت بدهی])</f>
        <v>0</v>
      </c>
      <c r="M1707" s="164">
        <f>SUMIF(TArticle[تاریخ],TDays[[#This Row],[تاریخ]],TArticle[افزایش بدهی])</f>
        <v>0</v>
      </c>
      <c r="N1707" s="164">
        <f>-SUMIF(TArticle[تاریخ],TDays[[#This Row],[تاریخ]],TArticle[افزایش سرمایه])</f>
        <v>0</v>
      </c>
      <c r="O1707" s="164">
        <f>SUMIF(TArticle[تاریخ],TDays[[#This Row],[تاریخ]],TArticle[تعداد تراکنش انجام شده])</f>
        <v>0</v>
      </c>
      <c r="P1707" s="164">
        <f>INT(((TDays[[#This Row],[ماه]]-1)*31+TDays[[#This Row],[روز]]+1)/7)+1</f>
        <v>36</v>
      </c>
      <c r="Q1707" s="164">
        <f>SUMIF(TArticle[تاریخ],TDays[[#This Row],[تاریخ]],TArticle[تراکنش برنامه ریزی شده])</f>
        <v>0</v>
      </c>
    </row>
    <row r="1708" spans="1:17" x14ac:dyDescent="0.25">
      <c r="A1708" s="3" t="s">
        <v>2291</v>
      </c>
      <c r="B1708" s="164" t="str">
        <f>RIGHT(TDays[[#This Row],[تاریخ]],2)</f>
        <v>01</v>
      </c>
      <c r="C1708" s="164" t="str">
        <f>RIGHT(LEFT(TDays[[#This Row],[تاریخ]],7),2)</f>
        <v>09</v>
      </c>
      <c r="D1708" s="164" t="str">
        <f>LEFT(TDays[[#This Row],[تاریخ]],4)</f>
        <v>1405</v>
      </c>
      <c r="E1708" s="164" t="str">
        <f>LEFT(TDays[[#This Row],[تاریخ]],7)</f>
        <v>1405-09</v>
      </c>
      <c r="F1708">
        <v>0</v>
      </c>
      <c r="G1708" s="165" t="str">
        <f>VLOOKUP(TDays[[#This Row],[کد روز هفته]],TDaysOfTheWeek[],2,FALSE)</f>
        <v>شنبه</v>
      </c>
      <c r="H1708" s="165">
        <f>IFERROR(IF(E1707&lt;&gt;E1708,1,INT(H1707)+IF(TDays[[#This Row],[کد روز هفته]]=0,1,0)),1)</f>
        <v>1</v>
      </c>
      <c r="I1708" s="164">
        <f>-SUMIF(TArticle[تاریخ],TDays[[#This Row],[تاریخ]],TArticle[هزینه])</f>
        <v>0</v>
      </c>
      <c r="J1708" s="164">
        <f>SUMIF(TArticle[تاریخ],TDays[[#This Row],[تاریخ]],TArticle[درآمد تتا])</f>
        <v>0</v>
      </c>
      <c r="K1708" s="164">
        <f>SUMIF(TArticle[تاریخ],TDays[[#This Row],[تاریخ]],TArticle[اسنپ])</f>
        <v>0</v>
      </c>
      <c r="L1708" s="164">
        <f>-SUMIF(TArticle[تاریخ],TDays[[#This Row],[تاریخ]],TArticle[پرداخت بدهی])</f>
        <v>0</v>
      </c>
      <c r="M1708" s="164">
        <f>SUMIF(TArticle[تاریخ],TDays[[#This Row],[تاریخ]],TArticle[افزایش بدهی])</f>
        <v>0</v>
      </c>
      <c r="N1708" s="164">
        <f>-SUMIF(TArticle[تاریخ],TDays[[#This Row],[تاریخ]],TArticle[افزایش سرمایه])</f>
        <v>0</v>
      </c>
      <c r="O1708" s="164">
        <f>SUMIF(TArticle[تاریخ],TDays[[#This Row],[تاریخ]],TArticle[تعداد تراکنش انجام شده])</f>
        <v>0</v>
      </c>
      <c r="P1708" s="164">
        <f>INT(((TDays[[#This Row],[ماه]]-1)*31+TDays[[#This Row],[روز]]+1)/7)+1</f>
        <v>36</v>
      </c>
      <c r="Q1708" s="164">
        <f>SUMIF(TArticle[تاریخ],TDays[[#This Row],[تاریخ]],TArticle[تراکنش برنامه ریزی شده])</f>
        <v>0</v>
      </c>
    </row>
    <row r="1709" spans="1:17" x14ac:dyDescent="0.25">
      <c r="A1709" s="3" t="s">
        <v>2292</v>
      </c>
      <c r="B1709" s="164" t="str">
        <f>RIGHT(TDays[[#This Row],[تاریخ]],2)</f>
        <v>02</v>
      </c>
      <c r="C1709" s="164" t="str">
        <f>RIGHT(LEFT(TDays[[#This Row],[تاریخ]],7),2)</f>
        <v>09</v>
      </c>
      <c r="D1709" s="164" t="str">
        <f>LEFT(TDays[[#This Row],[تاریخ]],4)</f>
        <v>1405</v>
      </c>
      <c r="E1709" s="164" t="str">
        <f>LEFT(TDays[[#This Row],[تاریخ]],7)</f>
        <v>1405-09</v>
      </c>
      <c r="F1709">
        <v>1</v>
      </c>
      <c r="G1709" s="165" t="str">
        <f>VLOOKUP(TDays[[#This Row],[کد روز هفته]],TDaysOfTheWeek[],2,FALSE)</f>
        <v>یکشنبه</v>
      </c>
      <c r="H1709" s="165">
        <f>IFERROR(IF(E1708&lt;&gt;E1709,1,INT(H1708)+IF(TDays[[#This Row],[کد روز هفته]]=0,1,0)),1)</f>
        <v>1</v>
      </c>
      <c r="I1709" s="164">
        <f>-SUMIF(TArticle[تاریخ],TDays[[#This Row],[تاریخ]],TArticle[هزینه])</f>
        <v>0</v>
      </c>
      <c r="J1709" s="164">
        <f>SUMIF(TArticle[تاریخ],TDays[[#This Row],[تاریخ]],TArticle[درآمد تتا])</f>
        <v>0</v>
      </c>
      <c r="K1709" s="164">
        <f>SUMIF(TArticle[تاریخ],TDays[[#This Row],[تاریخ]],TArticle[اسنپ])</f>
        <v>0</v>
      </c>
      <c r="L1709" s="164">
        <f>-SUMIF(TArticle[تاریخ],TDays[[#This Row],[تاریخ]],TArticle[پرداخت بدهی])</f>
        <v>0</v>
      </c>
      <c r="M1709" s="164">
        <f>SUMIF(TArticle[تاریخ],TDays[[#This Row],[تاریخ]],TArticle[افزایش بدهی])</f>
        <v>0</v>
      </c>
      <c r="N1709" s="164">
        <f>-SUMIF(TArticle[تاریخ],TDays[[#This Row],[تاریخ]],TArticle[افزایش سرمایه])</f>
        <v>0</v>
      </c>
      <c r="O1709" s="164">
        <f>SUMIF(TArticle[تاریخ],TDays[[#This Row],[تاریخ]],TArticle[تعداد تراکنش انجام شده])</f>
        <v>0</v>
      </c>
      <c r="P1709" s="164">
        <f>INT(((TDays[[#This Row],[ماه]]-1)*31+TDays[[#This Row],[روز]]+1)/7)+1</f>
        <v>36</v>
      </c>
      <c r="Q1709" s="164">
        <f>SUMIF(TArticle[تاریخ],TDays[[#This Row],[تاریخ]],TArticle[تراکنش برنامه ریزی شده])</f>
        <v>0</v>
      </c>
    </row>
    <row r="1710" spans="1:17" x14ac:dyDescent="0.25">
      <c r="A1710" s="3" t="s">
        <v>2293</v>
      </c>
      <c r="B1710" s="164" t="str">
        <f>RIGHT(TDays[[#This Row],[تاریخ]],2)</f>
        <v>03</v>
      </c>
      <c r="C1710" s="164" t="str">
        <f>RIGHT(LEFT(TDays[[#This Row],[تاریخ]],7),2)</f>
        <v>09</v>
      </c>
      <c r="D1710" s="164" t="str">
        <f>LEFT(TDays[[#This Row],[تاریخ]],4)</f>
        <v>1405</v>
      </c>
      <c r="E1710" s="164" t="str">
        <f>LEFT(TDays[[#This Row],[تاریخ]],7)</f>
        <v>1405-09</v>
      </c>
      <c r="F1710">
        <v>2</v>
      </c>
      <c r="G1710" s="165" t="str">
        <f>VLOOKUP(TDays[[#This Row],[کد روز هفته]],TDaysOfTheWeek[],2,FALSE)</f>
        <v>دوشنبه</v>
      </c>
      <c r="H1710" s="165">
        <f>IFERROR(IF(E1709&lt;&gt;E1710,1,INT(H1709)+IF(TDays[[#This Row],[کد روز هفته]]=0,1,0)),1)</f>
        <v>1</v>
      </c>
      <c r="I1710" s="164">
        <f>-SUMIF(TArticle[تاریخ],TDays[[#This Row],[تاریخ]],TArticle[هزینه])</f>
        <v>0</v>
      </c>
      <c r="J1710" s="164">
        <f>SUMIF(TArticle[تاریخ],TDays[[#This Row],[تاریخ]],TArticle[درآمد تتا])</f>
        <v>0</v>
      </c>
      <c r="K1710" s="164">
        <f>SUMIF(TArticle[تاریخ],TDays[[#This Row],[تاریخ]],TArticle[اسنپ])</f>
        <v>0</v>
      </c>
      <c r="L1710" s="164">
        <f>-SUMIF(TArticle[تاریخ],TDays[[#This Row],[تاریخ]],TArticle[پرداخت بدهی])</f>
        <v>0</v>
      </c>
      <c r="M1710" s="164">
        <f>SUMIF(TArticle[تاریخ],TDays[[#This Row],[تاریخ]],TArticle[افزایش بدهی])</f>
        <v>0</v>
      </c>
      <c r="N1710" s="164">
        <f>-SUMIF(TArticle[تاریخ],TDays[[#This Row],[تاریخ]],TArticle[افزایش سرمایه])</f>
        <v>0</v>
      </c>
      <c r="O1710" s="164">
        <f>SUMIF(TArticle[تاریخ],TDays[[#This Row],[تاریخ]],TArticle[تعداد تراکنش انجام شده])</f>
        <v>0</v>
      </c>
      <c r="P1710" s="164">
        <f>INT(((TDays[[#This Row],[ماه]]-1)*31+TDays[[#This Row],[روز]]+1)/7)+1</f>
        <v>37</v>
      </c>
      <c r="Q1710" s="164">
        <f>SUMIF(TArticle[تاریخ],TDays[[#This Row],[تاریخ]],TArticle[تراکنش برنامه ریزی شده])</f>
        <v>1</v>
      </c>
    </row>
    <row r="1711" spans="1:17" x14ac:dyDescent="0.25">
      <c r="A1711" s="3" t="s">
        <v>2294</v>
      </c>
      <c r="B1711" s="164" t="str">
        <f>RIGHT(TDays[[#This Row],[تاریخ]],2)</f>
        <v>04</v>
      </c>
      <c r="C1711" s="164" t="str">
        <f>RIGHT(LEFT(TDays[[#This Row],[تاریخ]],7),2)</f>
        <v>09</v>
      </c>
      <c r="D1711" s="164" t="str">
        <f>LEFT(TDays[[#This Row],[تاریخ]],4)</f>
        <v>1405</v>
      </c>
      <c r="E1711" s="164" t="str">
        <f>LEFT(TDays[[#This Row],[تاریخ]],7)</f>
        <v>1405-09</v>
      </c>
      <c r="F1711" s="164">
        <v>3</v>
      </c>
      <c r="G1711" s="165" t="str">
        <f>VLOOKUP(TDays[[#This Row],[کد روز هفته]],TDaysOfTheWeek[],2,FALSE)</f>
        <v>سه شنبه</v>
      </c>
      <c r="H1711" s="165">
        <f>IFERROR(IF(E1710&lt;&gt;E1711,1,INT(H1710)+IF(TDays[[#This Row],[کد روز هفته]]=0,1,0)),1)</f>
        <v>1</v>
      </c>
      <c r="I1711" s="164">
        <f>-SUMIF(TArticle[تاریخ],TDays[[#This Row],[تاریخ]],TArticle[هزینه])</f>
        <v>0</v>
      </c>
      <c r="J1711" s="164">
        <f>SUMIF(TArticle[تاریخ],TDays[[#This Row],[تاریخ]],TArticle[درآمد تتا])</f>
        <v>0</v>
      </c>
      <c r="K1711" s="164">
        <f>SUMIF(TArticle[تاریخ],TDays[[#This Row],[تاریخ]],TArticle[اسنپ])</f>
        <v>0</v>
      </c>
      <c r="L1711" s="164">
        <f>-SUMIF(TArticle[تاریخ],TDays[[#This Row],[تاریخ]],TArticle[پرداخت بدهی])</f>
        <v>0</v>
      </c>
      <c r="M1711" s="164">
        <f>SUMIF(TArticle[تاریخ],TDays[[#This Row],[تاریخ]],TArticle[افزایش بدهی])</f>
        <v>0</v>
      </c>
      <c r="N1711" s="164">
        <f>-SUMIF(TArticle[تاریخ],TDays[[#This Row],[تاریخ]],TArticle[افزایش سرمایه])</f>
        <v>0</v>
      </c>
      <c r="O1711" s="164">
        <f>SUMIF(TArticle[تاریخ],TDays[[#This Row],[تاریخ]],TArticle[تعداد تراکنش انجام شده])</f>
        <v>0</v>
      </c>
      <c r="P1711" s="164">
        <f>INT(((TDays[[#This Row],[ماه]]-1)*31+TDays[[#This Row],[روز]]+1)/7)+1</f>
        <v>37</v>
      </c>
      <c r="Q1711" s="164">
        <f>SUMIF(TArticle[تاریخ],TDays[[#This Row],[تاریخ]],TArticle[تراکنش برنامه ریزی شده])</f>
        <v>0</v>
      </c>
    </row>
    <row r="1712" spans="1:17" x14ac:dyDescent="0.25">
      <c r="A1712" s="3" t="s">
        <v>2295</v>
      </c>
      <c r="B1712" s="164" t="str">
        <f>RIGHT(TDays[[#This Row],[تاریخ]],2)</f>
        <v>05</v>
      </c>
      <c r="C1712" s="164" t="str">
        <f>RIGHT(LEFT(TDays[[#This Row],[تاریخ]],7),2)</f>
        <v>09</v>
      </c>
      <c r="D1712" s="164" t="str">
        <f>LEFT(TDays[[#This Row],[تاریخ]],4)</f>
        <v>1405</v>
      </c>
      <c r="E1712" s="164" t="str">
        <f>LEFT(TDays[[#This Row],[تاریخ]],7)</f>
        <v>1405-09</v>
      </c>
      <c r="F1712" s="164">
        <v>4</v>
      </c>
      <c r="G1712" s="165" t="str">
        <f>VLOOKUP(TDays[[#This Row],[کد روز هفته]],TDaysOfTheWeek[],2,FALSE)</f>
        <v>چهارشنبه</v>
      </c>
      <c r="H1712" s="165">
        <f>IFERROR(IF(E1711&lt;&gt;E1712,1,INT(H1711)+IF(TDays[[#This Row],[کد روز هفته]]=0,1,0)),1)</f>
        <v>1</v>
      </c>
      <c r="I1712" s="164">
        <f>-SUMIF(TArticle[تاریخ],TDays[[#This Row],[تاریخ]],TArticle[هزینه])</f>
        <v>0</v>
      </c>
      <c r="J1712" s="164">
        <f>SUMIF(TArticle[تاریخ],TDays[[#This Row],[تاریخ]],TArticle[درآمد تتا])</f>
        <v>0</v>
      </c>
      <c r="K1712" s="164">
        <f>SUMIF(TArticle[تاریخ],TDays[[#This Row],[تاریخ]],TArticle[اسنپ])</f>
        <v>0</v>
      </c>
      <c r="L1712" s="164">
        <f>-SUMIF(TArticle[تاریخ],TDays[[#This Row],[تاریخ]],TArticle[پرداخت بدهی])</f>
        <v>0</v>
      </c>
      <c r="M1712" s="164">
        <f>SUMIF(TArticle[تاریخ],TDays[[#This Row],[تاریخ]],TArticle[افزایش بدهی])</f>
        <v>0</v>
      </c>
      <c r="N1712" s="164">
        <f>-SUMIF(TArticle[تاریخ],TDays[[#This Row],[تاریخ]],TArticle[افزایش سرمایه])</f>
        <v>0</v>
      </c>
      <c r="O1712" s="164">
        <f>SUMIF(TArticle[تاریخ],TDays[[#This Row],[تاریخ]],TArticle[تعداد تراکنش انجام شده])</f>
        <v>0</v>
      </c>
      <c r="P1712" s="164">
        <f>INT(((TDays[[#This Row],[ماه]]-1)*31+TDays[[#This Row],[روز]]+1)/7)+1</f>
        <v>37</v>
      </c>
      <c r="Q1712" s="164">
        <f>SUMIF(TArticle[تاریخ],TDays[[#This Row],[تاریخ]],TArticle[تراکنش برنامه ریزی شده])</f>
        <v>0</v>
      </c>
    </row>
    <row r="1713" spans="1:17" x14ac:dyDescent="0.25">
      <c r="A1713" s="3" t="s">
        <v>2296</v>
      </c>
      <c r="B1713" s="164" t="str">
        <f>RIGHT(TDays[[#This Row],[تاریخ]],2)</f>
        <v>06</v>
      </c>
      <c r="C1713" s="164" t="str">
        <f>RIGHT(LEFT(TDays[[#This Row],[تاریخ]],7),2)</f>
        <v>09</v>
      </c>
      <c r="D1713" s="164" t="str">
        <f>LEFT(TDays[[#This Row],[تاریخ]],4)</f>
        <v>1405</v>
      </c>
      <c r="E1713" s="164" t="str">
        <f>LEFT(TDays[[#This Row],[تاریخ]],7)</f>
        <v>1405-09</v>
      </c>
      <c r="F1713">
        <v>5</v>
      </c>
      <c r="G1713" s="165" t="str">
        <f>VLOOKUP(TDays[[#This Row],[کد روز هفته]],TDaysOfTheWeek[],2,FALSE)</f>
        <v>پنجشنبه</v>
      </c>
      <c r="H1713" s="165">
        <f>IFERROR(IF(E1712&lt;&gt;E1713,1,INT(H1712)+IF(TDays[[#This Row],[کد روز هفته]]=0,1,0)),1)</f>
        <v>1</v>
      </c>
      <c r="I1713" s="164">
        <f>-SUMIF(TArticle[تاریخ],TDays[[#This Row],[تاریخ]],TArticle[هزینه])</f>
        <v>0</v>
      </c>
      <c r="J1713" s="164">
        <f>SUMIF(TArticle[تاریخ],TDays[[#This Row],[تاریخ]],TArticle[درآمد تتا])</f>
        <v>0</v>
      </c>
      <c r="K1713" s="164">
        <f>SUMIF(TArticle[تاریخ],TDays[[#This Row],[تاریخ]],TArticle[اسنپ])</f>
        <v>0</v>
      </c>
      <c r="L1713" s="164">
        <f>-SUMIF(TArticle[تاریخ],TDays[[#This Row],[تاریخ]],TArticle[پرداخت بدهی])</f>
        <v>0</v>
      </c>
      <c r="M1713" s="164">
        <f>SUMIF(TArticle[تاریخ],TDays[[#This Row],[تاریخ]],TArticle[افزایش بدهی])</f>
        <v>0</v>
      </c>
      <c r="N1713" s="164">
        <f>-SUMIF(TArticle[تاریخ],TDays[[#This Row],[تاریخ]],TArticle[افزایش سرمایه])</f>
        <v>0</v>
      </c>
      <c r="O1713" s="164">
        <f>SUMIF(TArticle[تاریخ],TDays[[#This Row],[تاریخ]],TArticle[تعداد تراکنش انجام شده])</f>
        <v>0</v>
      </c>
      <c r="P1713" s="164">
        <f>INT(((TDays[[#This Row],[ماه]]-1)*31+TDays[[#This Row],[روز]]+1)/7)+1</f>
        <v>37</v>
      </c>
      <c r="Q1713" s="164">
        <f>SUMIF(TArticle[تاریخ],TDays[[#This Row],[تاریخ]],TArticle[تراکنش برنامه ریزی شده])</f>
        <v>0</v>
      </c>
    </row>
    <row r="1714" spans="1:17" x14ac:dyDescent="0.25">
      <c r="A1714" s="3" t="s">
        <v>2297</v>
      </c>
      <c r="B1714" s="164" t="str">
        <f>RIGHT(TDays[[#This Row],[تاریخ]],2)</f>
        <v>07</v>
      </c>
      <c r="C1714" s="164" t="str">
        <f>RIGHT(LEFT(TDays[[#This Row],[تاریخ]],7),2)</f>
        <v>09</v>
      </c>
      <c r="D1714" s="164" t="str">
        <f>LEFT(TDays[[#This Row],[تاریخ]],4)</f>
        <v>1405</v>
      </c>
      <c r="E1714" s="164" t="str">
        <f>LEFT(TDays[[#This Row],[تاریخ]],7)</f>
        <v>1405-09</v>
      </c>
      <c r="F1714">
        <v>6</v>
      </c>
      <c r="G1714" s="165" t="str">
        <f>VLOOKUP(TDays[[#This Row],[کد روز هفته]],TDaysOfTheWeek[],2,FALSE)</f>
        <v>جمعه</v>
      </c>
      <c r="H1714" s="165">
        <f>IFERROR(IF(E1713&lt;&gt;E1714,1,INT(H1713)+IF(TDays[[#This Row],[کد روز هفته]]=0,1,0)),1)</f>
        <v>1</v>
      </c>
      <c r="I1714" s="164">
        <f>-SUMIF(TArticle[تاریخ],TDays[[#This Row],[تاریخ]],TArticle[هزینه])</f>
        <v>0</v>
      </c>
      <c r="J1714" s="164">
        <f>SUMIF(TArticle[تاریخ],TDays[[#This Row],[تاریخ]],TArticle[درآمد تتا])</f>
        <v>0</v>
      </c>
      <c r="K1714" s="164">
        <f>SUMIF(TArticle[تاریخ],TDays[[#This Row],[تاریخ]],TArticle[اسنپ])</f>
        <v>0</v>
      </c>
      <c r="L1714" s="164">
        <f>-SUMIF(TArticle[تاریخ],TDays[[#This Row],[تاریخ]],TArticle[پرداخت بدهی])</f>
        <v>0</v>
      </c>
      <c r="M1714" s="164">
        <f>SUMIF(TArticle[تاریخ],TDays[[#This Row],[تاریخ]],TArticle[افزایش بدهی])</f>
        <v>0</v>
      </c>
      <c r="N1714" s="164">
        <f>-SUMIF(TArticle[تاریخ],TDays[[#This Row],[تاریخ]],TArticle[افزایش سرمایه])</f>
        <v>0</v>
      </c>
      <c r="O1714" s="164">
        <f>SUMIF(TArticle[تاریخ],TDays[[#This Row],[تاریخ]],TArticle[تعداد تراکنش انجام شده])</f>
        <v>0</v>
      </c>
      <c r="P1714" s="164">
        <f>INT(((TDays[[#This Row],[ماه]]-1)*31+TDays[[#This Row],[روز]]+1)/7)+1</f>
        <v>37</v>
      </c>
      <c r="Q1714" s="164">
        <f>SUMIF(TArticle[تاریخ],TDays[[#This Row],[تاریخ]],TArticle[تراکنش برنامه ریزی شده])</f>
        <v>0</v>
      </c>
    </row>
    <row r="1715" spans="1:17" x14ac:dyDescent="0.25">
      <c r="A1715" s="3" t="s">
        <v>2298</v>
      </c>
      <c r="B1715" s="164" t="str">
        <f>RIGHT(TDays[[#This Row],[تاریخ]],2)</f>
        <v>08</v>
      </c>
      <c r="C1715" s="164" t="str">
        <f>RIGHT(LEFT(TDays[[#This Row],[تاریخ]],7),2)</f>
        <v>09</v>
      </c>
      <c r="D1715" s="164" t="str">
        <f>LEFT(TDays[[#This Row],[تاریخ]],4)</f>
        <v>1405</v>
      </c>
      <c r="E1715" s="164" t="str">
        <f>LEFT(TDays[[#This Row],[تاریخ]],7)</f>
        <v>1405-09</v>
      </c>
      <c r="F1715">
        <v>0</v>
      </c>
      <c r="G1715" s="165" t="str">
        <f>VLOOKUP(TDays[[#This Row],[کد روز هفته]],TDaysOfTheWeek[],2,FALSE)</f>
        <v>شنبه</v>
      </c>
      <c r="H1715" s="165">
        <f>IFERROR(IF(E1714&lt;&gt;E1715,1,INT(H1714)+IF(TDays[[#This Row],[کد روز هفته]]=0,1,0)),1)</f>
        <v>2</v>
      </c>
      <c r="I1715" s="164">
        <f>-SUMIF(TArticle[تاریخ],TDays[[#This Row],[تاریخ]],TArticle[هزینه])</f>
        <v>0</v>
      </c>
      <c r="J1715" s="164">
        <f>SUMIF(TArticle[تاریخ],TDays[[#This Row],[تاریخ]],TArticle[درآمد تتا])</f>
        <v>0</v>
      </c>
      <c r="K1715" s="164">
        <f>SUMIF(TArticle[تاریخ],TDays[[#This Row],[تاریخ]],TArticle[اسنپ])</f>
        <v>0</v>
      </c>
      <c r="L1715" s="164">
        <f>-SUMIF(TArticle[تاریخ],TDays[[#This Row],[تاریخ]],TArticle[پرداخت بدهی])</f>
        <v>0</v>
      </c>
      <c r="M1715" s="164">
        <f>SUMIF(TArticle[تاریخ],TDays[[#This Row],[تاریخ]],TArticle[افزایش بدهی])</f>
        <v>0</v>
      </c>
      <c r="N1715" s="164">
        <f>-SUMIF(TArticle[تاریخ],TDays[[#This Row],[تاریخ]],TArticle[افزایش سرمایه])</f>
        <v>0</v>
      </c>
      <c r="O1715" s="164">
        <f>SUMIF(TArticle[تاریخ],TDays[[#This Row],[تاریخ]],TArticle[تعداد تراکنش انجام شده])</f>
        <v>0</v>
      </c>
      <c r="P1715" s="164">
        <f>INT(((TDays[[#This Row],[ماه]]-1)*31+TDays[[#This Row],[روز]]+1)/7)+1</f>
        <v>37</v>
      </c>
      <c r="Q1715" s="164">
        <f>SUMIF(TArticle[تاریخ],TDays[[#This Row],[تاریخ]],TArticle[تراکنش برنامه ریزی شده])</f>
        <v>0</v>
      </c>
    </row>
    <row r="1716" spans="1:17" x14ac:dyDescent="0.25">
      <c r="A1716" s="3" t="s">
        <v>2299</v>
      </c>
      <c r="B1716" s="164" t="str">
        <f>RIGHT(TDays[[#This Row],[تاریخ]],2)</f>
        <v>09</v>
      </c>
      <c r="C1716" s="164" t="str">
        <f>RIGHT(LEFT(TDays[[#This Row],[تاریخ]],7),2)</f>
        <v>09</v>
      </c>
      <c r="D1716" s="164" t="str">
        <f>LEFT(TDays[[#This Row],[تاریخ]],4)</f>
        <v>1405</v>
      </c>
      <c r="E1716" s="164" t="str">
        <f>LEFT(TDays[[#This Row],[تاریخ]],7)</f>
        <v>1405-09</v>
      </c>
      <c r="F1716">
        <v>1</v>
      </c>
      <c r="G1716" s="165" t="str">
        <f>VLOOKUP(TDays[[#This Row],[کد روز هفته]],TDaysOfTheWeek[],2,FALSE)</f>
        <v>یکشنبه</v>
      </c>
      <c r="H1716" s="165">
        <f>IFERROR(IF(E1715&lt;&gt;E1716,1,INT(H1715)+IF(TDays[[#This Row],[کد روز هفته]]=0,1,0)),1)</f>
        <v>2</v>
      </c>
      <c r="I1716" s="164">
        <f>-SUMIF(TArticle[تاریخ],TDays[[#This Row],[تاریخ]],TArticle[هزینه])</f>
        <v>0</v>
      </c>
      <c r="J1716" s="164">
        <f>SUMIF(TArticle[تاریخ],TDays[[#This Row],[تاریخ]],TArticle[درآمد تتا])</f>
        <v>0</v>
      </c>
      <c r="K1716" s="164">
        <f>SUMIF(TArticle[تاریخ],TDays[[#This Row],[تاریخ]],TArticle[اسنپ])</f>
        <v>0</v>
      </c>
      <c r="L1716" s="164">
        <f>-SUMIF(TArticle[تاریخ],TDays[[#This Row],[تاریخ]],TArticle[پرداخت بدهی])</f>
        <v>0</v>
      </c>
      <c r="M1716" s="164">
        <f>SUMIF(TArticle[تاریخ],TDays[[#This Row],[تاریخ]],TArticle[افزایش بدهی])</f>
        <v>0</v>
      </c>
      <c r="N1716" s="164">
        <f>-SUMIF(TArticle[تاریخ],TDays[[#This Row],[تاریخ]],TArticle[افزایش سرمایه])</f>
        <v>0</v>
      </c>
      <c r="O1716" s="164">
        <f>SUMIF(TArticle[تاریخ],TDays[[#This Row],[تاریخ]],TArticle[تعداد تراکنش انجام شده])</f>
        <v>0</v>
      </c>
      <c r="P1716" s="164">
        <f>INT(((TDays[[#This Row],[ماه]]-1)*31+TDays[[#This Row],[روز]]+1)/7)+1</f>
        <v>37</v>
      </c>
      <c r="Q1716" s="164">
        <f>SUMIF(TArticle[تاریخ],TDays[[#This Row],[تاریخ]],TArticle[تراکنش برنامه ریزی شده])</f>
        <v>0</v>
      </c>
    </row>
    <row r="1717" spans="1:17" x14ac:dyDescent="0.25">
      <c r="A1717" s="3" t="s">
        <v>2300</v>
      </c>
      <c r="B1717" s="164" t="str">
        <f>RIGHT(TDays[[#This Row],[تاریخ]],2)</f>
        <v>10</v>
      </c>
      <c r="C1717" s="164" t="str">
        <f>RIGHT(LEFT(TDays[[#This Row],[تاریخ]],7),2)</f>
        <v>09</v>
      </c>
      <c r="D1717" s="164" t="str">
        <f>LEFT(TDays[[#This Row],[تاریخ]],4)</f>
        <v>1405</v>
      </c>
      <c r="E1717" s="164" t="str">
        <f>LEFT(TDays[[#This Row],[تاریخ]],7)</f>
        <v>1405-09</v>
      </c>
      <c r="F1717">
        <v>2</v>
      </c>
      <c r="G1717" s="165" t="str">
        <f>VLOOKUP(TDays[[#This Row],[کد روز هفته]],TDaysOfTheWeek[],2,FALSE)</f>
        <v>دوشنبه</v>
      </c>
      <c r="H1717" s="165">
        <f>IFERROR(IF(E1716&lt;&gt;E1717,1,INT(H1716)+IF(TDays[[#This Row],[کد روز هفته]]=0,1,0)),1)</f>
        <v>2</v>
      </c>
      <c r="I1717" s="164">
        <f>-SUMIF(TArticle[تاریخ],TDays[[#This Row],[تاریخ]],TArticle[هزینه])</f>
        <v>0</v>
      </c>
      <c r="J1717" s="164">
        <f>SUMIF(TArticle[تاریخ],TDays[[#This Row],[تاریخ]],TArticle[درآمد تتا])</f>
        <v>0</v>
      </c>
      <c r="K1717" s="164">
        <f>SUMIF(TArticle[تاریخ],TDays[[#This Row],[تاریخ]],TArticle[اسنپ])</f>
        <v>0</v>
      </c>
      <c r="L1717" s="164">
        <f>-SUMIF(TArticle[تاریخ],TDays[[#This Row],[تاریخ]],TArticle[پرداخت بدهی])</f>
        <v>0</v>
      </c>
      <c r="M1717" s="164">
        <f>SUMIF(TArticle[تاریخ],TDays[[#This Row],[تاریخ]],TArticle[افزایش بدهی])</f>
        <v>0</v>
      </c>
      <c r="N1717" s="164">
        <f>-SUMIF(TArticle[تاریخ],TDays[[#This Row],[تاریخ]],TArticle[افزایش سرمایه])</f>
        <v>0</v>
      </c>
      <c r="O1717" s="164">
        <f>SUMIF(TArticle[تاریخ],TDays[[#This Row],[تاریخ]],TArticle[تعداد تراکنش انجام شده])</f>
        <v>0</v>
      </c>
      <c r="P1717" s="164">
        <f>INT(((TDays[[#This Row],[ماه]]-1)*31+TDays[[#This Row],[روز]]+1)/7)+1</f>
        <v>38</v>
      </c>
      <c r="Q1717" s="164">
        <f>SUMIF(TArticle[تاریخ],TDays[[#This Row],[تاریخ]],TArticle[تراکنش برنامه ریزی شده])</f>
        <v>0</v>
      </c>
    </row>
    <row r="1718" spans="1:17" x14ac:dyDescent="0.25">
      <c r="A1718" s="3" t="s">
        <v>2301</v>
      </c>
      <c r="B1718" s="164" t="str">
        <f>RIGHT(TDays[[#This Row],[تاریخ]],2)</f>
        <v>11</v>
      </c>
      <c r="C1718" s="164" t="str">
        <f>RIGHT(LEFT(TDays[[#This Row],[تاریخ]],7),2)</f>
        <v>09</v>
      </c>
      <c r="D1718" s="164" t="str">
        <f>LEFT(TDays[[#This Row],[تاریخ]],4)</f>
        <v>1405</v>
      </c>
      <c r="E1718" s="164" t="str">
        <f>LEFT(TDays[[#This Row],[تاریخ]],7)</f>
        <v>1405-09</v>
      </c>
      <c r="F1718">
        <v>3</v>
      </c>
      <c r="G1718" s="165" t="str">
        <f>VLOOKUP(TDays[[#This Row],[کد روز هفته]],TDaysOfTheWeek[],2,FALSE)</f>
        <v>سه شنبه</v>
      </c>
      <c r="H1718" s="165">
        <f>IFERROR(IF(E1717&lt;&gt;E1718,1,INT(H1717)+IF(TDays[[#This Row],[کد روز هفته]]=0,1,0)),1)</f>
        <v>2</v>
      </c>
      <c r="I1718" s="164">
        <f>-SUMIF(TArticle[تاریخ],TDays[[#This Row],[تاریخ]],TArticle[هزینه])</f>
        <v>0</v>
      </c>
      <c r="J1718" s="164">
        <f>SUMIF(TArticle[تاریخ],TDays[[#This Row],[تاریخ]],TArticle[درآمد تتا])</f>
        <v>0</v>
      </c>
      <c r="K1718" s="164">
        <f>SUMIF(TArticle[تاریخ],TDays[[#This Row],[تاریخ]],TArticle[اسنپ])</f>
        <v>0</v>
      </c>
      <c r="L1718" s="164">
        <f>-SUMIF(TArticle[تاریخ],TDays[[#This Row],[تاریخ]],TArticle[پرداخت بدهی])</f>
        <v>0</v>
      </c>
      <c r="M1718" s="164">
        <f>SUMIF(TArticle[تاریخ],TDays[[#This Row],[تاریخ]],TArticle[افزایش بدهی])</f>
        <v>0</v>
      </c>
      <c r="N1718" s="164">
        <f>-SUMIF(TArticle[تاریخ],TDays[[#This Row],[تاریخ]],TArticle[افزایش سرمایه])</f>
        <v>0</v>
      </c>
      <c r="O1718" s="164">
        <f>SUMIF(TArticle[تاریخ],TDays[[#This Row],[تاریخ]],TArticle[تعداد تراکنش انجام شده])</f>
        <v>0</v>
      </c>
      <c r="P1718" s="164">
        <f>INT(((TDays[[#This Row],[ماه]]-1)*31+TDays[[#This Row],[روز]]+1)/7)+1</f>
        <v>38</v>
      </c>
      <c r="Q1718" s="164">
        <f>SUMIF(TArticle[تاریخ],TDays[[#This Row],[تاریخ]],TArticle[تراکنش برنامه ریزی شده])</f>
        <v>0</v>
      </c>
    </row>
    <row r="1719" spans="1:17" x14ac:dyDescent="0.25">
      <c r="A1719" s="3" t="s">
        <v>2302</v>
      </c>
      <c r="B1719" s="164" t="str">
        <f>RIGHT(TDays[[#This Row],[تاریخ]],2)</f>
        <v>12</v>
      </c>
      <c r="C1719" s="164" t="str">
        <f>RIGHT(LEFT(TDays[[#This Row],[تاریخ]],7),2)</f>
        <v>09</v>
      </c>
      <c r="D1719" s="164" t="str">
        <f>LEFT(TDays[[#This Row],[تاریخ]],4)</f>
        <v>1405</v>
      </c>
      <c r="E1719" s="164" t="str">
        <f>LEFT(TDays[[#This Row],[تاریخ]],7)</f>
        <v>1405-09</v>
      </c>
      <c r="F1719">
        <v>4</v>
      </c>
      <c r="G1719" s="165" t="str">
        <f>VLOOKUP(TDays[[#This Row],[کد روز هفته]],TDaysOfTheWeek[],2,FALSE)</f>
        <v>چهارشنبه</v>
      </c>
      <c r="H1719" s="165">
        <f>IFERROR(IF(E1718&lt;&gt;E1719,1,INT(H1718)+IF(TDays[[#This Row],[کد روز هفته]]=0,1,0)),1)</f>
        <v>2</v>
      </c>
      <c r="I1719" s="164">
        <f>-SUMIF(TArticle[تاریخ],TDays[[#This Row],[تاریخ]],TArticle[هزینه])</f>
        <v>0</v>
      </c>
      <c r="J1719" s="164">
        <f>SUMIF(TArticle[تاریخ],TDays[[#This Row],[تاریخ]],TArticle[درآمد تتا])</f>
        <v>0</v>
      </c>
      <c r="K1719" s="164">
        <f>SUMIF(TArticle[تاریخ],TDays[[#This Row],[تاریخ]],TArticle[اسنپ])</f>
        <v>0</v>
      </c>
      <c r="L1719" s="164">
        <f>-SUMIF(TArticle[تاریخ],TDays[[#This Row],[تاریخ]],TArticle[پرداخت بدهی])</f>
        <v>0</v>
      </c>
      <c r="M1719" s="164">
        <f>SUMIF(TArticle[تاریخ],TDays[[#This Row],[تاریخ]],TArticle[افزایش بدهی])</f>
        <v>0</v>
      </c>
      <c r="N1719" s="164">
        <f>-SUMIF(TArticle[تاریخ],TDays[[#This Row],[تاریخ]],TArticle[افزایش سرمایه])</f>
        <v>0</v>
      </c>
      <c r="O1719" s="164">
        <f>SUMIF(TArticle[تاریخ],TDays[[#This Row],[تاریخ]],TArticle[تعداد تراکنش انجام شده])</f>
        <v>0</v>
      </c>
      <c r="P1719" s="164">
        <f>INT(((TDays[[#This Row],[ماه]]-1)*31+TDays[[#This Row],[روز]]+1)/7)+1</f>
        <v>38</v>
      </c>
      <c r="Q1719" s="164">
        <f>SUMIF(TArticle[تاریخ],TDays[[#This Row],[تاریخ]],TArticle[تراکنش برنامه ریزی شده])</f>
        <v>0</v>
      </c>
    </row>
    <row r="1720" spans="1:17" x14ac:dyDescent="0.25">
      <c r="A1720" s="3" t="s">
        <v>2303</v>
      </c>
      <c r="B1720" s="164" t="str">
        <f>RIGHT(TDays[[#This Row],[تاریخ]],2)</f>
        <v>13</v>
      </c>
      <c r="C1720" s="164" t="str">
        <f>RIGHT(LEFT(TDays[[#This Row],[تاریخ]],7),2)</f>
        <v>09</v>
      </c>
      <c r="D1720" s="164" t="str">
        <f>LEFT(TDays[[#This Row],[تاریخ]],4)</f>
        <v>1405</v>
      </c>
      <c r="E1720" s="164" t="str">
        <f>LEFT(TDays[[#This Row],[تاریخ]],7)</f>
        <v>1405-09</v>
      </c>
      <c r="F1720">
        <v>5</v>
      </c>
      <c r="G1720" s="165" t="str">
        <f>VLOOKUP(TDays[[#This Row],[کد روز هفته]],TDaysOfTheWeek[],2,FALSE)</f>
        <v>پنجشنبه</v>
      </c>
      <c r="H1720" s="165">
        <f>IFERROR(IF(E1719&lt;&gt;E1720,1,INT(H1719)+IF(TDays[[#This Row],[کد روز هفته]]=0,1,0)),1)</f>
        <v>2</v>
      </c>
      <c r="I1720" s="164">
        <f>-SUMIF(TArticle[تاریخ],TDays[[#This Row],[تاریخ]],TArticle[هزینه])</f>
        <v>0</v>
      </c>
      <c r="J1720" s="164">
        <f>SUMIF(TArticle[تاریخ],TDays[[#This Row],[تاریخ]],TArticle[درآمد تتا])</f>
        <v>0</v>
      </c>
      <c r="K1720" s="164">
        <f>SUMIF(TArticle[تاریخ],TDays[[#This Row],[تاریخ]],TArticle[اسنپ])</f>
        <v>0</v>
      </c>
      <c r="L1720" s="164">
        <f>-SUMIF(TArticle[تاریخ],TDays[[#This Row],[تاریخ]],TArticle[پرداخت بدهی])</f>
        <v>0</v>
      </c>
      <c r="M1720" s="164">
        <f>SUMIF(TArticle[تاریخ],TDays[[#This Row],[تاریخ]],TArticle[افزایش بدهی])</f>
        <v>0</v>
      </c>
      <c r="N1720" s="164">
        <f>-SUMIF(TArticle[تاریخ],TDays[[#This Row],[تاریخ]],TArticle[افزایش سرمایه])</f>
        <v>0</v>
      </c>
      <c r="O1720" s="164">
        <f>SUMIF(TArticle[تاریخ],TDays[[#This Row],[تاریخ]],TArticle[تعداد تراکنش انجام شده])</f>
        <v>0</v>
      </c>
      <c r="P1720" s="164">
        <f>INT(((TDays[[#This Row],[ماه]]-1)*31+TDays[[#This Row],[روز]]+1)/7)+1</f>
        <v>38</v>
      </c>
      <c r="Q1720" s="164">
        <f>SUMIF(TArticle[تاریخ],TDays[[#This Row],[تاریخ]],TArticle[تراکنش برنامه ریزی شده])</f>
        <v>0</v>
      </c>
    </row>
    <row r="1721" spans="1:17" x14ac:dyDescent="0.25">
      <c r="A1721" s="3" t="s">
        <v>2304</v>
      </c>
      <c r="B1721" s="164" t="str">
        <f>RIGHT(TDays[[#This Row],[تاریخ]],2)</f>
        <v>14</v>
      </c>
      <c r="C1721" s="164" t="str">
        <f>RIGHT(LEFT(TDays[[#This Row],[تاریخ]],7),2)</f>
        <v>09</v>
      </c>
      <c r="D1721" s="164" t="str">
        <f>LEFT(TDays[[#This Row],[تاریخ]],4)</f>
        <v>1405</v>
      </c>
      <c r="E1721" s="164" t="str">
        <f>LEFT(TDays[[#This Row],[تاریخ]],7)</f>
        <v>1405-09</v>
      </c>
      <c r="F1721">
        <v>6</v>
      </c>
      <c r="G1721" s="165" t="str">
        <f>VLOOKUP(TDays[[#This Row],[کد روز هفته]],TDaysOfTheWeek[],2,FALSE)</f>
        <v>جمعه</v>
      </c>
      <c r="H1721" s="165">
        <f>IFERROR(IF(E1720&lt;&gt;E1721,1,INT(H1720)+IF(TDays[[#This Row],[کد روز هفته]]=0,1,0)),1)</f>
        <v>2</v>
      </c>
      <c r="I1721" s="164">
        <f>-SUMIF(TArticle[تاریخ],TDays[[#This Row],[تاریخ]],TArticle[هزینه])</f>
        <v>0</v>
      </c>
      <c r="J1721" s="164">
        <f>SUMIF(TArticle[تاریخ],TDays[[#This Row],[تاریخ]],TArticle[درآمد تتا])</f>
        <v>0</v>
      </c>
      <c r="K1721" s="164">
        <f>SUMIF(TArticle[تاریخ],TDays[[#This Row],[تاریخ]],TArticle[اسنپ])</f>
        <v>0</v>
      </c>
      <c r="L1721" s="164">
        <f>-SUMIF(TArticle[تاریخ],TDays[[#This Row],[تاریخ]],TArticle[پرداخت بدهی])</f>
        <v>0</v>
      </c>
      <c r="M1721" s="164">
        <f>SUMIF(TArticle[تاریخ],TDays[[#This Row],[تاریخ]],TArticle[افزایش بدهی])</f>
        <v>0</v>
      </c>
      <c r="N1721" s="164">
        <f>-SUMIF(TArticle[تاریخ],TDays[[#This Row],[تاریخ]],TArticle[افزایش سرمایه])</f>
        <v>0</v>
      </c>
      <c r="O1721" s="164">
        <f>SUMIF(TArticle[تاریخ],TDays[[#This Row],[تاریخ]],TArticle[تعداد تراکنش انجام شده])</f>
        <v>0</v>
      </c>
      <c r="P1721" s="164">
        <f>INT(((TDays[[#This Row],[ماه]]-1)*31+TDays[[#This Row],[روز]]+1)/7)+1</f>
        <v>38</v>
      </c>
      <c r="Q1721" s="164">
        <f>SUMIF(TArticle[تاریخ],TDays[[#This Row],[تاریخ]],TArticle[تراکنش برنامه ریزی شده])</f>
        <v>0</v>
      </c>
    </row>
    <row r="1722" spans="1:17" x14ac:dyDescent="0.25">
      <c r="A1722" s="3" t="s">
        <v>2305</v>
      </c>
      <c r="B1722" s="164" t="str">
        <f>RIGHT(TDays[[#This Row],[تاریخ]],2)</f>
        <v>15</v>
      </c>
      <c r="C1722" s="164" t="str">
        <f>RIGHT(LEFT(TDays[[#This Row],[تاریخ]],7),2)</f>
        <v>09</v>
      </c>
      <c r="D1722" s="164" t="str">
        <f>LEFT(TDays[[#This Row],[تاریخ]],4)</f>
        <v>1405</v>
      </c>
      <c r="E1722" s="164" t="str">
        <f>LEFT(TDays[[#This Row],[تاریخ]],7)</f>
        <v>1405-09</v>
      </c>
      <c r="F1722">
        <v>0</v>
      </c>
      <c r="G1722" s="165" t="str">
        <f>VLOOKUP(TDays[[#This Row],[کد روز هفته]],TDaysOfTheWeek[],2,FALSE)</f>
        <v>شنبه</v>
      </c>
      <c r="H1722" s="165">
        <f>IFERROR(IF(E1721&lt;&gt;E1722,1,INT(H1721)+IF(TDays[[#This Row],[کد روز هفته]]=0,1,0)),1)</f>
        <v>3</v>
      </c>
      <c r="I1722" s="164">
        <f>-SUMIF(TArticle[تاریخ],TDays[[#This Row],[تاریخ]],TArticle[هزینه])</f>
        <v>0</v>
      </c>
      <c r="J1722" s="164">
        <f>SUMIF(TArticle[تاریخ],TDays[[#This Row],[تاریخ]],TArticle[درآمد تتا])</f>
        <v>0</v>
      </c>
      <c r="K1722" s="164">
        <f>SUMIF(TArticle[تاریخ],TDays[[#This Row],[تاریخ]],TArticle[اسنپ])</f>
        <v>0</v>
      </c>
      <c r="L1722" s="164">
        <f>-SUMIF(TArticle[تاریخ],TDays[[#This Row],[تاریخ]],TArticle[پرداخت بدهی])</f>
        <v>0</v>
      </c>
      <c r="M1722" s="164">
        <f>SUMIF(TArticle[تاریخ],TDays[[#This Row],[تاریخ]],TArticle[افزایش بدهی])</f>
        <v>0</v>
      </c>
      <c r="N1722" s="164">
        <f>-SUMIF(TArticle[تاریخ],TDays[[#This Row],[تاریخ]],TArticle[افزایش سرمایه])</f>
        <v>0</v>
      </c>
      <c r="O1722" s="164">
        <f>SUMIF(TArticle[تاریخ],TDays[[#This Row],[تاریخ]],TArticle[تعداد تراکنش انجام شده])</f>
        <v>0</v>
      </c>
      <c r="P1722" s="164">
        <f>INT(((TDays[[#This Row],[ماه]]-1)*31+TDays[[#This Row],[روز]]+1)/7)+1</f>
        <v>38</v>
      </c>
      <c r="Q1722" s="164">
        <f>SUMIF(TArticle[تاریخ],TDays[[#This Row],[تاریخ]],TArticle[تراکنش برنامه ریزی شده])</f>
        <v>0</v>
      </c>
    </row>
    <row r="1723" spans="1:17" x14ac:dyDescent="0.25">
      <c r="A1723" s="3" t="s">
        <v>2306</v>
      </c>
      <c r="B1723" s="164" t="str">
        <f>RIGHT(TDays[[#This Row],[تاریخ]],2)</f>
        <v>16</v>
      </c>
      <c r="C1723" s="164" t="str">
        <f>RIGHT(LEFT(TDays[[#This Row],[تاریخ]],7),2)</f>
        <v>09</v>
      </c>
      <c r="D1723" s="164" t="str">
        <f>LEFT(TDays[[#This Row],[تاریخ]],4)</f>
        <v>1405</v>
      </c>
      <c r="E1723" s="164" t="str">
        <f>LEFT(TDays[[#This Row],[تاریخ]],7)</f>
        <v>1405-09</v>
      </c>
      <c r="F1723">
        <v>1</v>
      </c>
      <c r="G1723" s="165" t="str">
        <f>VLOOKUP(TDays[[#This Row],[کد روز هفته]],TDaysOfTheWeek[],2,FALSE)</f>
        <v>یکشنبه</v>
      </c>
      <c r="H1723" s="165">
        <f>IFERROR(IF(E1722&lt;&gt;E1723,1,INT(H1722)+IF(TDays[[#This Row],[کد روز هفته]]=0,1,0)),1)</f>
        <v>3</v>
      </c>
      <c r="I1723" s="164">
        <f>-SUMIF(TArticle[تاریخ],TDays[[#This Row],[تاریخ]],TArticle[هزینه])</f>
        <v>0</v>
      </c>
      <c r="J1723" s="164">
        <f>SUMIF(TArticle[تاریخ],TDays[[#This Row],[تاریخ]],TArticle[درآمد تتا])</f>
        <v>0</v>
      </c>
      <c r="K1723" s="164">
        <f>SUMIF(TArticle[تاریخ],TDays[[#This Row],[تاریخ]],TArticle[اسنپ])</f>
        <v>0</v>
      </c>
      <c r="L1723" s="164">
        <f>-SUMIF(TArticle[تاریخ],TDays[[#This Row],[تاریخ]],TArticle[پرداخت بدهی])</f>
        <v>0</v>
      </c>
      <c r="M1723" s="164">
        <f>SUMIF(TArticle[تاریخ],TDays[[#This Row],[تاریخ]],TArticle[افزایش بدهی])</f>
        <v>0</v>
      </c>
      <c r="N1723" s="164">
        <f>-SUMIF(TArticle[تاریخ],TDays[[#This Row],[تاریخ]],TArticle[افزایش سرمایه])</f>
        <v>0</v>
      </c>
      <c r="O1723" s="164">
        <f>SUMIF(TArticle[تاریخ],TDays[[#This Row],[تاریخ]],TArticle[تعداد تراکنش انجام شده])</f>
        <v>0</v>
      </c>
      <c r="P1723" s="164">
        <f>INT(((TDays[[#This Row],[ماه]]-1)*31+TDays[[#This Row],[روز]]+1)/7)+1</f>
        <v>38</v>
      </c>
      <c r="Q1723" s="164">
        <f>SUMIF(TArticle[تاریخ],TDays[[#This Row],[تاریخ]],TArticle[تراکنش برنامه ریزی شده])</f>
        <v>0</v>
      </c>
    </row>
    <row r="1724" spans="1:17" x14ac:dyDescent="0.25">
      <c r="A1724" s="3" t="s">
        <v>2307</v>
      </c>
      <c r="B1724" s="164" t="str">
        <f>RIGHT(TDays[[#This Row],[تاریخ]],2)</f>
        <v>17</v>
      </c>
      <c r="C1724" s="164" t="str">
        <f>RIGHT(LEFT(TDays[[#This Row],[تاریخ]],7),2)</f>
        <v>09</v>
      </c>
      <c r="D1724" s="164" t="str">
        <f>LEFT(TDays[[#This Row],[تاریخ]],4)</f>
        <v>1405</v>
      </c>
      <c r="E1724" s="164" t="str">
        <f>LEFT(TDays[[#This Row],[تاریخ]],7)</f>
        <v>1405-09</v>
      </c>
      <c r="F1724">
        <v>2</v>
      </c>
      <c r="G1724" s="165" t="str">
        <f>VLOOKUP(TDays[[#This Row],[کد روز هفته]],TDaysOfTheWeek[],2,FALSE)</f>
        <v>دوشنبه</v>
      </c>
      <c r="H1724" s="165">
        <f>IFERROR(IF(E1723&lt;&gt;E1724,1,INT(H1723)+IF(TDays[[#This Row],[کد روز هفته]]=0,1,0)),1)</f>
        <v>3</v>
      </c>
      <c r="I1724" s="164">
        <f>-SUMIF(TArticle[تاریخ],TDays[[#This Row],[تاریخ]],TArticle[هزینه])</f>
        <v>0</v>
      </c>
      <c r="J1724" s="164">
        <f>SUMIF(TArticle[تاریخ],TDays[[#This Row],[تاریخ]],TArticle[درآمد تتا])</f>
        <v>0</v>
      </c>
      <c r="K1724" s="164">
        <f>SUMIF(TArticle[تاریخ],TDays[[#This Row],[تاریخ]],TArticle[اسنپ])</f>
        <v>0</v>
      </c>
      <c r="L1724" s="164">
        <f>-SUMIF(TArticle[تاریخ],TDays[[#This Row],[تاریخ]],TArticle[پرداخت بدهی])</f>
        <v>0</v>
      </c>
      <c r="M1724" s="164">
        <f>SUMIF(TArticle[تاریخ],TDays[[#This Row],[تاریخ]],TArticle[افزایش بدهی])</f>
        <v>0</v>
      </c>
      <c r="N1724" s="164">
        <f>-SUMIF(TArticle[تاریخ],TDays[[#This Row],[تاریخ]],TArticle[افزایش سرمایه])</f>
        <v>0</v>
      </c>
      <c r="O1724" s="164">
        <f>SUMIF(TArticle[تاریخ],TDays[[#This Row],[تاریخ]],TArticle[تعداد تراکنش انجام شده])</f>
        <v>0</v>
      </c>
      <c r="P1724" s="164">
        <f>INT(((TDays[[#This Row],[ماه]]-1)*31+TDays[[#This Row],[روز]]+1)/7)+1</f>
        <v>39</v>
      </c>
      <c r="Q1724" s="164">
        <f>SUMIF(TArticle[تاریخ],TDays[[#This Row],[تاریخ]],TArticle[تراکنش برنامه ریزی شده])</f>
        <v>0</v>
      </c>
    </row>
    <row r="1725" spans="1:17" x14ac:dyDescent="0.25">
      <c r="A1725" s="3" t="s">
        <v>2308</v>
      </c>
      <c r="B1725" s="164" t="str">
        <f>RIGHT(TDays[[#This Row],[تاریخ]],2)</f>
        <v>18</v>
      </c>
      <c r="C1725" s="164" t="str">
        <f>RIGHT(LEFT(TDays[[#This Row],[تاریخ]],7),2)</f>
        <v>09</v>
      </c>
      <c r="D1725" s="164" t="str">
        <f>LEFT(TDays[[#This Row],[تاریخ]],4)</f>
        <v>1405</v>
      </c>
      <c r="E1725" s="164" t="str">
        <f>LEFT(TDays[[#This Row],[تاریخ]],7)</f>
        <v>1405-09</v>
      </c>
      <c r="F1725">
        <v>3</v>
      </c>
      <c r="G1725" s="165" t="str">
        <f>VLOOKUP(TDays[[#This Row],[کد روز هفته]],TDaysOfTheWeek[],2,FALSE)</f>
        <v>سه شنبه</v>
      </c>
      <c r="H1725" s="165">
        <f>IFERROR(IF(E1724&lt;&gt;E1725,1,INT(H1724)+IF(TDays[[#This Row],[کد روز هفته]]=0,1,0)),1)</f>
        <v>3</v>
      </c>
      <c r="I1725" s="164">
        <f>-SUMIF(TArticle[تاریخ],TDays[[#This Row],[تاریخ]],TArticle[هزینه])</f>
        <v>0</v>
      </c>
      <c r="J1725" s="164">
        <f>SUMIF(TArticle[تاریخ],TDays[[#This Row],[تاریخ]],TArticle[درآمد تتا])</f>
        <v>0</v>
      </c>
      <c r="K1725" s="164">
        <f>SUMIF(TArticle[تاریخ],TDays[[#This Row],[تاریخ]],TArticle[اسنپ])</f>
        <v>0</v>
      </c>
      <c r="L1725" s="164">
        <f>-SUMIF(TArticle[تاریخ],TDays[[#This Row],[تاریخ]],TArticle[پرداخت بدهی])</f>
        <v>0</v>
      </c>
      <c r="M1725" s="164">
        <f>SUMIF(TArticle[تاریخ],TDays[[#This Row],[تاریخ]],TArticle[افزایش بدهی])</f>
        <v>0</v>
      </c>
      <c r="N1725" s="164">
        <f>-SUMIF(TArticle[تاریخ],TDays[[#This Row],[تاریخ]],TArticle[افزایش سرمایه])</f>
        <v>0</v>
      </c>
      <c r="O1725" s="164">
        <f>SUMIF(TArticle[تاریخ],TDays[[#This Row],[تاریخ]],TArticle[تعداد تراکنش انجام شده])</f>
        <v>0</v>
      </c>
      <c r="P1725" s="164">
        <f>INT(((TDays[[#This Row],[ماه]]-1)*31+TDays[[#This Row],[روز]]+1)/7)+1</f>
        <v>39</v>
      </c>
      <c r="Q1725" s="164">
        <f>SUMIF(TArticle[تاریخ],TDays[[#This Row],[تاریخ]],TArticle[تراکنش برنامه ریزی شده])</f>
        <v>0</v>
      </c>
    </row>
    <row r="1726" spans="1:17" x14ac:dyDescent="0.25">
      <c r="A1726" s="3" t="s">
        <v>2309</v>
      </c>
      <c r="B1726" s="164" t="str">
        <f>RIGHT(TDays[[#This Row],[تاریخ]],2)</f>
        <v>19</v>
      </c>
      <c r="C1726" s="164" t="str">
        <f>RIGHT(LEFT(TDays[[#This Row],[تاریخ]],7),2)</f>
        <v>09</v>
      </c>
      <c r="D1726" s="164" t="str">
        <f>LEFT(TDays[[#This Row],[تاریخ]],4)</f>
        <v>1405</v>
      </c>
      <c r="E1726" s="164" t="str">
        <f>LEFT(TDays[[#This Row],[تاریخ]],7)</f>
        <v>1405-09</v>
      </c>
      <c r="F1726">
        <v>4</v>
      </c>
      <c r="G1726" s="165" t="str">
        <f>VLOOKUP(TDays[[#This Row],[کد روز هفته]],TDaysOfTheWeek[],2,FALSE)</f>
        <v>چهارشنبه</v>
      </c>
      <c r="H1726" s="165">
        <f>IFERROR(IF(E1725&lt;&gt;E1726,1,INT(H1725)+IF(TDays[[#This Row],[کد روز هفته]]=0,1,0)),1)</f>
        <v>3</v>
      </c>
      <c r="I1726" s="164">
        <f>-SUMIF(TArticle[تاریخ],TDays[[#This Row],[تاریخ]],TArticle[هزینه])</f>
        <v>0</v>
      </c>
      <c r="J1726" s="164">
        <f>SUMIF(TArticle[تاریخ],TDays[[#This Row],[تاریخ]],TArticle[درآمد تتا])</f>
        <v>0</v>
      </c>
      <c r="K1726" s="164">
        <f>SUMIF(TArticle[تاریخ],TDays[[#This Row],[تاریخ]],TArticle[اسنپ])</f>
        <v>0</v>
      </c>
      <c r="L1726" s="164">
        <f>-SUMIF(TArticle[تاریخ],TDays[[#This Row],[تاریخ]],TArticle[پرداخت بدهی])</f>
        <v>0</v>
      </c>
      <c r="M1726" s="164">
        <f>SUMIF(TArticle[تاریخ],TDays[[#This Row],[تاریخ]],TArticle[افزایش بدهی])</f>
        <v>0</v>
      </c>
      <c r="N1726" s="164">
        <f>-SUMIF(TArticle[تاریخ],TDays[[#This Row],[تاریخ]],TArticle[افزایش سرمایه])</f>
        <v>0</v>
      </c>
      <c r="O1726" s="164">
        <f>SUMIF(TArticle[تاریخ],TDays[[#This Row],[تاریخ]],TArticle[تعداد تراکنش انجام شده])</f>
        <v>0</v>
      </c>
      <c r="P1726" s="164">
        <f>INT(((TDays[[#This Row],[ماه]]-1)*31+TDays[[#This Row],[روز]]+1)/7)+1</f>
        <v>39</v>
      </c>
      <c r="Q1726" s="164">
        <f>SUMIF(TArticle[تاریخ],TDays[[#This Row],[تاریخ]],TArticle[تراکنش برنامه ریزی شده])</f>
        <v>0</v>
      </c>
    </row>
    <row r="1727" spans="1:17" x14ac:dyDescent="0.25">
      <c r="A1727" s="3" t="s">
        <v>2310</v>
      </c>
      <c r="B1727" s="164" t="str">
        <f>RIGHT(TDays[[#This Row],[تاریخ]],2)</f>
        <v>20</v>
      </c>
      <c r="C1727" s="164" t="str">
        <f>RIGHT(LEFT(TDays[[#This Row],[تاریخ]],7),2)</f>
        <v>09</v>
      </c>
      <c r="D1727" s="164" t="str">
        <f>LEFT(TDays[[#This Row],[تاریخ]],4)</f>
        <v>1405</v>
      </c>
      <c r="E1727" s="164" t="str">
        <f>LEFT(TDays[[#This Row],[تاریخ]],7)</f>
        <v>1405-09</v>
      </c>
      <c r="F1727">
        <v>5</v>
      </c>
      <c r="G1727" s="165" t="str">
        <f>VLOOKUP(TDays[[#This Row],[کد روز هفته]],TDaysOfTheWeek[],2,FALSE)</f>
        <v>پنجشنبه</v>
      </c>
      <c r="H1727" s="165">
        <f>IFERROR(IF(E1726&lt;&gt;E1727,1,INT(H1726)+IF(TDays[[#This Row],[کد روز هفته]]=0,1,0)),1)</f>
        <v>3</v>
      </c>
      <c r="I1727" s="164">
        <f>-SUMIF(TArticle[تاریخ],TDays[[#This Row],[تاریخ]],TArticle[هزینه])</f>
        <v>0</v>
      </c>
      <c r="J1727" s="164">
        <f>SUMIF(TArticle[تاریخ],TDays[[#This Row],[تاریخ]],TArticle[درآمد تتا])</f>
        <v>0</v>
      </c>
      <c r="K1727" s="164">
        <f>SUMIF(TArticle[تاریخ],TDays[[#This Row],[تاریخ]],TArticle[اسنپ])</f>
        <v>0</v>
      </c>
      <c r="L1727" s="164">
        <f>-SUMIF(TArticle[تاریخ],TDays[[#This Row],[تاریخ]],TArticle[پرداخت بدهی])</f>
        <v>0</v>
      </c>
      <c r="M1727" s="164">
        <f>SUMIF(TArticle[تاریخ],TDays[[#This Row],[تاریخ]],TArticle[افزایش بدهی])</f>
        <v>0</v>
      </c>
      <c r="N1727" s="164">
        <f>-SUMIF(TArticle[تاریخ],TDays[[#This Row],[تاریخ]],TArticle[افزایش سرمایه])</f>
        <v>0</v>
      </c>
      <c r="O1727" s="164">
        <f>SUMIF(TArticle[تاریخ],TDays[[#This Row],[تاریخ]],TArticle[تعداد تراکنش انجام شده])</f>
        <v>0</v>
      </c>
      <c r="P1727" s="164">
        <f>INT(((TDays[[#This Row],[ماه]]-1)*31+TDays[[#This Row],[روز]]+1)/7)+1</f>
        <v>39</v>
      </c>
      <c r="Q1727" s="164">
        <f>SUMIF(TArticle[تاریخ],TDays[[#This Row],[تاریخ]],TArticle[تراکنش برنامه ریزی شده])</f>
        <v>0</v>
      </c>
    </row>
    <row r="1728" spans="1:17" x14ac:dyDescent="0.25">
      <c r="A1728" s="3" t="s">
        <v>2311</v>
      </c>
      <c r="B1728" s="164" t="str">
        <f>RIGHT(TDays[[#This Row],[تاریخ]],2)</f>
        <v>21</v>
      </c>
      <c r="C1728" s="164" t="str">
        <f>RIGHT(LEFT(TDays[[#This Row],[تاریخ]],7),2)</f>
        <v>09</v>
      </c>
      <c r="D1728" s="164" t="str">
        <f>LEFT(TDays[[#This Row],[تاریخ]],4)</f>
        <v>1405</v>
      </c>
      <c r="E1728" s="164" t="str">
        <f>LEFT(TDays[[#This Row],[تاریخ]],7)</f>
        <v>1405-09</v>
      </c>
      <c r="F1728">
        <v>6</v>
      </c>
      <c r="G1728" s="165" t="str">
        <f>VLOOKUP(TDays[[#This Row],[کد روز هفته]],TDaysOfTheWeek[],2,FALSE)</f>
        <v>جمعه</v>
      </c>
      <c r="H1728" s="165">
        <f>IFERROR(IF(E1727&lt;&gt;E1728,1,INT(H1727)+IF(TDays[[#This Row],[کد روز هفته]]=0,1,0)),1)</f>
        <v>3</v>
      </c>
      <c r="I1728" s="164">
        <f>-SUMIF(TArticle[تاریخ],TDays[[#This Row],[تاریخ]],TArticle[هزینه])</f>
        <v>0</v>
      </c>
      <c r="J1728" s="164">
        <f>SUMIF(TArticle[تاریخ],TDays[[#This Row],[تاریخ]],TArticle[درآمد تتا])</f>
        <v>0</v>
      </c>
      <c r="K1728" s="164">
        <f>SUMIF(TArticle[تاریخ],TDays[[#This Row],[تاریخ]],TArticle[اسنپ])</f>
        <v>0</v>
      </c>
      <c r="L1728" s="164">
        <f>-SUMIF(TArticle[تاریخ],TDays[[#This Row],[تاریخ]],TArticle[پرداخت بدهی])</f>
        <v>0</v>
      </c>
      <c r="M1728" s="164">
        <f>SUMIF(TArticle[تاریخ],TDays[[#This Row],[تاریخ]],TArticle[افزایش بدهی])</f>
        <v>0</v>
      </c>
      <c r="N1728" s="164">
        <f>-SUMIF(TArticle[تاریخ],TDays[[#This Row],[تاریخ]],TArticle[افزایش سرمایه])</f>
        <v>0</v>
      </c>
      <c r="O1728" s="164">
        <f>SUMIF(TArticle[تاریخ],TDays[[#This Row],[تاریخ]],TArticle[تعداد تراکنش انجام شده])</f>
        <v>0</v>
      </c>
      <c r="P1728" s="164">
        <f>INT(((TDays[[#This Row],[ماه]]-1)*31+TDays[[#This Row],[روز]]+1)/7)+1</f>
        <v>39</v>
      </c>
      <c r="Q1728" s="164">
        <f>SUMIF(TArticle[تاریخ],TDays[[#This Row],[تاریخ]],TArticle[تراکنش برنامه ریزی شده])</f>
        <v>0</v>
      </c>
    </row>
    <row r="1729" spans="1:17" x14ac:dyDescent="0.25">
      <c r="A1729" s="3" t="s">
        <v>2312</v>
      </c>
      <c r="B1729" s="164" t="str">
        <f>RIGHT(TDays[[#This Row],[تاریخ]],2)</f>
        <v>22</v>
      </c>
      <c r="C1729" s="164" t="str">
        <f>RIGHT(LEFT(TDays[[#This Row],[تاریخ]],7),2)</f>
        <v>09</v>
      </c>
      <c r="D1729" s="164" t="str">
        <f>LEFT(TDays[[#This Row],[تاریخ]],4)</f>
        <v>1405</v>
      </c>
      <c r="E1729" s="164" t="str">
        <f>LEFT(TDays[[#This Row],[تاریخ]],7)</f>
        <v>1405-09</v>
      </c>
      <c r="F1729">
        <v>0</v>
      </c>
      <c r="G1729" s="165" t="str">
        <f>VLOOKUP(TDays[[#This Row],[کد روز هفته]],TDaysOfTheWeek[],2,FALSE)</f>
        <v>شنبه</v>
      </c>
      <c r="H1729" s="165">
        <f>IFERROR(IF(E1728&lt;&gt;E1729,1,INT(H1728)+IF(TDays[[#This Row],[کد روز هفته]]=0,1,0)),1)</f>
        <v>4</v>
      </c>
      <c r="I1729" s="164">
        <f>-SUMIF(TArticle[تاریخ],TDays[[#This Row],[تاریخ]],TArticle[هزینه])</f>
        <v>0</v>
      </c>
      <c r="J1729" s="164">
        <f>SUMIF(TArticle[تاریخ],TDays[[#This Row],[تاریخ]],TArticle[درآمد تتا])</f>
        <v>0</v>
      </c>
      <c r="K1729" s="164">
        <f>SUMIF(TArticle[تاریخ],TDays[[#This Row],[تاریخ]],TArticle[اسنپ])</f>
        <v>0</v>
      </c>
      <c r="L1729" s="164">
        <f>-SUMIF(TArticle[تاریخ],TDays[[#This Row],[تاریخ]],TArticle[پرداخت بدهی])</f>
        <v>0</v>
      </c>
      <c r="M1729" s="164">
        <f>SUMIF(TArticle[تاریخ],TDays[[#This Row],[تاریخ]],TArticle[افزایش بدهی])</f>
        <v>0</v>
      </c>
      <c r="N1729" s="164">
        <f>-SUMIF(TArticle[تاریخ],TDays[[#This Row],[تاریخ]],TArticle[افزایش سرمایه])</f>
        <v>0</v>
      </c>
      <c r="O1729" s="164">
        <f>SUMIF(TArticle[تاریخ],TDays[[#This Row],[تاریخ]],TArticle[تعداد تراکنش انجام شده])</f>
        <v>0</v>
      </c>
      <c r="P1729" s="164">
        <f>INT(((TDays[[#This Row],[ماه]]-1)*31+TDays[[#This Row],[روز]]+1)/7)+1</f>
        <v>39</v>
      </c>
      <c r="Q1729" s="164">
        <f>SUMIF(TArticle[تاریخ],TDays[[#This Row],[تاریخ]],TArticle[تراکنش برنامه ریزی شده])</f>
        <v>0</v>
      </c>
    </row>
    <row r="1730" spans="1:17" x14ac:dyDescent="0.25">
      <c r="A1730" s="3" t="s">
        <v>2313</v>
      </c>
      <c r="B1730" s="164" t="str">
        <f>RIGHT(TDays[[#This Row],[تاریخ]],2)</f>
        <v>23</v>
      </c>
      <c r="C1730" s="164" t="str">
        <f>RIGHT(LEFT(TDays[[#This Row],[تاریخ]],7),2)</f>
        <v>09</v>
      </c>
      <c r="D1730" s="164" t="str">
        <f>LEFT(TDays[[#This Row],[تاریخ]],4)</f>
        <v>1405</v>
      </c>
      <c r="E1730" s="164" t="str">
        <f>LEFT(TDays[[#This Row],[تاریخ]],7)</f>
        <v>1405-09</v>
      </c>
      <c r="F1730">
        <v>1</v>
      </c>
      <c r="G1730" s="165" t="str">
        <f>VLOOKUP(TDays[[#This Row],[کد روز هفته]],TDaysOfTheWeek[],2,FALSE)</f>
        <v>یکشنبه</v>
      </c>
      <c r="H1730" s="165">
        <f>IFERROR(IF(E1729&lt;&gt;E1730,1,INT(H1729)+IF(TDays[[#This Row],[کد روز هفته]]=0,1,0)),1)</f>
        <v>4</v>
      </c>
      <c r="I1730" s="164">
        <f>-SUMIF(TArticle[تاریخ],TDays[[#This Row],[تاریخ]],TArticle[هزینه])</f>
        <v>0</v>
      </c>
      <c r="J1730" s="164">
        <f>SUMIF(TArticle[تاریخ],TDays[[#This Row],[تاریخ]],TArticle[درآمد تتا])</f>
        <v>0</v>
      </c>
      <c r="K1730" s="164">
        <f>SUMIF(TArticle[تاریخ],TDays[[#This Row],[تاریخ]],TArticle[اسنپ])</f>
        <v>0</v>
      </c>
      <c r="L1730" s="164">
        <f>-SUMIF(TArticle[تاریخ],TDays[[#This Row],[تاریخ]],TArticle[پرداخت بدهی])</f>
        <v>0</v>
      </c>
      <c r="M1730" s="164">
        <f>SUMIF(TArticle[تاریخ],TDays[[#This Row],[تاریخ]],TArticle[افزایش بدهی])</f>
        <v>0</v>
      </c>
      <c r="N1730" s="164">
        <f>-SUMIF(TArticle[تاریخ],TDays[[#This Row],[تاریخ]],TArticle[افزایش سرمایه])</f>
        <v>0</v>
      </c>
      <c r="O1730" s="164">
        <f>SUMIF(TArticle[تاریخ],TDays[[#This Row],[تاریخ]],TArticle[تعداد تراکنش انجام شده])</f>
        <v>0</v>
      </c>
      <c r="P1730" s="164">
        <f>INT(((TDays[[#This Row],[ماه]]-1)*31+TDays[[#This Row],[روز]]+1)/7)+1</f>
        <v>39</v>
      </c>
      <c r="Q1730" s="164">
        <f>SUMIF(TArticle[تاریخ],TDays[[#This Row],[تاریخ]],TArticle[تراکنش برنامه ریزی شده])</f>
        <v>0</v>
      </c>
    </row>
    <row r="1731" spans="1:17" x14ac:dyDescent="0.25">
      <c r="A1731" s="3" t="s">
        <v>2314</v>
      </c>
      <c r="B1731" s="164" t="str">
        <f>RIGHT(TDays[[#This Row],[تاریخ]],2)</f>
        <v>24</v>
      </c>
      <c r="C1731" s="164" t="str">
        <f>RIGHT(LEFT(TDays[[#This Row],[تاریخ]],7),2)</f>
        <v>09</v>
      </c>
      <c r="D1731" s="164" t="str">
        <f>LEFT(TDays[[#This Row],[تاریخ]],4)</f>
        <v>1405</v>
      </c>
      <c r="E1731" s="164" t="str">
        <f>LEFT(TDays[[#This Row],[تاریخ]],7)</f>
        <v>1405-09</v>
      </c>
      <c r="F1731">
        <v>2</v>
      </c>
      <c r="G1731" s="165" t="str">
        <f>VLOOKUP(TDays[[#This Row],[کد روز هفته]],TDaysOfTheWeek[],2,FALSE)</f>
        <v>دوشنبه</v>
      </c>
      <c r="H1731" s="165">
        <f>IFERROR(IF(E1730&lt;&gt;E1731,1,INT(H1730)+IF(TDays[[#This Row],[کد روز هفته]]=0,1,0)),1)</f>
        <v>4</v>
      </c>
      <c r="I1731" s="164">
        <f>-SUMIF(TArticle[تاریخ],TDays[[#This Row],[تاریخ]],TArticle[هزینه])</f>
        <v>0</v>
      </c>
      <c r="J1731" s="164">
        <f>SUMIF(TArticle[تاریخ],TDays[[#This Row],[تاریخ]],TArticle[درآمد تتا])</f>
        <v>0</v>
      </c>
      <c r="K1731" s="164">
        <f>SUMIF(TArticle[تاریخ],TDays[[#This Row],[تاریخ]],TArticle[اسنپ])</f>
        <v>0</v>
      </c>
      <c r="L1731" s="164">
        <f>-SUMIF(TArticle[تاریخ],TDays[[#This Row],[تاریخ]],TArticle[پرداخت بدهی])</f>
        <v>0</v>
      </c>
      <c r="M1731" s="164">
        <f>SUMIF(TArticle[تاریخ],TDays[[#This Row],[تاریخ]],TArticle[افزایش بدهی])</f>
        <v>0</v>
      </c>
      <c r="N1731" s="164">
        <f>-SUMIF(TArticle[تاریخ],TDays[[#This Row],[تاریخ]],TArticle[افزایش سرمایه])</f>
        <v>0</v>
      </c>
      <c r="O1731" s="164">
        <f>SUMIF(TArticle[تاریخ],TDays[[#This Row],[تاریخ]],TArticle[تعداد تراکنش انجام شده])</f>
        <v>0</v>
      </c>
      <c r="P1731" s="164">
        <f>INT(((TDays[[#This Row],[ماه]]-1)*31+TDays[[#This Row],[روز]]+1)/7)+1</f>
        <v>40</v>
      </c>
      <c r="Q1731" s="164">
        <f>SUMIF(TArticle[تاریخ],TDays[[#This Row],[تاریخ]],TArticle[تراکنش برنامه ریزی شده])</f>
        <v>0</v>
      </c>
    </row>
    <row r="1732" spans="1:17" x14ac:dyDescent="0.25">
      <c r="A1732" s="3" t="s">
        <v>2315</v>
      </c>
      <c r="B1732" s="164" t="str">
        <f>RIGHT(TDays[[#This Row],[تاریخ]],2)</f>
        <v>25</v>
      </c>
      <c r="C1732" s="164" t="str">
        <f>RIGHT(LEFT(TDays[[#This Row],[تاریخ]],7),2)</f>
        <v>09</v>
      </c>
      <c r="D1732" s="164" t="str">
        <f>LEFT(TDays[[#This Row],[تاریخ]],4)</f>
        <v>1405</v>
      </c>
      <c r="E1732" s="164" t="str">
        <f>LEFT(TDays[[#This Row],[تاریخ]],7)</f>
        <v>1405-09</v>
      </c>
      <c r="F1732">
        <v>3</v>
      </c>
      <c r="G1732" s="165" t="str">
        <f>VLOOKUP(TDays[[#This Row],[کد روز هفته]],TDaysOfTheWeek[],2,FALSE)</f>
        <v>سه شنبه</v>
      </c>
      <c r="H1732" s="165">
        <f>IFERROR(IF(E1731&lt;&gt;E1732,1,INT(H1731)+IF(TDays[[#This Row],[کد روز هفته]]=0,1,0)),1)</f>
        <v>4</v>
      </c>
      <c r="I1732" s="164">
        <f>-SUMIF(TArticle[تاریخ],TDays[[#This Row],[تاریخ]],TArticle[هزینه])</f>
        <v>0</v>
      </c>
      <c r="J1732" s="164">
        <f>SUMIF(TArticle[تاریخ],TDays[[#This Row],[تاریخ]],TArticle[درآمد تتا])</f>
        <v>0</v>
      </c>
      <c r="K1732" s="164">
        <f>SUMIF(TArticle[تاریخ],TDays[[#This Row],[تاریخ]],TArticle[اسنپ])</f>
        <v>0</v>
      </c>
      <c r="L1732" s="164">
        <f>-SUMIF(TArticle[تاریخ],TDays[[#This Row],[تاریخ]],TArticle[پرداخت بدهی])</f>
        <v>0</v>
      </c>
      <c r="M1732" s="164">
        <f>SUMIF(TArticle[تاریخ],TDays[[#This Row],[تاریخ]],TArticle[افزایش بدهی])</f>
        <v>0</v>
      </c>
      <c r="N1732" s="164">
        <f>-SUMIF(TArticle[تاریخ],TDays[[#This Row],[تاریخ]],TArticle[افزایش سرمایه])</f>
        <v>0</v>
      </c>
      <c r="O1732" s="164">
        <f>SUMIF(TArticle[تاریخ],TDays[[#This Row],[تاریخ]],TArticle[تعداد تراکنش انجام شده])</f>
        <v>0</v>
      </c>
      <c r="P1732" s="164">
        <f>INT(((TDays[[#This Row],[ماه]]-1)*31+TDays[[#This Row],[روز]]+1)/7)+1</f>
        <v>40</v>
      </c>
      <c r="Q1732" s="164">
        <f>SUMIF(TArticle[تاریخ],TDays[[#This Row],[تاریخ]],TArticle[تراکنش برنامه ریزی شده])</f>
        <v>0</v>
      </c>
    </row>
    <row r="1733" spans="1:17" x14ac:dyDescent="0.25">
      <c r="A1733" s="3" t="s">
        <v>2316</v>
      </c>
      <c r="B1733" s="164" t="str">
        <f>RIGHT(TDays[[#This Row],[تاریخ]],2)</f>
        <v>26</v>
      </c>
      <c r="C1733" s="164" t="str">
        <f>RIGHT(LEFT(TDays[[#This Row],[تاریخ]],7),2)</f>
        <v>09</v>
      </c>
      <c r="D1733" s="164" t="str">
        <f>LEFT(TDays[[#This Row],[تاریخ]],4)</f>
        <v>1405</v>
      </c>
      <c r="E1733" s="164" t="str">
        <f>LEFT(TDays[[#This Row],[تاریخ]],7)</f>
        <v>1405-09</v>
      </c>
      <c r="F1733">
        <v>4</v>
      </c>
      <c r="G1733" s="165" t="str">
        <f>VLOOKUP(TDays[[#This Row],[کد روز هفته]],TDaysOfTheWeek[],2,FALSE)</f>
        <v>چهارشنبه</v>
      </c>
      <c r="H1733" s="165">
        <f>IFERROR(IF(E1732&lt;&gt;E1733,1,INT(H1732)+IF(TDays[[#This Row],[کد روز هفته]]=0,1,0)),1)</f>
        <v>4</v>
      </c>
      <c r="I1733" s="164">
        <f>-SUMIF(TArticle[تاریخ],TDays[[#This Row],[تاریخ]],TArticle[هزینه])</f>
        <v>0</v>
      </c>
      <c r="J1733" s="164">
        <f>SUMIF(TArticle[تاریخ],TDays[[#This Row],[تاریخ]],TArticle[درآمد تتا])</f>
        <v>0</v>
      </c>
      <c r="K1733" s="164">
        <f>SUMIF(TArticle[تاریخ],TDays[[#This Row],[تاریخ]],TArticle[اسنپ])</f>
        <v>0</v>
      </c>
      <c r="L1733" s="164">
        <f>-SUMIF(TArticle[تاریخ],TDays[[#This Row],[تاریخ]],TArticle[پرداخت بدهی])</f>
        <v>0</v>
      </c>
      <c r="M1733" s="164">
        <f>SUMIF(TArticle[تاریخ],TDays[[#This Row],[تاریخ]],TArticle[افزایش بدهی])</f>
        <v>0</v>
      </c>
      <c r="N1733" s="164">
        <f>-SUMIF(TArticle[تاریخ],TDays[[#This Row],[تاریخ]],TArticle[افزایش سرمایه])</f>
        <v>0</v>
      </c>
      <c r="O1733" s="164">
        <f>SUMIF(TArticle[تاریخ],TDays[[#This Row],[تاریخ]],TArticle[تعداد تراکنش انجام شده])</f>
        <v>0</v>
      </c>
      <c r="P1733" s="164">
        <f>INT(((TDays[[#This Row],[ماه]]-1)*31+TDays[[#This Row],[روز]]+1)/7)+1</f>
        <v>40</v>
      </c>
      <c r="Q1733" s="164">
        <f>SUMIF(TArticle[تاریخ],TDays[[#This Row],[تاریخ]],TArticle[تراکنش برنامه ریزی شده])</f>
        <v>0</v>
      </c>
    </row>
    <row r="1734" spans="1:17" x14ac:dyDescent="0.25">
      <c r="A1734" s="3" t="s">
        <v>2317</v>
      </c>
      <c r="B1734" s="164" t="str">
        <f>RIGHT(TDays[[#This Row],[تاریخ]],2)</f>
        <v>27</v>
      </c>
      <c r="C1734" s="164" t="str">
        <f>RIGHT(LEFT(TDays[[#This Row],[تاریخ]],7),2)</f>
        <v>09</v>
      </c>
      <c r="D1734" s="164" t="str">
        <f>LEFT(TDays[[#This Row],[تاریخ]],4)</f>
        <v>1405</v>
      </c>
      <c r="E1734" s="164" t="str">
        <f>LEFT(TDays[[#This Row],[تاریخ]],7)</f>
        <v>1405-09</v>
      </c>
      <c r="F1734">
        <v>5</v>
      </c>
      <c r="G1734" s="165" t="str">
        <f>VLOOKUP(TDays[[#This Row],[کد روز هفته]],TDaysOfTheWeek[],2,FALSE)</f>
        <v>پنجشنبه</v>
      </c>
      <c r="H1734" s="165">
        <f>IFERROR(IF(E1733&lt;&gt;E1734,1,INT(H1733)+IF(TDays[[#This Row],[کد روز هفته]]=0,1,0)),1)</f>
        <v>4</v>
      </c>
      <c r="I1734" s="164">
        <f>-SUMIF(TArticle[تاریخ],TDays[[#This Row],[تاریخ]],TArticle[هزینه])</f>
        <v>0</v>
      </c>
      <c r="J1734" s="164">
        <f>SUMIF(TArticle[تاریخ],TDays[[#This Row],[تاریخ]],TArticle[درآمد تتا])</f>
        <v>0</v>
      </c>
      <c r="K1734" s="164">
        <f>SUMIF(TArticle[تاریخ],TDays[[#This Row],[تاریخ]],TArticle[اسنپ])</f>
        <v>0</v>
      </c>
      <c r="L1734" s="164">
        <f>-SUMIF(TArticle[تاریخ],TDays[[#This Row],[تاریخ]],TArticle[پرداخت بدهی])</f>
        <v>0</v>
      </c>
      <c r="M1734" s="164">
        <f>SUMIF(TArticle[تاریخ],TDays[[#This Row],[تاریخ]],TArticle[افزایش بدهی])</f>
        <v>0</v>
      </c>
      <c r="N1734" s="164">
        <f>-SUMIF(TArticle[تاریخ],TDays[[#This Row],[تاریخ]],TArticle[افزایش سرمایه])</f>
        <v>0</v>
      </c>
      <c r="O1734" s="164">
        <f>SUMIF(TArticle[تاریخ],TDays[[#This Row],[تاریخ]],TArticle[تعداد تراکنش انجام شده])</f>
        <v>0</v>
      </c>
      <c r="P1734" s="164">
        <f>INT(((TDays[[#This Row],[ماه]]-1)*31+TDays[[#This Row],[روز]]+1)/7)+1</f>
        <v>40</v>
      </c>
      <c r="Q1734" s="164">
        <f>SUMIF(TArticle[تاریخ],TDays[[#This Row],[تاریخ]],TArticle[تراکنش برنامه ریزی شده])</f>
        <v>0</v>
      </c>
    </row>
    <row r="1735" spans="1:17" x14ac:dyDescent="0.25">
      <c r="A1735" s="3" t="s">
        <v>2318</v>
      </c>
      <c r="B1735" s="164" t="str">
        <f>RIGHT(TDays[[#This Row],[تاریخ]],2)</f>
        <v>28</v>
      </c>
      <c r="C1735" s="164" t="str">
        <f>RIGHT(LEFT(TDays[[#This Row],[تاریخ]],7),2)</f>
        <v>09</v>
      </c>
      <c r="D1735" s="164" t="str">
        <f>LEFT(TDays[[#This Row],[تاریخ]],4)</f>
        <v>1405</v>
      </c>
      <c r="E1735" s="164" t="str">
        <f>LEFT(TDays[[#This Row],[تاریخ]],7)</f>
        <v>1405-09</v>
      </c>
      <c r="F1735">
        <v>6</v>
      </c>
      <c r="G1735" s="165" t="str">
        <f>VLOOKUP(TDays[[#This Row],[کد روز هفته]],TDaysOfTheWeek[],2,FALSE)</f>
        <v>جمعه</v>
      </c>
      <c r="H1735" s="165">
        <f>IFERROR(IF(E1734&lt;&gt;E1735,1,INT(H1734)+IF(TDays[[#This Row],[کد روز هفته]]=0,1,0)),1)</f>
        <v>4</v>
      </c>
      <c r="I1735" s="164">
        <f>-SUMIF(TArticle[تاریخ],TDays[[#This Row],[تاریخ]],TArticle[هزینه])</f>
        <v>0</v>
      </c>
      <c r="J1735" s="164">
        <f>SUMIF(TArticle[تاریخ],TDays[[#This Row],[تاریخ]],TArticle[درآمد تتا])</f>
        <v>0</v>
      </c>
      <c r="K1735" s="164">
        <f>SUMIF(TArticle[تاریخ],TDays[[#This Row],[تاریخ]],TArticle[اسنپ])</f>
        <v>0</v>
      </c>
      <c r="L1735" s="164">
        <f>-SUMIF(TArticle[تاریخ],TDays[[#This Row],[تاریخ]],TArticle[پرداخت بدهی])</f>
        <v>0</v>
      </c>
      <c r="M1735" s="164">
        <f>SUMIF(TArticle[تاریخ],TDays[[#This Row],[تاریخ]],TArticle[افزایش بدهی])</f>
        <v>0</v>
      </c>
      <c r="N1735" s="164">
        <f>-SUMIF(TArticle[تاریخ],TDays[[#This Row],[تاریخ]],TArticle[افزایش سرمایه])</f>
        <v>0</v>
      </c>
      <c r="O1735" s="164">
        <f>SUMIF(TArticle[تاریخ],TDays[[#This Row],[تاریخ]],TArticle[تعداد تراکنش انجام شده])</f>
        <v>0</v>
      </c>
      <c r="P1735" s="164">
        <f>INT(((TDays[[#This Row],[ماه]]-1)*31+TDays[[#This Row],[روز]]+1)/7)+1</f>
        <v>40</v>
      </c>
      <c r="Q1735" s="164">
        <f>SUMIF(TArticle[تاریخ],TDays[[#This Row],[تاریخ]],TArticle[تراکنش برنامه ریزی شده])</f>
        <v>0</v>
      </c>
    </row>
    <row r="1736" spans="1:17" x14ac:dyDescent="0.25">
      <c r="A1736" s="3" t="s">
        <v>2319</v>
      </c>
      <c r="B1736" s="164" t="str">
        <f>RIGHT(TDays[[#This Row],[تاریخ]],2)</f>
        <v>29</v>
      </c>
      <c r="C1736" s="164" t="str">
        <f>RIGHT(LEFT(TDays[[#This Row],[تاریخ]],7),2)</f>
        <v>09</v>
      </c>
      <c r="D1736" s="164" t="str">
        <f>LEFT(TDays[[#This Row],[تاریخ]],4)</f>
        <v>1405</v>
      </c>
      <c r="E1736" s="164" t="str">
        <f>LEFT(TDays[[#This Row],[تاریخ]],7)</f>
        <v>1405-09</v>
      </c>
      <c r="F1736">
        <v>0</v>
      </c>
      <c r="G1736" s="165" t="str">
        <f>VLOOKUP(TDays[[#This Row],[کد روز هفته]],TDaysOfTheWeek[],2,FALSE)</f>
        <v>شنبه</v>
      </c>
      <c r="H1736" s="165">
        <f>IFERROR(IF(E1735&lt;&gt;E1736,1,INT(H1735)+IF(TDays[[#This Row],[کد روز هفته]]=0,1,0)),1)</f>
        <v>5</v>
      </c>
      <c r="I1736" s="164">
        <f>-SUMIF(TArticle[تاریخ],TDays[[#This Row],[تاریخ]],TArticle[هزینه])</f>
        <v>0</v>
      </c>
      <c r="J1736" s="164">
        <f>SUMIF(TArticle[تاریخ],TDays[[#This Row],[تاریخ]],TArticle[درآمد تتا])</f>
        <v>0</v>
      </c>
      <c r="K1736" s="164">
        <f>SUMIF(TArticle[تاریخ],TDays[[#This Row],[تاریخ]],TArticle[اسنپ])</f>
        <v>0</v>
      </c>
      <c r="L1736" s="164">
        <f>-SUMIF(TArticle[تاریخ],TDays[[#This Row],[تاریخ]],TArticle[پرداخت بدهی])</f>
        <v>0</v>
      </c>
      <c r="M1736" s="164">
        <f>SUMIF(TArticle[تاریخ],TDays[[#This Row],[تاریخ]],TArticle[افزایش بدهی])</f>
        <v>0</v>
      </c>
      <c r="N1736" s="164">
        <f>-SUMIF(TArticle[تاریخ],TDays[[#This Row],[تاریخ]],TArticle[افزایش سرمایه])</f>
        <v>0</v>
      </c>
      <c r="O1736" s="164">
        <f>SUMIF(TArticle[تاریخ],TDays[[#This Row],[تاریخ]],TArticle[تعداد تراکنش انجام شده])</f>
        <v>0</v>
      </c>
      <c r="P1736" s="164">
        <f>INT(((TDays[[#This Row],[ماه]]-1)*31+TDays[[#This Row],[روز]]+1)/7)+1</f>
        <v>40</v>
      </c>
      <c r="Q1736" s="164">
        <f>SUMIF(TArticle[تاریخ],TDays[[#This Row],[تاریخ]],TArticle[تراکنش برنامه ریزی شده])</f>
        <v>0</v>
      </c>
    </row>
    <row r="1737" spans="1:17" x14ac:dyDescent="0.25">
      <c r="A1737" s="3" t="s">
        <v>2320</v>
      </c>
      <c r="B1737" s="164" t="str">
        <f>RIGHT(TDays[[#This Row],[تاریخ]],2)</f>
        <v>30</v>
      </c>
      <c r="C1737" s="164" t="str">
        <f>RIGHT(LEFT(TDays[[#This Row],[تاریخ]],7),2)</f>
        <v>09</v>
      </c>
      <c r="D1737" s="164" t="str">
        <f>LEFT(TDays[[#This Row],[تاریخ]],4)</f>
        <v>1405</v>
      </c>
      <c r="E1737" s="164" t="str">
        <f>LEFT(TDays[[#This Row],[تاریخ]],7)</f>
        <v>1405-09</v>
      </c>
      <c r="F1737">
        <v>1</v>
      </c>
      <c r="G1737" s="165" t="str">
        <f>VLOOKUP(TDays[[#This Row],[کد روز هفته]],TDaysOfTheWeek[],2,FALSE)</f>
        <v>یکشنبه</v>
      </c>
      <c r="H1737" s="165">
        <f>IFERROR(IF(E1736&lt;&gt;E1737,1,INT(H1736)+IF(TDays[[#This Row],[کد روز هفته]]=0,1,0)),1)</f>
        <v>5</v>
      </c>
      <c r="I1737" s="164">
        <f>-SUMIF(TArticle[تاریخ],TDays[[#This Row],[تاریخ]],TArticle[هزینه])</f>
        <v>0</v>
      </c>
      <c r="J1737" s="164">
        <f>SUMIF(TArticle[تاریخ],TDays[[#This Row],[تاریخ]],TArticle[درآمد تتا])</f>
        <v>0</v>
      </c>
      <c r="K1737" s="164">
        <f>SUMIF(TArticle[تاریخ],TDays[[#This Row],[تاریخ]],TArticle[اسنپ])</f>
        <v>0</v>
      </c>
      <c r="L1737" s="164">
        <f>-SUMIF(TArticle[تاریخ],TDays[[#This Row],[تاریخ]],TArticle[پرداخت بدهی])</f>
        <v>0</v>
      </c>
      <c r="M1737" s="164">
        <f>SUMIF(TArticle[تاریخ],TDays[[#This Row],[تاریخ]],TArticle[افزایش بدهی])</f>
        <v>0</v>
      </c>
      <c r="N1737" s="164">
        <f>-SUMIF(TArticle[تاریخ],TDays[[#This Row],[تاریخ]],TArticle[افزایش سرمایه])</f>
        <v>0</v>
      </c>
      <c r="O1737" s="164">
        <f>SUMIF(TArticle[تاریخ],TDays[[#This Row],[تاریخ]],TArticle[تعداد تراکنش انجام شده])</f>
        <v>0</v>
      </c>
      <c r="P1737" s="164">
        <f>INT(((TDays[[#This Row],[ماه]]-1)*31+TDays[[#This Row],[روز]]+1)/7)+1</f>
        <v>40</v>
      </c>
      <c r="Q1737" s="164">
        <f>SUMIF(TArticle[تاریخ],TDays[[#This Row],[تاریخ]],TArticle[تراکنش برنامه ریزی شده])</f>
        <v>0</v>
      </c>
    </row>
    <row r="1738" spans="1:17" x14ac:dyDescent="0.25">
      <c r="A1738" s="3" t="s">
        <v>2321</v>
      </c>
      <c r="B1738" s="164" t="str">
        <f>RIGHT(TDays[[#This Row],[تاریخ]],2)</f>
        <v>01</v>
      </c>
      <c r="C1738" s="164" t="str">
        <f>RIGHT(LEFT(TDays[[#This Row],[تاریخ]],7),2)</f>
        <v>10</v>
      </c>
      <c r="D1738" s="164" t="str">
        <f>LEFT(TDays[[#This Row],[تاریخ]],4)</f>
        <v>1405</v>
      </c>
      <c r="E1738" s="164" t="str">
        <f>LEFT(TDays[[#This Row],[تاریخ]],7)</f>
        <v>1405-10</v>
      </c>
      <c r="F1738">
        <v>2</v>
      </c>
      <c r="G1738" s="165" t="str">
        <f>VLOOKUP(TDays[[#This Row],[کد روز هفته]],TDaysOfTheWeek[],2,FALSE)</f>
        <v>دوشنبه</v>
      </c>
      <c r="H1738" s="165">
        <f>IFERROR(IF(E1737&lt;&gt;E1738,1,INT(H1737)+IF(TDays[[#This Row],[کد روز هفته]]=0,1,0)),1)</f>
        <v>1</v>
      </c>
      <c r="I1738" s="164">
        <f>-SUMIF(TArticle[تاریخ],TDays[[#This Row],[تاریخ]],TArticle[هزینه])</f>
        <v>0</v>
      </c>
      <c r="J1738" s="164">
        <f>SUMIF(TArticle[تاریخ],TDays[[#This Row],[تاریخ]],TArticle[درآمد تتا])</f>
        <v>0</v>
      </c>
      <c r="K1738" s="164">
        <f>SUMIF(TArticle[تاریخ],TDays[[#This Row],[تاریخ]],TArticle[اسنپ])</f>
        <v>0</v>
      </c>
      <c r="L1738" s="164">
        <f>-SUMIF(TArticle[تاریخ],TDays[[#This Row],[تاریخ]],TArticle[پرداخت بدهی])</f>
        <v>0</v>
      </c>
      <c r="M1738" s="164">
        <f>SUMIF(TArticle[تاریخ],TDays[[#This Row],[تاریخ]],TArticle[افزایش بدهی])</f>
        <v>0</v>
      </c>
      <c r="N1738" s="164">
        <f>-SUMIF(TArticle[تاریخ],TDays[[#This Row],[تاریخ]],TArticle[افزایش سرمایه])</f>
        <v>0</v>
      </c>
      <c r="O1738" s="164">
        <f>SUMIF(TArticle[تاریخ],TDays[[#This Row],[تاریخ]],TArticle[تعداد تراکنش انجام شده])</f>
        <v>0</v>
      </c>
      <c r="P1738" s="164">
        <f>INT(((TDays[[#This Row],[ماه]]-1)*31+TDays[[#This Row],[روز]]+1)/7)+1</f>
        <v>41</v>
      </c>
      <c r="Q1738" s="164">
        <f>SUMIF(TArticle[تاریخ],TDays[[#This Row],[تاریخ]],TArticle[تراکنش برنامه ریزی شده])</f>
        <v>0</v>
      </c>
    </row>
    <row r="1739" spans="1:17" x14ac:dyDescent="0.25">
      <c r="A1739" s="3" t="s">
        <v>2322</v>
      </c>
      <c r="B1739" s="164" t="str">
        <f>RIGHT(TDays[[#This Row],[تاریخ]],2)</f>
        <v>02</v>
      </c>
      <c r="C1739" s="164" t="str">
        <f>RIGHT(LEFT(TDays[[#This Row],[تاریخ]],7),2)</f>
        <v>10</v>
      </c>
      <c r="D1739" s="164" t="str">
        <f>LEFT(TDays[[#This Row],[تاریخ]],4)</f>
        <v>1405</v>
      </c>
      <c r="E1739" s="164" t="str">
        <f>LEFT(TDays[[#This Row],[تاریخ]],7)</f>
        <v>1405-10</v>
      </c>
      <c r="F1739" s="164">
        <v>3</v>
      </c>
      <c r="G1739" s="165" t="str">
        <f>VLOOKUP(TDays[[#This Row],[کد روز هفته]],TDaysOfTheWeek[],2,FALSE)</f>
        <v>سه شنبه</v>
      </c>
      <c r="H1739" s="165">
        <f>IFERROR(IF(E1738&lt;&gt;E1739,1,INT(H1738)+IF(TDays[[#This Row],[کد روز هفته]]=0,1,0)),1)</f>
        <v>1</v>
      </c>
      <c r="I1739" s="164">
        <f>-SUMIF(TArticle[تاریخ],TDays[[#This Row],[تاریخ]],TArticle[هزینه])</f>
        <v>0</v>
      </c>
      <c r="J1739" s="164">
        <f>SUMIF(TArticle[تاریخ],TDays[[#This Row],[تاریخ]],TArticle[درآمد تتا])</f>
        <v>0</v>
      </c>
      <c r="K1739" s="164">
        <f>SUMIF(TArticle[تاریخ],TDays[[#This Row],[تاریخ]],TArticle[اسنپ])</f>
        <v>0</v>
      </c>
      <c r="L1739" s="164">
        <f>-SUMIF(TArticle[تاریخ],TDays[[#This Row],[تاریخ]],TArticle[پرداخت بدهی])</f>
        <v>0</v>
      </c>
      <c r="M1739" s="164">
        <f>SUMIF(TArticle[تاریخ],TDays[[#This Row],[تاریخ]],TArticle[افزایش بدهی])</f>
        <v>0</v>
      </c>
      <c r="N1739" s="164">
        <f>-SUMIF(TArticle[تاریخ],TDays[[#This Row],[تاریخ]],TArticle[افزایش سرمایه])</f>
        <v>0</v>
      </c>
      <c r="O1739" s="164">
        <f>SUMIF(TArticle[تاریخ],TDays[[#This Row],[تاریخ]],TArticle[تعداد تراکنش انجام شده])</f>
        <v>0</v>
      </c>
      <c r="P1739" s="164">
        <f>INT(((TDays[[#This Row],[ماه]]-1)*31+TDays[[#This Row],[روز]]+1)/7)+1</f>
        <v>41</v>
      </c>
      <c r="Q1739" s="164">
        <f>SUMIF(TArticle[تاریخ],TDays[[#This Row],[تاریخ]],TArticle[تراکنش برنامه ریزی شده])</f>
        <v>0</v>
      </c>
    </row>
    <row r="1740" spans="1:17" x14ac:dyDescent="0.25">
      <c r="A1740" s="3" t="s">
        <v>2323</v>
      </c>
      <c r="B1740" s="164" t="str">
        <f>RIGHT(TDays[[#This Row],[تاریخ]],2)</f>
        <v>03</v>
      </c>
      <c r="C1740" s="164" t="str">
        <f>RIGHT(LEFT(TDays[[#This Row],[تاریخ]],7),2)</f>
        <v>10</v>
      </c>
      <c r="D1740" s="164" t="str">
        <f>LEFT(TDays[[#This Row],[تاریخ]],4)</f>
        <v>1405</v>
      </c>
      <c r="E1740" s="164" t="str">
        <f>LEFT(TDays[[#This Row],[تاریخ]],7)</f>
        <v>1405-10</v>
      </c>
      <c r="F1740" s="164">
        <v>4</v>
      </c>
      <c r="G1740" s="165" t="str">
        <f>VLOOKUP(TDays[[#This Row],[کد روز هفته]],TDaysOfTheWeek[],2,FALSE)</f>
        <v>چهارشنبه</v>
      </c>
      <c r="H1740" s="165">
        <f>IFERROR(IF(E1739&lt;&gt;E1740,1,INT(H1739)+IF(TDays[[#This Row],[کد روز هفته]]=0,1,0)),1)</f>
        <v>1</v>
      </c>
      <c r="I1740" s="164">
        <f>-SUMIF(TArticle[تاریخ],TDays[[#This Row],[تاریخ]],TArticle[هزینه])</f>
        <v>0</v>
      </c>
      <c r="J1740" s="164">
        <f>SUMIF(TArticle[تاریخ],TDays[[#This Row],[تاریخ]],TArticle[درآمد تتا])</f>
        <v>0</v>
      </c>
      <c r="K1740" s="164">
        <f>SUMIF(TArticle[تاریخ],TDays[[#This Row],[تاریخ]],TArticle[اسنپ])</f>
        <v>0</v>
      </c>
      <c r="L1740" s="164">
        <f>-SUMIF(TArticle[تاریخ],TDays[[#This Row],[تاریخ]],TArticle[پرداخت بدهی])</f>
        <v>0</v>
      </c>
      <c r="M1740" s="164">
        <f>SUMIF(TArticle[تاریخ],TDays[[#This Row],[تاریخ]],TArticle[افزایش بدهی])</f>
        <v>0</v>
      </c>
      <c r="N1740" s="164">
        <f>-SUMIF(TArticle[تاریخ],TDays[[#This Row],[تاریخ]],TArticle[افزایش سرمایه])</f>
        <v>0</v>
      </c>
      <c r="O1740" s="164">
        <f>SUMIF(TArticle[تاریخ],TDays[[#This Row],[تاریخ]],TArticle[تعداد تراکنش انجام شده])</f>
        <v>0</v>
      </c>
      <c r="P1740" s="164">
        <f>INT(((TDays[[#This Row],[ماه]]-1)*31+TDays[[#This Row],[روز]]+1)/7)+1</f>
        <v>41</v>
      </c>
      <c r="Q1740" s="164">
        <f>SUMIF(TArticle[تاریخ],TDays[[#This Row],[تاریخ]],TArticle[تراکنش برنامه ریزی شده])</f>
        <v>1</v>
      </c>
    </row>
    <row r="1741" spans="1:17" x14ac:dyDescent="0.25">
      <c r="A1741" s="3" t="s">
        <v>2324</v>
      </c>
      <c r="B1741" s="164" t="str">
        <f>RIGHT(TDays[[#This Row],[تاریخ]],2)</f>
        <v>04</v>
      </c>
      <c r="C1741" s="164" t="str">
        <f>RIGHT(LEFT(TDays[[#This Row],[تاریخ]],7),2)</f>
        <v>10</v>
      </c>
      <c r="D1741" s="164" t="str">
        <f>LEFT(TDays[[#This Row],[تاریخ]],4)</f>
        <v>1405</v>
      </c>
      <c r="E1741" s="164" t="str">
        <f>LEFT(TDays[[#This Row],[تاریخ]],7)</f>
        <v>1405-10</v>
      </c>
      <c r="F1741">
        <v>5</v>
      </c>
      <c r="G1741" s="165" t="str">
        <f>VLOOKUP(TDays[[#This Row],[کد روز هفته]],TDaysOfTheWeek[],2,FALSE)</f>
        <v>پنجشنبه</v>
      </c>
      <c r="H1741" s="165">
        <f>IFERROR(IF(E1740&lt;&gt;E1741,1,INT(H1740)+IF(TDays[[#This Row],[کد روز هفته]]=0,1,0)),1)</f>
        <v>1</v>
      </c>
      <c r="I1741" s="164">
        <f>-SUMIF(TArticle[تاریخ],TDays[[#This Row],[تاریخ]],TArticle[هزینه])</f>
        <v>0</v>
      </c>
      <c r="J1741" s="164">
        <f>SUMIF(TArticle[تاریخ],TDays[[#This Row],[تاریخ]],TArticle[درآمد تتا])</f>
        <v>0</v>
      </c>
      <c r="K1741" s="164">
        <f>SUMIF(TArticle[تاریخ],TDays[[#This Row],[تاریخ]],TArticle[اسنپ])</f>
        <v>0</v>
      </c>
      <c r="L1741" s="164">
        <f>-SUMIF(TArticle[تاریخ],TDays[[#This Row],[تاریخ]],TArticle[پرداخت بدهی])</f>
        <v>0</v>
      </c>
      <c r="M1741" s="164">
        <f>SUMIF(TArticle[تاریخ],TDays[[#This Row],[تاریخ]],TArticle[افزایش بدهی])</f>
        <v>0</v>
      </c>
      <c r="N1741" s="164">
        <f>-SUMIF(TArticle[تاریخ],TDays[[#This Row],[تاریخ]],TArticle[افزایش سرمایه])</f>
        <v>0</v>
      </c>
      <c r="O1741" s="164">
        <f>SUMIF(TArticle[تاریخ],TDays[[#This Row],[تاریخ]],TArticle[تعداد تراکنش انجام شده])</f>
        <v>0</v>
      </c>
      <c r="P1741" s="164">
        <f>INT(((TDays[[#This Row],[ماه]]-1)*31+TDays[[#This Row],[روز]]+1)/7)+1</f>
        <v>41</v>
      </c>
      <c r="Q1741" s="164">
        <f>SUMIF(TArticle[تاریخ],TDays[[#This Row],[تاریخ]],TArticle[تراکنش برنامه ریزی شده])</f>
        <v>0</v>
      </c>
    </row>
    <row r="1742" spans="1:17" x14ac:dyDescent="0.25">
      <c r="A1742" s="3" t="s">
        <v>2325</v>
      </c>
      <c r="B1742" s="164" t="str">
        <f>RIGHT(TDays[[#This Row],[تاریخ]],2)</f>
        <v>05</v>
      </c>
      <c r="C1742" s="164" t="str">
        <f>RIGHT(LEFT(TDays[[#This Row],[تاریخ]],7),2)</f>
        <v>10</v>
      </c>
      <c r="D1742" s="164" t="str">
        <f>LEFT(TDays[[#This Row],[تاریخ]],4)</f>
        <v>1405</v>
      </c>
      <c r="E1742" s="164" t="str">
        <f>LEFT(TDays[[#This Row],[تاریخ]],7)</f>
        <v>1405-10</v>
      </c>
      <c r="F1742">
        <v>6</v>
      </c>
      <c r="G1742" s="165" t="str">
        <f>VLOOKUP(TDays[[#This Row],[کد روز هفته]],TDaysOfTheWeek[],2,FALSE)</f>
        <v>جمعه</v>
      </c>
      <c r="H1742" s="165">
        <f>IFERROR(IF(E1741&lt;&gt;E1742,1,INT(H1741)+IF(TDays[[#This Row],[کد روز هفته]]=0,1,0)),1)</f>
        <v>1</v>
      </c>
      <c r="I1742" s="164">
        <f>-SUMIF(TArticle[تاریخ],TDays[[#This Row],[تاریخ]],TArticle[هزینه])</f>
        <v>0</v>
      </c>
      <c r="J1742" s="164">
        <f>SUMIF(TArticle[تاریخ],TDays[[#This Row],[تاریخ]],TArticle[درآمد تتا])</f>
        <v>0</v>
      </c>
      <c r="K1742" s="164">
        <f>SUMIF(TArticle[تاریخ],TDays[[#This Row],[تاریخ]],TArticle[اسنپ])</f>
        <v>0</v>
      </c>
      <c r="L1742" s="164">
        <f>-SUMIF(TArticle[تاریخ],TDays[[#This Row],[تاریخ]],TArticle[پرداخت بدهی])</f>
        <v>0</v>
      </c>
      <c r="M1742" s="164">
        <f>SUMIF(TArticle[تاریخ],TDays[[#This Row],[تاریخ]],TArticle[افزایش بدهی])</f>
        <v>0</v>
      </c>
      <c r="N1742" s="164">
        <f>-SUMIF(TArticle[تاریخ],TDays[[#This Row],[تاریخ]],TArticle[افزایش سرمایه])</f>
        <v>0</v>
      </c>
      <c r="O1742" s="164">
        <f>SUMIF(TArticle[تاریخ],TDays[[#This Row],[تاریخ]],TArticle[تعداد تراکنش انجام شده])</f>
        <v>0</v>
      </c>
      <c r="P1742" s="164">
        <f>INT(((TDays[[#This Row],[ماه]]-1)*31+TDays[[#This Row],[روز]]+1)/7)+1</f>
        <v>41</v>
      </c>
      <c r="Q1742" s="164">
        <f>SUMIF(TArticle[تاریخ],TDays[[#This Row],[تاریخ]],TArticle[تراکنش برنامه ریزی شده])</f>
        <v>0</v>
      </c>
    </row>
    <row r="1743" spans="1:17" x14ac:dyDescent="0.25">
      <c r="A1743" s="3" t="s">
        <v>2326</v>
      </c>
      <c r="B1743" s="164" t="str">
        <f>RIGHT(TDays[[#This Row],[تاریخ]],2)</f>
        <v>06</v>
      </c>
      <c r="C1743" s="164" t="str">
        <f>RIGHT(LEFT(TDays[[#This Row],[تاریخ]],7),2)</f>
        <v>10</v>
      </c>
      <c r="D1743" s="164" t="str">
        <f>LEFT(TDays[[#This Row],[تاریخ]],4)</f>
        <v>1405</v>
      </c>
      <c r="E1743" s="164" t="str">
        <f>LEFT(TDays[[#This Row],[تاریخ]],7)</f>
        <v>1405-10</v>
      </c>
      <c r="F1743">
        <v>0</v>
      </c>
      <c r="G1743" s="165" t="str">
        <f>VLOOKUP(TDays[[#This Row],[کد روز هفته]],TDaysOfTheWeek[],2,FALSE)</f>
        <v>شنبه</v>
      </c>
      <c r="H1743" s="165">
        <f>IFERROR(IF(E1742&lt;&gt;E1743,1,INT(H1742)+IF(TDays[[#This Row],[کد روز هفته]]=0,1,0)),1)</f>
        <v>2</v>
      </c>
      <c r="I1743" s="164">
        <f>-SUMIF(TArticle[تاریخ],TDays[[#This Row],[تاریخ]],TArticle[هزینه])</f>
        <v>0</v>
      </c>
      <c r="J1743" s="164">
        <f>SUMIF(TArticle[تاریخ],TDays[[#This Row],[تاریخ]],TArticle[درآمد تتا])</f>
        <v>0</v>
      </c>
      <c r="K1743" s="164">
        <f>SUMIF(TArticle[تاریخ],TDays[[#This Row],[تاریخ]],TArticle[اسنپ])</f>
        <v>0</v>
      </c>
      <c r="L1743" s="164">
        <f>-SUMIF(TArticle[تاریخ],TDays[[#This Row],[تاریخ]],TArticle[پرداخت بدهی])</f>
        <v>0</v>
      </c>
      <c r="M1743" s="164">
        <f>SUMIF(TArticle[تاریخ],TDays[[#This Row],[تاریخ]],TArticle[افزایش بدهی])</f>
        <v>0</v>
      </c>
      <c r="N1743" s="164">
        <f>-SUMIF(TArticle[تاریخ],TDays[[#This Row],[تاریخ]],TArticle[افزایش سرمایه])</f>
        <v>0</v>
      </c>
      <c r="O1743" s="164">
        <f>SUMIF(TArticle[تاریخ],TDays[[#This Row],[تاریخ]],TArticle[تعداد تراکنش انجام شده])</f>
        <v>0</v>
      </c>
      <c r="P1743" s="164">
        <f>INT(((TDays[[#This Row],[ماه]]-1)*31+TDays[[#This Row],[روز]]+1)/7)+1</f>
        <v>41</v>
      </c>
      <c r="Q1743" s="164">
        <f>SUMIF(TArticle[تاریخ],TDays[[#This Row],[تاریخ]],TArticle[تراکنش برنامه ریزی شده])</f>
        <v>0</v>
      </c>
    </row>
    <row r="1744" spans="1:17" x14ac:dyDescent="0.25">
      <c r="A1744" s="3" t="s">
        <v>2327</v>
      </c>
      <c r="B1744" s="164" t="str">
        <f>RIGHT(TDays[[#This Row],[تاریخ]],2)</f>
        <v>07</v>
      </c>
      <c r="C1744" s="164" t="str">
        <f>RIGHT(LEFT(TDays[[#This Row],[تاریخ]],7),2)</f>
        <v>10</v>
      </c>
      <c r="D1744" s="164" t="str">
        <f>LEFT(TDays[[#This Row],[تاریخ]],4)</f>
        <v>1405</v>
      </c>
      <c r="E1744" s="164" t="str">
        <f>LEFT(TDays[[#This Row],[تاریخ]],7)</f>
        <v>1405-10</v>
      </c>
      <c r="F1744">
        <v>1</v>
      </c>
      <c r="G1744" s="165" t="str">
        <f>VLOOKUP(TDays[[#This Row],[کد روز هفته]],TDaysOfTheWeek[],2,FALSE)</f>
        <v>یکشنبه</v>
      </c>
      <c r="H1744" s="165">
        <f>IFERROR(IF(E1743&lt;&gt;E1744,1,INT(H1743)+IF(TDays[[#This Row],[کد روز هفته]]=0,1,0)),1)</f>
        <v>2</v>
      </c>
      <c r="I1744" s="164">
        <f>-SUMIF(TArticle[تاریخ],TDays[[#This Row],[تاریخ]],TArticle[هزینه])</f>
        <v>0</v>
      </c>
      <c r="J1744" s="164">
        <f>SUMIF(TArticle[تاریخ],TDays[[#This Row],[تاریخ]],TArticle[درآمد تتا])</f>
        <v>0</v>
      </c>
      <c r="K1744" s="164">
        <f>SUMIF(TArticle[تاریخ],TDays[[#This Row],[تاریخ]],TArticle[اسنپ])</f>
        <v>0</v>
      </c>
      <c r="L1744" s="164">
        <f>-SUMIF(TArticle[تاریخ],TDays[[#This Row],[تاریخ]],TArticle[پرداخت بدهی])</f>
        <v>0</v>
      </c>
      <c r="M1744" s="164">
        <f>SUMIF(TArticle[تاریخ],TDays[[#This Row],[تاریخ]],TArticle[افزایش بدهی])</f>
        <v>0</v>
      </c>
      <c r="N1744" s="164">
        <f>-SUMIF(TArticle[تاریخ],TDays[[#This Row],[تاریخ]],TArticle[افزایش سرمایه])</f>
        <v>0</v>
      </c>
      <c r="O1744" s="164">
        <f>SUMIF(TArticle[تاریخ],TDays[[#This Row],[تاریخ]],TArticle[تعداد تراکنش انجام شده])</f>
        <v>0</v>
      </c>
      <c r="P1744" s="164">
        <f>INT(((TDays[[#This Row],[ماه]]-1)*31+TDays[[#This Row],[روز]]+1)/7)+1</f>
        <v>42</v>
      </c>
      <c r="Q1744" s="164">
        <f>SUMIF(TArticle[تاریخ],TDays[[#This Row],[تاریخ]],TArticle[تراکنش برنامه ریزی شده])</f>
        <v>0</v>
      </c>
    </row>
    <row r="1745" spans="1:17" x14ac:dyDescent="0.25">
      <c r="A1745" s="3" t="s">
        <v>2328</v>
      </c>
      <c r="B1745" s="164" t="str">
        <f>RIGHT(TDays[[#This Row],[تاریخ]],2)</f>
        <v>08</v>
      </c>
      <c r="C1745" s="164" t="str">
        <f>RIGHT(LEFT(TDays[[#This Row],[تاریخ]],7),2)</f>
        <v>10</v>
      </c>
      <c r="D1745" s="164" t="str">
        <f>LEFT(TDays[[#This Row],[تاریخ]],4)</f>
        <v>1405</v>
      </c>
      <c r="E1745" s="164" t="str">
        <f>LEFT(TDays[[#This Row],[تاریخ]],7)</f>
        <v>1405-10</v>
      </c>
      <c r="F1745">
        <v>2</v>
      </c>
      <c r="G1745" s="165" t="str">
        <f>VLOOKUP(TDays[[#This Row],[کد روز هفته]],TDaysOfTheWeek[],2,FALSE)</f>
        <v>دوشنبه</v>
      </c>
      <c r="H1745" s="165">
        <f>IFERROR(IF(E1744&lt;&gt;E1745,1,INT(H1744)+IF(TDays[[#This Row],[کد روز هفته]]=0,1,0)),1)</f>
        <v>2</v>
      </c>
      <c r="I1745" s="164">
        <f>-SUMIF(TArticle[تاریخ],TDays[[#This Row],[تاریخ]],TArticle[هزینه])</f>
        <v>0</v>
      </c>
      <c r="J1745" s="164">
        <f>SUMIF(TArticle[تاریخ],TDays[[#This Row],[تاریخ]],TArticle[درآمد تتا])</f>
        <v>0</v>
      </c>
      <c r="K1745" s="164">
        <f>SUMIF(TArticle[تاریخ],TDays[[#This Row],[تاریخ]],TArticle[اسنپ])</f>
        <v>0</v>
      </c>
      <c r="L1745" s="164">
        <f>-SUMIF(TArticle[تاریخ],TDays[[#This Row],[تاریخ]],TArticle[پرداخت بدهی])</f>
        <v>0</v>
      </c>
      <c r="M1745" s="164">
        <f>SUMIF(TArticle[تاریخ],TDays[[#This Row],[تاریخ]],TArticle[افزایش بدهی])</f>
        <v>0</v>
      </c>
      <c r="N1745" s="164">
        <f>-SUMIF(TArticle[تاریخ],TDays[[#This Row],[تاریخ]],TArticle[افزایش سرمایه])</f>
        <v>0</v>
      </c>
      <c r="O1745" s="164">
        <f>SUMIF(TArticle[تاریخ],TDays[[#This Row],[تاریخ]],TArticle[تعداد تراکنش انجام شده])</f>
        <v>0</v>
      </c>
      <c r="P1745" s="164">
        <f>INT(((TDays[[#This Row],[ماه]]-1)*31+TDays[[#This Row],[روز]]+1)/7)+1</f>
        <v>42</v>
      </c>
      <c r="Q1745" s="164">
        <f>SUMIF(TArticle[تاریخ],TDays[[#This Row],[تاریخ]],TArticle[تراکنش برنامه ریزی شده])</f>
        <v>0</v>
      </c>
    </row>
    <row r="1746" spans="1:17" x14ac:dyDescent="0.25">
      <c r="A1746" s="3" t="s">
        <v>2329</v>
      </c>
      <c r="B1746" s="164" t="str">
        <f>RIGHT(TDays[[#This Row],[تاریخ]],2)</f>
        <v>09</v>
      </c>
      <c r="C1746" s="164" t="str">
        <f>RIGHT(LEFT(TDays[[#This Row],[تاریخ]],7),2)</f>
        <v>10</v>
      </c>
      <c r="D1746" s="164" t="str">
        <f>LEFT(TDays[[#This Row],[تاریخ]],4)</f>
        <v>1405</v>
      </c>
      <c r="E1746" s="164" t="str">
        <f>LEFT(TDays[[#This Row],[تاریخ]],7)</f>
        <v>1405-10</v>
      </c>
      <c r="F1746">
        <v>3</v>
      </c>
      <c r="G1746" s="165" t="str">
        <f>VLOOKUP(TDays[[#This Row],[کد روز هفته]],TDaysOfTheWeek[],2,FALSE)</f>
        <v>سه شنبه</v>
      </c>
      <c r="H1746" s="165">
        <f>IFERROR(IF(E1745&lt;&gt;E1746,1,INT(H1745)+IF(TDays[[#This Row],[کد روز هفته]]=0,1,0)),1)</f>
        <v>2</v>
      </c>
      <c r="I1746" s="164">
        <f>-SUMIF(TArticle[تاریخ],TDays[[#This Row],[تاریخ]],TArticle[هزینه])</f>
        <v>0</v>
      </c>
      <c r="J1746" s="164">
        <f>SUMIF(TArticle[تاریخ],TDays[[#This Row],[تاریخ]],TArticle[درآمد تتا])</f>
        <v>0</v>
      </c>
      <c r="K1746" s="164">
        <f>SUMIF(TArticle[تاریخ],TDays[[#This Row],[تاریخ]],TArticle[اسنپ])</f>
        <v>0</v>
      </c>
      <c r="L1746" s="164">
        <f>-SUMIF(TArticle[تاریخ],TDays[[#This Row],[تاریخ]],TArticle[پرداخت بدهی])</f>
        <v>0</v>
      </c>
      <c r="M1746" s="164">
        <f>SUMIF(TArticle[تاریخ],TDays[[#This Row],[تاریخ]],TArticle[افزایش بدهی])</f>
        <v>0</v>
      </c>
      <c r="N1746" s="164">
        <f>-SUMIF(TArticle[تاریخ],TDays[[#This Row],[تاریخ]],TArticle[افزایش سرمایه])</f>
        <v>0</v>
      </c>
      <c r="O1746" s="164">
        <f>SUMIF(TArticle[تاریخ],TDays[[#This Row],[تاریخ]],TArticle[تعداد تراکنش انجام شده])</f>
        <v>0</v>
      </c>
      <c r="P1746" s="164">
        <f>INT(((TDays[[#This Row],[ماه]]-1)*31+TDays[[#This Row],[روز]]+1)/7)+1</f>
        <v>42</v>
      </c>
      <c r="Q1746" s="164">
        <f>SUMIF(TArticle[تاریخ],TDays[[#This Row],[تاریخ]],TArticle[تراکنش برنامه ریزی شده])</f>
        <v>0</v>
      </c>
    </row>
    <row r="1747" spans="1:17" x14ac:dyDescent="0.25">
      <c r="A1747" s="3" t="s">
        <v>2330</v>
      </c>
      <c r="B1747" s="164" t="str">
        <f>RIGHT(TDays[[#This Row],[تاریخ]],2)</f>
        <v>10</v>
      </c>
      <c r="C1747" s="164" t="str">
        <f>RIGHT(LEFT(TDays[[#This Row],[تاریخ]],7),2)</f>
        <v>10</v>
      </c>
      <c r="D1747" s="164" t="str">
        <f>LEFT(TDays[[#This Row],[تاریخ]],4)</f>
        <v>1405</v>
      </c>
      <c r="E1747" s="164" t="str">
        <f>LEFT(TDays[[#This Row],[تاریخ]],7)</f>
        <v>1405-10</v>
      </c>
      <c r="F1747">
        <v>4</v>
      </c>
      <c r="G1747" s="165" t="str">
        <f>VLOOKUP(TDays[[#This Row],[کد روز هفته]],TDaysOfTheWeek[],2,FALSE)</f>
        <v>چهارشنبه</v>
      </c>
      <c r="H1747" s="165">
        <f>IFERROR(IF(E1746&lt;&gt;E1747,1,INT(H1746)+IF(TDays[[#This Row],[کد روز هفته]]=0,1,0)),1)</f>
        <v>2</v>
      </c>
      <c r="I1747" s="164">
        <f>-SUMIF(TArticle[تاریخ],TDays[[#This Row],[تاریخ]],TArticle[هزینه])</f>
        <v>0</v>
      </c>
      <c r="J1747" s="164">
        <f>SUMIF(TArticle[تاریخ],TDays[[#This Row],[تاریخ]],TArticle[درآمد تتا])</f>
        <v>0</v>
      </c>
      <c r="K1747" s="164">
        <f>SUMIF(TArticle[تاریخ],TDays[[#This Row],[تاریخ]],TArticle[اسنپ])</f>
        <v>0</v>
      </c>
      <c r="L1747" s="164">
        <f>-SUMIF(TArticle[تاریخ],TDays[[#This Row],[تاریخ]],TArticle[پرداخت بدهی])</f>
        <v>0</v>
      </c>
      <c r="M1747" s="164">
        <f>SUMIF(TArticle[تاریخ],TDays[[#This Row],[تاریخ]],TArticle[افزایش بدهی])</f>
        <v>0</v>
      </c>
      <c r="N1747" s="164">
        <f>-SUMIF(TArticle[تاریخ],TDays[[#This Row],[تاریخ]],TArticle[افزایش سرمایه])</f>
        <v>0</v>
      </c>
      <c r="O1747" s="164">
        <f>SUMIF(TArticle[تاریخ],TDays[[#This Row],[تاریخ]],TArticle[تعداد تراکنش انجام شده])</f>
        <v>0</v>
      </c>
      <c r="P1747" s="164">
        <f>INT(((TDays[[#This Row],[ماه]]-1)*31+TDays[[#This Row],[روز]]+1)/7)+1</f>
        <v>42</v>
      </c>
      <c r="Q1747" s="164">
        <f>SUMIF(TArticle[تاریخ],TDays[[#This Row],[تاریخ]],TArticle[تراکنش برنامه ریزی شده])</f>
        <v>0</v>
      </c>
    </row>
    <row r="1748" spans="1:17" x14ac:dyDescent="0.25">
      <c r="A1748" s="3" t="s">
        <v>2331</v>
      </c>
      <c r="B1748" s="164" t="str">
        <f>RIGHT(TDays[[#This Row],[تاریخ]],2)</f>
        <v>11</v>
      </c>
      <c r="C1748" s="164" t="str">
        <f>RIGHT(LEFT(TDays[[#This Row],[تاریخ]],7),2)</f>
        <v>10</v>
      </c>
      <c r="D1748" s="164" t="str">
        <f>LEFT(TDays[[#This Row],[تاریخ]],4)</f>
        <v>1405</v>
      </c>
      <c r="E1748" s="164" t="str">
        <f>LEFT(TDays[[#This Row],[تاریخ]],7)</f>
        <v>1405-10</v>
      </c>
      <c r="F1748">
        <v>5</v>
      </c>
      <c r="G1748" s="165" t="str">
        <f>VLOOKUP(TDays[[#This Row],[کد روز هفته]],TDaysOfTheWeek[],2,FALSE)</f>
        <v>پنجشنبه</v>
      </c>
      <c r="H1748" s="165">
        <f>IFERROR(IF(E1747&lt;&gt;E1748,1,INT(H1747)+IF(TDays[[#This Row],[کد روز هفته]]=0,1,0)),1)</f>
        <v>2</v>
      </c>
      <c r="I1748" s="164">
        <f>-SUMIF(TArticle[تاریخ],TDays[[#This Row],[تاریخ]],TArticle[هزینه])</f>
        <v>0</v>
      </c>
      <c r="J1748" s="164">
        <f>SUMIF(TArticle[تاریخ],TDays[[#This Row],[تاریخ]],TArticle[درآمد تتا])</f>
        <v>0</v>
      </c>
      <c r="K1748" s="164">
        <f>SUMIF(TArticle[تاریخ],TDays[[#This Row],[تاریخ]],TArticle[اسنپ])</f>
        <v>0</v>
      </c>
      <c r="L1748" s="164">
        <f>-SUMIF(TArticle[تاریخ],TDays[[#This Row],[تاریخ]],TArticle[پرداخت بدهی])</f>
        <v>0</v>
      </c>
      <c r="M1748" s="164">
        <f>SUMIF(TArticle[تاریخ],TDays[[#This Row],[تاریخ]],TArticle[افزایش بدهی])</f>
        <v>0</v>
      </c>
      <c r="N1748" s="164">
        <f>-SUMIF(TArticle[تاریخ],TDays[[#This Row],[تاریخ]],TArticle[افزایش سرمایه])</f>
        <v>0</v>
      </c>
      <c r="O1748" s="164">
        <f>SUMIF(TArticle[تاریخ],TDays[[#This Row],[تاریخ]],TArticle[تعداد تراکنش انجام شده])</f>
        <v>0</v>
      </c>
      <c r="P1748" s="164">
        <f>INT(((TDays[[#This Row],[ماه]]-1)*31+TDays[[#This Row],[روز]]+1)/7)+1</f>
        <v>42</v>
      </c>
      <c r="Q1748" s="164">
        <f>SUMIF(TArticle[تاریخ],TDays[[#This Row],[تاریخ]],TArticle[تراکنش برنامه ریزی شده])</f>
        <v>0</v>
      </c>
    </row>
    <row r="1749" spans="1:17" x14ac:dyDescent="0.25">
      <c r="A1749" s="3" t="s">
        <v>2332</v>
      </c>
      <c r="B1749" s="164" t="str">
        <f>RIGHT(TDays[[#This Row],[تاریخ]],2)</f>
        <v>12</v>
      </c>
      <c r="C1749" s="164" t="str">
        <f>RIGHT(LEFT(TDays[[#This Row],[تاریخ]],7),2)</f>
        <v>10</v>
      </c>
      <c r="D1749" s="164" t="str">
        <f>LEFT(TDays[[#This Row],[تاریخ]],4)</f>
        <v>1405</v>
      </c>
      <c r="E1749" s="164" t="str">
        <f>LEFT(TDays[[#This Row],[تاریخ]],7)</f>
        <v>1405-10</v>
      </c>
      <c r="F1749">
        <v>6</v>
      </c>
      <c r="G1749" s="165" t="str">
        <f>VLOOKUP(TDays[[#This Row],[کد روز هفته]],TDaysOfTheWeek[],2,FALSE)</f>
        <v>جمعه</v>
      </c>
      <c r="H1749" s="165">
        <f>IFERROR(IF(E1748&lt;&gt;E1749,1,INT(H1748)+IF(TDays[[#This Row],[کد روز هفته]]=0,1,0)),1)</f>
        <v>2</v>
      </c>
      <c r="I1749" s="164">
        <f>-SUMIF(TArticle[تاریخ],TDays[[#This Row],[تاریخ]],TArticle[هزینه])</f>
        <v>0</v>
      </c>
      <c r="J1749" s="164">
        <f>SUMIF(TArticle[تاریخ],TDays[[#This Row],[تاریخ]],TArticle[درآمد تتا])</f>
        <v>0</v>
      </c>
      <c r="K1749" s="164">
        <f>SUMIF(TArticle[تاریخ],TDays[[#This Row],[تاریخ]],TArticle[اسنپ])</f>
        <v>0</v>
      </c>
      <c r="L1749" s="164">
        <f>-SUMIF(TArticle[تاریخ],TDays[[#This Row],[تاریخ]],TArticle[پرداخت بدهی])</f>
        <v>0</v>
      </c>
      <c r="M1749" s="164">
        <f>SUMIF(TArticle[تاریخ],TDays[[#This Row],[تاریخ]],TArticle[افزایش بدهی])</f>
        <v>0</v>
      </c>
      <c r="N1749" s="164">
        <f>-SUMIF(TArticle[تاریخ],TDays[[#This Row],[تاریخ]],TArticle[افزایش سرمایه])</f>
        <v>0</v>
      </c>
      <c r="O1749" s="164">
        <f>SUMIF(TArticle[تاریخ],TDays[[#This Row],[تاریخ]],TArticle[تعداد تراکنش انجام شده])</f>
        <v>0</v>
      </c>
      <c r="P1749" s="164">
        <f>INT(((TDays[[#This Row],[ماه]]-1)*31+TDays[[#This Row],[روز]]+1)/7)+1</f>
        <v>42</v>
      </c>
      <c r="Q1749" s="164">
        <f>SUMIF(TArticle[تاریخ],TDays[[#This Row],[تاریخ]],TArticle[تراکنش برنامه ریزی شده])</f>
        <v>0</v>
      </c>
    </row>
    <row r="1750" spans="1:17" x14ac:dyDescent="0.25">
      <c r="A1750" s="3" t="s">
        <v>2333</v>
      </c>
      <c r="B1750" s="164" t="str">
        <f>RIGHT(TDays[[#This Row],[تاریخ]],2)</f>
        <v>13</v>
      </c>
      <c r="C1750" s="164" t="str">
        <f>RIGHT(LEFT(TDays[[#This Row],[تاریخ]],7),2)</f>
        <v>10</v>
      </c>
      <c r="D1750" s="164" t="str">
        <f>LEFT(TDays[[#This Row],[تاریخ]],4)</f>
        <v>1405</v>
      </c>
      <c r="E1750" s="164" t="str">
        <f>LEFT(TDays[[#This Row],[تاریخ]],7)</f>
        <v>1405-10</v>
      </c>
      <c r="F1750">
        <v>0</v>
      </c>
      <c r="G1750" s="165" t="str">
        <f>VLOOKUP(TDays[[#This Row],[کد روز هفته]],TDaysOfTheWeek[],2,FALSE)</f>
        <v>شنبه</v>
      </c>
      <c r="H1750" s="165">
        <f>IFERROR(IF(E1749&lt;&gt;E1750,1,INT(H1749)+IF(TDays[[#This Row],[کد روز هفته]]=0,1,0)),1)</f>
        <v>3</v>
      </c>
      <c r="I1750" s="164">
        <f>-SUMIF(TArticle[تاریخ],TDays[[#This Row],[تاریخ]],TArticle[هزینه])</f>
        <v>0</v>
      </c>
      <c r="J1750" s="164">
        <f>SUMIF(TArticle[تاریخ],TDays[[#This Row],[تاریخ]],TArticle[درآمد تتا])</f>
        <v>0</v>
      </c>
      <c r="K1750" s="164">
        <f>SUMIF(TArticle[تاریخ],TDays[[#This Row],[تاریخ]],TArticle[اسنپ])</f>
        <v>0</v>
      </c>
      <c r="L1750" s="164">
        <f>-SUMIF(TArticle[تاریخ],TDays[[#This Row],[تاریخ]],TArticle[پرداخت بدهی])</f>
        <v>0</v>
      </c>
      <c r="M1750" s="164">
        <f>SUMIF(TArticle[تاریخ],TDays[[#This Row],[تاریخ]],TArticle[افزایش بدهی])</f>
        <v>0</v>
      </c>
      <c r="N1750" s="164">
        <f>-SUMIF(TArticle[تاریخ],TDays[[#This Row],[تاریخ]],TArticle[افزایش سرمایه])</f>
        <v>0</v>
      </c>
      <c r="O1750" s="164">
        <f>SUMIF(TArticle[تاریخ],TDays[[#This Row],[تاریخ]],TArticle[تعداد تراکنش انجام شده])</f>
        <v>0</v>
      </c>
      <c r="P1750" s="164">
        <f>INT(((TDays[[#This Row],[ماه]]-1)*31+TDays[[#This Row],[روز]]+1)/7)+1</f>
        <v>42</v>
      </c>
      <c r="Q1750" s="164">
        <f>SUMIF(TArticle[تاریخ],TDays[[#This Row],[تاریخ]],TArticle[تراکنش برنامه ریزی شده])</f>
        <v>0</v>
      </c>
    </row>
    <row r="1751" spans="1:17" x14ac:dyDescent="0.25">
      <c r="A1751" s="3" t="s">
        <v>2334</v>
      </c>
      <c r="B1751" s="164" t="str">
        <f>RIGHT(TDays[[#This Row],[تاریخ]],2)</f>
        <v>14</v>
      </c>
      <c r="C1751" s="164" t="str">
        <f>RIGHT(LEFT(TDays[[#This Row],[تاریخ]],7),2)</f>
        <v>10</v>
      </c>
      <c r="D1751" s="164" t="str">
        <f>LEFT(TDays[[#This Row],[تاریخ]],4)</f>
        <v>1405</v>
      </c>
      <c r="E1751" s="164" t="str">
        <f>LEFT(TDays[[#This Row],[تاریخ]],7)</f>
        <v>1405-10</v>
      </c>
      <c r="F1751">
        <v>1</v>
      </c>
      <c r="G1751" s="165" t="str">
        <f>VLOOKUP(TDays[[#This Row],[کد روز هفته]],TDaysOfTheWeek[],2,FALSE)</f>
        <v>یکشنبه</v>
      </c>
      <c r="H1751" s="165">
        <f>IFERROR(IF(E1750&lt;&gt;E1751,1,INT(H1750)+IF(TDays[[#This Row],[کد روز هفته]]=0,1,0)),1)</f>
        <v>3</v>
      </c>
      <c r="I1751" s="164">
        <f>-SUMIF(TArticle[تاریخ],TDays[[#This Row],[تاریخ]],TArticle[هزینه])</f>
        <v>0</v>
      </c>
      <c r="J1751" s="164">
        <f>SUMIF(TArticle[تاریخ],TDays[[#This Row],[تاریخ]],TArticle[درآمد تتا])</f>
        <v>0</v>
      </c>
      <c r="K1751" s="164">
        <f>SUMIF(TArticle[تاریخ],TDays[[#This Row],[تاریخ]],TArticle[اسنپ])</f>
        <v>0</v>
      </c>
      <c r="L1751" s="164">
        <f>-SUMIF(TArticle[تاریخ],TDays[[#This Row],[تاریخ]],TArticle[پرداخت بدهی])</f>
        <v>0</v>
      </c>
      <c r="M1751" s="164">
        <f>SUMIF(TArticle[تاریخ],TDays[[#This Row],[تاریخ]],TArticle[افزایش بدهی])</f>
        <v>0</v>
      </c>
      <c r="N1751" s="164">
        <f>-SUMIF(TArticle[تاریخ],TDays[[#This Row],[تاریخ]],TArticle[افزایش سرمایه])</f>
        <v>0</v>
      </c>
      <c r="O1751" s="164">
        <f>SUMIF(TArticle[تاریخ],TDays[[#This Row],[تاریخ]],TArticle[تعداد تراکنش انجام شده])</f>
        <v>0</v>
      </c>
      <c r="P1751" s="164">
        <f>INT(((TDays[[#This Row],[ماه]]-1)*31+TDays[[#This Row],[روز]]+1)/7)+1</f>
        <v>43</v>
      </c>
      <c r="Q1751" s="164">
        <f>SUMIF(TArticle[تاریخ],TDays[[#This Row],[تاریخ]],TArticle[تراکنش برنامه ریزی شده])</f>
        <v>0</v>
      </c>
    </row>
    <row r="1752" spans="1:17" x14ac:dyDescent="0.25">
      <c r="A1752" s="3" t="s">
        <v>2335</v>
      </c>
      <c r="B1752" s="164" t="str">
        <f>RIGHT(TDays[[#This Row],[تاریخ]],2)</f>
        <v>15</v>
      </c>
      <c r="C1752" s="164" t="str">
        <f>RIGHT(LEFT(TDays[[#This Row],[تاریخ]],7),2)</f>
        <v>10</v>
      </c>
      <c r="D1752" s="164" t="str">
        <f>LEFT(TDays[[#This Row],[تاریخ]],4)</f>
        <v>1405</v>
      </c>
      <c r="E1752" s="164" t="str">
        <f>LEFT(TDays[[#This Row],[تاریخ]],7)</f>
        <v>1405-10</v>
      </c>
      <c r="F1752">
        <v>2</v>
      </c>
      <c r="G1752" s="165" t="str">
        <f>VLOOKUP(TDays[[#This Row],[کد روز هفته]],TDaysOfTheWeek[],2,FALSE)</f>
        <v>دوشنبه</v>
      </c>
      <c r="H1752" s="165">
        <f>IFERROR(IF(E1751&lt;&gt;E1752,1,INT(H1751)+IF(TDays[[#This Row],[کد روز هفته]]=0,1,0)),1)</f>
        <v>3</v>
      </c>
      <c r="I1752" s="164">
        <f>-SUMIF(TArticle[تاریخ],TDays[[#This Row],[تاریخ]],TArticle[هزینه])</f>
        <v>0</v>
      </c>
      <c r="J1752" s="164">
        <f>SUMIF(TArticle[تاریخ],TDays[[#This Row],[تاریخ]],TArticle[درآمد تتا])</f>
        <v>0</v>
      </c>
      <c r="K1752" s="164">
        <f>SUMIF(TArticle[تاریخ],TDays[[#This Row],[تاریخ]],TArticle[اسنپ])</f>
        <v>0</v>
      </c>
      <c r="L1752" s="164">
        <f>-SUMIF(TArticle[تاریخ],TDays[[#This Row],[تاریخ]],TArticle[پرداخت بدهی])</f>
        <v>0</v>
      </c>
      <c r="M1752" s="164">
        <f>SUMIF(TArticle[تاریخ],TDays[[#This Row],[تاریخ]],TArticle[افزایش بدهی])</f>
        <v>0</v>
      </c>
      <c r="N1752" s="164">
        <f>-SUMIF(TArticle[تاریخ],TDays[[#This Row],[تاریخ]],TArticle[افزایش سرمایه])</f>
        <v>0</v>
      </c>
      <c r="O1752" s="164">
        <f>SUMIF(TArticle[تاریخ],TDays[[#This Row],[تاریخ]],TArticle[تعداد تراکنش انجام شده])</f>
        <v>0</v>
      </c>
      <c r="P1752" s="164">
        <f>INT(((TDays[[#This Row],[ماه]]-1)*31+TDays[[#This Row],[روز]]+1)/7)+1</f>
        <v>43</v>
      </c>
      <c r="Q1752" s="164">
        <f>SUMIF(TArticle[تاریخ],TDays[[#This Row],[تاریخ]],TArticle[تراکنش برنامه ریزی شده])</f>
        <v>0</v>
      </c>
    </row>
    <row r="1753" spans="1:17" x14ac:dyDescent="0.25">
      <c r="A1753" s="3" t="s">
        <v>2336</v>
      </c>
      <c r="B1753" s="164" t="str">
        <f>RIGHT(TDays[[#This Row],[تاریخ]],2)</f>
        <v>16</v>
      </c>
      <c r="C1753" s="164" t="str">
        <f>RIGHT(LEFT(TDays[[#This Row],[تاریخ]],7),2)</f>
        <v>10</v>
      </c>
      <c r="D1753" s="164" t="str">
        <f>LEFT(TDays[[#This Row],[تاریخ]],4)</f>
        <v>1405</v>
      </c>
      <c r="E1753" s="164" t="str">
        <f>LEFT(TDays[[#This Row],[تاریخ]],7)</f>
        <v>1405-10</v>
      </c>
      <c r="F1753">
        <v>3</v>
      </c>
      <c r="G1753" s="165" t="str">
        <f>VLOOKUP(TDays[[#This Row],[کد روز هفته]],TDaysOfTheWeek[],2,FALSE)</f>
        <v>سه شنبه</v>
      </c>
      <c r="H1753" s="165">
        <f>IFERROR(IF(E1752&lt;&gt;E1753,1,INT(H1752)+IF(TDays[[#This Row],[کد روز هفته]]=0,1,0)),1)</f>
        <v>3</v>
      </c>
      <c r="I1753" s="164">
        <f>-SUMIF(TArticle[تاریخ],TDays[[#This Row],[تاریخ]],TArticle[هزینه])</f>
        <v>0</v>
      </c>
      <c r="J1753" s="164">
        <f>SUMIF(TArticle[تاریخ],TDays[[#This Row],[تاریخ]],TArticle[درآمد تتا])</f>
        <v>0</v>
      </c>
      <c r="K1753" s="164">
        <f>SUMIF(TArticle[تاریخ],TDays[[#This Row],[تاریخ]],TArticle[اسنپ])</f>
        <v>0</v>
      </c>
      <c r="L1753" s="164">
        <f>-SUMIF(TArticle[تاریخ],TDays[[#This Row],[تاریخ]],TArticle[پرداخت بدهی])</f>
        <v>0</v>
      </c>
      <c r="M1753" s="164">
        <f>SUMIF(TArticle[تاریخ],TDays[[#This Row],[تاریخ]],TArticle[افزایش بدهی])</f>
        <v>0</v>
      </c>
      <c r="N1753" s="164">
        <f>-SUMIF(TArticle[تاریخ],TDays[[#This Row],[تاریخ]],TArticle[افزایش سرمایه])</f>
        <v>0</v>
      </c>
      <c r="O1753" s="164">
        <f>SUMIF(TArticle[تاریخ],TDays[[#This Row],[تاریخ]],TArticle[تعداد تراکنش انجام شده])</f>
        <v>0</v>
      </c>
      <c r="P1753" s="164">
        <f>INT(((TDays[[#This Row],[ماه]]-1)*31+TDays[[#This Row],[روز]]+1)/7)+1</f>
        <v>43</v>
      </c>
      <c r="Q1753" s="164">
        <f>SUMIF(TArticle[تاریخ],TDays[[#This Row],[تاریخ]],TArticle[تراکنش برنامه ریزی شده])</f>
        <v>0</v>
      </c>
    </row>
    <row r="1754" spans="1:17" x14ac:dyDescent="0.25">
      <c r="A1754" s="3" t="s">
        <v>2337</v>
      </c>
      <c r="B1754" s="164" t="str">
        <f>RIGHT(TDays[[#This Row],[تاریخ]],2)</f>
        <v>17</v>
      </c>
      <c r="C1754" s="164" t="str">
        <f>RIGHT(LEFT(TDays[[#This Row],[تاریخ]],7),2)</f>
        <v>10</v>
      </c>
      <c r="D1754" s="164" t="str">
        <f>LEFT(TDays[[#This Row],[تاریخ]],4)</f>
        <v>1405</v>
      </c>
      <c r="E1754" s="164" t="str">
        <f>LEFT(TDays[[#This Row],[تاریخ]],7)</f>
        <v>1405-10</v>
      </c>
      <c r="F1754">
        <v>4</v>
      </c>
      <c r="G1754" s="165" t="str">
        <f>VLOOKUP(TDays[[#This Row],[کد روز هفته]],TDaysOfTheWeek[],2,FALSE)</f>
        <v>چهارشنبه</v>
      </c>
      <c r="H1754" s="165">
        <f>IFERROR(IF(E1753&lt;&gt;E1754,1,INT(H1753)+IF(TDays[[#This Row],[کد روز هفته]]=0,1,0)),1)</f>
        <v>3</v>
      </c>
      <c r="I1754" s="164">
        <f>-SUMIF(TArticle[تاریخ],TDays[[#This Row],[تاریخ]],TArticle[هزینه])</f>
        <v>0</v>
      </c>
      <c r="J1754" s="164">
        <f>SUMIF(TArticle[تاریخ],TDays[[#This Row],[تاریخ]],TArticle[درآمد تتا])</f>
        <v>0</v>
      </c>
      <c r="K1754" s="164">
        <f>SUMIF(TArticle[تاریخ],TDays[[#This Row],[تاریخ]],TArticle[اسنپ])</f>
        <v>0</v>
      </c>
      <c r="L1754" s="164">
        <f>-SUMIF(TArticle[تاریخ],TDays[[#This Row],[تاریخ]],TArticle[پرداخت بدهی])</f>
        <v>0</v>
      </c>
      <c r="M1754" s="164">
        <f>SUMIF(TArticle[تاریخ],TDays[[#This Row],[تاریخ]],TArticle[افزایش بدهی])</f>
        <v>0</v>
      </c>
      <c r="N1754" s="164">
        <f>-SUMIF(TArticle[تاریخ],TDays[[#This Row],[تاریخ]],TArticle[افزایش سرمایه])</f>
        <v>0</v>
      </c>
      <c r="O1754" s="164">
        <f>SUMIF(TArticle[تاریخ],TDays[[#This Row],[تاریخ]],TArticle[تعداد تراکنش انجام شده])</f>
        <v>0</v>
      </c>
      <c r="P1754" s="164">
        <f>INT(((TDays[[#This Row],[ماه]]-1)*31+TDays[[#This Row],[روز]]+1)/7)+1</f>
        <v>43</v>
      </c>
      <c r="Q1754" s="164">
        <f>SUMIF(TArticle[تاریخ],TDays[[#This Row],[تاریخ]],TArticle[تراکنش برنامه ریزی شده])</f>
        <v>0</v>
      </c>
    </row>
    <row r="1755" spans="1:17" x14ac:dyDescent="0.25">
      <c r="A1755" s="3" t="s">
        <v>2338</v>
      </c>
      <c r="B1755" s="164" t="str">
        <f>RIGHT(TDays[[#This Row],[تاریخ]],2)</f>
        <v>18</v>
      </c>
      <c r="C1755" s="164" t="str">
        <f>RIGHT(LEFT(TDays[[#This Row],[تاریخ]],7),2)</f>
        <v>10</v>
      </c>
      <c r="D1755" s="164" t="str">
        <f>LEFT(TDays[[#This Row],[تاریخ]],4)</f>
        <v>1405</v>
      </c>
      <c r="E1755" s="164" t="str">
        <f>LEFT(TDays[[#This Row],[تاریخ]],7)</f>
        <v>1405-10</v>
      </c>
      <c r="F1755">
        <v>5</v>
      </c>
      <c r="G1755" s="165" t="str">
        <f>VLOOKUP(TDays[[#This Row],[کد روز هفته]],TDaysOfTheWeek[],2,FALSE)</f>
        <v>پنجشنبه</v>
      </c>
      <c r="H1755" s="165">
        <f>IFERROR(IF(E1754&lt;&gt;E1755,1,INT(H1754)+IF(TDays[[#This Row],[کد روز هفته]]=0,1,0)),1)</f>
        <v>3</v>
      </c>
      <c r="I1755" s="164">
        <f>-SUMIF(TArticle[تاریخ],TDays[[#This Row],[تاریخ]],TArticle[هزینه])</f>
        <v>0</v>
      </c>
      <c r="J1755" s="164">
        <f>SUMIF(TArticle[تاریخ],TDays[[#This Row],[تاریخ]],TArticle[درآمد تتا])</f>
        <v>0</v>
      </c>
      <c r="K1755" s="164">
        <f>SUMIF(TArticle[تاریخ],TDays[[#This Row],[تاریخ]],TArticle[اسنپ])</f>
        <v>0</v>
      </c>
      <c r="L1755" s="164">
        <f>-SUMIF(TArticle[تاریخ],TDays[[#This Row],[تاریخ]],TArticle[پرداخت بدهی])</f>
        <v>0</v>
      </c>
      <c r="M1755" s="164">
        <f>SUMIF(TArticle[تاریخ],TDays[[#This Row],[تاریخ]],TArticle[افزایش بدهی])</f>
        <v>0</v>
      </c>
      <c r="N1755" s="164">
        <f>-SUMIF(TArticle[تاریخ],TDays[[#This Row],[تاریخ]],TArticle[افزایش سرمایه])</f>
        <v>0</v>
      </c>
      <c r="O1755" s="164">
        <f>SUMIF(TArticle[تاریخ],TDays[[#This Row],[تاریخ]],TArticle[تعداد تراکنش انجام شده])</f>
        <v>0</v>
      </c>
      <c r="P1755" s="164">
        <f>INT(((TDays[[#This Row],[ماه]]-1)*31+TDays[[#This Row],[روز]]+1)/7)+1</f>
        <v>43</v>
      </c>
      <c r="Q1755" s="164">
        <f>SUMIF(TArticle[تاریخ],TDays[[#This Row],[تاریخ]],TArticle[تراکنش برنامه ریزی شده])</f>
        <v>0</v>
      </c>
    </row>
    <row r="1756" spans="1:17" x14ac:dyDescent="0.25">
      <c r="A1756" s="3" t="s">
        <v>2339</v>
      </c>
      <c r="B1756" s="164" t="str">
        <f>RIGHT(TDays[[#This Row],[تاریخ]],2)</f>
        <v>19</v>
      </c>
      <c r="C1756" s="164" t="str">
        <f>RIGHT(LEFT(TDays[[#This Row],[تاریخ]],7),2)</f>
        <v>10</v>
      </c>
      <c r="D1756" s="164" t="str">
        <f>LEFT(TDays[[#This Row],[تاریخ]],4)</f>
        <v>1405</v>
      </c>
      <c r="E1756" s="164" t="str">
        <f>LEFT(TDays[[#This Row],[تاریخ]],7)</f>
        <v>1405-10</v>
      </c>
      <c r="F1756">
        <v>6</v>
      </c>
      <c r="G1756" s="165" t="str">
        <f>VLOOKUP(TDays[[#This Row],[کد روز هفته]],TDaysOfTheWeek[],2,FALSE)</f>
        <v>جمعه</v>
      </c>
      <c r="H1756" s="165">
        <f>IFERROR(IF(E1755&lt;&gt;E1756,1,INT(H1755)+IF(TDays[[#This Row],[کد روز هفته]]=0,1,0)),1)</f>
        <v>3</v>
      </c>
      <c r="I1756" s="164">
        <f>-SUMIF(TArticle[تاریخ],TDays[[#This Row],[تاریخ]],TArticle[هزینه])</f>
        <v>0</v>
      </c>
      <c r="J1756" s="164">
        <f>SUMIF(TArticle[تاریخ],TDays[[#This Row],[تاریخ]],TArticle[درآمد تتا])</f>
        <v>0</v>
      </c>
      <c r="K1756" s="164">
        <f>SUMIF(TArticle[تاریخ],TDays[[#This Row],[تاریخ]],TArticle[اسنپ])</f>
        <v>0</v>
      </c>
      <c r="L1756" s="164">
        <f>-SUMIF(TArticle[تاریخ],TDays[[#This Row],[تاریخ]],TArticle[پرداخت بدهی])</f>
        <v>0</v>
      </c>
      <c r="M1756" s="164">
        <f>SUMIF(TArticle[تاریخ],TDays[[#This Row],[تاریخ]],TArticle[افزایش بدهی])</f>
        <v>0</v>
      </c>
      <c r="N1756" s="164">
        <f>-SUMIF(TArticle[تاریخ],TDays[[#This Row],[تاریخ]],TArticle[افزایش سرمایه])</f>
        <v>0</v>
      </c>
      <c r="O1756" s="164">
        <f>SUMIF(TArticle[تاریخ],TDays[[#This Row],[تاریخ]],TArticle[تعداد تراکنش انجام شده])</f>
        <v>0</v>
      </c>
      <c r="P1756" s="164">
        <f>INT(((TDays[[#This Row],[ماه]]-1)*31+TDays[[#This Row],[روز]]+1)/7)+1</f>
        <v>43</v>
      </c>
      <c r="Q1756" s="164">
        <f>SUMIF(TArticle[تاریخ],TDays[[#This Row],[تاریخ]],TArticle[تراکنش برنامه ریزی شده])</f>
        <v>0</v>
      </c>
    </row>
    <row r="1757" spans="1:17" x14ac:dyDescent="0.25">
      <c r="A1757" s="3" t="s">
        <v>2340</v>
      </c>
      <c r="B1757" s="164" t="str">
        <f>RIGHT(TDays[[#This Row],[تاریخ]],2)</f>
        <v>20</v>
      </c>
      <c r="C1757" s="164" t="str">
        <f>RIGHT(LEFT(TDays[[#This Row],[تاریخ]],7),2)</f>
        <v>10</v>
      </c>
      <c r="D1757" s="164" t="str">
        <f>LEFT(TDays[[#This Row],[تاریخ]],4)</f>
        <v>1405</v>
      </c>
      <c r="E1757" s="164" t="str">
        <f>LEFT(TDays[[#This Row],[تاریخ]],7)</f>
        <v>1405-10</v>
      </c>
      <c r="F1757">
        <v>0</v>
      </c>
      <c r="G1757" s="165" t="str">
        <f>VLOOKUP(TDays[[#This Row],[کد روز هفته]],TDaysOfTheWeek[],2,FALSE)</f>
        <v>شنبه</v>
      </c>
      <c r="H1757" s="165">
        <f>IFERROR(IF(E1756&lt;&gt;E1757,1,INT(H1756)+IF(TDays[[#This Row],[کد روز هفته]]=0,1,0)),1)</f>
        <v>4</v>
      </c>
      <c r="I1757" s="164">
        <f>-SUMIF(TArticle[تاریخ],TDays[[#This Row],[تاریخ]],TArticle[هزینه])</f>
        <v>0</v>
      </c>
      <c r="J1757" s="164">
        <f>SUMIF(TArticle[تاریخ],TDays[[#This Row],[تاریخ]],TArticle[درآمد تتا])</f>
        <v>0</v>
      </c>
      <c r="K1757" s="164">
        <f>SUMIF(TArticle[تاریخ],TDays[[#This Row],[تاریخ]],TArticle[اسنپ])</f>
        <v>0</v>
      </c>
      <c r="L1757" s="164">
        <f>-SUMIF(TArticle[تاریخ],TDays[[#This Row],[تاریخ]],TArticle[پرداخت بدهی])</f>
        <v>0</v>
      </c>
      <c r="M1757" s="164">
        <f>SUMIF(TArticle[تاریخ],TDays[[#This Row],[تاریخ]],TArticle[افزایش بدهی])</f>
        <v>0</v>
      </c>
      <c r="N1757" s="164">
        <f>-SUMIF(TArticle[تاریخ],TDays[[#This Row],[تاریخ]],TArticle[افزایش سرمایه])</f>
        <v>0</v>
      </c>
      <c r="O1757" s="164">
        <f>SUMIF(TArticle[تاریخ],TDays[[#This Row],[تاریخ]],TArticle[تعداد تراکنش انجام شده])</f>
        <v>0</v>
      </c>
      <c r="P1757" s="164">
        <f>INT(((TDays[[#This Row],[ماه]]-1)*31+TDays[[#This Row],[روز]]+1)/7)+1</f>
        <v>43</v>
      </c>
      <c r="Q1757" s="164">
        <f>SUMIF(TArticle[تاریخ],TDays[[#This Row],[تاریخ]],TArticle[تراکنش برنامه ریزی شده])</f>
        <v>0</v>
      </c>
    </row>
    <row r="1758" spans="1:17" x14ac:dyDescent="0.25">
      <c r="A1758" s="3" t="s">
        <v>2341</v>
      </c>
      <c r="B1758" s="164" t="str">
        <f>RIGHT(TDays[[#This Row],[تاریخ]],2)</f>
        <v>21</v>
      </c>
      <c r="C1758" s="164" t="str">
        <f>RIGHT(LEFT(TDays[[#This Row],[تاریخ]],7),2)</f>
        <v>10</v>
      </c>
      <c r="D1758" s="164" t="str">
        <f>LEFT(TDays[[#This Row],[تاریخ]],4)</f>
        <v>1405</v>
      </c>
      <c r="E1758" s="164" t="str">
        <f>LEFT(TDays[[#This Row],[تاریخ]],7)</f>
        <v>1405-10</v>
      </c>
      <c r="F1758">
        <v>1</v>
      </c>
      <c r="G1758" s="165" t="str">
        <f>VLOOKUP(TDays[[#This Row],[کد روز هفته]],TDaysOfTheWeek[],2,FALSE)</f>
        <v>یکشنبه</v>
      </c>
      <c r="H1758" s="165">
        <f>IFERROR(IF(E1757&lt;&gt;E1758,1,INT(H1757)+IF(TDays[[#This Row],[کد روز هفته]]=0,1,0)),1)</f>
        <v>4</v>
      </c>
      <c r="I1758" s="164">
        <f>-SUMIF(TArticle[تاریخ],TDays[[#This Row],[تاریخ]],TArticle[هزینه])</f>
        <v>0</v>
      </c>
      <c r="J1758" s="164">
        <f>SUMIF(TArticle[تاریخ],TDays[[#This Row],[تاریخ]],TArticle[درآمد تتا])</f>
        <v>0</v>
      </c>
      <c r="K1758" s="164">
        <f>SUMIF(TArticle[تاریخ],TDays[[#This Row],[تاریخ]],TArticle[اسنپ])</f>
        <v>0</v>
      </c>
      <c r="L1758" s="164">
        <f>-SUMIF(TArticle[تاریخ],TDays[[#This Row],[تاریخ]],TArticle[پرداخت بدهی])</f>
        <v>0</v>
      </c>
      <c r="M1758" s="164">
        <f>SUMIF(TArticle[تاریخ],TDays[[#This Row],[تاریخ]],TArticle[افزایش بدهی])</f>
        <v>0</v>
      </c>
      <c r="N1758" s="164">
        <f>-SUMIF(TArticle[تاریخ],TDays[[#This Row],[تاریخ]],TArticle[افزایش سرمایه])</f>
        <v>0</v>
      </c>
      <c r="O1758" s="164">
        <f>SUMIF(TArticle[تاریخ],TDays[[#This Row],[تاریخ]],TArticle[تعداد تراکنش انجام شده])</f>
        <v>0</v>
      </c>
      <c r="P1758" s="164">
        <f>INT(((TDays[[#This Row],[ماه]]-1)*31+TDays[[#This Row],[روز]]+1)/7)+1</f>
        <v>44</v>
      </c>
      <c r="Q1758" s="164">
        <f>SUMIF(TArticle[تاریخ],TDays[[#This Row],[تاریخ]],TArticle[تراکنش برنامه ریزی شده])</f>
        <v>0</v>
      </c>
    </row>
    <row r="1759" spans="1:17" x14ac:dyDescent="0.25">
      <c r="A1759" s="3" t="s">
        <v>2342</v>
      </c>
      <c r="B1759" s="164" t="str">
        <f>RIGHT(TDays[[#This Row],[تاریخ]],2)</f>
        <v>22</v>
      </c>
      <c r="C1759" s="164" t="str">
        <f>RIGHT(LEFT(TDays[[#This Row],[تاریخ]],7),2)</f>
        <v>10</v>
      </c>
      <c r="D1759" s="164" t="str">
        <f>LEFT(TDays[[#This Row],[تاریخ]],4)</f>
        <v>1405</v>
      </c>
      <c r="E1759" s="164" t="str">
        <f>LEFT(TDays[[#This Row],[تاریخ]],7)</f>
        <v>1405-10</v>
      </c>
      <c r="F1759">
        <v>2</v>
      </c>
      <c r="G1759" s="165" t="str">
        <f>VLOOKUP(TDays[[#This Row],[کد روز هفته]],TDaysOfTheWeek[],2,FALSE)</f>
        <v>دوشنبه</v>
      </c>
      <c r="H1759" s="165">
        <f>IFERROR(IF(E1758&lt;&gt;E1759,1,INT(H1758)+IF(TDays[[#This Row],[کد روز هفته]]=0,1,0)),1)</f>
        <v>4</v>
      </c>
      <c r="I1759" s="164">
        <f>-SUMIF(TArticle[تاریخ],TDays[[#This Row],[تاریخ]],TArticle[هزینه])</f>
        <v>0</v>
      </c>
      <c r="J1759" s="164">
        <f>SUMIF(TArticle[تاریخ],TDays[[#This Row],[تاریخ]],TArticle[درآمد تتا])</f>
        <v>0</v>
      </c>
      <c r="K1759" s="164">
        <f>SUMIF(TArticle[تاریخ],TDays[[#This Row],[تاریخ]],TArticle[اسنپ])</f>
        <v>0</v>
      </c>
      <c r="L1759" s="164">
        <f>-SUMIF(TArticle[تاریخ],TDays[[#This Row],[تاریخ]],TArticle[پرداخت بدهی])</f>
        <v>0</v>
      </c>
      <c r="M1759" s="164">
        <f>SUMIF(TArticle[تاریخ],TDays[[#This Row],[تاریخ]],TArticle[افزایش بدهی])</f>
        <v>0</v>
      </c>
      <c r="N1759" s="164">
        <f>-SUMIF(TArticle[تاریخ],TDays[[#This Row],[تاریخ]],TArticle[افزایش سرمایه])</f>
        <v>0</v>
      </c>
      <c r="O1759" s="164">
        <f>SUMIF(TArticle[تاریخ],TDays[[#This Row],[تاریخ]],TArticle[تعداد تراکنش انجام شده])</f>
        <v>0</v>
      </c>
      <c r="P1759" s="164">
        <f>INT(((TDays[[#This Row],[ماه]]-1)*31+TDays[[#This Row],[روز]]+1)/7)+1</f>
        <v>44</v>
      </c>
      <c r="Q1759" s="164">
        <f>SUMIF(TArticle[تاریخ],TDays[[#This Row],[تاریخ]],TArticle[تراکنش برنامه ریزی شده])</f>
        <v>0</v>
      </c>
    </row>
    <row r="1760" spans="1:17" x14ac:dyDescent="0.25">
      <c r="A1760" s="3" t="s">
        <v>2343</v>
      </c>
      <c r="B1760" s="164" t="str">
        <f>RIGHT(TDays[[#This Row],[تاریخ]],2)</f>
        <v>23</v>
      </c>
      <c r="C1760" s="164" t="str">
        <f>RIGHT(LEFT(TDays[[#This Row],[تاریخ]],7),2)</f>
        <v>10</v>
      </c>
      <c r="D1760" s="164" t="str">
        <f>LEFT(TDays[[#This Row],[تاریخ]],4)</f>
        <v>1405</v>
      </c>
      <c r="E1760" s="164" t="str">
        <f>LEFT(TDays[[#This Row],[تاریخ]],7)</f>
        <v>1405-10</v>
      </c>
      <c r="F1760">
        <v>3</v>
      </c>
      <c r="G1760" s="165" t="str">
        <f>VLOOKUP(TDays[[#This Row],[کد روز هفته]],TDaysOfTheWeek[],2,FALSE)</f>
        <v>سه شنبه</v>
      </c>
      <c r="H1760" s="165">
        <f>IFERROR(IF(E1759&lt;&gt;E1760,1,INT(H1759)+IF(TDays[[#This Row],[کد روز هفته]]=0,1,0)),1)</f>
        <v>4</v>
      </c>
      <c r="I1760" s="164">
        <f>-SUMIF(TArticle[تاریخ],TDays[[#This Row],[تاریخ]],TArticle[هزینه])</f>
        <v>0</v>
      </c>
      <c r="J1760" s="164">
        <f>SUMIF(TArticle[تاریخ],TDays[[#This Row],[تاریخ]],TArticle[درآمد تتا])</f>
        <v>0</v>
      </c>
      <c r="K1760" s="164">
        <f>SUMIF(TArticle[تاریخ],TDays[[#This Row],[تاریخ]],TArticle[اسنپ])</f>
        <v>0</v>
      </c>
      <c r="L1760" s="164">
        <f>-SUMIF(TArticle[تاریخ],TDays[[#This Row],[تاریخ]],TArticle[پرداخت بدهی])</f>
        <v>0</v>
      </c>
      <c r="M1760" s="164">
        <f>SUMIF(TArticle[تاریخ],TDays[[#This Row],[تاریخ]],TArticle[افزایش بدهی])</f>
        <v>0</v>
      </c>
      <c r="N1760" s="164">
        <f>-SUMIF(TArticle[تاریخ],TDays[[#This Row],[تاریخ]],TArticle[افزایش سرمایه])</f>
        <v>0</v>
      </c>
      <c r="O1760" s="164">
        <f>SUMIF(TArticle[تاریخ],TDays[[#This Row],[تاریخ]],TArticle[تعداد تراکنش انجام شده])</f>
        <v>0</v>
      </c>
      <c r="P1760" s="164">
        <f>INT(((TDays[[#This Row],[ماه]]-1)*31+TDays[[#This Row],[روز]]+1)/7)+1</f>
        <v>44</v>
      </c>
      <c r="Q1760" s="164">
        <f>SUMIF(TArticle[تاریخ],TDays[[#This Row],[تاریخ]],TArticle[تراکنش برنامه ریزی شده])</f>
        <v>0</v>
      </c>
    </row>
    <row r="1761" spans="1:17" x14ac:dyDescent="0.25">
      <c r="A1761" s="3" t="s">
        <v>2344</v>
      </c>
      <c r="B1761" s="164" t="str">
        <f>RIGHT(TDays[[#This Row],[تاریخ]],2)</f>
        <v>24</v>
      </c>
      <c r="C1761" s="164" t="str">
        <f>RIGHT(LEFT(TDays[[#This Row],[تاریخ]],7),2)</f>
        <v>10</v>
      </c>
      <c r="D1761" s="164" t="str">
        <f>LEFT(TDays[[#This Row],[تاریخ]],4)</f>
        <v>1405</v>
      </c>
      <c r="E1761" s="164" t="str">
        <f>LEFT(TDays[[#This Row],[تاریخ]],7)</f>
        <v>1405-10</v>
      </c>
      <c r="F1761">
        <v>4</v>
      </c>
      <c r="G1761" s="165" t="str">
        <f>VLOOKUP(TDays[[#This Row],[کد روز هفته]],TDaysOfTheWeek[],2,FALSE)</f>
        <v>چهارشنبه</v>
      </c>
      <c r="H1761" s="165">
        <f>IFERROR(IF(E1760&lt;&gt;E1761,1,INT(H1760)+IF(TDays[[#This Row],[کد روز هفته]]=0,1,0)),1)</f>
        <v>4</v>
      </c>
      <c r="I1761" s="164">
        <f>-SUMIF(TArticle[تاریخ],TDays[[#This Row],[تاریخ]],TArticle[هزینه])</f>
        <v>0</v>
      </c>
      <c r="J1761" s="164">
        <f>SUMIF(TArticle[تاریخ],TDays[[#This Row],[تاریخ]],TArticle[درآمد تتا])</f>
        <v>0</v>
      </c>
      <c r="K1761" s="164">
        <f>SUMIF(TArticle[تاریخ],TDays[[#This Row],[تاریخ]],TArticle[اسنپ])</f>
        <v>0</v>
      </c>
      <c r="L1761" s="164">
        <f>-SUMIF(TArticle[تاریخ],TDays[[#This Row],[تاریخ]],TArticle[پرداخت بدهی])</f>
        <v>0</v>
      </c>
      <c r="M1761" s="164">
        <f>SUMIF(TArticle[تاریخ],TDays[[#This Row],[تاریخ]],TArticle[افزایش بدهی])</f>
        <v>0</v>
      </c>
      <c r="N1761" s="164">
        <f>-SUMIF(TArticle[تاریخ],TDays[[#This Row],[تاریخ]],TArticle[افزایش سرمایه])</f>
        <v>0</v>
      </c>
      <c r="O1761" s="164">
        <f>SUMIF(TArticle[تاریخ],TDays[[#This Row],[تاریخ]],TArticle[تعداد تراکنش انجام شده])</f>
        <v>0</v>
      </c>
      <c r="P1761" s="164">
        <f>INT(((TDays[[#This Row],[ماه]]-1)*31+TDays[[#This Row],[روز]]+1)/7)+1</f>
        <v>44</v>
      </c>
      <c r="Q1761" s="164">
        <f>SUMIF(TArticle[تاریخ],TDays[[#This Row],[تاریخ]],TArticle[تراکنش برنامه ریزی شده])</f>
        <v>0</v>
      </c>
    </row>
    <row r="1762" spans="1:17" x14ac:dyDescent="0.25">
      <c r="A1762" s="3" t="s">
        <v>2345</v>
      </c>
      <c r="B1762" s="164" t="str">
        <f>RIGHT(TDays[[#This Row],[تاریخ]],2)</f>
        <v>25</v>
      </c>
      <c r="C1762" s="164" t="str">
        <f>RIGHT(LEFT(TDays[[#This Row],[تاریخ]],7),2)</f>
        <v>10</v>
      </c>
      <c r="D1762" s="164" t="str">
        <f>LEFT(TDays[[#This Row],[تاریخ]],4)</f>
        <v>1405</v>
      </c>
      <c r="E1762" s="164" t="str">
        <f>LEFT(TDays[[#This Row],[تاریخ]],7)</f>
        <v>1405-10</v>
      </c>
      <c r="F1762">
        <v>5</v>
      </c>
      <c r="G1762" s="165" t="str">
        <f>VLOOKUP(TDays[[#This Row],[کد روز هفته]],TDaysOfTheWeek[],2,FALSE)</f>
        <v>پنجشنبه</v>
      </c>
      <c r="H1762" s="165">
        <f>IFERROR(IF(E1761&lt;&gt;E1762,1,INT(H1761)+IF(TDays[[#This Row],[کد روز هفته]]=0,1,0)),1)</f>
        <v>4</v>
      </c>
      <c r="I1762" s="164">
        <f>-SUMIF(TArticle[تاریخ],TDays[[#This Row],[تاریخ]],TArticle[هزینه])</f>
        <v>0</v>
      </c>
      <c r="J1762" s="164">
        <f>SUMIF(TArticle[تاریخ],TDays[[#This Row],[تاریخ]],TArticle[درآمد تتا])</f>
        <v>0</v>
      </c>
      <c r="K1762" s="164">
        <f>SUMIF(TArticle[تاریخ],TDays[[#This Row],[تاریخ]],TArticle[اسنپ])</f>
        <v>0</v>
      </c>
      <c r="L1762" s="164">
        <f>-SUMIF(TArticle[تاریخ],TDays[[#This Row],[تاریخ]],TArticle[پرداخت بدهی])</f>
        <v>0</v>
      </c>
      <c r="M1762" s="164">
        <f>SUMIF(TArticle[تاریخ],TDays[[#This Row],[تاریخ]],TArticle[افزایش بدهی])</f>
        <v>0</v>
      </c>
      <c r="N1762" s="164">
        <f>-SUMIF(TArticle[تاریخ],TDays[[#This Row],[تاریخ]],TArticle[افزایش سرمایه])</f>
        <v>0</v>
      </c>
      <c r="O1762" s="164">
        <f>SUMIF(TArticle[تاریخ],TDays[[#This Row],[تاریخ]],TArticle[تعداد تراکنش انجام شده])</f>
        <v>0</v>
      </c>
      <c r="P1762" s="164">
        <f>INT(((TDays[[#This Row],[ماه]]-1)*31+TDays[[#This Row],[روز]]+1)/7)+1</f>
        <v>44</v>
      </c>
      <c r="Q1762" s="164">
        <f>SUMIF(TArticle[تاریخ],TDays[[#This Row],[تاریخ]],TArticle[تراکنش برنامه ریزی شده])</f>
        <v>0</v>
      </c>
    </row>
    <row r="1763" spans="1:17" x14ac:dyDescent="0.25">
      <c r="A1763" s="3" t="s">
        <v>2346</v>
      </c>
      <c r="B1763" s="164" t="str">
        <f>RIGHT(TDays[[#This Row],[تاریخ]],2)</f>
        <v>26</v>
      </c>
      <c r="C1763" s="164" t="str">
        <f>RIGHT(LEFT(TDays[[#This Row],[تاریخ]],7),2)</f>
        <v>10</v>
      </c>
      <c r="D1763" s="164" t="str">
        <f>LEFT(TDays[[#This Row],[تاریخ]],4)</f>
        <v>1405</v>
      </c>
      <c r="E1763" s="164" t="str">
        <f>LEFT(TDays[[#This Row],[تاریخ]],7)</f>
        <v>1405-10</v>
      </c>
      <c r="F1763">
        <v>6</v>
      </c>
      <c r="G1763" s="165" t="str">
        <f>VLOOKUP(TDays[[#This Row],[کد روز هفته]],TDaysOfTheWeek[],2,FALSE)</f>
        <v>جمعه</v>
      </c>
      <c r="H1763" s="165">
        <f>IFERROR(IF(E1762&lt;&gt;E1763,1,INT(H1762)+IF(TDays[[#This Row],[کد روز هفته]]=0,1,0)),1)</f>
        <v>4</v>
      </c>
      <c r="I1763" s="164">
        <f>-SUMIF(TArticle[تاریخ],TDays[[#This Row],[تاریخ]],TArticle[هزینه])</f>
        <v>0</v>
      </c>
      <c r="J1763" s="164">
        <f>SUMIF(TArticle[تاریخ],TDays[[#This Row],[تاریخ]],TArticle[درآمد تتا])</f>
        <v>0</v>
      </c>
      <c r="K1763" s="164">
        <f>SUMIF(TArticle[تاریخ],TDays[[#This Row],[تاریخ]],TArticle[اسنپ])</f>
        <v>0</v>
      </c>
      <c r="L1763" s="164">
        <f>-SUMIF(TArticle[تاریخ],TDays[[#This Row],[تاریخ]],TArticle[پرداخت بدهی])</f>
        <v>0</v>
      </c>
      <c r="M1763" s="164">
        <f>SUMIF(TArticle[تاریخ],TDays[[#This Row],[تاریخ]],TArticle[افزایش بدهی])</f>
        <v>0</v>
      </c>
      <c r="N1763" s="164">
        <f>-SUMIF(TArticle[تاریخ],TDays[[#This Row],[تاریخ]],TArticle[افزایش سرمایه])</f>
        <v>0</v>
      </c>
      <c r="O1763" s="164">
        <f>SUMIF(TArticle[تاریخ],TDays[[#This Row],[تاریخ]],TArticle[تعداد تراکنش انجام شده])</f>
        <v>0</v>
      </c>
      <c r="P1763" s="164">
        <f>INT(((TDays[[#This Row],[ماه]]-1)*31+TDays[[#This Row],[روز]]+1)/7)+1</f>
        <v>44</v>
      </c>
      <c r="Q1763" s="164">
        <f>SUMIF(TArticle[تاریخ],TDays[[#This Row],[تاریخ]],TArticle[تراکنش برنامه ریزی شده])</f>
        <v>0</v>
      </c>
    </row>
    <row r="1764" spans="1:17" x14ac:dyDescent="0.25">
      <c r="A1764" s="3" t="s">
        <v>2347</v>
      </c>
      <c r="B1764" s="164" t="str">
        <f>RIGHT(TDays[[#This Row],[تاریخ]],2)</f>
        <v>27</v>
      </c>
      <c r="C1764" s="164" t="str">
        <f>RIGHT(LEFT(TDays[[#This Row],[تاریخ]],7),2)</f>
        <v>10</v>
      </c>
      <c r="D1764" s="164" t="str">
        <f>LEFT(TDays[[#This Row],[تاریخ]],4)</f>
        <v>1405</v>
      </c>
      <c r="E1764" s="164" t="str">
        <f>LEFT(TDays[[#This Row],[تاریخ]],7)</f>
        <v>1405-10</v>
      </c>
      <c r="F1764">
        <v>0</v>
      </c>
      <c r="G1764" s="165" t="str">
        <f>VLOOKUP(TDays[[#This Row],[کد روز هفته]],TDaysOfTheWeek[],2,FALSE)</f>
        <v>شنبه</v>
      </c>
      <c r="H1764" s="165">
        <f>IFERROR(IF(E1763&lt;&gt;E1764,1,INT(H1763)+IF(TDays[[#This Row],[کد روز هفته]]=0,1,0)),1)</f>
        <v>5</v>
      </c>
      <c r="I1764" s="164">
        <f>-SUMIF(TArticle[تاریخ],TDays[[#This Row],[تاریخ]],TArticle[هزینه])</f>
        <v>0</v>
      </c>
      <c r="J1764" s="164">
        <f>SUMIF(TArticle[تاریخ],TDays[[#This Row],[تاریخ]],TArticle[درآمد تتا])</f>
        <v>0</v>
      </c>
      <c r="K1764" s="164">
        <f>SUMIF(TArticle[تاریخ],TDays[[#This Row],[تاریخ]],TArticle[اسنپ])</f>
        <v>0</v>
      </c>
      <c r="L1764" s="164">
        <f>-SUMIF(TArticle[تاریخ],TDays[[#This Row],[تاریخ]],TArticle[پرداخت بدهی])</f>
        <v>0</v>
      </c>
      <c r="M1764" s="164">
        <f>SUMIF(TArticle[تاریخ],TDays[[#This Row],[تاریخ]],TArticle[افزایش بدهی])</f>
        <v>0</v>
      </c>
      <c r="N1764" s="164">
        <f>-SUMIF(TArticle[تاریخ],TDays[[#This Row],[تاریخ]],TArticle[افزایش سرمایه])</f>
        <v>0</v>
      </c>
      <c r="O1764" s="164">
        <f>SUMIF(TArticle[تاریخ],TDays[[#This Row],[تاریخ]],TArticle[تعداد تراکنش انجام شده])</f>
        <v>0</v>
      </c>
      <c r="P1764" s="164">
        <f>INT(((TDays[[#This Row],[ماه]]-1)*31+TDays[[#This Row],[روز]]+1)/7)+1</f>
        <v>44</v>
      </c>
      <c r="Q1764" s="164">
        <f>SUMIF(TArticle[تاریخ],TDays[[#This Row],[تاریخ]],TArticle[تراکنش برنامه ریزی شده])</f>
        <v>0</v>
      </c>
    </row>
    <row r="1765" spans="1:17" x14ac:dyDescent="0.25">
      <c r="A1765" s="3" t="s">
        <v>2348</v>
      </c>
      <c r="B1765" s="164" t="str">
        <f>RIGHT(TDays[[#This Row],[تاریخ]],2)</f>
        <v>28</v>
      </c>
      <c r="C1765" s="164" t="str">
        <f>RIGHT(LEFT(TDays[[#This Row],[تاریخ]],7),2)</f>
        <v>10</v>
      </c>
      <c r="D1765" s="164" t="str">
        <f>LEFT(TDays[[#This Row],[تاریخ]],4)</f>
        <v>1405</v>
      </c>
      <c r="E1765" s="164" t="str">
        <f>LEFT(TDays[[#This Row],[تاریخ]],7)</f>
        <v>1405-10</v>
      </c>
      <c r="F1765">
        <v>1</v>
      </c>
      <c r="G1765" s="165" t="str">
        <f>VLOOKUP(TDays[[#This Row],[کد روز هفته]],TDaysOfTheWeek[],2,FALSE)</f>
        <v>یکشنبه</v>
      </c>
      <c r="H1765" s="165">
        <f>IFERROR(IF(E1764&lt;&gt;E1765,1,INT(H1764)+IF(TDays[[#This Row],[کد روز هفته]]=0,1,0)),1)</f>
        <v>5</v>
      </c>
      <c r="I1765" s="164">
        <f>-SUMIF(TArticle[تاریخ],TDays[[#This Row],[تاریخ]],TArticle[هزینه])</f>
        <v>0</v>
      </c>
      <c r="J1765" s="164">
        <f>SUMIF(TArticle[تاریخ],TDays[[#This Row],[تاریخ]],TArticle[درآمد تتا])</f>
        <v>0</v>
      </c>
      <c r="K1765" s="164">
        <f>SUMIF(TArticle[تاریخ],TDays[[#This Row],[تاریخ]],TArticle[اسنپ])</f>
        <v>0</v>
      </c>
      <c r="L1765" s="164">
        <f>-SUMIF(TArticle[تاریخ],TDays[[#This Row],[تاریخ]],TArticle[پرداخت بدهی])</f>
        <v>0</v>
      </c>
      <c r="M1765" s="164">
        <f>SUMIF(TArticle[تاریخ],TDays[[#This Row],[تاریخ]],TArticle[افزایش بدهی])</f>
        <v>0</v>
      </c>
      <c r="N1765" s="164">
        <f>-SUMIF(TArticle[تاریخ],TDays[[#This Row],[تاریخ]],TArticle[افزایش سرمایه])</f>
        <v>0</v>
      </c>
      <c r="O1765" s="164">
        <f>SUMIF(TArticle[تاریخ],TDays[[#This Row],[تاریخ]],TArticle[تعداد تراکنش انجام شده])</f>
        <v>0</v>
      </c>
      <c r="P1765" s="164">
        <f>INT(((TDays[[#This Row],[ماه]]-1)*31+TDays[[#This Row],[روز]]+1)/7)+1</f>
        <v>45</v>
      </c>
      <c r="Q1765" s="164">
        <f>SUMIF(TArticle[تاریخ],TDays[[#This Row],[تاریخ]],TArticle[تراکنش برنامه ریزی شده])</f>
        <v>0</v>
      </c>
    </row>
    <row r="1766" spans="1:17" x14ac:dyDescent="0.25">
      <c r="A1766" s="3" t="s">
        <v>2349</v>
      </c>
      <c r="B1766" s="164" t="str">
        <f>RIGHT(TDays[[#This Row],[تاریخ]],2)</f>
        <v>29</v>
      </c>
      <c r="C1766" s="164" t="str">
        <f>RIGHT(LEFT(TDays[[#This Row],[تاریخ]],7),2)</f>
        <v>10</v>
      </c>
      <c r="D1766" s="164" t="str">
        <f>LEFT(TDays[[#This Row],[تاریخ]],4)</f>
        <v>1405</v>
      </c>
      <c r="E1766" s="164" t="str">
        <f>LEFT(TDays[[#This Row],[تاریخ]],7)</f>
        <v>1405-10</v>
      </c>
      <c r="F1766">
        <v>2</v>
      </c>
      <c r="G1766" s="165" t="str">
        <f>VLOOKUP(TDays[[#This Row],[کد روز هفته]],TDaysOfTheWeek[],2,FALSE)</f>
        <v>دوشنبه</v>
      </c>
      <c r="H1766" s="165">
        <f>IFERROR(IF(E1765&lt;&gt;E1766,1,INT(H1765)+IF(TDays[[#This Row],[کد روز هفته]]=0,1,0)),1)</f>
        <v>5</v>
      </c>
      <c r="I1766" s="164">
        <f>-SUMIF(TArticle[تاریخ],TDays[[#This Row],[تاریخ]],TArticle[هزینه])</f>
        <v>0</v>
      </c>
      <c r="J1766" s="164">
        <f>SUMIF(TArticle[تاریخ],TDays[[#This Row],[تاریخ]],TArticle[درآمد تتا])</f>
        <v>0</v>
      </c>
      <c r="K1766" s="164">
        <f>SUMIF(TArticle[تاریخ],TDays[[#This Row],[تاریخ]],TArticle[اسنپ])</f>
        <v>0</v>
      </c>
      <c r="L1766" s="164">
        <f>-SUMIF(TArticle[تاریخ],TDays[[#This Row],[تاریخ]],TArticle[پرداخت بدهی])</f>
        <v>0</v>
      </c>
      <c r="M1766" s="164">
        <f>SUMIF(TArticle[تاریخ],TDays[[#This Row],[تاریخ]],TArticle[افزایش بدهی])</f>
        <v>0</v>
      </c>
      <c r="N1766" s="164">
        <f>-SUMIF(TArticle[تاریخ],TDays[[#This Row],[تاریخ]],TArticle[افزایش سرمایه])</f>
        <v>0</v>
      </c>
      <c r="O1766" s="164">
        <f>SUMIF(TArticle[تاریخ],TDays[[#This Row],[تاریخ]],TArticle[تعداد تراکنش انجام شده])</f>
        <v>0</v>
      </c>
      <c r="P1766" s="164">
        <f>INT(((TDays[[#This Row],[ماه]]-1)*31+TDays[[#This Row],[روز]]+1)/7)+1</f>
        <v>45</v>
      </c>
      <c r="Q1766" s="164">
        <f>SUMIF(TArticle[تاریخ],TDays[[#This Row],[تاریخ]],TArticle[تراکنش برنامه ریزی شده])</f>
        <v>0</v>
      </c>
    </row>
    <row r="1767" spans="1:17" x14ac:dyDescent="0.25">
      <c r="A1767" s="3" t="s">
        <v>2350</v>
      </c>
      <c r="B1767" s="164" t="str">
        <f>RIGHT(TDays[[#This Row],[تاریخ]],2)</f>
        <v>30</v>
      </c>
      <c r="C1767" s="164" t="str">
        <f>RIGHT(LEFT(TDays[[#This Row],[تاریخ]],7),2)</f>
        <v>10</v>
      </c>
      <c r="D1767" s="164" t="str">
        <f>LEFT(TDays[[#This Row],[تاریخ]],4)</f>
        <v>1405</v>
      </c>
      <c r="E1767" s="164" t="str">
        <f>LEFT(TDays[[#This Row],[تاریخ]],7)</f>
        <v>1405-10</v>
      </c>
      <c r="F1767" s="164">
        <v>3</v>
      </c>
      <c r="G1767" s="165" t="str">
        <f>VLOOKUP(TDays[[#This Row],[کد روز هفته]],TDaysOfTheWeek[],2,FALSE)</f>
        <v>سه شنبه</v>
      </c>
      <c r="H1767" s="165">
        <f>IFERROR(IF(E1766&lt;&gt;E1767,1,INT(H1766)+IF(TDays[[#This Row],[کد روز هفته]]=0,1,0)),1)</f>
        <v>5</v>
      </c>
      <c r="I1767" s="164">
        <f>-SUMIF(TArticle[تاریخ],TDays[[#This Row],[تاریخ]],TArticle[هزینه])</f>
        <v>0</v>
      </c>
      <c r="J1767" s="164">
        <f>SUMIF(TArticle[تاریخ],TDays[[#This Row],[تاریخ]],TArticle[درآمد تتا])</f>
        <v>0</v>
      </c>
      <c r="K1767" s="164">
        <f>SUMIF(TArticle[تاریخ],TDays[[#This Row],[تاریخ]],TArticle[اسنپ])</f>
        <v>0</v>
      </c>
      <c r="L1767" s="164">
        <f>-SUMIF(TArticle[تاریخ],TDays[[#This Row],[تاریخ]],TArticle[پرداخت بدهی])</f>
        <v>0</v>
      </c>
      <c r="M1767" s="164">
        <f>SUMIF(TArticle[تاریخ],TDays[[#This Row],[تاریخ]],TArticle[افزایش بدهی])</f>
        <v>0</v>
      </c>
      <c r="N1767" s="164">
        <f>-SUMIF(TArticle[تاریخ],TDays[[#This Row],[تاریخ]],TArticle[افزایش سرمایه])</f>
        <v>0</v>
      </c>
      <c r="O1767" s="164">
        <f>SUMIF(TArticle[تاریخ],TDays[[#This Row],[تاریخ]],TArticle[تعداد تراکنش انجام شده])</f>
        <v>0</v>
      </c>
      <c r="P1767" s="164">
        <f>INT(((TDays[[#This Row],[ماه]]-1)*31+TDays[[#This Row],[روز]]+1)/7)+1</f>
        <v>45</v>
      </c>
      <c r="Q1767" s="164">
        <f>SUMIF(TArticle[تاریخ],TDays[[#This Row],[تاریخ]],TArticle[تراکنش برنامه ریزی شده])</f>
        <v>0</v>
      </c>
    </row>
    <row r="1768" spans="1:17" x14ac:dyDescent="0.25">
      <c r="A1768" s="3" t="s">
        <v>2351</v>
      </c>
      <c r="B1768" s="164" t="str">
        <f>RIGHT(TDays[[#This Row],[تاریخ]],2)</f>
        <v>01</v>
      </c>
      <c r="C1768" s="164" t="str">
        <f>RIGHT(LEFT(TDays[[#This Row],[تاریخ]],7),2)</f>
        <v>11</v>
      </c>
      <c r="D1768" s="164" t="str">
        <f>LEFT(TDays[[#This Row],[تاریخ]],4)</f>
        <v>1405</v>
      </c>
      <c r="E1768" s="164" t="str">
        <f>LEFT(TDays[[#This Row],[تاریخ]],7)</f>
        <v>1405-11</v>
      </c>
      <c r="F1768" s="164">
        <v>4</v>
      </c>
      <c r="G1768" s="165" t="str">
        <f>VLOOKUP(TDays[[#This Row],[کد روز هفته]],TDaysOfTheWeek[],2,FALSE)</f>
        <v>چهارشنبه</v>
      </c>
      <c r="H1768" s="165">
        <f>IFERROR(IF(E1767&lt;&gt;E1768,1,INT(H1767)+IF(TDays[[#This Row],[کد روز هفته]]=0,1,0)),1)</f>
        <v>1</v>
      </c>
      <c r="I1768" s="164">
        <f>-SUMIF(TArticle[تاریخ],TDays[[#This Row],[تاریخ]],TArticle[هزینه])</f>
        <v>0</v>
      </c>
      <c r="J1768" s="164">
        <f>SUMIF(TArticle[تاریخ],TDays[[#This Row],[تاریخ]],TArticle[درآمد تتا])</f>
        <v>0</v>
      </c>
      <c r="K1768" s="164">
        <f>SUMIF(TArticle[تاریخ],TDays[[#This Row],[تاریخ]],TArticle[اسنپ])</f>
        <v>0</v>
      </c>
      <c r="L1768" s="164">
        <f>-SUMIF(TArticle[تاریخ],TDays[[#This Row],[تاریخ]],TArticle[پرداخت بدهی])</f>
        <v>0</v>
      </c>
      <c r="M1768" s="164">
        <f>SUMIF(TArticle[تاریخ],TDays[[#This Row],[تاریخ]],TArticle[افزایش بدهی])</f>
        <v>0</v>
      </c>
      <c r="N1768" s="164">
        <f>-SUMIF(TArticle[تاریخ],TDays[[#This Row],[تاریخ]],TArticle[افزایش سرمایه])</f>
        <v>0</v>
      </c>
      <c r="O1768" s="164">
        <f>SUMIF(TArticle[تاریخ],TDays[[#This Row],[تاریخ]],TArticle[تعداد تراکنش انجام شده])</f>
        <v>0</v>
      </c>
      <c r="P1768" s="164">
        <f>INT(((TDays[[#This Row],[ماه]]-1)*31+TDays[[#This Row],[روز]]+1)/7)+1</f>
        <v>45</v>
      </c>
      <c r="Q1768" s="164">
        <f>SUMIF(TArticle[تاریخ],TDays[[#This Row],[تاریخ]],TArticle[تراکنش برنامه ریزی شده])</f>
        <v>0</v>
      </c>
    </row>
    <row r="1769" spans="1:17" x14ac:dyDescent="0.25">
      <c r="A1769" s="3" t="s">
        <v>2352</v>
      </c>
      <c r="B1769" s="164" t="str">
        <f>RIGHT(TDays[[#This Row],[تاریخ]],2)</f>
        <v>02</v>
      </c>
      <c r="C1769" s="164" t="str">
        <f>RIGHT(LEFT(TDays[[#This Row],[تاریخ]],7),2)</f>
        <v>11</v>
      </c>
      <c r="D1769" s="164" t="str">
        <f>LEFT(TDays[[#This Row],[تاریخ]],4)</f>
        <v>1405</v>
      </c>
      <c r="E1769" s="164" t="str">
        <f>LEFT(TDays[[#This Row],[تاریخ]],7)</f>
        <v>1405-11</v>
      </c>
      <c r="F1769">
        <v>5</v>
      </c>
      <c r="G1769" s="165" t="str">
        <f>VLOOKUP(TDays[[#This Row],[کد روز هفته]],TDaysOfTheWeek[],2,FALSE)</f>
        <v>پنجشنبه</v>
      </c>
      <c r="H1769" s="165">
        <f>IFERROR(IF(E1768&lt;&gt;E1769,1,INT(H1768)+IF(TDays[[#This Row],[کد روز هفته]]=0,1,0)),1)</f>
        <v>1</v>
      </c>
      <c r="I1769" s="164">
        <f>-SUMIF(TArticle[تاریخ],TDays[[#This Row],[تاریخ]],TArticle[هزینه])</f>
        <v>0</v>
      </c>
      <c r="J1769" s="164">
        <f>SUMIF(TArticle[تاریخ],TDays[[#This Row],[تاریخ]],TArticle[درآمد تتا])</f>
        <v>0</v>
      </c>
      <c r="K1769" s="164">
        <f>SUMIF(TArticle[تاریخ],TDays[[#This Row],[تاریخ]],TArticle[اسنپ])</f>
        <v>0</v>
      </c>
      <c r="L1769" s="164">
        <f>-SUMIF(TArticle[تاریخ],TDays[[#This Row],[تاریخ]],TArticle[پرداخت بدهی])</f>
        <v>0</v>
      </c>
      <c r="M1769" s="164">
        <f>SUMIF(TArticle[تاریخ],TDays[[#This Row],[تاریخ]],TArticle[افزایش بدهی])</f>
        <v>0</v>
      </c>
      <c r="N1769" s="164">
        <f>-SUMIF(TArticle[تاریخ],TDays[[#This Row],[تاریخ]],TArticle[افزایش سرمایه])</f>
        <v>0</v>
      </c>
      <c r="O1769" s="164">
        <f>SUMIF(TArticle[تاریخ],TDays[[#This Row],[تاریخ]],TArticle[تعداد تراکنش انجام شده])</f>
        <v>0</v>
      </c>
      <c r="P1769" s="164">
        <f>INT(((TDays[[#This Row],[ماه]]-1)*31+TDays[[#This Row],[روز]]+1)/7)+1</f>
        <v>45</v>
      </c>
      <c r="Q1769" s="164">
        <f>SUMIF(TArticle[تاریخ],TDays[[#This Row],[تاریخ]],TArticle[تراکنش برنامه ریزی شده])</f>
        <v>0</v>
      </c>
    </row>
    <row r="1770" spans="1:17" x14ac:dyDescent="0.25">
      <c r="A1770" s="3" t="s">
        <v>2353</v>
      </c>
      <c r="B1770" s="164" t="str">
        <f>RIGHT(TDays[[#This Row],[تاریخ]],2)</f>
        <v>03</v>
      </c>
      <c r="C1770" s="164" t="str">
        <f>RIGHT(LEFT(TDays[[#This Row],[تاریخ]],7),2)</f>
        <v>11</v>
      </c>
      <c r="D1770" s="164" t="str">
        <f>LEFT(TDays[[#This Row],[تاریخ]],4)</f>
        <v>1405</v>
      </c>
      <c r="E1770" s="164" t="str">
        <f>LEFT(TDays[[#This Row],[تاریخ]],7)</f>
        <v>1405-11</v>
      </c>
      <c r="F1770">
        <v>6</v>
      </c>
      <c r="G1770" s="165" t="str">
        <f>VLOOKUP(TDays[[#This Row],[کد روز هفته]],TDaysOfTheWeek[],2,FALSE)</f>
        <v>جمعه</v>
      </c>
      <c r="H1770" s="165">
        <f>IFERROR(IF(E1769&lt;&gt;E1770,1,INT(H1769)+IF(TDays[[#This Row],[کد روز هفته]]=0,1,0)),1)</f>
        <v>1</v>
      </c>
      <c r="I1770" s="164">
        <f>-SUMIF(TArticle[تاریخ],TDays[[#This Row],[تاریخ]],TArticle[هزینه])</f>
        <v>0</v>
      </c>
      <c r="J1770" s="164">
        <f>SUMIF(TArticle[تاریخ],TDays[[#This Row],[تاریخ]],TArticle[درآمد تتا])</f>
        <v>0</v>
      </c>
      <c r="K1770" s="164">
        <f>SUMIF(TArticle[تاریخ],TDays[[#This Row],[تاریخ]],TArticle[اسنپ])</f>
        <v>0</v>
      </c>
      <c r="L1770" s="164">
        <f>-SUMIF(TArticle[تاریخ],TDays[[#This Row],[تاریخ]],TArticle[پرداخت بدهی])</f>
        <v>0</v>
      </c>
      <c r="M1770" s="164">
        <f>SUMIF(TArticle[تاریخ],TDays[[#This Row],[تاریخ]],TArticle[افزایش بدهی])</f>
        <v>0</v>
      </c>
      <c r="N1770" s="164">
        <f>-SUMIF(TArticle[تاریخ],TDays[[#This Row],[تاریخ]],TArticle[افزایش سرمایه])</f>
        <v>0</v>
      </c>
      <c r="O1770" s="164">
        <f>SUMIF(TArticle[تاریخ],TDays[[#This Row],[تاریخ]],TArticle[تعداد تراکنش انجام شده])</f>
        <v>0</v>
      </c>
      <c r="P1770" s="164">
        <f>INT(((TDays[[#This Row],[ماه]]-1)*31+TDays[[#This Row],[روز]]+1)/7)+1</f>
        <v>45</v>
      </c>
      <c r="Q1770" s="164">
        <f>SUMIF(TArticle[تاریخ],TDays[[#This Row],[تاریخ]],TArticle[تراکنش برنامه ریزی شده])</f>
        <v>1</v>
      </c>
    </row>
    <row r="1771" spans="1:17" x14ac:dyDescent="0.25">
      <c r="A1771" s="3" t="s">
        <v>2354</v>
      </c>
      <c r="B1771" s="164" t="str">
        <f>RIGHT(TDays[[#This Row],[تاریخ]],2)</f>
        <v>04</v>
      </c>
      <c r="C1771" s="164" t="str">
        <f>RIGHT(LEFT(TDays[[#This Row],[تاریخ]],7),2)</f>
        <v>11</v>
      </c>
      <c r="D1771" s="164" t="str">
        <f>LEFT(TDays[[#This Row],[تاریخ]],4)</f>
        <v>1405</v>
      </c>
      <c r="E1771" s="164" t="str">
        <f>LEFT(TDays[[#This Row],[تاریخ]],7)</f>
        <v>1405-11</v>
      </c>
      <c r="F1771">
        <v>0</v>
      </c>
      <c r="G1771" s="165" t="str">
        <f>VLOOKUP(TDays[[#This Row],[کد روز هفته]],TDaysOfTheWeek[],2,FALSE)</f>
        <v>شنبه</v>
      </c>
      <c r="H1771" s="165">
        <f>IFERROR(IF(E1770&lt;&gt;E1771,1,INT(H1770)+IF(TDays[[#This Row],[کد روز هفته]]=0,1,0)),1)</f>
        <v>2</v>
      </c>
      <c r="I1771" s="164">
        <f>-SUMIF(TArticle[تاریخ],TDays[[#This Row],[تاریخ]],TArticle[هزینه])</f>
        <v>0</v>
      </c>
      <c r="J1771" s="164">
        <f>SUMIF(TArticle[تاریخ],TDays[[#This Row],[تاریخ]],TArticle[درآمد تتا])</f>
        <v>0</v>
      </c>
      <c r="K1771" s="164">
        <f>SUMIF(TArticle[تاریخ],TDays[[#This Row],[تاریخ]],TArticle[اسنپ])</f>
        <v>0</v>
      </c>
      <c r="L1771" s="164">
        <f>-SUMIF(TArticle[تاریخ],TDays[[#This Row],[تاریخ]],TArticle[پرداخت بدهی])</f>
        <v>0</v>
      </c>
      <c r="M1771" s="164">
        <f>SUMIF(TArticle[تاریخ],TDays[[#This Row],[تاریخ]],TArticle[افزایش بدهی])</f>
        <v>0</v>
      </c>
      <c r="N1771" s="164">
        <f>-SUMIF(TArticle[تاریخ],TDays[[#This Row],[تاریخ]],TArticle[افزایش سرمایه])</f>
        <v>0</v>
      </c>
      <c r="O1771" s="164">
        <f>SUMIF(TArticle[تاریخ],TDays[[#This Row],[تاریخ]],TArticle[تعداد تراکنش انجام شده])</f>
        <v>0</v>
      </c>
      <c r="P1771" s="164">
        <f>INT(((TDays[[#This Row],[ماه]]-1)*31+TDays[[#This Row],[روز]]+1)/7)+1</f>
        <v>46</v>
      </c>
      <c r="Q1771" s="164">
        <f>SUMIF(TArticle[تاریخ],TDays[[#This Row],[تاریخ]],TArticle[تراکنش برنامه ریزی شده])</f>
        <v>0</v>
      </c>
    </row>
    <row r="1772" spans="1:17" x14ac:dyDescent="0.25">
      <c r="A1772" s="3" t="s">
        <v>2355</v>
      </c>
      <c r="B1772" s="164" t="str">
        <f>RIGHT(TDays[[#This Row],[تاریخ]],2)</f>
        <v>05</v>
      </c>
      <c r="C1772" s="164" t="str">
        <f>RIGHT(LEFT(TDays[[#This Row],[تاریخ]],7),2)</f>
        <v>11</v>
      </c>
      <c r="D1772" s="164" t="str">
        <f>LEFT(TDays[[#This Row],[تاریخ]],4)</f>
        <v>1405</v>
      </c>
      <c r="E1772" s="164" t="str">
        <f>LEFT(TDays[[#This Row],[تاریخ]],7)</f>
        <v>1405-11</v>
      </c>
      <c r="F1772">
        <v>1</v>
      </c>
      <c r="G1772" s="165" t="str">
        <f>VLOOKUP(TDays[[#This Row],[کد روز هفته]],TDaysOfTheWeek[],2,FALSE)</f>
        <v>یکشنبه</v>
      </c>
      <c r="H1772" s="165">
        <f>IFERROR(IF(E1771&lt;&gt;E1772,1,INT(H1771)+IF(TDays[[#This Row],[کد روز هفته]]=0,1,0)),1)</f>
        <v>2</v>
      </c>
      <c r="I1772" s="164">
        <f>-SUMIF(TArticle[تاریخ],TDays[[#This Row],[تاریخ]],TArticle[هزینه])</f>
        <v>0</v>
      </c>
      <c r="J1772" s="164">
        <f>SUMIF(TArticle[تاریخ],TDays[[#This Row],[تاریخ]],TArticle[درآمد تتا])</f>
        <v>0</v>
      </c>
      <c r="K1772" s="164">
        <f>SUMIF(TArticle[تاریخ],TDays[[#This Row],[تاریخ]],TArticle[اسنپ])</f>
        <v>0</v>
      </c>
      <c r="L1772" s="164">
        <f>-SUMIF(TArticle[تاریخ],TDays[[#This Row],[تاریخ]],TArticle[پرداخت بدهی])</f>
        <v>0</v>
      </c>
      <c r="M1772" s="164">
        <f>SUMIF(TArticle[تاریخ],TDays[[#This Row],[تاریخ]],TArticle[افزایش بدهی])</f>
        <v>0</v>
      </c>
      <c r="N1772" s="164">
        <f>-SUMIF(TArticle[تاریخ],TDays[[#This Row],[تاریخ]],TArticle[افزایش سرمایه])</f>
        <v>0</v>
      </c>
      <c r="O1772" s="164">
        <f>SUMIF(TArticle[تاریخ],TDays[[#This Row],[تاریخ]],TArticle[تعداد تراکنش انجام شده])</f>
        <v>0</v>
      </c>
      <c r="P1772" s="164">
        <f>INT(((TDays[[#This Row],[ماه]]-1)*31+TDays[[#This Row],[روز]]+1)/7)+1</f>
        <v>46</v>
      </c>
      <c r="Q1772" s="164">
        <f>SUMIF(TArticle[تاریخ],TDays[[#This Row],[تاریخ]],TArticle[تراکنش برنامه ریزی شده])</f>
        <v>0</v>
      </c>
    </row>
    <row r="1773" spans="1:17" x14ac:dyDescent="0.25">
      <c r="A1773" s="3" t="s">
        <v>2356</v>
      </c>
      <c r="B1773" s="164" t="str">
        <f>RIGHT(TDays[[#This Row],[تاریخ]],2)</f>
        <v>06</v>
      </c>
      <c r="C1773" s="164" t="str">
        <f>RIGHT(LEFT(TDays[[#This Row],[تاریخ]],7),2)</f>
        <v>11</v>
      </c>
      <c r="D1773" s="164" t="str">
        <f>LEFT(TDays[[#This Row],[تاریخ]],4)</f>
        <v>1405</v>
      </c>
      <c r="E1773" s="164" t="str">
        <f>LEFT(TDays[[#This Row],[تاریخ]],7)</f>
        <v>1405-11</v>
      </c>
      <c r="F1773">
        <v>2</v>
      </c>
      <c r="G1773" s="165" t="str">
        <f>VLOOKUP(TDays[[#This Row],[کد روز هفته]],TDaysOfTheWeek[],2,FALSE)</f>
        <v>دوشنبه</v>
      </c>
      <c r="H1773" s="165">
        <f>IFERROR(IF(E1772&lt;&gt;E1773,1,INT(H1772)+IF(TDays[[#This Row],[کد روز هفته]]=0,1,0)),1)</f>
        <v>2</v>
      </c>
      <c r="I1773" s="164">
        <f>-SUMIF(TArticle[تاریخ],TDays[[#This Row],[تاریخ]],TArticle[هزینه])</f>
        <v>0</v>
      </c>
      <c r="J1773" s="164">
        <f>SUMIF(TArticle[تاریخ],TDays[[#This Row],[تاریخ]],TArticle[درآمد تتا])</f>
        <v>0</v>
      </c>
      <c r="K1773" s="164">
        <f>SUMIF(TArticle[تاریخ],TDays[[#This Row],[تاریخ]],TArticle[اسنپ])</f>
        <v>0</v>
      </c>
      <c r="L1773" s="164">
        <f>-SUMIF(TArticle[تاریخ],TDays[[#This Row],[تاریخ]],TArticle[پرداخت بدهی])</f>
        <v>0</v>
      </c>
      <c r="M1773" s="164">
        <f>SUMIF(TArticle[تاریخ],TDays[[#This Row],[تاریخ]],TArticle[افزایش بدهی])</f>
        <v>0</v>
      </c>
      <c r="N1773" s="164">
        <f>-SUMIF(TArticle[تاریخ],TDays[[#This Row],[تاریخ]],TArticle[افزایش سرمایه])</f>
        <v>0</v>
      </c>
      <c r="O1773" s="164">
        <f>SUMIF(TArticle[تاریخ],TDays[[#This Row],[تاریخ]],TArticle[تعداد تراکنش انجام شده])</f>
        <v>0</v>
      </c>
      <c r="P1773" s="164">
        <f>INT(((TDays[[#This Row],[ماه]]-1)*31+TDays[[#This Row],[روز]]+1)/7)+1</f>
        <v>46</v>
      </c>
      <c r="Q1773" s="164">
        <f>SUMIF(TArticle[تاریخ],TDays[[#This Row],[تاریخ]],TArticle[تراکنش برنامه ریزی شده])</f>
        <v>0</v>
      </c>
    </row>
    <row r="1774" spans="1:17" x14ac:dyDescent="0.25">
      <c r="A1774" s="3" t="s">
        <v>2357</v>
      </c>
      <c r="B1774" s="164" t="str">
        <f>RIGHT(TDays[[#This Row],[تاریخ]],2)</f>
        <v>07</v>
      </c>
      <c r="C1774" s="164" t="str">
        <f>RIGHT(LEFT(TDays[[#This Row],[تاریخ]],7),2)</f>
        <v>11</v>
      </c>
      <c r="D1774" s="164" t="str">
        <f>LEFT(TDays[[#This Row],[تاریخ]],4)</f>
        <v>1405</v>
      </c>
      <c r="E1774" s="164" t="str">
        <f>LEFT(TDays[[#This Row],[تاریخ]],7)</f>
        <v>1405-11</v>
      </c>
      <c r="F1774">
        <v>3</v>
      </c>
      <c r="G1774" s="165" t="str">
        <f>VLOOKUP(TDays[[#This Row],[کد روز هفته]],TDaysOfTheWeek[],2,FALSE)</f>
        <v>سه شنبه</v>
      </c>
      <c r="H1774" s="165">
        <f>IFERROR(IF(E1773&lt;&gt;E1774,1,INT(H1773)+IF(TDays[[#This Row],[کد روز هفته]]=0,1,0)),1)</f>
        <v>2</v>
      </c>
      <c r="I1774" s="164">
        <f>-SUMIF(TArticle[تاریخ],TDays[[#This Row],[تاریخ]],TArticle[هزینه])</f>
        <v>0</v>
      </c>
      <c r="J1774" s="164">
        <f>SUMIF(TArticle[تاریخ],TDays[[#This Row],[تاریخ]],TArticle[درآمد تتا])</f>
        <v>0</v>
      </c>
      <c r="K1774" s="164">
        <f>SUMIF(TArticle[تاریخ],TDays[[#This Row],[تاریخ]],TArticle[اسنپ])</f>
        <v>0</v>
      </c>
      <c r="L1774" s="164">
        <f>-SUMIF(TArticle[تاریخ],TDays[[#This Row],[تاریخ]],TArticle[پرداخت بدهی])</f>
        <v>0</v>
      </c>
      <c r="M1774" s="164">
        <f>SUMIF(TArticle[تاریخ],TDays[[#This Row],[تاریخ]],TArticle[افزایش بدهی])</f>
        <v>0</v>
      </c>
      <c r="N1774" s="164">
        <f>-SUMIF(TArticle[تاریخ],TDays[[#This Row],[تاریخ]],TArticle[افزایش سرمایه])</f>
        <v>0</v>
      </c>
      <c r="O1774" s="164">
        <f>SUMIF(TArticle[تاریخ],TDays[[#This Row],[تاریخ]],TArticle[تعداد تراکنش انجام شده])</f>
        <v>0</v>
      </c>
      <c r="P1774" s="164">
        <f>INT(((TDays[[#This Row],[ماه]]-1)*31+TDays[[#This Row],[روز]]+1)/7)+1</f>
        <v>46</v>
      </c>
      <c r="Q1774" s="164">
        <f>SUMIF(TArticle[تاریخ],TDays[[#This Row],[تاریخ]],TArticle[تراکنش برنامه ریزی شده])</f>
        <v>0</v>
      </c>
    </row>
    <row r="1775" spans="1:17" x14ac:dyDescent="0.25">
      <c r="A1775" s="3" t="s">
        <v>2358</v>
      </c>
      <c r="B1775" s="164" t="str">
        <f>RIGHT(TDays[[#This Row],[تاریخ]],2)</f>
        <v>08</v>
      </c>
      <c r="C1775" s="164" t="str">
        <f>RIGHT(LEFT(TDays[[#This Row],[تاریخ]],7),2)</f>
        <v>11</v>
      </c>
      <c r="D1775" s="164" t="str">
        <f>LEFT(TDays[[#This Row],[تاریخ]],4)</f>
        <v>1405</v>
      </c>
      <c r="E1775" s="164" t="str">
        <f>LEFT(TDays[[#This Row],[تاریخ]],7)</f>
        <v>1405-11</v>
      </c>
      <c r="F1775">
        <v>4</v>
      </c>
      <c r="G1775" s="165" t="str">
        <f>VLOOKUP(TDays[[#This Row],[کد روز هفته]],TDaysOfTheWeek[],2,FALSE)</f>
        <v>چهارشنبه</v>
      </c>
      <c r="H1775" s="165">
        <f>IFERROR(IF(E1774&lt;&gt;E1775,1,INT(H1774)+IF(TDays[[#This Row],[کد روز هفته]]=0,1,0)),1)</f>
        <v>2</v>
      </c>
      <c r="I1775" s="164">
        <f>-SUMIF(TArticle[تاریخ],TDays[[#This Row],[تاریخ]],TArticle[هزینه])</f>
        <v>0</v>
      </c>
      <c r="J1775" s="164">
        <f>SUMIF(TArticle[تاریخ],TDays[[#This Row],[تاریخ]],TArticle[درآمد تتا])</f>
        <v>0</v>
      </c>
      <c r="K1775" s="164">
        <f>SUMIF(TArticle[تاریخ],TDays[[#This Row],[تاریخ]],TArticle[اسنپ])</f>
        <v>0</v>
      </c>
      <c r="L1775" s="164">
        <f>-SUMIF(TArticle[تاریخ],TDays[[#This Row],[تاریخ]],TArticle[پرداخت بدهی])</f>
        <v>0</v>
      </c>
      <c r="M1775" s="164">
        <f>SUMIF(TArticle[تاریخ],TDays[[#This Row],[تاریخ]],TArticle[افزایش بدهی])</f>
        <v>0</v>
      </c>
      <c r="N1775" s="164">
        <f>-SUMIF(TArticle[تاریخ],TDays[[#This Row],[تاریخ]],TArticle[افزایش سرمایه])</f>
        <v>0</v>
      </c>
      <c r="O1775" s="164">
        <f>SUMIF(TArticle[تاریخ],TDays[[#This Row],[تاریخ]],TArticle[تعداد تراکنش انجام شده])</f>
        <v>0</v>
      </c>
      <c r="P1775" s="164">
        <f>INT(((TDays[[#This Row],[ماه]]-1)*31+TDays[[#This Row],[روز]]+1)/7)+1</f>
        <v>46</v>
      </c>
      <c r="Q1775" s="164">
        <f>SUMIF(TArticle[تاریخ],TDays[[#This Row],[تاریخ]],TArticle[تراکنش برنامه ریزی شده])</f>
        <v>0</v>
      </c>
    </row>
    <row r="1776" spans="1:17" x14ac:dyDescent="0.25">
      <c r="A1776" s="3" t="s">
        <v>2359</v>
      </c>
      <c r="B1776" s="164" t="str">
        <f>RIGHT(TDays[[#This Row],[تاریخ]],2)</f>
        <v>09</v>
      </c>
      <c r="C1776" s="164" t="str">
        <f>RIGHT(LEFT(TDays[[#This Row],[تاریخ]],7),2)</f>
        <v>11</v>
      </c>
      <c r="D1776" s="164" t="str">
        <f>LEFT(TDays[[#This Row],[تاریخ]],4)</f>
        <v>1405</v>
      </c>
      <c r="E1776" s="164" t="str">
        <f>LEFT(TDays[[#This Row],[تاریخ]],7)</f>
        <v>1405-11</v>
      </c>
      <c r="F1776">
        <v>5</v>
      </c>
      <c r="G1776" s="165" t="str">
        <f>VLOOKUP(TDays[[#This Row],[کد روز هفته]],TDaysOfTheWeek[],2,FALSE)</f>
        <v>پنجشنبه</v>
      </c>
      <c r="H1776" s="165">
        <f>IFERROR(IF(E1775&lt;&gt;E1776,1,INT(H1775)+IF(TDays[[#This Row],[کد روز هفته]]=0,1,0)),1)</f>
        <v>2</v>
      </c>
      <c r="I1776" s="164">
        <f>-SUMIF(TArticle[تاریخ],TDays[[#This Row],[تاریخ]],TArticle[هزینه])</f>
        <v>0</v>
      </c>
      <c r="J1776" s="164">
        <f>SUMIF(TArticle[تاریخ],TDays[[#This Row],[تاریخ]],TArticle[درآمد تتا])</f>
        <v>0</v>
      </c>
      <c r="K1776" s="164">
        <f>SUMIF(TArticle[تاریخ],TDays[[#This Row],[تاریخ]],TArticle[اسنپ])</f>
        <v>0</v>
      </c>
      <c r="L1776" s="164">
        <f>-SUMIF(TArticle[تاریخ],TDays[[#This Row],[تاریخ]],TArticle[پرداخت بدهی])</f>
        <v>0</v>
      </c>
      <c r="M1776" s="164">
        <f>SUMIF(TArticle[تاریخ],TDays[[#This Row],[تاریخ]],TArticle[افزایش بدهی])</f>
        <v>0</v>
      </c>
      <c r="N1776" s="164">
        <f>-SUMIF(TArticle[تاریخ],TDays[[#This Row],[تاریخ]],TArticle[افزایش سرمایه])</f>
        <v>0</v>
      </c>
      <c r="O1776" s="164">
        <f>SUMIF(TArticle[تاریخ],TDays[[#This Row],[تاریخ]],TArticle[تعداد تراکنش انجام شده])</f>
        <v>0</v>
      </c>
      <c r="P1776" s="164">
        <f>INT(((TDays[[#This Row],[ماه]]-1)*31+TDays[[#This Row],[روز]]+1)/7)+1</f>
        <v>46</v>
      </c>
      <c r="Q1776" s="164">
        <f>SUMIF(TArticle[تاریخ],TDays[[#This Row],[تاریخ]],TArticle[تراکنش برنامه ریزی شده])</f>
        <v>0</v>
      </c>
    </row>
    <row r="1777" spans="1:17" x14ac:dyDescent="0.25">
      <c r="A1777" s="3" t="s">
        <v>2360</v>
      </c>
      <c r="B1777" s="164" t="str">
        <f>RIGHT(TDays[[#This Row],[تاریخ]],2)</f>
        <v>10</v>
      </c>
      <c r="C1777" s="164" t="str">
        <f>RIGHT(LEFT(TDays[[#This Row],[تاریخ]],7),2)</f>
        <v>11</v>
      </c>
      <c r="D1777" s="164" t="str">
        <f>LEFT(TDays[[#This Row],[تاریخ]],4)</f>
        <v>1405</v>
      </c>
      <c r="E1777" s="164" t="str">
        <f>LEFT(TDays[[#This Row],[تاریخ]],7)</f>
        <v>1405-11</v>
      </c>
      <c r="F1777">
        <v>6</v>
      </c>
      <c r="G1777" s="165" t="str">
        <f>VLOOKUP(TDays[[#This Row],[کد روز هفته]],TDaysOfTheWeek[],2,FALSE)</f>
        <v>جمعه</v>
      </c>
      <c r="H1777" s="165">
        <f>IFERROR(IF(E1776&lt;&gt;E1777,1,INT(H1776)+IF(TDays[[#This Row],[کد روز هفته]]=0,1,0)),1)</f>
        <v>2</v>
      </c>
      <c r="I1777" s="164">
        <f>-SUMIF(TArticle[تاریخ],TDays[[#This Row],[تاریخ]],TArticle[هزینه])</f>
        <v>0</v>
      </c>
      <c r="J1777" s="164">
        <f>SUMIF(TArticle[تاریخ],TDays[[#This Row],[تاریخ]],TArticle[درآمد تتا])</f>
        <v>0</v>
      </c>
      <c r="K1777" s="164">
        <f>SUMIF(TArticle[تاریخ],TDays[[#This Row],[تاریخ]],TArticle[اسنپ])</f>
        <v>0</v>
      </c>
      <c r="L1777" s="164">
        <f>-SUMIF(TArticle[تاریخ],TDays[[#This Row],[تاریخ]],TArticle[پرداخت بدهی])</f>
        <v>0</v>
      </c>
      <c r="M1777" s="164">
        <f>SUMIF(TArticle[تاریخ],TDays[[#This Row],[تاریخ]],TArticle[افزایش بدهی])</f>
        <v>0</v>
      </c>
      <c r="N1777" s="164">
        <f>-SUMIF(TArticle[تاریخ],TDays[[#This Row],[تاریخ]],TArticle[افزایش سرمایه])</f>
        <v>0</v>
      </c>
      <c r="O1777" s="164">
        <f>SUMIF(TArticle[تاریخ],TDays[[#This Row],[تاریخ]],TArticle[تعداد تراکنش انجام شده])</f>
        <v>0</v>
      </c>
      <c r="P1777" s="164">
        <f>INT(((TDays[[#This Row],[ماه]]-1)*31+TDays[[#This Row],[روز]]+1)/7)+1</f>
        <v>46</v>
      </c>
      <c r="Q1777" s="164">
        <f>SUMIF(TArticle[تاریخ],TDays[[#This Row],[تاریخ]],TArticle[تراکنش برنامه ریزی شده])</f>
        <v>0</v>
      </c>
    </row>
    <row r="1778" spans="1:17" x14ac:dyDescent="0.25">
      <c r="A1778" s="3" t="s">
        <v>2361</v>
      </c>
      <c r="B1778" s="164" t="str">
        <f>RIGHT(TDays[[#This Row],[تاریخ]],2)</f>
        <v>11</v>
      </c>
      <c r="C1778" s="164" t="str">
        <f>RIGHT(LEFT(TDays[[#This Row],[تاریخ]],7),2)</f>
        <v>11</v>
      </c>
      <c r="D1778" s="164" t="str">
        <f>LEFT(TDays[[#This Row],[تاریخ]],4)</f>
        <v>1405</v>
      </c>
      <c r="E1778" s="164" t="str">
        <f>LEFT(TDays[[#This Row],[تاریخ]],7)</f>
        <v>1405-11</v>
      </c>
      <c r="F1778">
        <v>0</v>
      </c>
      <c r="G1778" s="165" t="str">
        <f>VLOOKUP(TDays[[#This Row],[کد روز هفته]],TDaysOfTheWeek[],2,FALSE)</f>
        <v>شنبه</v>
      </c>
      <c r="H1778" s="165">
        <f>IFERROR(IF(E1777&lt;&gt;E1778,1,INT(H1777)+IF(TDays[[#This Row],[کد روز هفته]]=0,1,0)),1)</f>
        <v>3</v>
      </c>
      <c r="I1778" s="164">
        <f>-SUMIF(TArticle[تاریخ],TDays[[#This Row],[تاریخ]],TArticle[هزینه])</f>
        <v>0</v>
      </c>
      <c r="J1778" s="164">
        <f>SUMIF(TArticle[تاریخ],TDays[[#This Row],[تاریخ]],TArticle[درآمد تتا])</f>
        <v>0</v>
      </c>
      <c r="K1778" s="164">
        <f>SUMIF(TArticle[تاریخ],TDays[[#This Row],[تاریخ]],TArticle[اسنپ])</f>
        <v>0</v>
      </c>
      <c r="L1778" s="164">
        <f>-SUMIF(TArticle[تاریخ],TDays[[#This Row],[تاریخ]],TArticle[پرداخت بدهی])</f>
        <v>0</v>
      </c>
      <c r="M1778" s="164">
        <f>SUMIF(TArticle[تاریخ],TDays[[#This Row],[تاریخ]],TArticle[افزایش بدهی])</f>
        <v>0</v>
      </c>
      <c r="N1778" s="164">
        <f>-SUMIF(TArticle[تاریخ],TDays[[#This Row],[تاریخ]],TArticle[افزایش سرمایه])</f>
        <v>0</v>
      </c>
      <c r="O1778" s="164">
        <f>SUMIF(TArticle[تاریخ],TDays[[#This Row],[تاریخ]],TArticle[تعداد تراکنش انجام شده])</f>
        <v>0</v>
      </c>
      <c r="P1778" s="164">
        <f>INT(((TDays[[#This Row],[ماه]]-1)*31+TDays[[#This Row],[روز]]+1)/7)+1</f>
        <v>47</v>
      </c>
      <c r="Q1778" s="164">
        <f>SUMIF(TArticle[تاریخ],TDays[[#This Row],[تاریخ]],TArticle[تراکنش برنامه ریزی شده])</f>
        <v>0</v>
      </c>
    </row>
    <row r="1779" spans="1:17" x14ac:dyDescent="0.25">
      <c r="A1779" s="3" t="s">
        <v>2362</v>
      </c>
      <c r="B1779" s="164" t="str">
        <f>RIGHT(TDays[[#This Row],[تاریخ]],2)</f>
        <v>12</v>
      </c>
      <c r="C1779" s="164" t="str">
        <f>RIGHT(LEFT(TDays[[#This Row],[تاریخ]],7),2)</f>
        <v>11</v>
      </c>
      <c r="D1779" s="164" t="str">
        <f>LEFT(TDays[[#This Row],[تاریخ]],4)</f>
        <v>1405</v>
      </c>
      <c r="E1779" s="164" t="str">
        <f>LEFT(TDays[[#This Row],[تاریخ]],7)</f>
        <v>1405-11</v>
      </c>
      <c r="F1779">
        <v>1</v>
      </c>
      <c r="G1779" s="165" t="str">
        <f>VLOOKUP(TDays[[#This Row],[کد روز هفته]],TDaysOfTheWeek[],2,FALSE)</f>
        <v>یکشنبه</v>
      </c>
      <c r="H1779" s="165">
        <f>IFERROR(IF(E1778&lt;&gt;E1779,1,INT(H1778)+IF(TDays[[#This Row],[کد روز هفته]]=0,1,0)),1)</f>
        <v>3</v>
      </c>
      <c r="I1779" s="164">
        <f>-SUMIF(TArticle[تاریخ],TDays[[#This Row],[تاریخ]],TArticle[هزینه])</f>
        <v>0</v>
      </c>
      <c r="J1779" s="164">
        <f>SUMIF(TArticle[تاریخ],TDays[[#This Row],[تاریخ]],TArticle[درآمد تتا])</f>
        <v>0</v>
      </c>
      <c r="K1779" s="164">
        <f>SUMIF(TArticle[تاریخ],TDays[[#This Row],[تاریخ]],TArticle[اسنپ])</f>
        <v>0</v>
      </c>
      <c r="L1779" s="164">
        <f>-SUMIF(TArticle[تاریخ],TDays[[#This Row],[تاریخ]],TArticle[پرداخت بدهی])</f>
        <v>0</v>
      </c>
      <c r="M1779" s="164">
        <f>SUMIF(TArticle[تاریخ],TDays[[#This Row],[تاریخ]],TArticle[افزایش بدهی])</f>
        <v>0</v>
      </c>
      <c r="N1779" s="164">
        <f>-SUMIF(TArticle[تاریخ],TDays[[#This Row],[تاریخ]],TArticle[افزایش سرمایه])</f>
        <v>0</v>
      </c>
      <c r="O1779" s="164">
        <f>SUMIF(TArticle[تاریخ],TDays[[#This Row],[تاریخ]],TArticle[تعداد تراکنش انجام شده])</f>
        <v>0</v>
      </c>
      <c r="P1779" s="164">
        <f>INT(((TDays[[#This Row],[ماه]]-1)*31+TDays[[#This Row],[روز]]+1)/7)+1</f>
        <v>47</v>
      </c>
      <c r="Q1779" s="164">
        <f>SUMIF(TArticle[تاریخ],TDays[[#This Row],[تاریخ]],TArticle[تراکنش برنامه ریزی شده])</f>
        <v>0</v>
      </c>
    </row>
    <row r="1780" spans="1:17" x14ac:dyDescent="0.25">
      <c r="A1780" s="3" t="s">
        <v>2363</v>
      </c>
      <c r="B1780" s="164" t="str">
        <f>RIGHT(TDays[[#This Row],[تاریخ]],2)</f>
        <v>13</v>
      </c>
      <c r="C1780" s="164" t="str">
        <f>RIGHT(LEFT(TDays[[#This Row],[تاریخ]],7),2)</f>
        <v>11</v>
      </c>
      <c r="D1780" s="164" t="str">
        <f>LEFT(TDays[[#This Row],[تاریخ]],4)</f>
        <v>1405</v>
      </c>
      <c r="E1780" s="164" t="str">
        <f>LEFT(TDays[[#This Row],[تاریخ]],7)</f>
        <v>1405-11</v>
      </c>
      <c r="F1780">
        <v>2</v>
      </c>
      <c r="G1780" s="165" t="str">
        <f>VLOOKUP(TDays[[#This Row],[کد روز هفته]],TDaysOfTheWeek[],2,FALSE)</f>
        <v>دوشنبه</v>
      </c>
      <c r="H1780" s="165">
        <f>IFERROR(IF(E1779&lt;&gt;E1780,1,INT(H1779)+IF(TDays[[#This Row],[کد روز هفته]]=0,1,0)),1)</f>
        <v>3</v>
      </c>
      <c r="I1780" s="164">
        <f>-SUMIF(TArticle[تاریخ],TDays[[#This Row],[تاریخ]],TArticle[هزینه])</f>
        <v>0</v>
      </c>
      <c r="J1780" s="164">
        <f>SUMIF(TArticle[تاریخ],TDays[[#This Row],[تاریخ]],TArticle[درآمد تتا])</f>
        <v>0</v>
      </c>
      <c r="K1780" s="164">
        <f>SUMIF(TArticle[تاریخ],TDays[[#This Row],[تاریخ]],TArticle[اسنپ])</f>
        <v>0</v>
      </c>
      <c r="L1780" s="164">
        <f>-SUMIF(TArticle[تاریخ],TDays[[#This Row],[تاریخ]],TArticle[پرداخت بدهی])</f>
        <v>0</v>
      </c>
      <c r="M1780" s="164">
        <f>SUMIF(TArticle[تاریخ],TDays[[#This Row],[تاریخ]],TArticle[افزایش بدهی])</f>
        <v>0</v>
      </c>
      <c r="N1780" s="164">
        <f>-SUMIF(TArticle[تاریخ],TDays[[#This Row],[تاریخ]],TArticle[افزایش سرمایه])</f>
        <v>0</v>
      </c>
      <c r="O1780" s="164">
        <f>SUMIF(TArticle[تاریخ],TDays[[#This Row],[تاریخ]],TArticle[تعداد تراکنش انجام شده])</f>
        <v>0</v>
      </c>
      <c r="P1780" s="164">
        <f>INT(((TDays[[#This Row],[ماه]]-1)*31+TDays[[#This Row],[روز]]+1)/7)+1</f>
        <v>47</v>
      </c>
      <c r="Q1780" s="164">
        <f>SUMIF(TArticle[تاریخ],TDays[[#This Row],[تاریخ]],TArticle[تراکنش برنامه ریزی شده])</f>
        <v>0</v>
      </c>
    </row>
    <row r="1781" spans="1:17" x14ac:dyDescent="0.25">
      <c r="A1781" s="3" t="s">
        <v>2364</v>
      </c>
      <c r="B1781" s="164" t="str">
        <f>RIGHT(TDays[[#This Row],[تاریخ]],2)</f>
        <v>14</v>
      </c>
      <c r="C1781" s="164" t="str">
        <f>RIGHT(LEFT(TDays[[#This Row],[تاریخ]],7),2)</f>
        <v>11</v>
      </c>
      <c r="D1781" s="164" t="str">
        <f>LEFT(TDays[[#This Row],[تاریخ]],4)</f>
        <v>1405</v>
      </c>
      <c r="E1781" s="164" t="str">
        <f>LEFT(TDays[[#This Row],[تاریخ]],7)</f>
        <v>1405-11</v>
      </c>
      <c r="F1781">
        <v>3</v>
      </c>
      <c r="G1781" s="165" t="str">
        <f>VLOOKUP(TDays[[#This Row],[کد روز هفته]],TDaysOfTheWeek[],2,FALSE)</f>
        <v>سه شنبه</v>
      </c>
      <c r="H1781" s="165">
        <f>IFERROR(IF(E1780&lt;&gt;E1781,1,INT(H1780)+IF(TDays[[#This Row],[کد روز هفته]]=0,1,0)),1)</f>
        <v>3</v>
      </c>
      <c r="I1781" s="164">
        <f>-SUMIF(TArticle[تاریخ],TDays[[#This Row],[تاریخ]],TArticle[هزینه])</f>
        <v>0</v>
      </c>
      <c r="J1781" s="164">
        <f>SUMIF(TArticle[تاریخ],TDays[[#This Row],[تاریخ]],TArticle[درآمد تتا])</f>
        <v>0</v>
      </c>
      <c r="K1781" s="164">
        <f>SUMIF(TArticle[تاریخ],TDays[[#This Row],[تاریخ]],TArticle[اسنپ])</f>
        <v>0</v>
      </c>
      <c r="L1781" s="164">
        <f>-SUMIF(TArticle[تاریخ],TDays[[#This Row],[تاریخ]],TArticle[پرداخت بدهی])</f>
        <v>0</v>
      </c>
      <c r="M1781" s="164">
        <f>SUMIF(TArticle[تاریخ],TDays[[#This Row],[تاریخ]],TArticle[افزایش بدهی])</f>
        <v>0</v>
      </c>
      <c r="N1781" s="164">
        <f>-SUMIF(TArticle[تاریخ],TDays[[#This Row],[تاریخ]],TArticle[افزایش سرمایه])</f>
        <v>0</v>
      </c>
      <c r="O1781" s="164">
        <f>SUMIF(TArticle[تاریخ],TDays[[#This Row],[تاریخ]],TArticle[تعداد تراکنش انجام شده])</f>
        <v>0</v>
      </c>
      <c r="P1781" s="164">
        <f>INT(((TDays[[#This Row],[ماه]]-1)*31+TDays[[#This Row],[روز]]+1)/7)+1</f>
        <v>47</v>
      </c>
      <c r="Q1781" s="164">
        <f>SUMIF(TArticle[تاریخ],TDays[[#This Row],[تاریخ]],TArticle[تراکنش برنامه ریزی شده])</f>
        <v>0</v>
      </c>
    </row>
    <row r="1782" spans="1:17" x14ac:dyDescent="0.25">
      <c r="A1782" s="3" t="s">
        <v>2365</v>
      </c>
      <c r="B1782" s="164" t="str">
        <f>RIGHT(TDays[[#This Row],[تاریخ]],2)</f>
        <v>15</v>
      </c>
      <c r="C1782" s="164" t="str">
        <f>RIGHT(LEFT(TDays[[#This Row],[تاریخ]],7),2)</f>
        <v>11</v>
      </c>
      <c r="D1782" s="164" t="str">
        <f>LEFT(TDays[[#This Row],[تاریخ]],4)</f>
        <v>1405</v>
      </c>
      <c r="E1782" s="164" t="str">
        <f>LEFT(TDays[[#This Row],[تاریخ]],7)</f>
        <v>1405-11</v>
      </c>
      <c r="F1782">
        <v>4</v>
      </c>
      <c r="G1782" s="165" t="str">
        <f>VLOOKUP(TDays[[#This Row],[کد روز هفته]],TDaysOfTheWeek[],2,FALSE)</f>
        <v>چهارشنبه</v>
      </c>
      <c r="H1782" s="165">
        <f>IFERROR(IF(E1781&lt;&gt;E1782,1,INT(H1781)+IF(TDays[[#This Row],[کد روز هفته]]=0,1,0)),1)</f>
        <v>3</v>
      </c>
      <c r="I1782" s="164">
        <f>-SUMIF(TArticle[تاریخ],TDays[[#This Row],[تاریخ]],TArticle[هزینه])</f>
        <v>0</v>
      </c>
      <c r="J1782" s="164">
        <f>SUMIF(TArticle[تاریخ],TDays[[#This Row],[تاریخ]],TArticle[درآمد تتا])</f>
        <v>0</v>
      </c>
      <c r="K1782" s="164">
        <f>SUMIF(TArticle[تاریخ],TDays[[#This Row],[تاریخ]],TArticle[اسنپ])</f>
        <v>0</v>
      </c>
      <c r="L1782" s="164">
        <f>-SUMIF(TArticle[تاریخ],TDays[[#This Row],[تاریخ]],TArticle[پرداخت بدهی])</f>
        <v>0</v>
      </c>
      <c r="M1782" s="164">
        <f>SUMIF(TArticle[تاریخ],TDays[[#This Row],[تاریخ]],TArticle[افزایش بدهی])</f>
        <v>0</v>
      </c>
      <c r="N1782" s="164">
        <f>-SUMIF(TArticle[تاریخ],TDays[[#This Row],[تاریخ]],TArticle[افزایش سرمایه])</f>
        <v>0</v>
      </c>
      <c r="O1782" s="164">
        <f>SUMIF(TArticle[تاریخ],TDays[[#This Row],[تاریخ]],TArticle[تعداد تراکنش انجام شده])</f>
        <v>0</v>
      </c>
      <c r="P1782" s="164">
        <f>INT(((TDays[[#This Row],[ماه]]-1)*31+TDays[[#This Row],[روز]]+1)/7)+1</f>
        <v>47</v>
      </c>
      <c r="Q1782" s="164">
        <f>SUMIF(TArticle[تاریخ],TDays[[#This Row],[تاریخ]],TArticle[تراکنش برنامه ریزی شده])</f>
        <v>0</v>
      </c>
    </row>
    <row r="1783" spans="1:17" x14ac:dyDescent="0.25">
      <c r="A1783" s="3" t="s">
        <v>2366</v>
      </c>
      <c r="B1783" s="164" t="str">
        <f>RIGHT(TDays[[#This Row],[تاریخ]],2)</f>
        <v>16</v>
      </c>
      <c r="C1783" s="164" t="str">
        <f>RIGHT(LEFT(TDays[[#This Row],[تاریخ]],7),2)</f>
        <v>11</v>
      </c>
      <c r="D1783" s="164" t="str">
        <f>LEFT(TDays[[#This Row],[تاریخ]],4)</f>
        <v>1405</v>
      </c>
      <c r="E1783" s="164" t="str">
        <f>LEFT(TDays[[#This Row],[تاریخ]],7)</f>
        <v>1405-11</v>
      </c>
      <c r="F1783">
        <v>5</v>
      </c>
      <c r="G1783" s="165" t="str">
        <f>VLOOKUP(TDays[[#This Row],[کد روز هفته]],TDaysOfTheWeek[],2,FALSE)</f>
        <v>پنجشنبه</v>
      </c>
      <c r="H1783" s="165">
        <f>IFERROR(IF(E1782&lt;&gt;E1783,1,INT(H1782)+IF(TDays[[#This Row],[کد روز هفته]]=0,1,0)),1)</f>
        <v>3</v>
      </c>
      <c r="I1783" s="164">
        <f>-SUMIF(TArticle[تاریخ],TDays[[#This Row],[تاریخ]],TArticle[هزینه])</f>
        <v>0</v>
      </c>
      <c r="J1783" s="164">
        <f>SUMIF(TArticle[تاریخ],TDays[[#This Row],[تاریخ]],TArticle[درآمد تتا])</f>
        <v>0</v>
      </c>
      <c r="K1783" s="164">
        <f>SUMIF(TArticle[تاریخ],TDays[[#This Row],[تاریخ]],TArticle[اسنپ])</f>
        <v>0</v>
      </c>
      <c r="L1783" s="164">
        <f>-SUMIF(TArticle[تاریخ],TDays[[#This Row],[تاریخ]],TArticle[پرداخت بدهی])</f>
        <v>0</v>
      </c>
      <c r="M1783" s="164">
        <f>SUMIF(TArticle[تاریخ],TDays[[#This Row],[تاریخ]],TArticle[افزایش بدهی])</f>
        <v>0</v>
      </c>
      <c r="N1783" s="164">
        <f>-SUMIF(TArticle[تاریخ],TDays[[#This Row],[تاریخ]],TArticle[افزایش سرمایه])</f>
        <v>0</v>
      </c>
      <c r="O1783" s="164">
        <f>SUMIF(TArticle[تاریخ],TDays[[#This Row],[تاریخ]],TArticle[تعداد تراکنش انجام شده])</f>
        <v>0</v>
      </c>
      <c r="P1783" s="164">
        <f>INT(((TDays[[#This Row],[ماه]]-1)*31+TDays[[#This Row],[روز]]+1)/7)+1</f>
        <v>47</v>
      </c>
      <c r="Q1783" s="164">
        <f>SUMIF(TArticle[تاریخ],TDays[[#This Row],[تاریخ]],TArticle[تراکنش برنامه ریزی شده])</f>
        <v>0</v>
      </c>
    </row>
    <row r="1784" spans="1:17" x14ac:dyDescent="0.25">
      <c r="A1784" s="3" t="s">
        <v>2367</v>
      </c>
      <c r="B1784" s="164" t="str">
        <f>RIGHT(TDays[[#This Row],[تاریخ]],2)</f>
        <v>17</v>
      </c>
      <c r="C1784" s="164" t="str">
        <f>RIGHT(LEFT(TDays[[#This Row],[تاریخ]],7),2)</f>
        <v>11</v>
      </c>
      <c r="D1784" s="164" t="str">
        <f>LEFT(TDays[[#This Row],[تاریخ]],4)</f>
        <v>1405</v>
      </c>
      <c r="E1784" s="164" t="str">
        <f>LEFT(TDays[[#This Row],[تاریخ]],7)</f>
        <v>1405-11</v>
      </c>
      <c r="F1784">
        <v>6</v>
      </c>
      <c r="G1784" s="165" t="str">
        <f>VLOOKUP(TDays[[#This Row],[کد روز هفته]],TDaysOfTheWeek[],2,FALSE)</f>
        <v>جمعه</v>
      </c>
      <c r="H1784" s="165">
        <f>IFERROR(IF(E1783&lt;&gt;E1784,1,INT(H1783)+IF(TDays[[#This Row],[کد روز هفته]]=0,1,0)),1)</f>
        <v>3</v>
      </c>
      <c r="I1784" s="164">
        <f>-SUMIF(TArticle[تاریخ],TDays[[#This Row],[تاریخ]],TArticle[هزینه])</f>
        <v>0</v>
      </c>
      <c r="J1784" s="164">
        <f>SUMIF(TArticle[تاریخ],TDays[[#This Row],[تاریخ]],TArticle[درآمد تتا])</f>
        <v>0</v>
      </c>
      <c r="K1784" s="164">
        <f>SUMIF(TArticle[تاریخ],TDays[[#This Row],[تاریخ]],TArticle[اسنپ])</f>
        <v>0</v>
      </c>
      <c r="L1784" s="164">
        <f>-SUMIF(TArticle[تاریخ],TDays[[#This Row],[تاریخ]],TArticle[پرداخت بدهی])</f>
        <v>0</v>
      </c>
      <c r="M1784" s="164">
        <f>SUMIF(TArticle[تاریخ],TDays[[#This Row],[تاریخ]],TArticle[افزایش بدهی])</f>
        <v>0</v>
      </c>
      <c r="N1784" s="164">
        <f>-SUMIF(TArticle[تاریخ],TDays[[#This Row],[تاریخ]],TArticle[افزایش سرمایه])</f>
        <v>0</v>
      </c>
      <c r="O1784" s="164">
        <f>SUMIF(TArticle[تاریخ],TDays[[#This Row],[تاریخ]],TArticle[تعداد تراکنش انجام شده])</f>
        <v>0</v>
      </c>
      <c r="P1784" s="164">
        <f>INT(((TDays[[#This Row],[ماه]]-1)*31+TDays[[#This Row],[روز]]+1)/7)+1</f>
        <v>47</v>
      </c>
      <c r="Q1784" s="164">
        <f>SUMIF(TArticle[تاریخ],TDays[[#This Row],[تاریخ]],TArticle[تراکنش برنامه ریزی شده])</f>
        <v>0</v>
      </c>
    </row>
    <row r="1785" spans="1:17" x14ac:dyDescent="0.25">
      <c r="A1785" s="3" t="s">
        <v>2368</v>
      </c>
      <c r="B1785" s="164" t="str">
        <f>RIGHT(TDays[[#This Row],[تاریخ]],2)</f>
        <v>18</v>
      </c>
      <c r="C1785" s="164" t="str">
        <f>RIGHT(LEFT(TDays[[#This Row],[تاریخ]],7),2)</f>
        <v>11</v>
      </c>
      <c r="D1785" s="164" t="str">
        <f>LEFT(TDays[[#This Row],[تاریخ]],4)</f>
        <v>1405</v>
      </c>
      <c r="E1785" s="164" t="str">
        <f>LEFT(TDays[[#This Row],[تاریخ]],7)</f>
        <v>1405-11</v>
      </c>
      <c r="F1785">
        <v>0</v>
      </c>
      <c r="G1785" s="165" t="str">
        <f>VLOOKUP(TDays[[#This Row],[کد روز هفته]],TDaysOfTheWeek[],2,FALSE)</f>
        <v>شنبه</v>
      </c>
      <c r="H1785" s="165">
        <f>IFERROR(IF(E1784&lt;&gt;E1785,1,INT(H1784)+IF(TDays[[#This Row],[کد روز هفته]]=0,1,0)),1)</f>
        <v>4</v>
      </c>
      <c r="I1785" s="164">
        <f>-SUMIF(TArticle[تاریخ],TDays[[#This Row],[تاریخ]],TArticle[هزینه])</f>
        <v>0</v>
      </c>
      <c r="J1785" s="164">
        <f>SUMIF(TArticle[تاریخ],TDays[[#This Row],[تاریخ]],TArticle[درآمد تتا])</f>
        <v>0</v>
      </c>
      <c r="K1785" s="164">
        <f>SUMIF(TArticle[تاریخ],TDays[[#This Row],[تاریخ]],TArticle[اسنپ])</f>
        <v>0</v>
      </c>
      <c r="L1785" s="164">
        <f>-SUMIF(TArticle[تاریخ],TDays[[#This Row],[تاریخ]],TArticle[پرداخت بدهی])</f>
        <v>0</v>
      </c>
      <c r="M1785" s="164">
        <f>SUMIF(TArticle[تاریخ],TDays[[#This Row],[تاریخ]],TArticle[افزایش بدهی])</f>
        <v>0</v>
      </c>
      <c r="N1785" s="164">
        <f>-SUMIF(TArticle[تاریخ],TDays[[#This Row],[تاریخ]],TArticle[افزایش سرمایه])</f>
        <v>0</v>
      </c>
      <c r="O1785" s="164">
        <f>SUMIF(TArticle[تاریخ],TDays[[#This Row],[تاریخ]],TArticle[تعداد تراکنش انجام شده])</f>
        <v>0</v>
      </c>
      <c r="P1785" s="164">
        <f>INT(((TDays[[#This Row],[ماه]]-1)*31+TDays[[#This Row],[روز]]+1)/7)+1</f>
        <v>48</v>
      </c>
      <c r="Q1785" s="164">
        <f>SUMIF(TArticle[تاریخ],TDays[[#This Row],[تاریخ]],TArticle[تراکنش برنامه ریزی شده])</f>
        <v>0</v>
      </c>
    </row>
    <row r="1786" spans="1:17" x14ac:dyDescent="0.25">
      <c r="A1786" s="3" t="s">
        <v>2369</v>
      </c>
      <c r="B1786" s="164" t="str">
        <f>RIGHT(TDays[[#This Row],[تاریخ]],2)</f>
        <v>19</v>
      </c>
      <c r="C1786" s="164" t="str">
        <f>RIGHT(LEFT(TDays[[#This Row],[تاریخ]],7),2)</f>
        <v>11</v>
      </c>
      <c r="D1786" s="164" t="str">
        <f>LEFT(TDays[[#This Row],[تاریخ]],4)</f>
        <v>1405</v>
      </c>
      <c r="E1786" s="164" t="str">
        <f>LEFT(TDays[[#This Row],[تاریخ]],7)</f>
        <v>1405-11</v>
      </c>
      <c r="F1786">
        <v>1</v>
      </c>
      <c r="G1786" s="165" t="str">
        <f>VLOOKUP(TDays[[#This Row],[کد روز هفته]],TDaysOfTheWeek[],2,FALSE)</f>
        <v>یکشنبه</v>
      </c>
      <c r="H1786" s="165">
        <f>IFERROR(IF(E1785&lt;&gt;E1786,1,INT(H1785)+IF(TDays[[#This Row],[کد روز هفته]]=0,1,0)),1)</f>
        <v>4</v>
      </c>
      <c r="I1786" s="164">
        <f>-SUMIF(TArticle[تاریخ],TDays[[#This Row],[تاریخ]],TArticle[هزینه])</f>
        <v>0</v>
      </c>
      <c r="J1786" s="164">
        <f>SUMIF(TArticle[تاریخ],TDays[[#This Row],[تاریخ]],TArticle[درآمد تتا])</f>
        <v>0</v>
      </c>
      <c r="K1786" s="164">
        <f>SUMIF(TArticle[تاریخ],TDays[[#This Row],[تاریخ]],TArticle[اسنپ])</f>
        <v>0</v>
      </c>
      <c r="L1786" s="164">
        <f>-SUMIF(TArticle[تاریخ],TDays[[#This Row],[تاریخ]],TArticle[پرداخت بدهی])</f>
        <v>0</v>
      </c>
      <c r="M1786" s="164">
        <f>SUMIF(TArticle[تاریخ],TDays[[#This Row],[تاریخ]],TArticle[افزایش بدهی])</f>
        <v>0</v>
      </c>
      <c r="N1786" s="164">
        <f>-SUMIF(TArticle[تاریخ],TDays[[#This Row],[تاریخ]],TArticle[افزایش سرمایه])</f>
        <v>0</v>
      </c>
      <c r="O1786" s="164">
        <f>SUMIF(TArticle[تاریخ],TDays[[#This Row],[تاریخ]],TArticle[تعداد تراکنش انجام شده])</f>
        <v>0</v>
      </c>
      <c r="P1786" s="164">
        <f>INT(((TDays[[#This Row],[ماه]]-1)*31+TDays[[#This Row],[روز]]+1)/7)+1</f>
        <v>48</v>
      </c>
      <c r="Q1786" s="164">
        <f>SUMIF(TArticle[تاریخ],TDays[[#This Row],[تاریخ]],TArticle[تراکنش برنامه ریزی شده])</f>
        <v>0</v>
      </c>
    </row>
    <row r="1787" spans="1:17" x14ac:dyDescent="0.25">
      <c r="A1787" s="3" t="s">
        <v>2370</v>
      </c>
      <c r="B1787" s="164" t="str">
        <f>RIGHT(TDays[[#This Row],[تاریخ]],2)</f>
        <v>20</v>
      </c>
      <c r="C1787" s="164" t="str">
        <f>RIGHT(LEFT(TDays[[#This Row],[تاریخ]],7),2)</f>
        <v>11</v>
      </c>
      <c r="D1787" s="164" t="str">
        <f>LEFT(TDays[[#This Row],[تاریخ]],4)</f>
        <v>1405</v>
      </c>
      <c r="E1787" s="164" t="str">
        <f>LEFT(TDays[[#This Row],[تاریخ]],7)</f>
        <v>1405-11</v>
      </c>
      <c r="F1787">
        <v>2</v>
      </c>
      <c r="G1787" s="165" t="str">
        <f>VLOOKUP(TDays[[#This Row],[کد روز هفته]],TDaysOfTheWeek[],2,FALSE)</f>
        <v>دوشنبه</v>
      </c>
      <c r="H1787" s="165">
        <f>IFERROR(IF(E1786&lt;&gt;E1787,1,INT(H1786)+IF(TDays[[#This Row],[کد روز هفته]]=0,1,0)),1)</f>
        <v>4</v>
      </c>
      <c r="I1787" s="164">
        <f>-SUMIF(TArticle[تاریخ],TDays[[#This Row],[تاریخ]],TArticle[هزینه])</f>
        <v>0</v>
      </c>
      <c r="J1787" s="164">
        <f>SUMIF(TArticle[تاریخ],TDays[[#This Row],[تاریخ]],TArticle[درآمد تتا])</f>
        <v>0</v>
      </c>
      <c r="K1787" s="164">
        <f>SUMIF(TArticle[تاریخ],TDays[[#This Row],[تاریخ]],TArticle[اسنپ])</f>
        <v>0</v>
      </c>
      <c r="L1787" s="164">
        <f>-SUMIF(TArticle[تاریخ],TDays[[#This Row],[تاریخ]],TArticle[پرداخت بدهی])</f>
        <v>0</v>
      </c>
      <c r="M1787" s="164">
        <f>SUMIF(TArticle[تاریخ],TDays[[#This Row],[تاریخ]],TArticle[افزایش بدهی])</f>
        <v>0</v>
      </c>
      <c r="N1787" s="164">
        <f>-SUMIF(TArticle[تاریخ],TDays[[#This Row],[تاریخ]],TArticle[افزایش سرمایه])</f>
        <v>0</v>
      </c>
      <c r="O1787" s="164">
        <f>SUMIF(TArticle[تاریخ],TDays[[#This Row],[تاریخ]],TArticle[تعداد تراکنش انجام شده])</f>
        <v>0</v>
      </c>
      <c r="P1787" s="164">
        <f>INT(((TDays[[#This Row],[ماه]]-1)*31+TDays[[#This Row],[روز]]+1)/7)+1</f>
        <v>48</v>
      </c>
      <c r="Q1787" s="164">
        <f>SUMIF(TArticle[تاریخ],TDays[[#This Row],[تاریخ]],TArticle[تراکنش برنامه ریزی شده])</f>
        <v>0</v>
      </c>
    </row>
    <row r="1788" spans="1:17" x14ac:dyDescent="0.25">
      <c r="A1788" s="3" t="s">
        <v>2371</v>
      </c>
      <c r="B1788" s="164" t="str">
        <f>RIGHT(TDays[[#This Row],[تاریخ]],2)</f>
        <v>21</v>
      </c>
      <c r="C1788" s="164" t="str">
        <f>RIGHT(LEFT(TDays[[#This Row],[تاریخ]],7),2)</f>
        <v>11</v>
      </c>
      <c r="D1788" s="164" t="str">
        <f>LEFT(TDays[[#This Row],[تاریخ]],4)</f>
        <v>1405</v>
      </c>
      <c r="E1788" s="164" t="str">
        <f>LEFT(TDays[[#This Row],[تاریخ]],7)</f>
        <v>1405-11</v>
      </c>
      <c r="F1788">
        <v>3</v>
      </c>
      <c r="G1788" s="165" t="str">
        <f>VLOOKUP(TDays[[#This Row],[کد روز هفته]],TDaysOfTheWeek[],2,FALSE)</f>
        <v>سه شنبه</v>
      </c>
      <c r="H1788" s="165">
        <f>IFERROR(IF(E1787&lt;&gt;E1788,1,INT(H1787)+IF(TDays[[#This Row],[کد روز هفته]]=0,1,0)),1)</f>
        <v>4</v>
      </c>
      <c r="I1788" s="164">
        <f>-SUMIF(TArticle[تاریخ],TDays[[#This Row],[تاریخ]],TArticle[هزینه])</f>
        <v>0</v>
      </c>
      <c r="J1788" s="164">
        <f>SUMIF(TArticle[تاریخ],TDays[[#This Row],[تاریخ]],TArticle[درآمد تتا])</f>
        <v>0</v>
      </c>
      <c r="K1788" s="164">
        <f>SUMIF(TArticle[تاریخ],TDays[[#This Row],[تاریخ]],TArticle[اسنپ])</f>
        <v>0</v>
      </c>
      <c r="L1788" s="164">
        <f>-SUMIF(TArticle[تاریخ],TDays[[#This Row],[تاریخ]],TArticle[پرداخت بدهی])</f>
        <v>0</v>
      </c>
      <c r="M1788" s="164">
        <f>SUMIF(TArticle[تاریخ],TDays[[#This Row],[تاریخ]],TArticle[افزایش بدهی])</f>
        <v>0</v>
      </c>
      <c r="N1788" s="164">
        <f>-SUMIF(TArticle[تاریخ],TDays[[#This Row],[تاریخ]],TArticle[افزایش سرمایه])</f>
        <v>0</v>
      </c>
      <c r="O1788" s="164">
        <f>SUMIF(TArticle[تاریخ],TDays[[#This Row],[تاریخ]],TArticle[تعداد تراکنش انجام شده])</f>
        <v>0</v>
      </c>
      <c r="P1788" s="164">
        <f>INT(((TDays[[#This Row],[ماه]]-1)*31+TDays[[#This Row],[روز]]+1)/7)+1</f>
        <v>48</v>
      </c>
      <c r="Q1788" s="164">
        <f>SUMIF(TArticle[تاریخ],TDays[[#This Row],[تاریخ]],TArticle[تراکنش برنامه ریزی شده])</f>
        <v>0</v>
      </c>
    </row>
    <row r="1789" spans="1:17" x14ac:dyDescent="0.25">
      <c r="A1789" s="3" t="s">
        <v>2372</v>
      </c>
      <c r="B1789" s="164" t="str">
        <f>RIGHT(TDays[[#This Row],[تاریخ]],2)</f>
        <v>22</v>
      </c>
      <c r="C1789" s="164" t="str">
        <f>RIGHT(LEFT(TDays[[#This Row],[تاریخ]],7),2)</f>
        <v>11</v>
      </c>
      <c r="D1789" s="164" t="str">
        <f>LEFT(TDays[[#This Row],[تاریخ]],4)</f>
        <v>1405</v>
      </c>
      <c r="E1789" s="164" t="str">
        <f>LEFT(TDays[[#This Row],[تاریخ]],7)</f>
        <v>1405-11</v>
      </c>
      <c r="F1789">
        <v>4</v>
      </c>
      <c r="G1789" s="165" t="str">
        <f>VLOOKUP(TDays[[#This Row],[کد روز هفته]],TDaysOfTheWeek[],2,FALSE)</f>
        <v>چهارشنبه</v>
      </c>
      <c r="H1789" s="165">
        <f>IFERROR(IF(E1788&lt;&gt;E1789,1,INT(H1788)+IF(TDays[[#This Row],[کد روز هفته]]=0,1,0)),1)</f>
        <v>4</v>
      </c>
      <c r="I1789" s="164">
        <f>-SUMIF(TArticle[تاریخ],TDays[[#This Row],[تاریخ]],TArticle[هزینه])</f>
        <v>0</v>
      </c>
      <c r="J1789" s="164">
        <f>SUMIF(TArticle[تاریخ],TDays[[#This Row],[تاریخ]],TArticle[درآمد تتا])</f>
        <v>0</v>
      </c>
      <c r="K1789" s="164">
        <f>SUMIF(TArticle[تاریخ],TDays[[#This Row],[تاریخ]],TArticle[اسنپ])</f>
        <v>0</v>
      </c>
      <c r="L1789" s="164">
        <f>-SUMIF(TArticle[تاریخ],TDays[[#This Row],[تاریخ]],TArticle[پرداخت بدهی])</f>
        <v>0</v>
      </c>
      <c r="M1789" s="164">
        <f>SUMIF(TArticle[تاریخ],TDays[[#This Row],[تاریخ]],TArticle[افزایش بدهی])</f>
        <v>0</v>
      </c>
      <c r="N1789" s="164">
        <f>-SUMIF(TArticle[تاریخ],TDays[[#This Row],[تاریخ]],TArticle[افزایش سرمایه])</f>
        <v>0</v>
      </c>
      <c r="O1789" s="164">
        <f>SUMIF(TArticle[تاریخ],TDays[[#This Row],[تاریخ]],TArticle[تعداد تراکنش انجام شده])</f>
        <v>0</v>
      </c>
      <c r="P1789" s="164">
        <f>INT(((TDays[[#This Row],[ماه]]-1)*31+TDays[[#This Row],[روز]]+1)/7)+1</f>
        <v>48</v>
      </c>
      <c r="Q1789" s="164">
        <f>SUMIF(TArticle[تاریخ],TDays[[#This Row],[تاریخ]],TArticle[تراکنش برنامه ریزی شده])</f>
        <v>0</v>
      </c>
    </row>
    <row r="1790" spans="1:17" x14ac:dyDescent="0.25">
      <c r="A1790" s="3" t="s">
        <v>2373</v>
      </c>
      <c r="B1790" s="164" t="str">
        <f>RIGHT(TDays[[#This Row],[تاریخ]],2)</f>
        <v>23</v>
      </c>
      <c r="C1790" s="164" t="str">
        <f>RIGHT(LEFT(TDays[[#This Row],[تاریخ]],7),2)</f>
        <v>11</v>
      </c>
      <c r="D1790" s="164" t="str">
        <f>LEFT(TDays[[#This Row],[تاریخ]],4)</f>
        <v>1405</v>
      </c>
      <c r="E1790" s="164" t="str">
        <f>LEFT(TDays[[#This Row],[تاریخ]],7)</f>
        <v>1405-11</v>
      </c>
      <c r="F1790">
        <v>5</v>
      </c>
      <c r="G1790" s="165" t="str">
        <f>VLOOKUP(TDays[[#This Row],[کد روز هفته]],TDaysOfTheWeek[],2,FALSE)</f>
        <v>پنجشنبه</v>
      </c>
      <c r="H1790" s="165">
        <f>IFERROR(IF(E1789&lt;&gt;E1790,1,INT(H1789)+IF(TDays[[#This Row],[کد روز هفته]]=0,1,0)),1)</f>
        <v>4</v>
      </c>
      <c r="I1790" s="164">
        <f>-SUMIF(TArticle[تاریخ],TDays[[#This Row],[تاریخ]],TArticle[هزینه])</f>
        <v>0</v>
      </c>
      <c r="J1790" s="164">
        <f>SUMIF(TArticle[تاریخ],TDays[[#This Row],[تاریخ]],TArticle[درآمد تتا])</f>
        <v>0</v>
      </c>
      <c r="K1790" s="164">
        <f>SUMIF(TArticle[تاریخ],TDays[[#This Row],[تاریخ]],TArticle[اسنپ])</f>
        <v>0</v>
      </c>
      <c r="L1790" s="164">
        <f>-SUMIF(TArticle[تاریخ],TDays[[#This Row],[تاریخ]],TArticle[پرداخت بدهی])</f>
        <v>0</v>
      </c>
      <c r="M1790" s="164">
        <f>SUMIF(TArticle[تاریخ],TDays[[#This Row],[تاریخ]],TArticle[افزایش بدهی])</f>
        <v>0</v>
      </c>
      <c r="N1790" s="164">
        <f>-SUMIF(TArticle[تاریخ],TDays[[#This Row],[تاریخ]],TArticle[افزایش سرمایه])</f>
        <v>0</v>
      </c>
      <c r="O1790" s="164">
        <f>SUMIF(TArticle[تاریخ],TDays[[#This Row],[تاریخ]],TArticle[تعداد تراکنش انجام شده])</f>
        <v>0</v>
      </c>
      <c r="P1790" s="164">
        <f>INT(((TDays[[#This Row],[ماه]]-1)*31+TDays[[#This Row],[روز]]+1)/7)+1</f>
        <v>48</v>
      </c>
      <c r="Q1790" s="164">
        <f>SUMIF(TArticle[تاریخ],TDays[[#This Row],[تاریخ]],TArticle[تراکنش برنامه ریزی شده])</f>
        <v>0</v>
      </c>
    </row>
    <row r="1791" spans="1:17" x14ac:dyDescent="0.25">
      <c r="A1791" s="3" t="s">
        <v>2374</v>
      </c>
      <c r="B1791" s="164" t="str">
        <f>RIGHT(TDays[[#This Row],[تاریخ]],2)</f>
        <v>24</v>
      </c>
      <c r="C1791" s="164" t="str">
        <f>RIGHT(LEFT(TDays[[#This Row],[تاریخ]],7),2)</f>
        <v>11</v>
      </c>
      <c r="D1791" s="164" t="str">
        <f>LEFT(TDays[[#This Row],[تاریخ]],4)</f>
        <v>1405</v>
      </c>
      <c r="E1791" s="164" t="str">
        <f>LEFT(TDays[[#This Row],[تاریخ]],7)</f>
        <v>1405-11</v>
      </c>
      <c r="F1791">
        <v>6</v>
      </c>
      <c r="G1791" s="165" t="str">
        <f>VLOOKUP(TDays[[#This Row],[کد روز هفته]],TDaysOfTheWeek[],2,FALSE)</f>
        <v>جمعه</v>
      </c>
      <c r="H1791" s="165">
        <f>IFERROR(IF(E1790&lt;&gt;E1791,1,INT(H1790)+IF(TDays[[#This Row],[کد روز هفته]]=0,1,0)),1)</f>
        <v>4</v>
      </c>
      <c r="I1791" s="164">
        <f>-SUMIF(TArticle[تاریخ],TDays[[#This Row],[تاریخ]],TArticle[هزینه])</f>
        <v>0</v>
      </c>
      <c r="J1791" s="164">
        <f>SUMIF(TArticle[تاریخ],TDays[[#This Row],[تاریخ]],TArticle[درآمد تتا])</f>
        <v>0</v>
      </c>
      <c r="K1791" s="164">
        <f>SUMIF(TArticle[تاریخ],TDays[[#This Row],[تاریخ]],TArticle[اسنپ])</f>
        <v>0</v>
      </c>
      <c r="L1791" s="164">
        <f>-SUMIF(TArticle[تاریخ],TDays[[#This Row],[تاریخ]],TArticle[پرداخت بدهی])</f>
        <v>0</v>
      </c>
      <c r="M1791" s="164">
        <f>SUMIF(TArticle[تاریخ],TDays[[#This Row],[تاریخ]],TArticle[افزایش بدهی])</f>
        <v>0</v>
      </c>
      <c r="N1791" s="164">
        <f>-SUMIF(TArticle[تاریخ],TDays[[#This Row],[تاریخ]],TArticle[افزایش سرمایه])</f>
        <v>0</v>
      </c>
      <c r="O1791" s="164">
        <f>SUMIF(TArticle[تاریخ],TDays[[#This Row],[تاریخ]],TArticle[تعداد تراکنش انجام شده])</f>
        <v>0</v>
      </c>
      <c r="P1791" s="164">
        <f>INT(((TDays[[#This Row],[ماه]]-1)*31+TDays[[#This Row],[روز]]+1)/7)+1</f>
        <v>48</v>
      </c>
      <c r="Q1791" s="164">
        <f>SUMIF(TArticle[تاریخ],TDays[[#This Row],[تاریخ]],TArticle[تراکنش برنامه ریزی شده])</f>
        <v>0</v>
      </c>
    </row>
    <row r="1792" spans="1:17" x14ac:dyDescent="0.25">
      <c r="A1792" s="3" t="s">
        <v>2375</v>
      </c>
      <c r="B1792" s="164" t="str">
        <f>RIGHT(TDays[[#This Row],[تاریخ]],2)</f>
        <v>25</v>
      </c>
      <c r="C1792" s="164" t="str">
        <f>RIGHT(LEFT(TDays[[#This Row],[تاریخ]],7),2)</f>
        <v>11</v>
      </c>
      <c r="D1792" s="164" t="str">
        <f>LEFT(TDays[[#This Row],[تاریخ]],4)</f>
        <v>1405</v>
      </c>
      <c r="E1792" s="164" t="str">
        <f>LEFT(TDays[[#This Row],[تاریخ]],7)</f>
        <v>1405-11</v>
      </c>
      <c r="F1792">
        <v>0</v>
      </c>
      <c r="G1792" s="165" t="str">
        <f>VLOOKUP(TDays[[#This Row],[کد روز هفته]],TDaysOfTheWeek[],2,FALSE)</f>
        <v>شنبه</v>
      </c>
      <c r="H1792" s="165">
        <f>IFERROR(IF(E1791&lt;&gt;E1792,1,INT(H1791)+IF(TDays[[#This Row],[کد روز هفته]]=0,1,0)),1)</f>
        <v>5</v>
      </c>
      <c r="I1792" s="164">
        <f>-SUMIF(TArticle[تاریخ],TDays[[#This Row],[تاریخ]],TArticle[هزینه])</f>
        <v>0</v>
      </c>
      <c r="J1792" s="164">
        <f>SUMIF(TArticle[تاریخ],TDays[[#This Row],[تاریخ]],TArticle[درآمد تتا])</f>
        <v>0</v>
      </c>
      <c r="K1792" s="164">
        <f>SUMIF(TArticle[تاریخ],TDays[[#This Row],[تاریخ]],TArticle[اسنپ])</f>
        <v>0</v>
      </c>
      <c r="L1792" s="164">
        <f>-SUMIF(TArticle[تاریخ],TDays[[#This Row],[تاریخ]],TArticle[پرداخت بدهی])</f>
        <v>0</v>
      </c>
      <c r="M1792" s="164">
        <f>SUMIF(TArticle[تاریخ],TDays[[#This Row],[تاریخ]],TArticle[افزایش بدهی])</f>
        <v>0</v>
      </c>
      <c r="N1792" s="164">
        <f>-SUMIF(TArticle[تاریخ],TDays[[#This Row],[تاریخ]],TArticle[افزایش سرمایه])</f>
        <v>0</v>
      </c>
      <c r="O1792" s="164">
        <f>SUMIF(TArticle[تاریخ],TDays[[#This Row],[تاریخ]],TArticle[تعداد تراکنش انجام شده])</f>
        <v>0</v>
      </c>
      <c r="P1792" s="164">
        <f>INT(((TDays[[#This Row],[ماه]]-1)*31+TDays[[#This Row],[روز]]+1)/7)+1</f>
        <v>49</v>
      </c>
      <c r="Q1792" s="164">
        <f>SUMIF(TArticle[تاریخ],TDays[[#This Row],[تاریخ]],TArticle[تراکنش برنامه ریزی شده])</f>
        <v>0</v>
      </c>
    </row>
    <row r="1793" spans="1:17" x14ac:dyDescent="0.25">
      <c r="A1793" s="3" t="s">
        <v>2376</v>
      </c>
      <c r="B1793" s="164" t="str">
        <f>RIGHT(TDays[[#This Row],[تاریخ]],2)</f>
        <v>26</v>
      </c>
      <c r="C1793" s="164" t="str">
        <f>RIGHT(LEFT(TDays[[#This Row],[تاریخ]],7),2)</f>
        <v>11</v>
      </c>
      <c r="D1793" s="164" t="str">
        <f>LEFT(TDays[[#This Row],[تاریخ]],4)</f>
        <v>1405</v>
      </c>
      <c r="E1793" s="164" t="str">
        <f>LEFT(TDays[[#This Row],[تاریخ]],7)</f>
        <v>1405-11</v>
      </c>
      <c r="F1793">
        <v>1</v>
      </c>
      <c r="G1793" s="165" t="str">
        <f>VLOOKUP(TDays[[#This Row],[کد روز هفته]],TDaysOfTheWeek[],2,FALSE)</f>
        <v>یکشنبه</v>
      </c>
      <c r="H1793" s="165">
        <f>IFERROR(IF(E1792&lt;&gt;E1793,1,INT(H1792)+IF(TDays[[#This Row],[کد روز هفته]]=0,1,0)),1)</f>
        <v>5</v>
      </c>
      <c r="I1793" s="164">
        <f>-SUMIF(TArticle[تاریخ],TDays[[#This Row],[تاریخ]],TArticle[هزینه])</f>
        <v>0</v>
      </c>
      <c r="J1793" s="164">
        <f>SUMIF(TArticle[تاریخ],TDays[[#This Row],[تاریخ]],TArticle[درآمد تتا])</f>
        <v>0</v>
      </c>
      <c r="K1793" s="164">
        <f>SUMIF(TArticle[تاریخ],TDays[[#This Row],[تاریخ]],TArticle[اسنپ])</f>
        <v>0</v>
      </c>
      <c r="L1793" s="164">
        <f>-SUMIF(TArticle[تاریخ],TDays[[#This Row],[تاریخ]],TArticle[پرداخت بدهی])</f>
        <v>0</v>
      </c>
      <c r="M1793" s="164">
        <f>SUMIF(TArticle[تاریخ],TDays[[#This Row],[تاریخ]],TArticle[افزایش بدهی])</f>
        <v>0</v>
      </c>
      <c r="N1793" s="164">
        <f>-SUMIF(TArticle[تاریخ],TDays[[#This Row],[تاریخ]],TArticle[افزایش سرمایه])</f>
        <v>0</v>
      </c>
      <c r="O1793" s="164">
        <f>SUMIF(TArticle[تاریخ],TDays[[#This Row],[تاریخ]],TArticle[تعداد تراکنش انجام شده])</f>
        <v>0</v>
      </c>
      <c r="P1793" s="164">
        <f>INT(((TDays[[#This Row],[ماه]]-1)*31+TDays[[#This Row],[روز]]+1)/7)+1</f>
        <v>49</v>
      </c>
      <c r="Q1793" s="164">
        <f>SUMIF(TArticle[تاریخ],TDays[[#This Row],[تاریخ]],TArticle[تراکنش برنامه ریزی شده])</f>
        <v>0</v>
      </c>
    </row>
    <row r="1794" spans="1:17" x14ac:dyDescent="0.25">
      <c r="A1794" s="3" t="s">
        <v>2377</v>
      </c>
      <c r="B1794" s="164" t="str">
        <f>RIGHT(TDays[[#This Row],[تاریخ]],2)</f>
        <v>27</v>
      </c>
      <c r="C1794" s="164" t="str">
        <f>RIGHT(LEFT(TDays[[#This Row],[تاریخ]],7),2)</f>
        <v>11</v>
      </c>
      <c r="D1794" s="164" t="str">
        <f>LEFT(TDays[[#This Row],[تاریخ]],4)</f>
        <v>1405</v>
      </c>
      <c r="E1794" s="164" t="str">
        <f>LEFT(TDays[[#This Row],[تاریخ]],7)</f>
        <v>1405-11</v>
      </c>
      <c r="F1794">
        <v>2</v>
      </c>
      <c r="G1794" s="165" t="str">
        <f>VLOOKUP(TDays[[#This Row],[کد روز هفته]],TDaysOfTheWeek[],2,FALSE)</f>
        <v>دوشنبه</v>
      </c>
      <c r="H1794" s="165">
        <f>IFERROR(IF(E1793&lt;&gt;E1794,1,INT(H1793)+IF(TDays[[#This Row],[کد روز هفته]]=0,1,0)),1)</f>
        <v>5</v>
      </c>
      <c r="I1794" s="164">
        <f>-SUMIF(TArticle[تاریخ],TDays[[#This Row],[تاریخ]],TArticle[هزینه])</f>
        <v>0</v>
      </c>
      <c r="J1794" s="164">
        <f>SUMIF(TArticle[تاریخ],TDays[[#This Row],[تاریخ]],TArticle[درآمد تتا])</f>
        <v>0</v>
      </c>
      <c r="K1794" s="164">
        <f>SUMIF(TArticle[تاریخ],TDays[[#This Row],[تاریخ]],TArticle[اسنپ])</f>
        <v>0</v>
      </c>
      <c r="L1794" s="164">
        <f>-SUMIF(TArticle[تاریخ],TDays[[#This Row],[تاریخ]],TArticle[پرداخت بدهی])</f>
        <v>0</v>
      </c>
      <c r="M1794" s="164">
        <f>SUMIF(TArticle[تاریخ],TDays[[#This Row],[تاریخ]],TArticle[افزایش بدهی])</f>
        <v>0</v>
      </c>
      <c r="N1794" s="164">
        <f>-SUMIF(TArticle[تاریخ],TDays[[#This Row],[تاریخ]],TArticle[افزایش سرمایه])</f>
        <v>0</v>
      </c>
      <c r="O1794" s="164">
        <f>SUMIF(TArticle[تاریخ],TDays[[#This Row],[تاریخ]],TArticle[تعداد تراکنش انجام شده])</f>
        <v>0</v>
      </c>
      <c r="P1794" s="164">
        <f>INT(((TDays[[#This Row],[ماه]]-1)*31+TDays[[#This Row],[روز]]+1)/7)+1</f>
        <v>49</v>
      </c>
      <c r="Q1794" s="164">
        <f>SUMIF(TArticle[تاریخ],TDays[[#This Row],[تاریخ]],TArticle[تراکنش برنامه ریزی شده])</f>
        <v>0</v>
      </c>
    </row>
    <row r="1795" spans="1:17" x14ac:dyDescent="0.25">
      <c r="A1795" s="3" t="s">
        <v>2378</v>
      </c>
      <c r="B1795" s="164" t="str">
        <f>RIGHT(TDays[[#This Row],[تاریخ]],2)</f>
        <v>28</v>
      </c>
      <c r="C1795" s="164" t="str">
        <f>RIGHT(LEFT(TDays[[#This Row],[تاریخ]],7),2)</f>
        <v>11</v>
      </c>
      <c r="D1795" s="164" t="str">
        <f>LEFT(TDays[[#This Row],[تاریخ]],4)</f>
        <v>1405</v>
      </c>
      <c r="E1795" s="164" t="str">
        <f>LEFT(TDays[[#This Row],[تاریخ]],7)</f>
        <v>1405-11</v>
      </c>
      <c r="F1795" s="164">
        <v>3</v>
      </c>
      <c r="G1795" s="165" t="str">
        <f>VLOOKUP(TDays[[#This Row],[کد روز هفته]],TDaysOfTheWeek[],2,FALSE)</f>
        <v>سه شنبه</v>
      </c>
      <c r="H1795" s="165">
        <f>IFERROR(IF(E1794&lt;&gt;E1795,1,INT(H1794)+IF(TDays[[#This Row],[کد روز هفته]]=0,1,0)),1)</f>
        <v>5</v>
      </c>
      <c r="I1795" s="164">
        <f>-SUMIF(TArticle[تاریخ],TDays[[#This Row],[تاریخ]],TArticle[هزینه])</f>
        <v>0</v>
      </c>
      <c r="J1795" s="164">
        <f>SUMIF(TArticle[تاریخ],TDays[[#This Row],[تاریخ]],TArticle[درآمد تتا])</f>
        <v>0</v>
      </c>
      <c r="K1795" s="164">
        <f>SUMIF(TArticle[تاریخ],TDays[[#This Row],[تاریخ]],TArticle[اسنپ])</f>
        <v>0</v>
      </c>
      <c r="L1795" s="164">
        <f>-SUMIF(TArticle[تاریخ],TDays[[#This Row],[تاریخ]],TArticle[پرداخت بدهی])</f>
        <v>0</v>
      </c>
      <c r="M1795" s="164">
        <f>SUMIF(TArticle[تاریخ],TDays[[#This Row],[تاریخ]],TArticle[افزایش بدهی])</f>
        <v>0</v>
      </c>
      <c r="N1795" s="164">
        <f>-SUMIF(TArticle[تاریخ],TDays[[#This Row],[تاریخ]],TArticle[افزایش سرمایه])</f>
        <v>0</v>
      </c>
      <c r="O1795" s="164">
        <f>SUMIF(TArticle[تاریخ],TDays[[#This Row],[تاریخ]],TArticle[تعداد تراکنش انجام شده])</f>
        <v>0</v>
      </c>
      <c r="P1795" s="164">
        <f>INT(((TDays[[#This Row],[ماه]]-1)*31+TDays[[#This Row],[روز]]+1)/7)+1</f>
        <v>49</v>
      </c>
      <c r="Q1795" s="164">
        <f>SUMIF(TArticle[تاریخ],TDays[[#This Row],[تاریخ]],TArticle[تراکنش برنامه ریزی شده])</f>
        <v>0</v>
      </c>
    </row>
    <row r="1796" spans="1:17" x14ac:dyDescent="0.25">
      <c r="A1796" s="3" t="s">
        <v>2379</v>
      </c>
      <c r="B1796" s="164" t="str">
        <f>RIGHT(TDays[[#This Row],[تاریخ]],2)</f>
        <v>29</v>
      </c>
      <c r="C1796" s="164" t="str">
        <f>RIGHT(LEFT(TDays[[#This Row],[تاریخ]],7),2)</f>
        <v>11</v>
      </c>
      <c r="D1796" s="164" t="str">
        <f>LEFT(TDays[[#This Row],[تاریخ]],4)</f>
        <v>1405</v>
      </c>
      <c r="E1796" s="164" t="str">
        <f>LEFT(TDays[[#This Row],[تاریخ]],7)</f>
        <v>1405-11</v>
      </c>
      <c r="F1796" s="164">
        <v>4</v>
      </c>
      <c r="G1796" s="165" t="str">
        <f>VLOOKUP(TDays[[#This Row],[کد روز هفته]],TDaysOfTheWeek[],2,FALSE)</f>
        <v>چهارشنبه</v>
      </c>
      <c r="H1796" s="165">
        <f>IFERROR(IF(E1795&lt;&gt;E1796,1,INT(H1795)+IF(TDays[[#This Row],[کد روز هفته]]=0,1,0)),1)</f>
        <v>5</v>
      </c>
      <c r="I1796" s="164">
        <f>-SUMIF(TArticle[تاریخ],TDays[[#This Row],[تاریخ]],TArticle[هزینه])</f>
        <v>0</v>
      </c>
      <c r="J1796" s="164">
        <f>SUMIF(TArticle[تاریخ],TDays[[#This Row],[تاریخ]],TArticle[درآمد تتا])</f>
        <v>0</v>
      </c>
      <c r="K1796" s="164">
        <f>SUMIF(TArticle[تاریخ],TDays[[#This Row],[تاریخ]],TArticle[اسنپ])</f>
        <v>0</v>
      </c>
      <c r="L1796" s="164">
        <f>-SUMIF(TArticle[تاریخ],TDays[[#This Row],[تاریخ]],TArticle[پرداخت بدهی])</f>
        <v>0</v>
      </c>
      <c r="M1796" s="164">
        <f>SUMIF(TArticle[تاریخ],TDays[[#This Row],[تاریخ]],TArticle[افزایش بدهی])</f>
        <v>0</v>
      </c>
      <c r="N1796" s="164">
        <f>-SUMIF(TArticle[تاریخ],TDays[[#This Row],[تاریخ]],TArticle[افزایش سرمایه])</f>
        <v>0</v>
      </c>
      <c r="O1796" s="164">
        <f>SUMIF(TArticle[تاریخ],TDays[[#This Row],[تاریخ]],TArticle[تعداد تراکنش انجام شده])</f>
        <v>0</v>
      </c>
      <c r="P1796" s="164">
        <f>INT(((TDays[[#This Row],[ماه]]-1)*31+TDays[[#This Row],[روز]]+1)/7)+1</f>
        <v>49</v>
      </c>
      <c r="Q1796" s="164">
        <f>SUMIF(TArticle[تاریخ],TDays[[#This Row],[تاریخ]],TArticle[تراکنش برنامه ریزی شده])</f>
        <v>0</v>
      </c>
    </row>
    <row r="1797" spans="1:17" x14ac:dyDescent="0.25">
      <c r="A1797" s="3" t="s">
        <v>2380</v>
      </c>
      <c r="B1797" s="164" t="str">
        <f>RIGHT(TDays[[#This Row],[تاریخ]],2)</f>
        <v>30</v>
      </c>
      <c r="C1797" s="164" t="str">
        <f>RIGHT(LEFT(TDays[[#This Row],[تاریخ]],7),2)</f>
        <v>11</v>
      </c>
      <c r="D1797" s="164" t="str">
        <f>LEFT(TDays[[#This Row],[تاریخ]],4)</f>
        <v>1405</v>
      </c>
      <c r="E1797" s="164" t="str">
        <f>LEFT(TDays[[#This Row],[تاریخ]],7)</f>
        <v>1405-11</v>
      </c>
      <c r="F1797">
        <v>5</v>
      </c>
      <c r="G1797" s="165" t="str">
        <f>VLOOKUP(TDays[[#This Row],[کد روز هفته]],TDaysOfTheWeek[],2,FALSE)</f>
        <v>پنجشنبه</v>
      </c>
      <c r="H1797" s="165">
        <f>IFERROR(IF(E1796&lt;&gt;E1797,1,INT(H1796)+IF(TDays[[#This Row],[کد روز هفته]]=0,1,0)),1)</f>
        <v>5</v>
      </c>
      <c r="I1797" s="164">
        <f>-SUMIF(TArticle[تاریخ],TDays[[#This Row],[تاریخ]],TArticle[هزینه])</f>
        <v>0</v>
      </c>
      <c r="J1797" s="164">
        <f>SUMIF(TArticle[تاریخ],TDays[[#This Row],[تاریخ]],TArticle[درآمد تتا])</f>
        <v>0</v>
      </c>
      <c r="K1797" s="164">
        <f>SUMIF(TArticle[تاریخ],TDays[[#This Row],[تاریخ]],TArticle[اسنپ])</f>
        <v>0</v>
      </c>
      <c r="L1797" s="164">
        <f>-SUMIF(TArticle[تاریخ],TDays[[#This Row],[تاریخ]],TArticle[پرداخت بدهی])</f>
        <v>0</v>
      </c>
      <c r="M1797" s="164">
        <f>SUMIF(TArticle[تاریخ],TDays[[#This Row],[تاریخ]],TArticle[افزایش بدهی])</f>
        <v>0</v>
      </c>
      <c r="N1797" s="164">
        <f>-SUMIF(TArticle[تاریخ],TDays[[#This Row],[تاریخ]],TArticle[افزایش سرمایه])</f>
        <v>0</v>
      </c>
      <c r="O1797" s="164">
        <f>SUMIF(TArticle[تاریخ],TDays[[#This Row],[تاریخ]],TArticle[تعداد تراکنش انجام شده])</f>
        <v>0</v>
      </c>
      <c r="P1797" s="164">
        <f>INT(((TDays[[#This Row],[ماه]]-1)*31+TDays[[#This Row],[روز]]+1)/7)+1</f>
        <v>49</v>
      </c>
      <c r="Q1797" s="164">
        <f>SUMIF(TArticle[تاریخ],TDays[[#This Row],[تاریخ]],TArticle[تراکنش برنامه ریزی شده])</f>
        <v>0</v>
      </c>
    </row>
    <row r="1798" spans="1:17" x14ac:dyDescent="0.25">
      <c r="A1798" s="3" t="s">
        <v>2381</v>
      </c>
      <c r="B1798" s="164" t="str">
        <f>RIGHT(TDays[[#This Row],[تاریخ]],2)</f>
        <v>01</v>
      </c>
      <c r="C1798" s="164" t="str">
        <f>RIGHT(LEFT(TDays[[#This Row],[تاریخ]],7),2)</f>
        <v>12</v>
      </c>
      <c r="D1798" s="164" t="str">
        <f>LEFT(TDays[[#This Row],[تاریخ]],4)</f>
        <v>1405</v>
      </c>
      <c r="E1798" s="164" t="str">
        <f>LEFT(TDays[[#This Row],[تاریخ]],7)</f>
        <v>1405-12</v>
      </c>
      <c r="F1798">
        <v>6</v>
      </c>
      <c r="G1798" s="165" t="str">
        <f>VLOOKUP(TDays[[#This Row],[کد روز هفته]],TDaysOfTheWeek[],2,FALSE)</f>
        <v>جمعه</v>
      </c>
      <c r="H1798" s="165">
        <f>IFERROR(IF(E1797&lt;&gt;E1798,1,INT(H1797)+IF(TDays[[#This Row],[کد روز هفته]]=0,1,0)),1)</f>
        <v>1</v>
      </c>
      <c r="I1798" s="164">
        <f>-SUMIF(TArticle[تاریخ],TDays[[#This Row],[تاریخ]],TArticle[هزینه])</f>
        <v>0</v>
      </c>
      <c r="J1798" s="164">
        <f>SUMIF(TArticle[تاریخ],TDays[[#This Row],[تاریخ]],TArticle[درآمد تتا])</f>
        <v>0</v>
      </c>
      <c r="K1798" s="164">
        <f>SUMIF(TArticle[تاریخ],TDays[[#This Row],[تاریخ]],TArticle[اسنپ])</f>
        <v>0</v>
      </c>
      <c r="L1798" s="164">
        <f>-SUMIF(TArticle[تاریخ],TDays[[#This Row],[تاریخ]],TArticle[پرداخت بدهی])</f>
        <v>0</v>
      </c>
      <c r="M1798" s="164">
        <f>SUMIF(TArticle[تاریخ],TDays[[#This Row],[تاریخ]],TArticle[افزایش بدهی])</f>
        <v>0</v>
      </c>
      <c r="N1798" s="164">
        <f>-SUMIF(TArticle[تاریخ],TDays[[#This Row],[تاریخ]],TArticle[افزایش سرمایه])</f>
        <v>0</v>
      </c>
      <c r="O1798" s="164">
        <f>SUMIF(TArticle[تاریخ],TDays[[#This Row],[تاریخ]],TArticle[تعداد تراکنش انجام شده])</f>
        <v>0</v>
      </c>
      <c r="P1798" s="164">
        <f>INT(((TDays[[#This Row],[ماه]]-1)*31+TDays[[#This Row],[روز]]+1)/7)+1</f>
        <v>50</v>
      </c>
      <c r="Q1798" s="164">
        <f>SUMIF(TArticle[تاریخ],TDays[[#This Row],[تاریخ]],TArticle[تراکنش برنامه ریزی شده])</f>
        <v>0</v>
      </c>
    </row>
    <row r="1799" spans="1:17" x14ac:dyDescent="0.25">
      <c r="A1799" s="3" t="s">
        <v>2382</v>
      </c>
      <c r="B1799" s="164" t="str">
        <f>RIGHT(TDays[[#This Row],[تاریخ]],2)</f>
        <v>02</v>
      </c>
      <c r="C1799" s="164" t="str">
        <f>RIGHT(LEFT(TDays[[#This Row],[تاریخ]],7),2)</f>
        <v>12</v>
      </c>
      <c r="D1799" s="164" t="str">
        <f>LEFT(TDays[[#This Row],[تاریخ]],4)</f>
        <v>1405</v>
      </c>
      <c r="E1799" s="164" t="str">
        <f>LEFT(TDays[[#This Row],[تاریخ]],7)</f>
        <v>1405-12</v>
      </c>
      <c r="F1799">
        <v>0</v>
      </c>
      <c r="G1799" s="165" t="str">
        <f>VLOOKUP(TDays[[#This Row],[کد روز هفته]],TDaysOfTheWeek[],2,FALSE)</f>
        <v>شنبه</v>
      </c>
      <c r="H1799" s="165">
        <f>IFERROR(IF(E1798&lt;&gt;E1799,1,INT(H1798)+IF(TDays[[#This Row],[کد روز هفته]]=0,1,0)),1)</f>
        <v>2</v>
      </c>
      <c r="I1799" s="164">
        <f>-SUMIF(TArticle[تاریخ],TDays[[#This Row],[تاریخ]],TArticle[هزینه])</f>
        <v>0</v>
      </c>
      <c r="J1799" s="164">
        <f>SUMIF(TArticle[تاریخ],TDays[[#This Row],[تاریخ]],TArticle[درآمد تتا])</f>
        <v>0</v>
      </c>
      <c r="K1799" s="164">
        <f>SUMIF(TArticle[تاریخ],TDays[[#This Row],[تاریخ]],TArticle[اسنپ])</f>
        <v>0</v>
      </c>
      <c r="L1799" s="164">
        <f>-SUMIF(TArticle[تاریخ],TDays[[#This Row],[تاریخ]],TArticle[پرداخت بدهی])</f>
        <v>0</v>
      </c>
      <c r="M1799" s="164">
        <f>SUMIF(TArticle[تاریخ],TDays[[#This Row],[تاریخ]],TArticle[افزایش بدهی])</f>
        <v>0</v>
      </c>
      <c r="N1799" s="164">
        <f>-SUMIF(TArticle[تاریخ],TDays[[#This Row],[تاریخ]],TArticle[افزایش سرمایه])</f>
        <v>0</v>
      </c>
      <c r="O1799" s="164">
        <f>SUMIF(TArticle[تاریخ],TDays[[#This Row],[تاریخ]],TArticle[تعداد تراکنش انجام شده])</f>
        <v>0</v>
      </c>
      <c r="P1799" s="164">
        <f>INT(((TDays[[#This Row],[ماه]]-1)*31+TDays[[#This Row],[روز]]+1)/7)+1</f>
        <v>50</v>
      </c>
      <c r="Q1799" s="164">
        <f>SUMIF(TArticle[تاریخ],TDays[[#This Row],[تاریخ]],TArticle[تراکنش برنامه ریزی شده])</f>
        <v>0</v>
      </c>
    </row>
    <row r="1800" spans="1:17" x14ac:dyDescent="0.25">
      <c r="A1800" s="3" t="s">
        <v>2383</v>
      </c>
      <c r="B1800" s="164" t="str">
        <f>RIGHT(TDays[[#This Row],[تاریخ]],2)</f>
        <v>03</v>
      </c>
      <c r="C1800" s="164" t="str">
        <f>RIGHT(LEFT(TDays[[#This Row],[تاریخ]],7),2)</f>
        <v>12</v>
      </c>
      <c r="D1800" s="164" t="str">
        <f>LEFT(TDays[[#This Row],[تاریخ]],4)</f>
        <v>1405</v>
      </c>
      <c r="E1800" s="164" t="str">
        <f>LEFT(TDays[[#This Row],[تاریخ]],7)</f>
        <v>1405-12</v>
      </c>
      <c r="F1800">
        <v>1</v>
      </c>
      <c r="G1800" s="165" t="str">
        <f>VLOOKUP(TDays[[#This Row],[کد روز هفته]],TDaysOfTheWeek[],2,FALSE)</f>
        <v>یکشنبه</v>
      </c>
      <c r="H1800" s="165">
        <f>IFERROR(IF(E1799&lt;&gt;E1800,1,INT(H1799)+IF(TDays[[#This Row],[کد روز هفته]]=0,1,0)),1)</f>
        <v>2</v>
      </c>
      <c r="I1800" s="164">
        <f>-SUMIF(TArticle[تاریخ],TDays[[#This Row],[تاریخ]],TArticle[هزینه])</f>
        <v>0</v>
      </c>
      <c r="J1800" s="164">
        <f>SUMIF(TArticle[تاریخ],TDays[[#This Row],[تاریخ]],TArticle[درآمد تتا])</f>
        <v>0</v>
      </c>
      <c r="K1800" s="164">
        <f>SUMIF(TArticle[تاریخ],TDays[[#This Row],[تاریخ]],TArticle[اسنپ])</f>
        <v>0</v>
      </c>
      <c r="L1800" s="164">
        <f>-SUMIF(TArticle[تاریخ],TDays[[#This Row],[تاریخ]],TArticle[پرداخت بدهی])</f>
        <v>0</v>
      </c>
      <c r="M1800" s="164">
        <f>SUMIF(TArticle[تاریخ],TDays[[#This Row],[تاریخ]],TArticle[افزایش بدهی])</f>
        <v>0</v>
      </c>
      <c r="N1800" s="164">
        <f>-SUMIF(TArticle[تاریخ],TDays[[#This Row],[تاریخ]],TArticle[افزایش سرمایه])</f>
        <v>0</v>
      </c>
      <c r="O1800" s="164">
        <f>SUMIF(TArticle[تاریخ],TDays[[#This Row],[تاریخ]],TArticle[تعداد تراکنش انجام شده])</f>
        <v>0</v>
      </c>
      <c r="P1800" s="164">
        <f>INT(((TDays[[#This Row],[ماه]]-1)*31+TDays[[#This Row],[روز]]+1)/7)+1</f>
        <v>50</v>
      </c>
      <c r="Q1800" s="164">
        <f>SUMIF(TArticle[تاریخ],TDays[[#This Row],[تاریخ]],TArticle[تراکنش برنامه ریزی شده])</f>
        <v>1</v>
      </c>
    </row>
    <row r="1801" spans="1:17" x14ac:dyDescent="0.25">
      <c r="A1801" s="3" t="s">
        <v>2384</v>
      </c>
      <c r="B1801" s="164" t="str">
        <f>RIGHT(TDays[[#This Row],[تاریخ]],2)</f>
        <v>04</v>
      </c>
      <c r="C1801" s="164" t="str">
        <f>RIGHT(LEFT(TDays[[#This Row],[تاریخ]],7),2)</f>
        <v>12</v>
      </c>
      <c r="D1801" s="164" t="str">
        <f>LEFT(TDays[[#This Row],[تاریخ]],4)</f>
        <v>1405</v>
      </c>
      <c r="E1801" s="164" t="str">
        <f>LEFT(TDays[[#This Row],[تاریخ]],7)</f>
        <v>1405-12</v>
      </c>
      <c r="F1801">
        <v>2</v>
      </c>
      <c r="G1801" s="165" t="str">
        <f>VLOOKUP(TDays[[#This Row],[کد روز هفته]],TDaysOfTheWeek[],2,FALSE)</f>
        <v>دوشنبه</v>
      </c>
      <c r="H1801" s="165">
        <f>IFERROR(IF(E1800&lt;&gt;E1801,1,INT(H1800)+IF(TDays[[#This Row],[کد روز هفته]]=0,1,0)),1)</f>
        <v>2</v>
      </c>
      <c r="I1801" s="164">
        <f>-SUMIF(TArticle[تاریخ],TDays[[#This Row],[تاریخ]],TArticle[هزینه])</f>
        <v>0</v>
      </c>
      <c r="J1801" s="164">
        <f>SUMIF(TArticle[تاریخ],TDays[[#This Row],[تاریخ]],TArticle[درآمد تتا])</f>
        <v>0</v>
      </c>
      <c r="K1801" s="164">
        <f>SUMIF(TArticle[تاریخ],TDays[[#This Row],[تاریخ]],TArticle[اسنپ])</f>
        <v>0</v>
      </c>
      <c r="L1801" s="164">
        <f>-SUMIF(TArticle[تاریخ],TDays[[#This Row],[تاریخ]],TArticle[پرداخت بدهی])</f>
        <v>0</v>
      </c>
      <c r="M1801" s="164">
        <f>SUMIF(TArticle[تاریخ],TDays[[#This Row],[تاریخ]],TArticle[افزایش بدهی])</f>
        <v>0</v>
      </c>
      <c r="N1801" s="164">
        <f>-SUMIF(TArticle[تاریخ],TDays[[#This Row],[تاریخ]],TArticle[افزایش سرمایه])</f>
        <v>0</v>
      </c>
      <c r="O1801" s="164">
        <f>SUMIF(TArticle[تاریخ],TDays[[#This Row],[تاریخ]],TArticle[تعداد تراکنش انجام شده])</f>
        <v>0</v>
      </c>
      <c r="P1801" s="164">
        <f>INT(((TDays[[#This Row],[ماه]]-1)*31+TDays[[#This Row],[روز]]+1)/7)+1</f>
        <v>50</v>
      </c>
      <c r="Q1801" s="164">
        <f>SUMIF(TArticle[تاریخ],TDays[[#This Row],[تاریخ]],TArticle[تراکنش برنامه ریزی شده])</f>
        <v>0</v>
      </c>
    </row>
    <row r="1802" spans="1:17" x14ac:dyDescent="0.25">
      <c r="A1802" s="3" t="s">
        <v>2385</v>
      </c>
      <c r="B1802" s="164" t="str">
        <f>RIGHT(TDays[[#This Row],[تاریخ]],2)</f>
        <v>05</v>
      </c>
      <c r="C1802" s="164" t="str">
        <f>RIGHT(LEFT(TDays[[#This Row],[تاریخ]],7),2)</f>
        <v>12</v>
      </c>
      <c r="D1802" s="164" t="str">
        <f>LEFT(TDays[[#This Row],[تاریخ]],4)</f>
        <v>1405</v>
      </c>
      <c r="E1802" s="164" t="str">
        <f>LEFT(TDays[[#This Row],[تاریخ]],7)</f>
        <v>1405-12</v>
      </c>
      <c r="F1802">
        <v>3</v>
      </c>
      <c r="G1802" s="165" t="str">
        <f>VLOOKUP(TDays[[#This Row],[کد روز هفته]],TDaysOfTheWeek[],2,FALSE)</f>
        <v>سه شنبه</v>
      </c>
      <c r="H1802" s="165">
        <f>IFERROR(IF(E1801&lt;&gt;E1802,1,INT(H1801)+IF(TDays[[#This Row],[کد روز هفته]]=0,1,0)),1)</f>
        <v>2</v>
      </c>
      <c r="I1802" s="164">
        <f>-SUMIF(TArticle[تاریخ],TDays[[#This Row],[تاریخ]],TArticle[هزینه])</f>
        <v>0</v>
      </c>
      <c r="J1802" s="164">
        <f>SUMIF(TArticle[تاریخ],TDays[[#This Row],[تاریخ]],TArticle[درآمد تتا])</f>
        <v>0</v>
      </c>
      <c r="K1802" s="164">
        <f>SUMIF(TArticle[تاریخ],TDays[[#This Row],[تاریخ]],TArticle[اسنپ])</f>
        <v>0</v>
      </c>
      <c r="L1802" s="164">
        <f>-SUMIF(TArticle[تاریخ],TDays[[#This Row],[تاریخ]],TArticle[پرداخت بدهی])</f>
        <v>0</v>
      </c>
      <c r="M1802" s="164">
        <f>SUMIF(TArticle[تاریخ],TDays[[#This Row],[تاریخ]],TArticle[افزایش بدهی])</f>
        <v>0</v>
      </c>
      <c r="N1802" s="164">
        <f>-SUMIF(TArticle[تاریخ],TDays[[#This Row],[تاریخ]],TArticle[افزایش سرمایه])</f>
        <v>0</v>
      </c>
      <c r="O1802" s="164">
        <f>SUMIF(TArticle[تاریخ],TDays[[#This Row],[تاریخ]],TArticle[تعداد تراکنش انجام شده])</f>
        <v>0</v>
      </c>
      <c r="P1802" s="164">
        <f>INT(((TDays[[#This Row],[ماه]]-1)*31+TDays[[#This Row],[روز]]+1)/7)+1</f>
        <v>50</v>
      </c>
      <c r="Q1802" s="164">
        <f>SUMIF(TArticle[تاریخ],TDays[[#This Row],[تاریخ]],TArticle[تراکنش برنامه ریزی شده])</f>
        <v>0</v>
      </c>
    </row>
    <row r="1803" spans="1:17" x14ac:dyDescent="0.25">
      <c r="A1803" s="3" t="s">
        <v>2386</v>
      </c>
      <c r="B1803" s="164" t="str">
        <f>RIGHT(TDays[[#This Row],[تاریخ]],2)</f>
        <v>06</v>
      </c>
      <c r="C1803" s="164" t="str">
        <f>RIGHT(LEFT(TDays[[#This Row],[تاریخ]],7),2)</f>
        <v>12</v>
      </c>
      <c r="D1803" s="164" t="str">
        <f>LEFT(TDays[[#This Row],[تاریخ]],4)</f>
        <v>1405</v>
      </c>
      <c r="E1803" s="164" t="str">
        <f>LEFT(TDays[[#This Row],[تاریخ]],7)</f>
        <v>1405-12</v>
      </c>
      <c r="F1803">
        <v>4</v>
      </c>
      <c r="G1803" s="165" t="str">
        <f>VLOOKUP(TDays[[#This Row],[کد روز هفته]],TDaysOfTheWeek[],2,FALSE)</f>
        <v>چهارشنبه</v>
      </c>
      <c r="H1803" s="165">
        <f>IFERROR(IF(E1802&lt;&gt;E1803,1,INT(H1802)+IF(TDays[[#This Row],[کد روز هفته]]=0,1,0)),1)</f>
        <v>2</v>
      </c>
      <c r="I1803" s="164">
        <f>-SUMIF(TArticle[تاریخ],TDays[[#This Row],[تاریخ]],TArticle[هزینه])</f>
        <v>0</v>
      </c>
      <c r="J1803" s="164">
        <f>SUMIF(TArticle[تاریخ],TDays[[#This Row],[تاریخ]],TArticle[درآمد تتا])</f>
        <v>0</v>
      </c>
      <c r="K1803" s="164">
        <f>SUMIF(TArticle[تاریخ],TDays[[#This Row],[تاریخ]],TArticle[اسنپ])</f>
        <v>0</v>
      </c>
      <c r="L1803" s="164">
        <f>-SUMIF(TArticle[تاریخ],TDays[[#This Row],[تاریخ]],TArticle[پرداخت بدهی])</f>
        <v>0</v>
      </c>
      <c r="M1803" s="164">
        <f>SUMIF(TArticle[تاریخ],TDays[[#This Row],[تاریخ]],TArticle[افزایش بدهی])</f>
        <v>0</v>
      </c>
      <c r="N1803" s="164">
        <f>-SUMIF(TArticle[تاریخ],TDays[[#This Row],[تاریخ]],TArticle[افزایش سرمایه])</f>
        <v>0</v>
      </c>
      <c r="O1803" s="164">
        <f>SUMIF(TArticle[تاریخ],TDays[[#This Row],[تاریخ]],TArticle[تعداد تراکنش انجام شده])</f>
        <v>0</v>
      </c>
      <c r="P1803" s="164">
        <f>INT(((TDays[[#This Row],[ماه]]-1)*31+TDays[[#This Row],[روز]]+1)/7)+1</f>
        <v>50</v>
      </c>
      <c r="Q1803" s="164">
        <f>SUMIF(TArticle[تاریخ],TDays[[#This Row],[تاریخ]],TArticle[تراکنش برنامه ریزی شده])</f>
        <v>0</v>
      </c>
    </row>
    <row r="1804" spans="1:17" x14ac:dyDescent="0.25">
      <c r="A1804" s="3" t="s">
        <v>2387</v>
      </c>
      <c r="B1804" s="164" t="str">
        <f>RIGHT(TDays[[#This Row],[تاریخ]],2)</f>
        <v>07</v>
      </c>
      <c r="C1804" s="164" t="str">
        <f>RIGHT(LEFT(TDays[[#This Row],[تاریخ]],7),2)</f>
        <v>12</v>
      </c>
      <c r="D1804" s="164" t="str">
        <f>LEFT(TDays[[#This Row],[تاریخ]],4)</f>
        <v>1405</v>
      </c>
      <c r="E1804" s="164" t="str">
        <f>LEFT(TDays[[#This Row],[تاریخ]],7)</f>
        <v>1405-12</v>
      </c>
      <c r="F1804">
        <v>5</v>
      </c>
      <c r="G1804" s="165" t="str">
        <f>VLOOKUP(TDays[[#This Row],[کد روز هفته]],TDaysOfTheWeek[],2,FALSE)</f>
        <v>پنجشنبه</v>
      </c>
      <c r="H1804" s="165">
        <f>IFERROR(IF(E1803&lt;&gt;E1804,1,INT(H1803)+IF(TDays[[#This Row],[کد روز هفته]]=0,1,0)),1)</f>
        <v>2</v>
      </c>
      <c r="I1804" s="164">
        <f>-SUMIF(TArticle[تاریخ],TDays[[#This Row],[تاریخ]],TArticle[هزینه])</f>
        <v>0</v>
      </c>
      <c r="J1804" s="164">
        <f>SUMIF(TArticle[تاریخ],TDays[[#This Row],[تاریخ]],TArticle[درآمد تتا])</f>
        <v>0</v>
      </c>
      <c r="K1804" s="164">
        <f>SUMIF(TArticle[تاریخ],TDays[[#This Row],[تاریخ]],TArticle[اسنپ])</f>
        <v>0</v>
      </c>
      <c r="L1804" s="164">
        <f>-SUMIF(TArticle[تاریخ],TDays[[#This Row],[تاریخ]],TArticle[پرداخت بدهی])</f>
        <v>0</v>
      </c>
      <c r="M1804" s="164">
        <f>SUMIF(TArticle[تاریخ],TDays[[#This Row],[تاریخ]],TArticle[افزایش بدهی])</f>
        <v>0</v>
      </c>
      <c r="N1804" s="164">
        <f>-SUMIF(TArticle[تاریخ],TDays[[#This Row],[تاریخ]],TArticle[افزایش سرمایه])</f>
        <v>0</v>
      </c>
      <c r="O1804" s="164">
        <f>SUMIF(TArticle[تاریخ],TDays[[#This Row],[تاریخ]],TArticle[تعداد تراکنش انجام شده])</f>
        <v>0</v>
      </c>
      <c r="P1804" s="164">
        <f>INT(((TDays[[#This Row],[ماه]]-1)*31+TDays[[#This Row],[روز]]+1)/7)+1</f>
        <v>50</v>
      </c>
      <c r="Q1804" s="164">
        <f>SUMIF(TArticle[تاریخ],TDays[[#This Row],[تاریخ]],TArticle[تراکنش برنامه ریزی شده])</f>
        <v>0</v>
      </c>
    </row>
    <row r="1805" spans="1:17" x14ac:dyDescent="0.25">
      <c r="A1805" s="3" t="s">
        <v>2388</v>
      </c>
      <c r="B1805" s="164" t="str">
        <f>RIGHT(TDays[[#This Row],[تاریخ]],2)</f>
        <v>08</v>
      </c>
      <c r="C1805" s="164" t="str">
        <f>RIGHT(LEFT(TDays[[#This Row],[تاریخ]],7),2)</f>
        <v>12</v>
      </c>
      <c r="D1805" s="164" t="str">
        <f>LEFT(TDays[[#This Row],[تاریخ]],4)</f>
        <v>1405</v>
      </c>
      <c r="E1805" s="164" t="str">
        <f>LEFT(TDays[[#This Row],[تاریخ]],7)</f>
        <v>1405-12</v>
      </c>
      <c r="F1805">
        <v>6</v>
      </c>
      <c r="G1805" s="165" t="str">
        <f>VLOOKUP(TDays[[#This Row],[کد روز هفته]],TDaysOfTheWeek[],2,FALSE)</f>
        <v>جمعه</v>
      </c>
      <c r="H1805" s="165">
        <f>IFERROR(IF(E1804&lt;&gt;E1805,1,INT(H1804)+IF(TDays[[#This Row],[کد روز هفته]]=0,1,0)),1)</f>
        <v>2</v>
      </c>
      <c r="I1805" s="164">
        <f>-SUMIF(TArticle[تاریخ],TDays[[#This Row],[تاریخ]],TArticle[هزینه])</f>
        <v>0</v>
      </c>
      <c r="J1805" s="164">
        <f>SUMIF(TArticle[تاریخ],TDays[[#This Row],[تاریخ]],TArticle[درآمد تتا])</f>
        <v>0</v>
      </c>
      <c r="K1805" s="164">
        <f>SUMIF(TArticle[تاریخ],TDays[[#This Row],[تاریخ]],TArticle[اسنپ])</f>
        <v>0</v>
      </c>
      <c r="L1805" s="164">
        <f>-SUMIF(TArticle[تاریخ],TDays[[#This Row],[تاریخ]],TArticle[پرداخت بدهی])</f>
        <v>0</v>
      </c>
      <c r="M1805" s="164">
        <f>SUMIF(TArticle[تاریخ],TDays[[#This Row],[تاریخ]],TArticle[افزایش بدهی])</f>
        <v>0</v>
      </c>
      <c r="N1805" s="164">
        <f>-SUMIF(TArticle[تاریخ],TDays[[#This Row],[تاریخ]],TArticle[افزایش سرمایه])</f>
        <v>0</v>
      </c>
      <c r="O1805" s="164">
        <f>SUMIF(TArticle[تاریخ],TDays[[#This Row],[تاریخ]],TArticle[تعداد تراکنش انجام شده])</f>
        <v>0</v>
      </c>
      <c r="P1805" s="164">
        <f>INT(((TDays[[#This Row],[ماه]]-1)*31+TDays[[#This Row],[روز]]+1)/7)+1</f>
        <v>51</v>
      </c>
      <c r="Q1805" s="164">
        <f>SUMIF(TArticle[تاریخ],TDays[[#This Row],[تاریخ]],TArticle[تراکنش برنامه ریزی شده])</f>
        <v>0</v>
      </c>
    </row>
    <row r="1806" spans="1:17" x14ac:dyDescent="0.25">
      <c r="A1806" s="3" t="s">
        <v>2389</v>
      </c>
      <c r="B1806" s="164" t="str">
        <f>RIGHT(TDays[[#This Row],[تاریخ]],2)</f>
        <v>09</v>
      </c>
      <c r="C1806" s="164" t="str">
        <f>RIGHT(LEFT(TDays[[#This Row],[تاریخ]],7),2)</f>
        <v>12</v>
      </c>
      <c r="D1806" s="164" t="str">
        <f>LEFT(TDays[[#This Row],[تاریخ]],4)</f>
        <v>1405</v>
      </c>
      <c r="E1806" s="164" t="str">
        <f>LEFT(TDays[[#This Row],[تاریخ]],7)</f>
        <v>1405-12</v>
      </c>
      <c r="F1806">
        <v>0</v>
      </c>
      <c r="G1806" s="165" t="str">
        <f>VLOOKUP(TDays[[#This Row],[کد روز هفته]],TDaysOfTheWeek[],2,FALSE)</f>
        <v>شنبه</v>
      </c>
      <c r="H1806" s="165">
        <f>IFERROR(IF(E1805&lt;&gt;E1806,1,INT(H1805)+IF(TDays[[#This Row],[کد روز هفته]]=0,1,0)),1)</f>
        <v>3</v>
      </c>
      <c r="I1806" s="164">
        <f>-SUMIF(TArticle[تاریخ],TDays[[#This Row],[تاریخ]],TArticle[هزینه])</f>
        <v>0</v>
      </c>
      <c r="J1806" s="164">
        <f>SUMIF(TArticle[تاریخ],TDays[[#This Row],[تاریخ]],TArticle[درآمد تتا])</f>
        <v>0</v>
      </c>
      <c r="K1806" s="164">
        <f>SUMIF(TArticle[تاریخ],TDays[[#This Row],[تاریخ]],TArticle[اسنپ])</f>
        <v>0</v>
      </c>
      <c r="L1806" s="164">
        <f>-SUMIF(TArticle[تاریخ],TDays[[#This Row],[تاریخ]],TArticle[پرداخت بدهی])</f>
        <v>0</v>
      </c>
      <c r="M1806" s="164">
        <f>SUMIF(TArticle[تاریخ],TDays[[#This Row],[تاریخ]],TArticle[افزایش بدهی])</f>
        <v>0</v>
      </c>
      <c r="N1806" s="164">
        <f>-SUMIF(TArticle[تاریخ],TDays[[#This Row],[تاریخ]],TArticle[افزایش سرمایه])</f>
        <v>0</v>
      </c>
      <c r="O1806" s="164">
        <f>SUMIF(TArticle[تاریخ],TDays[[#This Row],[تاریخ]],TArticle[تعداد تراکنش انجام شده])</f>
        <v>0</v>
      </c>
      <c r="P1806" s="164">
        <f>INT(((TDays[[#This Row],[ماه]]-1)*31+TDays[[#This Row],[روز]]+1)/7)+1</f>
        <v>51</v>
      </c>
      <c r="Q1806" s="164">
        <f>SUMIF(TArticle[تاریخ],TDays[[#This Row],[تاریخ]],TArticle[تراکنش برنامه ریزی شده])</f>
        <v>0</v>
      </c>
    </row>
    <row r="1807" spans="1:17" x14ac:dyDescent="0.25">
      <c r="A1807" s="3" t="s">
        <v>2390</v>
      </c>
      <c r="B1807" s="164" t="str">
        <f>RIGHT(TDays[[#This Row],[تاریخ]],2)</f>
        <v>10</v>
      </c>
      <c r="C1807" s="164" t="str">
        <f>RIGHT(LEFT(TDays[[#This Row],[تاریخ]],7),2)</f>
        <v>12</v>
      </c>
      <c r="D1807" s="164" t="str">
        <f>LEFT(TDays[[#This Row],[تاریخ]],4)</f>
        <v>1405</v>
      </c>
      <c r="E1807" s="164" t="str">
        <f>LEFT(TDays[[#This Row],[تاریخ]],7)</f>
        <v>1405-12</v>
      </c>
      <c r="F1807">
        <v>1</v>
      </c>
      <c r="G1807" s="165" t="str">
        <f>VLOOKUP(TDays[[#This Row],[کد روز هفته]],TDaysOfTheWeek[],2,FALSE)</f>
        <v>یکشنبه</v>
      </c>
      <c r="H1807" s="165">
        <f>IFERROR(IF(E1806&lt;&gt;E1807,1,INT(H1806)+IF(TDays[[#This Row],[کد روز هفته]]=0,1,0)),1)</f>
        <v>3</v>
      </c>
      <c r="I1807" s="164">
        <f>-SUMIF(TArticle[تاریخ],TDays[[#This Row],[تاریخ]],TArticle[هزینه])</f>
        <v>0</v>
      </c>
      <c r="J1807" s="164">
        <f>SUMIF(TArticle[تاریخ],TDays[[#This Row],[تاریخ]],TArticle[درآمد تتا])</f>
        <v>0</v>
      </c>
      <c r="K1807" s="164">
        <f>SUMIF(TArticle[تاریخ],TDays[[#This Row],[تاریخ]],TArticle[اسنپ])</f>
        <v>0</v>
      </c>
      <c r="L1807" s="164">
        <f>-SUMIF(TArticle[تاریخ],TDays[[#This Row],[تاریخ]],TArticle[پرداخت بدهی])</f>
        <v>0</v>
      </c>
      <c r="M1807" s="164">
        <f>SUMIF(TArticle[تاریخ],TDays[[#This Row],[تاریخ]],TArticle[افزایش بدهی])</f>
        <v>0</v>
      </c>
      <c r="N1807" s="164">
        <f>-SUMIF(TArticle[تاریخ],TDays[[#This Row],[تاریخ]],TArticle[افزایش سرمایه])</f>
        <v>0</v>
      </c>
      <c r="O1807" s="164">
        <f>SUMIF(TArticle[تاریخ],TDays[[#This Row],[تاریخ]],TArticle[تعداد تراکنش انجام شده])</f>
        <v>0</v>
      </c>
      <c r="P1807" s="164">
        <f>INT(((TDays[[#This Row],[ماه]]-1)*31+TDays[[#This Row],[روز]]+1)/7)+1</f>
        <v>51</v>
      </c>
      <c r="Q1807" s="164">
        <f>SUMIF(TArticle[تاریخ],TDays[[#This Row],[تاریخ]],TArticle[تراکنش برنامه ریزی شده])</f>
        <v>0</v>
      </c>
    </row>
    <row r="1808" spans="1:17" x14ac:dyDescent="0.25">
      <c r="A1808" s="3" t="s">
        <v>2391</v>
      </c>
      <c r="B1808" s="164" t="str">
        <f>RIGHT(TDays[[#This Row],[تاریخ]],2)</f>
        <v>11</v>
      </c>
      <c r="C1808" s="164" t="str">
        <f>RIGHT(LEFT(TDays[[#This Row],[تاریخ]],7),2)</f>
        <v>12</v>
      </c>
      <c r="D1808" s="164" t="str">
        <f>LEFT(TDays[[#This Row],[تاریخ]],4)</f>
        <v>1405</v>
      </c>
      <c r="E1808" s="164" t="str">
        <f>LEFT(TDays[[#This Row],[تاریخ]],7)</f>
        <v>1405-12</v>
      </c>
      <c r="F1808">
        <v>2</v>
      </c>
      <c r="G1808" s="165" t="str">
        <f>VLOOKUP(TDays[[#This Row],[کد روز هفته]],TDaysOfTheWeek[],2,FALSE)</f>
        <v>دوشنبه</v>
      </c>
      <c r="H1808" s="165">
        <f>IFERROR(IF(E1807&lt;&gt;E1808,1,INT(H1807)+IF(TDays[[#This Row],[کد روز هفته]]=0,1,0)),1)</f>
        <v>3</v>
      </c>
      <c r="I1808" s="164">
        <f>-SUMIF(TArticle[تاریخ],TDays[[#This Row],[تاریخ]],TArticle[هزینه])</f>
        <v>0</v>
      </c>
      <c r="J1808" s="164">
        <f>SUMIF(TArticle[تاریخ],TDays[[#This Row],[تاریخ]],TArticle[درآمد تتا])</f>
        <v>0</v>
      </c>
      <c r="K1808" s="164">
        <f>SUMIF(TArticle[تاریخ],TDays[[#This Row],[تاریخ]],TArticle[اسنپ])</f>
        <v>0</v>
      </c>
      <c r="L1808" s="164">
        <f>-SUMIF(TArticle[تاریخ],TDays[[#This Row],[تاریخ]],TArticle[پرداخت بدهی])</f>
        <v>0</v>
      </c>
      <c r="M1808" s="164">
        <f>SUMIF(TArticle[تاریخ],TDays[[#This Row],[تاریخ]],TArticle[افزایش بدهی])</f>
        <v>0</v>
      </c>
      <c r="N1808" s="164">
        <f>-SUMIF(TArticle[تاریخ],TDays[[#This Row],[تاریخ]],TArticle[افزایش سرمایه])</f>
        <v>0</v>
      </c>
      <c r="O1808" s="164">
        <f>SUMIF(TArticle[تاریخ],TDays[[#This Row],[تاریخ]],TArticle[تعداد تراکنش انجام شده])</f>
        <v>0</v>
      </c>
      <c r="P1808" s="164">
        <f>INT(((TDays[[#This Row],[ماه]]-1)*31+TDays[[#This Row],[روز]]+1)/7)+1</f>
        <v>51</v>
      </c>
      <c r="Q1808" s="164">
        <f>SUMIF(TArticle[تاریخ],TDays[[#This Row],[تاریخ]],TArticle[تراکنش برنامه ریزی شده])</f>
        <v>0</v>
      </c>
    </row>
    <row r="1809" spans="1:17" x14ac:dyDescent="0.25">
      <c r="A1809" s="3" t="s">
        <v>2392</v>
      </c>
      <c r="B1809" s="164" t="str">
        <f>RIGHT(TDays[[#This Row],[تاریخ]],2)</f>
        <v>12</v>
      </c>
      <c r="C1809" s="164" t="str">
        <f>RIGHT(LEFT(TDays[[#This Row],[تاریخ]],7),2)</f>
        <v>12</v>
      </c>
      <c r="D1809" s="164" t="str">
        <f>LEFT(TDays[[#This Row],[تاریخ]],4)</f>
        <v>1405</v>
      </c>
      <c r="E1809" s="164" t="str">
        <f>LEFT(TDays[[#This Row],[تاریخ]],7)</f>
        <v>1405-12</v>
      </c>
      <c r="F1809">
        <v>3</v>
      </c>
      <c r="G1809" s="165" t="str">
        <f>VLOOKUP(TDays[[#This Row],[کد روز هفته]],TDaysOfTheWeek[],2,FALSE)</f>
        <v>سه شنبه</v>
      </c>
      <c r="H1809" s="165">
        <f>IFERROR(IF(E1808&lt;&gt;E1809,1,INT(H1808)+IF(TDays[[#This Row],[کد روز هفته]]=0,1,0)),1)</f>
        <v>3</v>
      </c>
      <c r="I1809" s="164">
        <f>-SUMIF(TArticle[تاریخ],TDays[[#This Row],[تاریخ]],TArticle[هزینه])</f>
        <v>0</v>
      </c>
      <c r="J1809" s="164">
        <f>SUMIF(TArticle[تاریخ],TDays[[#This Row],[تاریخ]],TArticle[درآمد تتا])</f>
        <v>0</v>
      </c>
      <c r="K1809" s="164">
        <f>SUMIF(TArticle[تاریخ],TDays[[#This Row],[تاریخ]],TArticle[اسنپ])</f>
        <v>0</v>
      </c>
      <c r="L1809" s="164">
        <f>-SUMIF(TArticle[تاریخ],TDays[[#This Row],[تاریخ]],TArticle[پرداخت بدهی])</f>
        <v>0</v>
      </c>
      <c r="M1809" s="164">
        <f>SUMIF(TArticle[تاریخ],TDays[[#This Row],[تاریخ]],TArticle[افزایش بدهی])</f>
        <v>0</v>
      </c>
      <c r="N1809" s="164">
        <f>-SUMIF(TArticle[تاریخ],TDays[[#This Row],[تاریخ]],TArticle[افزایش سرمایه])</f>
        <v>0</v>
      </c>
      <c r="O1809" s="164">
        <f>SUMIF(TArticle[تاریخ],TDays[[#This Row],[تاریخ]],TArticle[تعداد تراکنش انجام شده])</f>
        <v>0</v>
      </c>
      <c r="P1809" s="164">
        <f>INT(((TDays[[#This Row],[ماه]]-1)*31+TDays[[#This Row],[روز]]+1)/7)+1</f>
        <v>51</v>
      </c>
      <c r="Q1809" s="164">
        <f>SUMIF(TArticle[تاریخ],TDays[[#This Row],[تاریخ]],TArticle[تراکنش برنامه ریزی شده])</f>
        <v>0</v>
      </c>
    </row>
    <row r="1810" spans="1:17" x14ac:dyDescent="0.25">
      <c r="A1810" s="3" t="s">
        <v>2393</v>
      </c>
      <c r="B1810" s="164" t="str">
        <f>RIGHT(TDays[[#This Row],[تاریخ]],2)</f>
        <v>13</v>
      </c>
      <c r="C1810" s="164" t="str">
        <f>RIGHT(LEFT(TDays[[#This Row],[تاریخ]],7),2)</f>
        <v>12</v>
      </c>
      <c r="D1810" s="164" t="str">
        <f>LEFT(TDays[[#This Row],[تاریخ]],4)</f>
        <v>1405</v>
      </c>
      <c r="E1810" s="164" t="str">
        <f>LEFT(TDays[[#This Row],[تاریخ]],7)</f>
        <v>1405-12</v>
      </c>
      <c r="F1810">
        <v>4</v>
      </c>
      <c r="G1810" s="165" t="str">
        <f>VLOOKUP(TDays[[#This Row],[کد روز هفته]],TDaysOfTheWeek[],2,FALSE)</f>
        <v>چهارشنبه</v>
      </c>
      <c r="H1810" s="165">
        <f>IFERROR(IF(E1809&lt;&gt;E1810,1,INT(H1809)+IF(TDays[[#This Row],[کد روز هفته]]=0,1,0)),1)</f>
        <v>3</v>
      </c>
      <c r="I1810" s="164">
        <f>-SUMIF(TArticle[تاریخ],TDays[[#This Row],[تاریخ]],TArticle[هزینه])</f>
        <v>0</v>
      </c>
      <c r="J1810" s="164">
        <f>SUMIF(TArticle[تاریخ],TDays[[#This Row],[تاریخ]],TArticle[درآمد تتا])</f>
        <v>0</v>
      </c>
      <c r="K1810" s="164">
        <f>SUMIF(TArticle[تاریخ],TDays[[#This Row],[تاریخ]],TArticle[اسنپ])</f>
        <v>0</v>
      </c>
      <c r="L1810" s="164">
        <f>-SUMIF(TArticle[تاریخ],TDays[[#This Row],[تاریخ]],TArticle[پرداخت بدهی])</f>
        <v>0</v>
      </c>
      <c r="M1810" s="164">
        <f>SUMIF(TArticle[تاریخ],TDays[[#This Row],[تاریخ]],TArticle[افزایش بدهی])</f>
        <v>0</v>
      </c>
      <c r="N1810" s="164">
        <f>-SUMIF(TArticle[تاریخ],TDays[[#This Row],[تاریخ]],TArticle[افزایش سرمایه])</f>
        <v>0</v>
      </c>
      <c r="O1810" s="164">
        <f>SUMIF(TArticle[تاریخ],TDays[[#This Row],[تاریخ]],TArticle[تعداد تراکنش انجام شده])</f>
        <v>0</v>
      </c>
      <c r="P1810" s="164">
        <f>INT(((TDays[[#This Row],[ماه]]-1)*31+TDays[[#This Row],[روز]]+1)/7)+1</f>
        <v>51</v>
      </c>
      <c r="Q1810" s="164">
        <f>SUMIF(TArticle[تاریخ],TDays[[#This Row],[تاریخ]],TArticle[تراکنش برنامه ریزی شده])</f>
        <v>0</v>
      </c>
    </row>
    <row r="1811" spans="1:17" x14ac:dyDescent="0.25">
      <c r="A1811" s="3" t="s">
        <v>2394</v>
      </c>
      <c r="B1811" s="164" t="str">
        <f>RIGHT(TDays[[#This Row],[تاریخ]],2)</f>
        <v>14</v>
      </c>
      <c r="C1811" s="164" t="str">
        <f>RIGHT(LEFT(TDays[[#This Row],[تاریخ]],7),2)</f>
        <v>12</v>
      </c>
      <c r="D1811" s="164" t="str">
        <f>LEFT(TDays[[#This Row],[تاریخ]],4)</f>
        <v>1405</v>
      </c>
      <c r="E1811" s="164" t="str">
        <f>LEFT(TDays[[#This Row],[تاریخ]],7)</f>
        <v>1405-12</v>
      </c>
      <c r="F1811">
        <v>5</v>
      </c>
      <c r="G1811" s="165" t="str">
        <f>VLOOKUP(TDays[[#This Row],[کد روز هفته]],TDaysOfTheWeek[],2,FALSE)</f>
        <v>پنجشنبه</v>
      </c>
      <c r="H1811" s="165">
        <f>IFERROR(IF(E1810&lt;&gt;E1811,1,INT(H1810)+IF(TDays[[#This Row],[کد روز هفته]]=0,1,0)),1)</f>
        <v>3</v>
      </c>
      <c r="I1811" s="164">
        <f>-SUMIF(TArticle[تاریخ],TDays[[#This Row],[تاریخ]],TArticle[هزینه])</f>
        <v>0</v>
      </c>
      <c r="J1811" s="164">
        <f>SUMIF(TArticle[تاریخ],TDays[[#This Row],[تاریخ]],TArticle[درآمد تتا])</f>
        <v>0</v>
      </c>
      <c r="K1811" s="164">
        <f>SUMIF(TArticle[تاریخ],TDays[[#This Row],[تاریخ]],TArticle[اسنپ])</f>
        <v>0</v>
      </c>
      <c r="L1811" s="164">
        <f>-SUMIF(TArticle[تاریخ],TDays[[#This Row],[تاریخ]],TArticle[پرداخت بدهی])</f>
        <v>0</v>
      </c>
      <c r="M1811" s="164">
        <f>SUMIF(TArticle[تاریخ],TDays[[#This Row],[تاریخ]],TArticle[افزایش بدهی])</f>
        <v>0</v>
      </c>
      <c r="N1811" s="164">
        <f>-SUMIF(TArticle[تاریخ],TDays[[#This Row],[تاریخ]],TArticle[افزایش سرمایه])</f>
        <v>0</v>
      </c>
      <c r="O1811" s="164">
        <f>SUMIF(TArticle[تاریخ],TDays[[#This Row],[تاریخ]],TArticle[تعداد تراکنش انجام شده])</f>
        <v>0</v>
      </c>
      <c r="P1811" s="164">
        <f>INT(((TDays[[#This Row],[ماه]]-1)*31+TDays[[#This Row],[روز]]+1)/7)+1</f>
        <v>51</v>
      </c>
      <c r="Q1811" s="164">
        <f>SUMIF(TArticle[تاریخ],TDays[[#This Row],[تاریخ]],TArticle[تراکنش برنامه ریزی شده])</f>
        <v>0</v>
      </c>
    </row>
    <row r="1812" spans="1:17" x14ac:dyDescent="0.25">
      <c r="A1812" s="3" t="s">
        <v>2395</v>
      </c>
      <c r="B1812" s="164" t="str">
        <f>RIGHT(TDays[[#This Row],[تاریخ]],2)</f>
        <v>15</v>
      </c>
      <c r="C1812" s="164" t="str">
        <f>RIGHT(LEFT(TDays[[#This Row],[تاریخ]],7),2)</f>
        <v>12</v>
      </c>
      <c r="D1812" s="164" t="str">
        <f>LEFT(TDays[[#This Row],[تاریخ]],4)</f>
        <v>1405</v>
      </c>
      <c r="E1812" s="164" t="str">
        <f>LEFT(TDays[[#This Row],[تاریخ]],7)</f>
        <v>1405-12</v>
      </c>
      <c r="F1812">
        <v>6</v>
      </c>
      <c r="G1812" s="165" t="str">
        <f>VLOOKUP(TDays[[#This Row],[کد روز هفته]],TDaysOfTheWeek[],2,FALSE)</f>
        <v>جمعه</v>
      </c>
      <c r="H1812" s="165">
        <f>IFERROR(IF(E1811&lt;&gt;E1812,1,INT(H1811)+IF(TDays[[#This Row],[کد روز هفته]]=0,1,0)),1)</f>
        <v>3</v>
      </c>
      <c r="I1812" s="164">
        <f>-SUMIF(TArticle[تاریخ],TDays[[#This Row],[تاریخ]],TArticle[هزینه])</f>
        <v>0</v>
      </c>
      <c r="J1812" s="164">
        <f>SUMIF(TArticle[تاریخ],TDays[[#This Row],[تاریخ]],TArticle[درآمد تتا])</f>
        <v>0</v>
      </c>
      <c r="K1812" s="164">
        <f>SUMIF(TArticle[تاریخ],TDays[[#This Row],[تاریخ]],TArticle[اسنپ])</f>
        <v>0</v>
      </c>
      <c r="L1812" s="164">
        <f>-SUMIF(TArticle[تاریخ],TDays[[#This Row],[تاریخ]],TArticle[پرداخت بدهی])</f>
        <v>0</v>
      </c>
      <c r="M1812" s="164">
        <f>SUMIF(TArticle[تاریخ],TDays[[#This Row],[تاریخ]],TArticle[افزایش بدهی])</f>
        <v>0</v>
      </c>
      <c r="N1812" s="164">
        <f>-SUMIF(TArticle[تاریخ],TDays[[#This Row],[تاریخ]],TArticle[افزایش سرمایه])</f>
        <v>0</v>
      </c>
      <c r="O1812" s="164">
        <f>SUMIF(TArticle[تاریخ],TDays[[#This Row],[تاریخ]],TArticle[تعداد تراکنش انجام شده])</f>
        <v>0</v>
      </c>
      <c r="P1812" s="164">
        <f>INT(((TDays[[#This Row],[ماه]]-1)*31+TDays[[#This Row],[روز]]+1)/7)+1</f>
        <v>52</v>
      </c>
      <c r="Q1812" s="164">
        <f>SUMIF(TArticle[تاریخ],TDays[[#This Row],[تاریخ]],TArticle[تراکنش برنامه ریزی شده])</f>
        <v>0</v>
      </c>
    </row>
    <row r="1813" spans="1:17" x14ac:dyDescent="0.25">
      <c r="A1813" s="3" t="s">
        <v>2396</v>
      </c>
      <c r="B1813" s="164" t="str">
        <f>RIGHT(TDays[[#This Row],[تاریخ]],2)</f>
        <v>16</v>
      </c>
      <c r="C1813" s="164" t="str">
        <f>RIGHT(LEFT(TDays[[#This Row],[تاریخ]],7),2)</f>
        <v>12</v>
      </c>
      <c r="D1813" s="164" t="str">
        <f>LEFT(TDays[[#This Row],[تاریخ]],4)</f>
        <v>1405</v>
      </c>
      <c r="E1813" s="164" t="str">
        <f>LEFT(TDays[[#This Row],[تاریخ]],7)</f>
        <v>1405-12</v>
      </c>
      <c r="F1813">
        <v>0</v>
      </c>
      <c r="G1813" s="165" t="str">
        <f>VLOOKUP(TDays[[#This Row],[کد روز هفته]],TDaysOfTheWeek[],2,FALSE)</f>
        <v>شنبه</v>
      </c>
      <c r="H1813" s="165">
        <f>IFERROR(IF(E1812&lt;&gt;E1813,1,INT(H1812)+IF(TDays[[#This Row],[کد روز هفته]]=0,1,0)),1)</f>
        <v>4</v>
      </c>
      <c r="I1813" s="164">
        <f>-SUMIF(TArticle[تاریخ],TDays[[#This Row],[تاریخ]],TArticle[هزینه])</f>
        <v>0</v>
      </c>
      <c r="J1813" s="164">
        <f>SUMIF(TArticle[تاریخ],TDays[[#This Row],[تاریخ]],TArticle[درآمد تتا])</f>
        <v>0</v>
      </c>
      <c r="K1813" s="164">
        <f>SUMIF(TArticle[تاریخ],TDays[[#This Row],[تاریخ]],TArticle[اسنپ])</f>
        <v>0</v>
      </c>
      <c r="L1813" s="164">
        <f>-SUMIF(TArticle[تاریخ],TDays[[#This Row],[تاریخ]],TArticle[پرداخت بدهی])</f>
        <v>0</v>
      </c>
      <c r="M1813" s="164">
        <f>SUMIF(TArticle[تاریخ],TDays[[#This Row],[تاریخ]],TArticle[افزایش بدهی])</f>
        <v>0</v>
      </c>
      <c r="N1813" s="164">
        <f>-SUMIF(TArticle[تاریخ],TDays[[#This Row],[تاریخ]],TArticle[افزایش سرمایه])</f>
        <v>0</v>
      </c>
      <c r="O1813" s="164">
        <f>SUMIF(TArticle[تاریخ],TDays[[#This Row],[تاریخ]],TArticle[تعداد تراکنش انجام شده])</f>
        <v>0</v>
      </c>
      <c r="P1813" s="164">
        <f>INT(((TDays[[#This Row],[ماه]]-1)*31+TDays[[#This Row],[روز]]+1)/7)+1</f>
        <v>52</v>
      </c>
      <c r="Q1813" s="164">
        <f>SUMIF(TArticle[تاریخ],TDays[[#This Row],[تاریخ]],TArticle[تراکنش برنامه ریزی شده])</f>
        <v>0</v>
      </c>
    </row>
    <row r="1814" spans="1:17" x14ac:dyDescent="0.25">
      <c r="A1814" s="3" t="s">
        <v>2397</v>
      </c>
      <c r="B1814" s="164" t="str">
        <f>RIGHT(TDays[[#This Row],[تاریخ]],2)</f>
        <v>17</v>
      </c>
      <c r="C1814" s="164" t="str">
        <f>RIGHT(LEFT(TDays[[#This Row],[تاریخ]],7),2)</f>
        <v>12</v>
      </c>
      <c r="D1814" s="164" t="str">
        <f>LEFT(TDays[[#This Row],[تاریخ]],4)</f>
        <v>1405</v>
      </c>
      <c r="E1814" s="164" t="str">
        <f>LEFT(TDays[[#This Row],[تاریخ]],7)</f>
        <v>1405-12</v>
      </c>
      <c r="F1814">
        <v>1</v>
      </c>
      <c r="G1814" s="165" t="str">
        <f>VLOOKUP(TDays[[#This Row],[کد روز هفته]],TDaysOfTheWeek[],2,FALSE)</f>
        <v>یکشنبه</v>
      </c>
      <c r="H1814" s="165">
        <f>IFERROR(IF(E1813&lt;&gt;E1814,1,INT(H1813)+IF(TDays[[#This Row],[کد روز هفته]]=0,1,0)),1)</f>
        <v>4</v>
      </c>
      <c r="I1814" s="164">
        <f>-SUMIF(TArticle[تاریخ],TDays[[#This Row],[تاریخ]],TArticle[هزینه])</f>
        <v>0</v>
      </c>
      <c r="J1814" s="164">
        <f>SUMIF(TArticle[تاریخ],TDays[[#This Row],[تاریخ]],TArticle[درآمد تتا])</f>
        <v>0</v>
      </c>
      <c r="K1814" s="164">
        <f>SUMIF(TArticle[تاریخ],TDays[[#This Row],[تاریخ]],TArticle[اسنپ])</f>
        <v>0</v>
      </c>
      <c r="L1814" s="164">
        <f>-SUMIF(TArticle[تاریخ],TDays[[#This Row],[تاریخ]],TArticle[پرداخت بدهی])</f>
        <v>0</v>
      </c>
      <c r="M1814" s="164">
        <f>SUMIF(TArticle[تاریخ],TDays[[#This Row],[تاریخ]],TArticle[افزایش بدهی])</f>
        <v>0</v>
      </c>
      <c r="N1814" s="164">
        <f>-SUMIF(TArticle[تاریخ],TDays[[#This Row],[تاریخ]],TArticle[افزایش سرمایه])</f>
        <v>0</v>
      </c>
      <c r="O1814" s="164">
        <f>SUMIF(TArticle[تاریخ],TDays[[#This Row],[تاریخ]],TArticle[تعداد تراکنش انجام شده])</f>
        <v>0</v>
      </c>
      <c r="P1814" s="164">
        <f>INT(((TDays[[#This Row],[ماه]]-1)*31+TDays[[#This Row],[روز]]+1)/7)+1</f>
        <v>52</v>
      </c>
      <c r="Q1814" s="164">
        <f>SUMIF(TArticle[تاریخ],TDays[[#This Row],[تاریخ]],TArticle[تراکنش برنامه ریزی شده])</f>
        <v>0</v>
      </c>
    </row>
    <row r="1815" spans="1:17" x14ac:dyDescent="0.25">
      <c r="A1815" s="3" t="s">
        <v>2398</v>
      </c>
      <c r="B1815" s="164" t="str">
        <f>RIGHT(TDays[[#This Row],[تاریخ]],2)</f>
        <v>18</v>
      </c>
      <c r="C1815" s="164" t="str">
        <f>RIGHT(LEFT(TDays[[#This Row],[تاریخ]],7),2)</f>
        <v>12</v>
      </c>
      <c r="D1815" s="164" t="str">
        <f>LEFT(TDays[[#This Row],[تاریخ]],4)</f>
        <v>1405</v>
      </c>
      <c r="E1815" s="164" t="str">
        <f>LEFT(TDays[[#This Row],[تاریخ]],7)</f>
        <v>1405-12</v>
      </c>
      <c r="F1815">
        <v>2</v>
      </c>
      <c r="G1815" s="165" t="str">
        <f>VLOOKUP(TDays[[#This Row],[کد روز هفته]],TDaysOfTheWeek[],2,FALSE)</f>
        <v>دوشنبه</v>
      </c>
      <c r="H1815" s="165">
        <f>IFERROR(IF(E1814&lt;&gt;E1815,1,INT(H1814)+IF(TDays[[#This Row],[کد روز هفته]]=0,1,0)),1)</f>
        <v>4</v>
      </c>
      <c r="I1815" s="164">
        <f>-SUMIF(TArticle[تاریخ],TDays[[#This Row],[تاریخ]],TArticle[هزینه])</f>
        <v>0</v>
      </c>
      <c r="J1815" s="164">
        <f>SUMIF(TArticle[تاریخ],TDays[[#This Row],[تاریخ]],TArticle[درآمد تتا])</f>
        <v>0</v>
      </c>
      <c r="K1815" s="164">
        <f>SUMIF(TArticle[تاریخ],TDays[[#This Row],[تاریخ]],TArticle[اسنپ])</f>
        <v>0</v>
      </c>
      <c r="L1815" s="164">
        <f>-SUMIF(TArticle[تاریخ],TDays[[#This Row],[تاریخ]],TArticle[پرداخت بدهی])</f>
        <v>0</v>
      </c>
      <c r="M1815" s="164">
        <f>SUMIF(TArticle[تاریخ],TDays[[#This Row],[تاریخ]],TArticle[افزایش بدهی])</f>
        <v>0</v>
      </c>
      <c r="N1815" s="164">
        <f>-SUMIF(TArticle[تاریخ],TDays[[#This Row],[تاریخ]],TArticle[افزایش سرمایه])</f>
        <v>0</v>
      </c>
      <c r="O1815" s="164">
        <f>SUMIF(TArticle[تاریخ],TDays[[#This Row],[تاریخ]],TArticle[تعداد تراکنش انجام شده])</f>
        <v>0</v>
      </c>
      <c r="P1815" s="164">
        <f>INT(((TDays[[#This Row],[ماه]]-1)*31+TDays[[#This Row],[روز]]+1)/7)+1</f>
        <v>52</v>
      </c>
      <c r="Q1815" s="164">
        <f>SUMIF(TArticle[تاریخ],TDays[[#This Row],[تاریخ]],TArticle[تراکنش برنامه ریزی شده])</f>
        <v>0</v>
      </c>
    </row>
    <row r="1816" spans="1:17" x14ac:dyDescent="0.25">
      <c r="A1816" s="3" t="s">
        <v>2399</v>
      </c>
      <c r="B1816" s="164" t="str">
        <f>RIGHT(TDays[[#This Row],[تاریخ]],2)</f>
        <v>19</v>
      </c>
      <c r="C1816" s="164" t="str">
        <f>RIGHT(LEFT(TDays[[#This Row],[تاریخ]],7),2)</f>
        <v>12</v>
      </c>
      <c r="D1816" s="164" t="str">
        <f>LEFT(TDays[[#This Row],[تاریخ]],4)</f>
        <v>1405</v>
      </c>
      <c r="E1816" s="164" t="str">
        <f>LEFT(TDays[[#This Row],[تاریخ]],7)</f>
        <v>1405-12</v>
      </c>
      <c r="F1816">
        <v>3</v>
      </c>
      <c r="G1816" s="165" t="str">
        <f>VLOOKUP(TDays[[#This Row],[کد روز هفته]],TDaysOfTheWeek[],2,FALSE)</f>
        <v>سه شنبه</v>
      </c>
      <c r="H1816" s="165">
        <f>IFERROR(IF(E1815&lt;&gt;E1816,1,INT(H1815)+IF(TDays[[#This Row],[کد روز هفته]]=0,1,0)),1)</f>
        <v>4</v>
      </c>
      <c r="I1816" s="164">
        <f>-SUMIF(TArticle[تاریخ],TDays[[#This Row],[تاریخ]],TArticle[هزینه])</f>
        <v>0</v>
      </c>
      <c r="J1816" s="164">
        <f>SUMIF(TArticle[تاریخ],TDays[[#This Row],[تاریخ]],TArticle[درآمد تتا])</f>
        <v>0</v>
      </c>
      <c r="K1816" s="164">
        <f>SUMIF(TArticle[تاریخ],TDays[[#This Row],[تاریخ]],TArticle[اسنپ])</f>
        <v>0</v>
      </c>
      <c r="L1816" s="164">
        <f>-SUMIF(TArticle[تاریخ],TDays[[#This Row],[تاریخ]],TArticle[پرداخت بدهی])</f>
        <v>0</v>
      </c>
      <c r="M1816" s="164">
        <f>SUMIF(TArticle[تاریخ],TDays[[#This Row],[تاریخ]],TArticle[افزایش بدهی])</f>
        <v>0</v>
      </c>
      <c r="N1816" s="164">
        <f>-SUMIF(TArticle[تاریخ],TDays[[#This Row],[تاریخ]],TArticle[افزایش سرمایه])</f>
        <v>0</v>
      </c>
      <c r="O1816" s="164">
        <f>SUMIF(TArticle[تاریخ],TDays[[#This Row],[تاریخ]],TArticle[تعداد تراکنش انجام شده])</f>
        <v>0</v>
      </c>
      <c r="P1816" s="164">
        <f>INT(((TDays[[#This Row],[ماه]]-1)*31+TDays[[#This Row],[روز]]+1)/7)+1</f>
        <v>52</v>
      </c>
      <c r="Q1816" s="164">
        <f>SUMIF(TArticle[تاریخ],TDays[[#This Row],[تاریخ]],TArticle[تراکنش برنامه ریزی شده])</f>
        <v>0</v>
      </c>
    </row>
    <row r="1817" spans="1:17" x14ac:dyDescent="0.25">
      <c r="A1817" s="3" t="s">
        <v>2400</v>
      </c>
      <c r="B1817" s="164" t="str">
        <f>RIGHT(TDays[[#This Row],[تاریخ]],2)</f>
        <v>20</v>
      </c>
      <c r="C1817" s="164" t="str">
        <f>RIGHT(LEFT(TDays[[#This Row],[تاریخ]],7),2)</f>
        <v>12</v>
      </c>
      <c r="D1817" s="164" t="str">
        <f>LEFT(TDays[[#This Row],[تاریخ]],4)</f>
        <v>1405</v>
      </c>
      <c r="E1817" s="164" t="str">
        <f>LEFT(TDays[[#This Row],[تاریخ]],7)</f>
        <v>1405-12</v>
      </c>
      <c r="F1817">
        <v>4</v>
      </c>
      <c r="G1817" s="165" t="str">
        <f>VLOOKUP(TDays[[#This Row],[کد روز هفته]],TDaysOfTheWeek[],2,FALSE)</f>
        <v>چهارشنبه</v>
      </c>
      <c r="H1817" s="165">
        <f>IFERROR(IF(E1816&lt;&gt;E1817,1,INT(H1816)+IF(TDays[[#This Row],[کد روز هفته]]=0,1,0)),1)</f>
        <v>4</v>
      </c>
      <c r="I1817" s="164">
        <f>-SUMIF(TArticle[تاریخ],TDays[[#This Row],[تاریخ]],TArticle[هزینه])</f>
        <v>0</v>
      </c>
      <c r="J1817" s="164">
        <f>SUMIF(TArticle[تاریخ],TDays[[#This Row],[تاریخ]],TArticle[درآمد تتا])</f>
        <v>0</v>
      </c>
      <c r="K1817" s="164">
        <f>SUMIF(TArticle[تاریخ],TDays[[#This Row],[تاریخ]],TArticle[اسنپ])</f>
        <v>0</v>
      </c>
      <c r="L1817" s="164">
        <f>-SUMIF(TArticle[تاریخ],TDays[[#This Row],[تاریخ]],TArticle[پرداخت بدهی])</f>
        <v>0</v>
      </c>
      <c r="M1817" s="164">
        <f>SUMIF(TArticle[تاریخ],TDays[[#This Row],[تاریخ]],TArticle[افزایش بدهی])</f>
        <v>0</v>
      </c>
      <c r="N1817" s="164">
        <f>-SUMIF(TArticle[تاریخ],TDays[[#This Row],[تاریخ]],TArticle[افزایش سرمایه])</f>
        <v>0</v>
      </c>
      <c r="O1817" s="164">
        <f>SUMIF(TArticle[تاریخ],TDays[[#This Row],[تاریخ]],TArticle[تعداد تراکنش انجام شده])</f>
        <v>0</v>
      </c>
      <c r="P1817" s="164">
        <f>INT(((TDays[[#This Row],[ماه]]-1)*31+TDays[[#This Row],[روز]]+1)/7)+1</f>
        <v>52</v>
      </c>
      <c r="Q1817" s="164">
        <f>SUMIF(TArticle[تاریخ],TDays[[#This Row],[تاریخ]],TArticle[تراکنش برنامه ریزی شده])</f>
        <v>0</v>
      </c>
    </row>
    <row r="1818" spans="1:17" x14ac:dyDescent="0.25">
      <c r="A1818" s="3" t="s">
        <v>2401</v>
      </c>
      <c r="B1818" s="164" t="str">
        <f>RIGHT(TDays[[#This Row],[تاریخ]],2)</f>
        <v>21</v>
      </c>
      <c r="C1818" s="164" t="str">
        <f>RIGHT(LEFT(TDays[[#This Row],[تاریخ]],7),2)</f>
        <v>12</v>
      </c>
      <c r="D1818" s="164" t="str">
        <f>LEFT(TDays[[#This Row],[تاریخ]],4)</f>
        <v>1405</v>
      </c>
      <c r="E1818" s="164" t="str">
        <f>LEFT(TDays[[#This Row],[تاریخ]],7)</f>
        <v>1405-12</v>
      </c>
      <c r="F1818">
        <v>5</v>
      </c>
      <c r="G1818" s="165" t="str">
        <f>VLOOKUP(TDays[[#This Row],[کد روز هفته]],TDaysOfTheWeek[],2,FALSE)</f>
        <v>پنجشنبه</v>
      </c>
      <c r="H1818" s="165">
        <f>IFERROR(IF(E1817&lt;&gt;E1818,1,INT(H1817)+IF(TDays[[#This Row],[کد روز هفته]]=0,1,0)),1)</f>
        <v>4</v>
      </c>
      <c r="I1818" s="164">
        <f>-SUMIF(TArticle[تاریخ],TDays[[#This Row],[تاریخ]],TArticle[هزینه])</f>
        <v>0</v>
      </c>
      <c r="J1818" s="164">
        <f>SUMIF(TArticle[تاریخ],TDays[[#This Row],[تاریخ]],TArticle[درآمد تتا])</f>
        <v>0</v>
      </c>
      <c r="K1818" s="164">
        <f>SUMIF(TArticle[تاریخ],TDays[[#This Row],[تاریخ]],TArticle[اسنپ])</f>
        <v>0</v>
      </c>
      <c r="L1818" s="164">
        <f>-SUMIF(TArticle[تاریخ],TDays[[#This Row],[تاریخ]],TArticle[پرداخت بدهی])</f>
        <v>0</v>
      </c>
      <c r="M1818" s="164">
        <f>SUMIF(TArticle[تاریخ],TDays[[#This Row],[تاریخ]],TArticle[افزایش بدهی])</f>
        <v>0</v>
      </c>
      <c r="N1818" s="164">
        <f>-SUMIF(TArticle[تاریخ],TDays[[#This Row],[تاریخ]],TArticle[افزایش سرمایه])</f>
        <v>0</v>
      </c>
      <c r="O1818" s="164">
        <f>SUMIF(TArticle[تاریخ],TDays[[#This Row],[تاریخ]],TArticle[تعداد تراکنش انجام شده])</f>
        <v>0</v>
      </c>
      <c r="P1818" s="164">
        <f>INT(((TDays[[#This Row],[ماه]]-1)*31+TDays[[#This Row],[روز]]+1)/7)+1</f>
        <v>52</v>
      </c>
      <c r="Q1818" s="164">
        <f>SUMIF(TArticle[تاریخ],TDays[[#This Row],[تاریخ]],TArticle[تراکنش برنامه ریزی شده])</f>
        <v>0</v>
      </c>
    </row>
    <row r="1819" spans="1:17" x14ac:dyDescent="0.25">
      <c r="A1819" s="3" t="s">
        <v>2402</v>
      </c>
      <c r="B1819" s="164" t="str">
        <f>RIGHT(TDays[[#This Row],[تاریخ]],2)</f>
        <v>22</v>
      </c>
      <c r="C1819" s="164" t="str">
        <f>RIGHT(LEFT(TDays[[#This Row],[تاریخ]],7),2)</f>
        <v>12</v>
      </c>
      <c r="D1819" s="164" t="str">
        <f>LEFT(TDays[[#This Row],[تاریخ]],4)</f>
        <v>1405</v>
      </c>
      <c r="E1819" s="164" t="str">
        <f>LEFT(TDays[[#This Row],[تاریخ]],7)</f>
        <v>1405-12</v>
      </c>
      <c r="F1819">
        <v>6</v>
      </c>
      <c r="G1819" s="165" t="str">
        <f>VLOOKUP(TDays[[#This Row],[کد روز هفته]],TDaysOfTheWeek[],2,FALSE)</f>
        <v>جمعه</v>
      </c>
      <c r="H1819" s="165">
        <f>IFERROR(IF(E1818&lt;&gt;E1819,1,INT(H1818)+IF(TDays[[#This Row],[کد روز هفته]]=0,1,0)),1)</f>
        <v>4</v>
      </c>
      <c r="I1819" s="164">
        <f>-SUMIF(TArticle[تاریخ],TDays[[#This Row],[تاریخ]],TArticle[هزینه])</f>
        <v>0</v>
      </c>
      <c r="J1819" s="164">
        <f>SUMIF(TArticle[تاریخ],TDays[[#This Row],[تاریخ]],TArticle[درآمد تتا])</f>
        <v>0</v>
      </c>
      <c r="K1819" s="164">
        <f>SUMIF(TArticle[تاریخ],TDays[[#This Row],[تاریخ]],TArticle[اسنپ])</f>
        <v>0</v>
      </c>
      <c r="L1819" s="164">
        <f>-SUMIF(TArticle[تاریخ],TDays[[#This Row],[تاریخ]],TArticle[پرداخت بدهی])</f>
        <v>0</v>
      </c>
      <c r="M1819" s="164">
        <f>SUMIF(TArticle[تاریخ],TDays[[#This Row],[تاریخ]],TArticle[افزایش بدهی])</f>
        <v>0</v>
      </c>
      <c r="N1819" s="164">
        <f>-SUMIF(TArticle[تاریخ],TDays[[#This Row],[تاریخ]],TArticle[افزایش سرمایه])</f>
        <v>0</v>
      </c>
      <c r="O1819" s="164">
        <f>SUMIF(TArticle[تاریخ],TDays[[#This Row],[تاریخ]],TArticle[تعداد تراکنش انجام شده])</f>
        <v>0</v>
      </c>
      <c r="P1819" s="164">
        <f>INT(((TDays[[#This Row],[ماه]]-1)*31+TDays[[#This Row],[روز]]+1)/7)+1</f>
        <v>53</v>
      </c>
      <c r="Q1819" s="164">
        <f>SUMIF(TArticle[تاریخ],TDays[[#This Row],[تاریخ]],TArticle[تراکنش برنامه ریزی شده])</f>
        <v>0</v>
      </c>
    </row>
    <row r="1820" spans="1:17" x14ac:dyDescent="0.25">
      <c r="A1820" s="3" t="s">
        <v>2403</v>
      </c>
      <c r="B1820" s="164" t="str">
        <f>RIGHT(TDays[[#This Row],[تاریخ]],2)</f>
        <v>23</v>
      </c>
      <c r="C1820" s="164" t="str">
        <f>RIGHT(LEFT(TDays[[#This Row],[تاریخ]],7),2)</f>
        <v>12</v>
      </c>
      <c r="D1820" s="164" t="str">
        <f>LEFT(TDays[[#This Row],[تاریخ]],4)</f>
        <v>1405</v>
      </c>
      <c r="E1820" s="164" t="str">
        <f>LEFT(TDays[[#This Row],[تاریخ]],7)</f>
        <v>1405-12</v>
      </c>
      <c r="F1820">
        <v>0</v>
      </c>
      <c r="G1820" s="165" t="str">
        <f>VLOOKUP(TDays[[#This Row],[کد روز هفته]],TDaysOfTheWeek[],2,FALSE)</f>
        <v>شنبه</v>
      </c>
      <c r="H1820" s="165">
        <f>IFERROR(IF(E1819&lt;&gt;E1820,1,INT(H1819)+IF(TDays[[#This Row],[کد روز هفته]]=0,1,0)),1)</f>
        <v>5</v>
      </c>
      <c r="I1820" s="164">
        <f>-SUMIF(TArticle[تاریخ],TDays[[#This Row],[تاریخ]],TArticle[هزینه])</f>
        <v>0</v>
      </c>
      <c r="J1820" s="164">
        <f>SUMIF(TArticle[تاریخ],TDays[[#This Row],[تاریخ]],TArticle[درآمد تتا])</f>
        <v>0</v>
      </c>
      <c r="K1820" s="164">
        <f>SUMIF(TArticle[تاریخ],TDays[[#This Row],[تاریخ]],TArticle[اسنپ])</f>
        <v>0</v>
      </c>
      <c r="L1820" s="164">
        <f>-SUMIF(TArticle[تاریخ],TDays[[#This Row],[تاریخ]],TArticle[پرداخت بدهی])</f>
        <v>0</v>
      </c>
      <c r="M1820" s="164">
        <f>SUMIF(TArticle[تاریخ],TDays[[#This Row],[تاریخ]],TArticle[افزایش بدهی])</f>
        <v>0</v>
      </c>
      <c r="N1820" s="164">
        <f>-SUMIF(TArticle[تاریخ],TDays[[#This Row],[تاریخ]],TArticle[افزایش سرمایه])</f>
        <v>0</v>
      </c>
      <c r="O1820" s="164">
        <f>SUMIF(TArticle[تاریخ],TDays[[#This Row],[تاریخ]],TArticle[تعداد تراکنش انجام شده])</f>
        <v>0</v>
      </c>
      <c r="P1820" s="164">
        <f>INT(((TDays[[#This Row],[ماه]]-1)*31+TDays[[#This Row],[روز]]+1)/7)+1</f>
        <v>53</v>
      </c>
      <c r="Q1820" s="164">
        <f>SUMIF(TArticle[تاریخ],TDays[[#This Row],[تاریخ]],TArticle[تراکنش برنامه ریزی شده])</f>
        <v>0</v>
      </c>
    </row>
    <row r="1821" spans="1:17" x14ac:dyDescent="0.25">
      <c r="A1821" s="3" t="s">
        <v>2404</v>
      </c>
      <c r="B1821" s="164" t="str">
        <f>RIGHT(TDays[[#This Row],[تاریخ]],2)</f>
        <v>24</v>
      </c>
      <c r="C1821" s="164" t="str">
        <f>RIGHT(LEFT(TDays[[#This Row],[تاریخ]],7),2)</f>
        <v>12</v>
      </c>
      <c r="D1821" s="164" t="str">
        <f>LEFT(TDays[[#This Row],[تاریخ]],4)</f>
        <v>1405</v>
      </c>
      <c r="E1821" s="164" t="str">
        <f>LEFT(TDays[[#This Row],[تاریخ]],7)</f>
        <v>1405-12</v>
      </c>
      <c r="F1821">
        <v>1</v>
      </c>
      <c r="G1821" s="165" t="str">
        <f>VLOOKUP(TDays[[#This Row],[کد روز هفته]],TDaysOfTheWeek[],2,FALSE)</f>
        <v>یکشنبه</v>
      </c>
      <c r="H1821" s="165">
        <f>IFERROR(IF(E1820&lt;&gt;E1821,1,INT(H1820)+IF(TDays[[#This Row],[کد روز هفته]]=0,1,0)),1)</f>
        <v>5</v>
      </c>
      <c r="I1821" s="164">
        <f>-SUMIF(TArticle[تاریخ],TDays[[#This Row],[تاریخ]],TArticle[هزینه])</f>
        <v>0</v>
      </c>
      <c r="J1821" s="164">
        <f>SUMIF(TArticle[تاریخ],TDays[[#This Row],[تاریخ]],TArticle[درآمد تتا])</f>
        <v>0</v>
      </c>
      <c r="K1821" s="164">
        <f>SUMIF(TArticle[تاریخ],TDays[[#This Row],[تاریخ]],TArticle[اسنپ])</f>
        <v>0</v>
      </c>
      <c r="L1821" s="164">
        <f>-SUMIF(TArticle[تاریخ],TDays[[#This Row],[تاریخ]],TArticle[پرداخت بدهی])</f>
        <v>0</v>
      </c>
      <c r="M1821" s="164">
        <f>SUMIF(TArticle[تاریخ],TDays[[#This Row],[تاریخ]],TArticle[افزایش بدهی])</f>
        <v>0</v>
      </c>
      <c r="N1821" s="164">
        <f>-SUMIF(TArticle[تاریخ],TDays[[#This Row],[تاریخ]],TArticle[افزایش سرمایه])</f>
        <v>0</v>
      </c>
      <c r="O1821" s="164">
        <f>SUMIF(TArticle[تاریخ],TDays[[#This Row],[تاریخ]],TArticle[تعداد تراکنش انجام شده])</f>
        <v>0</v>
      </c>
      <c r="P1821" s="164">
        <f>INT(((TDays[[#This Row],[ماه]]-1)*31+TDays[[#This Row],[روز]]+1)/7)+1</f>
        <v>53</v>
      </c>
      <c r="Q1821" s="164">
        <f>SUMIF(TArticle[تاریخ],TDays[[#This Row],[تاریخ]],TArticle[تراکنش برنامه ریزی شده])</f>
        <v>0</v>
      </c>
    </row>
    <row r="1822" spans="1:17" x14ac:dyDescent="0.25">
      <c r="A1822" s="3" t="s">
        <v>2405</v>
      </c>
      <c r="B1822" s="164" t="str">
        <f>RIGHT(TDays[[#This Row],[تاریخ]],2)</f>
        <v>25</v>
      </c>
      <c r="C1822" s="164" t="str">
        <f>RIGHT(LEFT(TDays[[#This Row],[تاریخ]],7),2)</f>
        <v>12</v>
      </c>
      <c r="D1822" s="164" t="str">
        <f>LEFT(TDays[[#This Row],[تاریخ]],4)</f>
        <v>1405</v>
      </c>
      <c r="E1822" s="164" t="str">
        <f>LEFT(TDays[[#This Row],[تاریخ]],7)</f>
        <v>1405-12</v>
      </c>
      <c r="F1822">
        <v>2</v>
      </c>
      <c r="G1822" s="165" t="str">
        <f>VLOOKUP(TDays[[#This Row],[کد روز هفته]],TDaysOfTheWeek[],2,FALSE)</f>
        <v>دوشنبه</v>
      </c>
      <c r="H1822" s="165">
        <f>IFERROR(IF(E1821&lt;&gt;E1822,1,INT(H1821)+IF(TDays[[#This Row],[کد روز هفته]]=0,1,0)),1)</f>
        <v>5</v>
      </c>
      <c r="I1822" s="164">
        <f>-SUMIF(TArticle[تاریخ],TDays[[#This Row],[تاریخ]],TArticle[هزینه])</f>
        <v>0</v>
      </c>
      <c r="J1822" s="164">
        <f>SUMIF(TArticle[تاریخ],TDays[[#This Row],[تاریخ]],TArticle[درآمد تتا])</f>
        <v>0</v>
      </c>
      <c r="K1822" s="164">
        <f>SUMIF(TArticle[تاریخ],TDays[[#This Row],[تاریخ]],TArticle[اسنپ])</f>
        <v>0</v>
      </c>
      <c r="L1822" s="164">
        <f>-SUMIF(TArticle[تاریخ],TDays[[#This Row],[تاریخ]],TArticle[پرداخت بدهی])</f>
        <v>0</v>
      </c>
      <c r="M1822" s="164">
        <f>SUMIF(TArticle[تاریخ],TDays[[#This Row],[تاریخ]],TArticle[افزایش بدهی])</f>
        <v>0</v>
      </c>
      <c r="N1822" s="164">
        <f>-SUMIF(TArticle[تاریخ],TDays[[#This Row],[تاریخ]],TArticle[افزایش سرمایه])</f>
        <v>0</v>
      </c>
      <c r="O1822" s="164">
        <f>SUMIF(TArticle[تاریخ],TDays[[#This Row],[تاریخ]],TArticle[تعداد تراکنش انجام شده])</f>
        <v>0</v>
      </c>
      <c r="P1822" s="164">
        <f>INT(((TDays[[#This Row],[ماه]]-1)*31+TDays[[#This Row],[روز]]+1)/7)+1</f>
        <v>53</v>
      </c>
      <c r="Q1822" s="164">
        <f>SUMIF(TArticle[تاریخ],TDays[[#This Row],[تاریخ]],TArticle[تراکنش برنامه ریزی شده])</f>
        <v>0</v>
      </c>
    </row>
    <row r="1823" spans="1:17" x14ac:dyDescent="0.25">
      <c r="A1823" s="3" t="s">
        <v>2406</v>
      </c>
      <c r="B1823" s="164" t="str">
        <f>RIGHT(TDays[[#This Row],[تاریخ]],2)</f>
        <v>26</v>
      </c>
      <c r="C1823" s="164" t="str">
        <f>RIGHT(LEFT(TDays[[#This Row],[تاریخ]],7),2)</f>
        <v>12</v>
      </c>
      <c r="D1823" s="164" t="str">
        <f>LEFT(TDays[[#This Row],[تاریخ]],4)</f>
        <v>1405</v>
      </c>
      <c r="E1823" s="164" t="str">
        <f>LEFT(TDays[[#This Row],[تاریخ]],7)</f>
        <v>1405-12</v>
      </c>
      <c r="F1823" s="164">
        <v>3</v>
      </c>
      <c r="G1823" s="165" t="str">
        <f>VLOOKUP(TDays[[#This Row],[کد روز هفته]],TDaysOfTheWeek[],2,FALSE)</f>
        <v>سه شنبه</v>
      </c>
      <c r="H1823" s="165">
        <f>IFERROR(IF(E1822&lt;&gt;E1823,1,INT(H1822)+IF(TDays[[#This Row],[کد روز هفته]]=0,1,0)),1)</f>
        <v>5</v>
      </c>
      <c r="I1823" s="164">
        <f>-SUMIF(TArticle[تاریخ],TDays[[#This Row],[تاریخ]],TArticle[هزینه])</f>
        <v>0</v>
      </c>
      <c r="J1823" s="164">
        <f>SUMIF(TArticle[تاریخ],TDays[[#This Row],[تاریخ]],TArticle[درآمد تتا])</f>
        <v>0</v>
      </c>
      <c r="K1823" s="164">
        <f>SUMIF(TArticle[تاریخ],TDays[[#This Row],[تاریخ]],TArticle[اسنپ])</f>
        <v>0</v>
      </c>
      <c r="L1823" s="164">
        <f>-SUMIF(TArticle[تاریخ],TDays[[#This Row],[تاریخ]],TArticle[پرداخت بدهی])</f>
        <v>0</v>
      </c>
      <c r="M1823" s="164">
        <f>SUMIF(TArticle[تاریخ],TDays[[#This Row],[تاریخ]],TArticle[افزایش بدهی])</f>
        <v>0</v>
      </c>
      <c r="N1823" s="164">
        <f>-SUMIF(TArticle[تاریخ],TDays[[#This Row],[تاریخ]],TArticle[افزایش سرمایه])</f>
        <v>0</v>
      </c>
      <c r="O1823" s="164">
        <f>SUMIF(TArticle[تاریخ],TDays[[#This Row],[تاریخ]],TArticle[تعداد تراکنش انجام شده])</f>
        <v>0</v>
      </c>
      <c r="P1823" s="164">
        <f>INT(((TDays[[#This Row],[ماه]]-1)*31+TDays[[#This Row],[روز]]+1)/7)+1</f>
        <v>53</v>
      </c>
      <c r="Q1823" s="164">
        <f>SUMIF(TArticle[تاریخ],TDays[[#This Row],[تاریخ]],TArticle[تراکنش برنامه ریزی شده])</f>
        <v>0</v>
      </c>
    </row>
    <row r="1824" spans="1:17" x14ac:dyDescent="0.25">
      <c r="A1824" s="3" t="s">
        <v>2407</v>
      </c>
      <c r="B1824" s="164" t="str">
        <f>RIGHT(TDays[[#This Row],[تاریخ]],2)</f>
        <v>27</v>
      </c>
      <c r="C1824" s="164" t="str">
        <f>RIGHT(LEFT(TDays[[#This Row],[تاریخ]],7),2)</f>
        <v>12</v>
      </c>
      <c r="D1824" s="164" t="str">
        <f>LEFT(TDays[[#This Row],[تاریخ]],4)</f>
        <v>1405</v>
      </c>
      <c r="E1824" s="164" t="str">
        <f>LEFT(TDays[[#This Row],[تاریخ]],7)</f>
        <v>1405-12</v>
      </c>
      <c r="F1824" s="164">
        <v>4</v>
      </c>
      <c r="G1824" s="165" t="str">
        <f>VLOOKUP(TDays[[#This Row],[کد روز هفته]],TDaysOfTheWeek[],2,FALSE)</f>
        <v>چهارشنبه</v>
      </c>
      <c r="H1824" s="165">
        <f>IFERROR(IF(E1823&lt;&gt;E1824,1,INT(H1823)+IF(TDays[[#This Row],[کد روز هفته]]=0,1,0)),1)</f>
        <v>5</v>
      </c>
      <c r="I1824" s="164">
        <f>-SUMIF(TArticle[تاریخ],TDays[[#This Row],[تاریخ]],TArticle[هزینه])</f>
        <v>0</v>
      </c>
      <c r="J1824" s="164">
        <f>SUMIF(TArticle[تاریخ],TDays[[#This Row],[تاریخ]],TArticle[درآمد تتا])</f>
        <v>0</v>
      </c>
      <c r="K1824" s="164">
        <f>SUMIF(TArticle[تاریخ],TDays[[#This Row],[تاریخ]],TArticle[اسنپ])</f>
        <v>0</v>
      </c>
      <c r="L1824" s="164">
        <f>-SUMIF(TArticle[تاریخ],TDays[[#This Row],[تاریخ]],TArticle[پرداخت بدهی])</f>
        <v>0</v>
      </c>
      <c r="M1824" s="164">
        <f>SUMIF(TArticle[تاریخ],TDays[[#This Row],[تاریخ]],TArticle[افزایش بدهی])</f>
        <v>0</v>
      </c>
      <c r="N1824" s="164">
        <f>-SUMIF(TArticle[تاریخ],TDays[[#This Row],[تاریخ]],TArticle[افزایش سرمایه])</f>
        <v>0</v>
      </c>
      <c r="O1824" s="164">
        <f>SUMIF(TArticle[تاریخ],TDays[[#This Row],[تاریخ]],TArticle[تعداد تراکنش انجام شده])</f>
        <v>0</v>
      </c>
      <c r="P1824" s="164">
        <f>INT(((TDays[[#This Row],[ماه]]-1)*31+TDays[[#This Row],[روز]]+1)/7)+1</f>
        <v>53</v>
      </c>
      <c r="Q1824" s="164">
        <f>SUMIF(TArticle[تاریخ],TDays[[#This Row],[تاریخ]],TArticle[تراکنش برنامه ریزی شده])</f>
        <v>0</v>
      </c>
    </row>
    <row r="1825" spans="1:17" x14ac:dyDescent="0.25">
      <c r="A1825" s="3" t="s">
        <v>2408</v>
      </c>
      <c r="B1825" s="164" t="str">
        <f>RIGHT(TDays[[#This Row],[تاریخ]],2)</f>
        <v>28</v>
      </c>
      <c r="C1825" s="164" t="str">
        <f>RIGHT(LEFT(TDays[[#This Row],[تاریخ]],7),2)</f>
        <v>12</v>
      </c>
      <c r="D1825" s="164" t="str">
        <f>LEFT(TDays[[#This Row],[تاریخ]],4)</f>
        <v>1405</v>
      </c>
      <c r="E1825" s="164" t="str">
        <f>LEFT(TDays[[#This Row],[تاریخ]],7)</f>
        <v>1405-12</v>
      </c>
      <c r="F1825" s="164">
        <v>5</v>
      </c>
      <c r="G1825" s="165" t="str">
        <f>VLOOKUP(TDays[[#This Row],[کد روز هفته]],TDaysOfTheWeek[],2,FALSE)</f>
        <v>پنجشنبه</v>
      </c>
      <c r="H1825" s="165">
        <f>IFERROR(IF(E1824&lt;&gt;E1825,1,INT(H1824)+IF(TDays[[#This Row],[کد روز هفته]]=0,1,0)),1)</f>
        <v>5</v>
      </c>
      <c r="I1825" s="164">
        <f>-SUMIF(TArticle[تاریخ],TDays[[#This Row],[تاریخ]],TArticle[هزینه])</f>
        <v>0</v>
      </c>
      <c r="J1825" s="164">
        <f>SUMIF(TArticle[تاریخ],TDays[[#This Row],[تاریخ]],TArticle[درآمد تتا])</f>
        <v>0</v>
      </c>
      <c r="K1825" s="164">
        <f>SUMIF(TArticle[تاریخ],TDays[[#This Row],[تاریخ]],TArticle[اسنپ])</f>
        <v>0</v>
      </c>
      <c r="L1825" s="164">
        <f>-SUMIF(TArticle[تاریخ],TDays[[#This Row],[تاریخ]],TArticle[پرداخت بدهی])</f>
        <v>0</v>
      </c>
      <c r="M1825" s="164">
        <f>SUMIF(TArticle[تاریخ],TDays[[#This Row],[تاریخ]],TArticle[افزایش بدهی])</f>
        <v>0</v>
      </c>
      <c r="N1825" s="164">
        <f>-SUMIF(TArticle[تاریخ],TDays[[#This Row],[تاریخ]],TArticle[افزایش سرمایه])</f>
        <v>0</v>
      </c>
      <c r="O1825" s="164">
        <f>SUMIF(TArticle[تاریخ],TDays[[#This Row],[تاریخ]],TArticle[تعداد تراکنش انجام شده])</f>
        <v>0</v>
      </c>
      <c r="P1825" s="164">
        <f>INT(((TDays[[#This Row],[ماه]]-1)*31+TDays[[#This Row],[روز]]+1)/7)+1</f>
        <v>53</v>
      </c>
      <c r="Q1825" s="164">
        <f>SUMIF(TArticle[تاریخ],TDays[[#This Row],[تاریخ]],TArticle[تراکنش برنامه ریزی شده])</f>
        <v>0</v>
      </c>
    </row>
    <row r="1826" spans="1:17" x14ac:dyDescent="0.25">
      <c r="A1826" s="3" t="s">
        <v>2409</v>
      </c>
      <c r="B1826" s="164" t="str">
        <f>RIGHT(TDays[[#This Row],[تاریخ]],2)</f>
        <v>29</v>
      </c>
      <c r="C1826" s="164" t="str">
        <f>RIGHT(LEFT(TDays[[#This Row],[تاریخ]],7),2)</f>
        <v>12</v>
      </c>
      <c r="D1826" s="164" t="str">
        <f>LEFT(TDays[[#This Row],[تاریخ]],4)</f>
        <v>1405</v>
      </c>
      <c r="E1826" s="164" t="str">
        <f>LEFT(TDays[[#This Row],[تاریخ]],7)</f>
        <v>1405-12</v>
      </c>
      <c r="F1826" s="164">
        <v>6</v>
      </c>
      <c r="G1826" s="165" t="str">
        <f>VLOOKUP(TDays[[#This Row],[کد روز هفته]],TDaysOfTheWeek[],2,FALSE)</f>
        <v>جمعه</v>
      </c>
      <c r="H1826" s="165">
        <f>IFERROR(IF(E1825&lt;&gt;E1826,1,INT(H1825)+IF(TDays[[#This Row],[کد روز هفته]]=0,1,0)),1)</f>
        <v>5</v>
      </c>
      <c r="I1826" s="164">
        <f>-SUMIF(TArticle[تاریخ],TDays[[#This Row],[تاریخ]],TArticle[هزینه])</f>
        <v>0</v>
      </c>
      <c r="J1826" s="164">
        <f>SUMIF(TArticle[تاریخ],TDays[[#This Row],[تاریخ]],TArticle[درآمد تتا])</f>
        <v>0</v>
      </c>
      <c r="K1826" s="164">
        <f>SUMIF(TArticle[تاریخ],TDays[[#This Row],[تاریخ]],TArticle[اسنپ])</f>
        <v>0</v>
      </c>
      <c r="L1826" s="164">
        <f>-SUMIF(TArticle[تاریخ],TDays[[#This Row],[تاریخ]],TArticle[پرداخت بدهی])</f>
        <v>0</v>
      </c>
      <c r="M1826" s="164">
        <f>SUMIF(TArticle[تاریخ],TDays[[#This Row],[تاریخ]],TArticle[افزایش بدهی])</f>
        <v>0</v>
      </c>
      <c r="N1826" s="164">
        <f>-SUMIF(TArticle[تاریخ],TDays[[#This Row],[تاریخ]],TArticle[افزایش سرمایه])</f>
        <v>0</v>
      </c>
      <c r="O1826" s="164">
        <f>SUMIF(TArticle[تاریخ],TDays[[#This Row],[تاریخ]],TArticle[تعداد تراکنش انجام شده])</f>
        <v>0</v>
      </c>
      <c r="P1826" s="164">
        <f>INT(((TDays[[#This Row],[ماه]]-1)*31+TDays[[#This Row],[روز]]+1)/7)+1</f>
        <v>54</v>
      </c>
      <c r="Q1826" s="164">
        <f>SUMIF(TArticle[تاریخ],TDays[[#This Row],[تاریخ]],TArticle[تراکنش برنامه ریزی شده])</f>
        <v>0</v>
      </c>
    </row>
    <row r="1827" spans="1:17" x14ac:dyDescent="0.25">
      <c r="A1827" s="3" t="s">
        <v>2443</v>
      </c>
      <c r="B1827" s="164" t="str">
        <f>RIGHT(TDays[[#This Row],[تاریخ]],2)</f>
        <v>01</v>
      </c>
      <c r="C1827" s="164" t="str">
        <f>RIGHT(LEFT(TDays[[#This Row],[تاریخ]],7),2)</f>
        <v>01</v>
      </c>
      <c r="D1827" s="164" t="str">
        <f>LEFT(TDays[[#This Row],[تاریخ]],4)</f>
        <v>1406</v>
      </c>
      <c r="E1827" s="164" t="str">
        <f>LEFT(TDays[[#This Row],[تاریخ]],7)</f>
        <v>1406-01</v>
      </c>
      <c r="F1827">
        <v>0</v>
      </c>
      <c r="G1827" s="165" t="str">
        <f>VLOOKUP(TDays[[#This Row],[کد روز هفته]],TDaysOfTheWeek[],2,FALSE)</f>
        <v>شنبه</v>
      </c>
      <c r="H1827" s="165">
        <f>IFERROR(IF(E1826&lt;&gt;E1827,1,INT(H1826)+IF(TDays[[#This Row],[کد روز هفته]]=0,1,0)),1)</f>
        <v>1</v>
      </c>
      <c r="I1827" s="164">
        <f>-SUMIF(TArticle[تاریخ],TDays[[#This Row],[تاریخ]],TArticle[هزینه])</f>
        <v>0</v>
      </c>
      <c r="J1827" s="164">
        <f>SUMIF(TArticle[تاریخ],TDays[[#This Row],[تاریخ]],TArticle[درآمد تتا])</f>
        <v>0</v>
      </c>
      <c r="K1827" s="164">
        <f>SUMIF(TArticle[تاریخ],TDays[[#This Row],[تاریخ]],TArticle[اسنپ])</f>
        <v>0</v>
      </c>
      <c r="L1827" s="164">
        <f>-SUMIF(TArticle[تاریخ],TDays[[#This Row],[تاریخ]],TArticle[پرداخت بدهی])</f>
        <v>0</v>
      </c>
      <c r="M1827" s="164">
        <f>SUMIF(TArticle[تاریخ],TDays[[#This Row],[تاریخ]],TArticle[افزایش بدهی])</f>
        <v>0</v>
      </c>
      <c r="N1827" s="164">
        <f>-SUMIF(TArticle[تاریخ],TDays[[#This Row],[تاریخ]],TArticle[افزایش سرمایه])</f>
        <v>0</v>
      </c>
      <c r="O1827" s="164">
        <f>SUMIF(TArticle[تاریخ],TDays[[#This Row],[تاریخ]],TArticle[تعداد تراکنش انجام شده])</f>
        <v>0</v>
      </c>
      <c r="P1827" s="164">
        <f>INT(((TDays[[#This Row],[ماه]]-1)*31+TDays[[#This Row],[روز]]+1)/7)+1</f>
        <v>1</v>
      </c>
      <c r="Q1827" s="164">
        <f>SUMIF(TArticle[تاریخ],TDays[[#This Row],[تاریخ]],TArticle[تراکنش برنامه ریزی شده])</f>
        <v>0</v>
      </c>
    </row>
    <row r="1828" spans="1:17" x14ac:dyDescent="0.25">
      <c r="A1828" s="3" t="s">
        <v>2444</v>
      </c>
      <c r="B1828" s="164" t="str">
        <f>RIGHT(TDays[[#This Row],[تاریخ]],2)</f>
        <v>02</v>
      </c>
      <c r="C1828" s="164" t="str">
        <f>RIGHT(LEFT(TDays[[#This Row],[تاریخ]],7),2)</f>
        <v>01</v>
      </c>
      <c r="D1828" s="164" t="str">
        <f>LEFT(TDays[[#This Row],[تاریخ]],4)</f>
        <v>1406</v>
      </c>
      <c r="E1828" s="164" t="str">
        <f>LEFT(TDays[[#This Row],[تاریخ]],7)</f>
        <v>1406-01</v>
      </c>
      <c r="F1828">
        <v>1</v>
      </c>
      <c r="G1828" s="165" t="str">
        <f>VLOOKUP(TDays[[#This Row],[کد روز هفته]],TDaysOfTheWeek[],2,FALSE)</f>
        <v>یکشنبه</v>
      </c>
      <c r="H1828" s="165">
        <f>IFERROR(IF(E1827&lt;&gt;E1828,1,INT(H1827)+IF(TDays[[#This Row],[کد روز هفته]]=0,1,0)),1)</f>
        <v>1</v>
      </c>
      <c r="I1828" s="164">
        <f>-SUMIF(TArticle[تاریخ],TDays[[#This Row],[تاریخ]],TArticle[هزینه])</f>
        <v>0</v>
      </c>
      <c r="J1828" s="164">
        <f>SUMIF(TArticle[تاریخ],TDays[[#This Row],[تاریخ]],TArticle[درآمد تتا])</f>
        <v>0</v>
      </c>
      <c r="K1828" s="164">
        <f>SUMIF(TArticle[تاریخ],TDays[[#This Row],[تاریخ]],TArticle[اسنپ])</f>
        <v>0</v>
      </c>
      <c r="L1828" s="164">
        <f>-SUMIF(TArticle[تاریخ],TDays[[#This Row],[تاریخ]],TArticle[پرداخت بدهی])</f>
        <v>0</v>
      </c>
      <c r="M1828" s="164">
        <f>SUMIF(TArticle[تاریخ],TDays[[#This Row],[تاریخ]],TArticle[افزایش بدهی])</f>
        <v>0</v>
      </c>
      <c r="N1828" s="164">
        <f>-SUMIF(TArticle[تاریخ],TDays[[#This Row],[تاریخ]],TArticle[افزایش سرمایه])</f>
        <v>0</v>
      </c>
      <c r="O1828" s="164">
        <f>SUMIF(TArticle[تاریخ],TDays[[#This Row],[تاریخ]],TArticle[تعداد تراکنش انجام شده])</f>
        <v>0</v>
      </c>
      <c r="P1828" s="164">
        <f>INT(((TDays[[#This Row],[ماه]]-1)*31+TDays[[#This Row],[روز]]+1)/7)+1</f>
        <v>1</v>
      </c>
      <c r="Q1828" s="164">
        <f>SUMIF(TArticle[تاریخ],TDays[[#This Row],[تاریخ]],TArticle[تراکنش برنامه ریزی شده])</f>
        <v>0</v>
      </c>
    </row>
    <row r="1829" spans="1:17" x14ac:dyDescent="0.25">
      <c r="A1829" s="3" t="s">
        <v>2445</v>
      </c>
      <c r="B1829" s="164" t="str">
        <f>RIGHT(TDays[[#This Row],[تاریخ]],2)</f>
        <v>03</v>
      </c>
      <c r="C1829" s="164" t="str">
        <f>RIGHT(LEFT(TDays[[#This Row],[تاریخ]],7),2)</f>
        <v>01</v>
      </c>
      <c r="D1829" s="164" t="str">
        <f>LEFT(TDays[[#This Row],[تاریخ]],4)</f>
        <v>1406</v>
      </c>
      <c r="E1829" s="164" t="str">
        <f>LEFT(TDays[[#This Row],[تاریخ]],7)</f>
        <v>1406-01</v>
      </c>
      <c r="F1829">
        <v>2</v>
      </c>
      <c r="G1829" s="165" t="str">
        <f>VLOOKUP(TDays[[#This Row],[کد روز هفته]],TDaysOfTheWeek[],2,FALSE)</f>
        <v>دوشنبه</v>
      </c>
      <c r="H1829" s="165">
        <f>IFERROR(IF(E1828&lt;&gt;E1829,1,INT(H1828)+IF(TDays[[#This Row],[کد روز هفته]]=0,1,0)),1)</f>
        <v>1</v>
      </c>
      <c r="I1829" s="164">
        <f>-SUMIF(TArticle[تاریخ],TDays[[#This Row],[تاریخ]],TArticle[هزینه])</f>
        <v>0</v>
      </c>
      <c r="J1829" s="164">
        <f>SUMIF(TArticle[تاریخ],TDays[[#This Row],[تاریخ]],TArticle[درآمد تتا])</f>
        <v>0</v>
      </c>
      <c r="K1829" s="164">
        <f>SUMIF(TArticle[تاریخ],TDays[[#This Row],[تاریخ]],TArticle[اسنپ])</f>
        <v>0</v>
      </c>
      <c r="L1829" s="164">
        <f>-SUMIF(TArticle[تاریخ],TDays[[#This Row],[تاریخ]],TArticle[پرداخت بدهی])</f>
        <v>0</v>
      </c>
      <c r="M1829" s="164">
        <f>SUMIF(TArticle[تاریخ],TDays[[#This Row],[تاریخ]],TArticle[افزایش بدهی])</f>
        <v>0</v>
      </c>
      <c r="N1829" s="164">
        <f>-SUMIF(TArticle[تاریخ],TDays[[#This Row],[تاریخ]],TArticle[افزایش سرمایه])</f>
        <v>0</v>
      </c>
      <c r="O1829" s="164">
        <f>SUMIF(TArticle[تاریخ],TDays[[#This Row],[تاریخ]],TArticle[تعداد تراکنش انجام شده])</f>
        <v>0</v>
      </c>
      <c r="P1829" s="164">
        <f>INT(((TDays[[#This Row],[ماه]]-1)*31+TDays[[#This Row],[روز]]+1)/7)+1</f>
        <v>1</v>
      </c>
      <c r="Q1829" s="164">
        <f>SUMIF(TArticle[تاریخ],TDays[[#This Row],[تاریخ]],TArticle[تراکنش برنامه ریزی شده])</f>
        <v>1</v>
      </c>
    </row>
    <row r="1830" spans="1:17" x14ac:dyDescent="0.25">
      <c r="A1830" s="3" t="s">
        <v>2446</v>
      </c>
      <c r="B1830" s="164" t="str">
        <f>RIGHT(TDays[[#This Row],[تاریخ]],2)</f>
        <v>04</v>
      </c>
      <c r="C1830" s="164" t="str">
        <f>RIGHT(LEFT(TDays[[#This Row],[تاریخ]],7),2)</f>
        <v>01</v>
      </c>
      <c r="D1830" s="164" t="str">
        <f>LEFT(TDays[[#This Row],[تاریخ]],4)</f>
        <v>1406</v>
      </c>
      <c r="E1830" s="164" t="str">
        <f>LEFT(TDays[[#This Row],[تاریخ]],7)</f>
        <v>1406-01</v>
      </c>
      <c r="F1830">
        <v>3</v>
      </c>
      <c r="G1830" s="165" t="str">
        <f>VLOOKUP(TDays[[#This Row],[کد روز هفته]],TDaysOfTheWeek[],2,FALSE)</f>
        <v>سه شنبه</v>
      </c>
      <c r="H1830" s="165">
        <f>IFERROR(IF(E1829&lt;&gt;E1830,1,INT(H1829)+IF(TDays[[#This Row],[کد روز هفته]]=0,1,0)),1)</f>
        <v>1</v>
      </c>
      <c r="I1830" s="164">
        <f>-SUMIF(TArticle[تاریخ],TDays[[#This Row],[تاریخ]],TArticle[هزینه])</f>
        <v>0</v>
      </c>
      <c r="J1830" s="164">
        <f>SUMIF(TArticle[تاریخ],TDays[[#This Row],[تاریخ]],TArticle[درآمد تتا])</f>
        <v>0</v>
      </c>
      <c r="K1830" s="164">
        <f>SUMIF(TArticle[تاریخ],TDays[[#This Row],[تاریخ]],TArticle[اسنپ])</f>
        <v>0</v>
      </c>
      <c r="L1830" s="164">
        <f>-SUMIF(TArticle[تاریخ],TDays[[#This Row],[تاریخ]],TArticle[پرداخت بدهی])</f>
        <v>0</v>
      </c>
      <c r="M1830" s="164">
        <f>SUMIF(TArticle[تاریخ],TDays[[#This Row],[تاریخ]],TArticle[افزایش بدهی])</f>
        <v>0</v>
      </c>
      <c r="N1830" s="164">
        <f>-SUMIF(TArticle[تاریخ],TDays[[#This Row],[تاریخ]],TArticle[افزایش سرمایه])</f>
        <v>0</v>
      </c>
      <c r="O1830" s="164">
        <f>SUMIF(TArticle[تاریخ],TDays[[#This Row],[تاریخ]],TArticle[تعداد تراکنش انجام شده])</f>
        <v>0</v>
      </c>
      <c r="P1830" s="164">
        <f>INT(((TDays[[#This Row],[ماه]]-1)*31+TDays[[#This Row],[روز]]+1)/7)+1</f>
        <v>1</v>
      </c>
      <c r="Q1830" s="164">
        <f>SUMIF(TArticle[تاریخ],TDays[[#This Row],[تاریخ]],TArticle[تراکنش برنامه ریزی شده])</f>
        <v>0</v>
      </c>
    </row>
    <row r="1831" spans="1:17" x14ac:dyDescent="0.25">
      <c r="A1831" s="3" t="s">
        <v>2447</v>
      </c>
      <c r="B1831" s="164" t="str">
        <f>RIGHT(TDays[[#This Row],[تاریخ]],2)</f>
        <v>05</v>
      </c>
      <c r="C1831" s="164" t="str">
        <f>RIGHT(LEFT(TDays[[#This Row],[تاریخ]],7),2)</f>
        <v>01</v>
      </c>
      <c r="D1831" s="164" t="str">
        <f>LEFT(TDays[[#This Row],[تاریخ]],4)</f>
        <v>1406</v>
      </c>
      <c r="E1831" s="164" t="str">
        <f>LEFT(TDays[[#This Row],[تاریخ]],7)</f>
        <v>1406-01</v>
      </c>
      <c r="F1831">
        <v>4</v>
      </c>
      <c r="G1831" s="165" t="str">
        <f>VLOOKUP(TDays[[#This Row],[کد روز هفته]],TDaysOfTheWeek[],2,FALSE)</f>
        <v>چهارشنبه</v>
      </c>
      <c r="H1831" s="165">
        <f>IFERROR(IF(E1830&lt;&gt;E1831,1,INT(H1830)+IF(TDays[[#This Row],[کد روز هفته]]=0,1,0)),1)</f>
        <v>1</v>
      </c>
      <c r="I1831" s="164">
        <f>-SUMIF(TArticle[تاریخ],TDays[[#This Row],[تاریخ]],TArticle[هزینه])</f>
        <v>0</v>
      </c>
      <c r="J1831" s="164">
        <f>SUMIF(TArticle[تاریخ],TDays[[#This Row],[تاریخ]],TArticle[درآمد تتا])</f>
        <v>0</v>
      </c>
      <c r="K1831" s="164">
        <f>SUMIF(TArticle[تاریخ],TDays[[#This Row],[تاریخ]],TArticle[اسنپ])</f>
        <v>0</v>
      </c>
      <c r="L1831" s="164">
        <f>-SUMIF(TArticle[تاریخ],TDays[[#This Row],[تاریخ]],TArticle[پرداخت بدهی])</f>
        <v>0</v>
      </c>
      <c r="M1831" s="164">
        <f>SUMIF(TArticle[تاریخ],TDays[[#This Row],[تاریخ]],TArticle[افزایش بدهی])</f>
        <v>0</v>
      </c>
      <c r="N1831" s="164">
        <f>-SUMIF(TArticle[تاریخ],TDays[[#This Row],[تاریخ]],TArticle[افزایش سرمایه])</f>
        <v>0</v>
      </c>
      <c r="O1831" s="164">
        <f>SUMIF(TArticle[تاریخ],TDays[[#This Row],[تاریخ]],TArticle[تعداد تراکنش انجام شده])</f>
        <v>0</v>
      </c>
      <c r="P1831" s="164">
        <f>INT(((TDays[[#This Row],[ماه]]-1)*31+TDays[[#This Row],[روز]]+1)/7)+1</f>
        <v>1</v>
      </c>
      <c r="Q1831" s="164">
        <f>SUMIF(TArticle[تاریخ],TDays[[#This Row],[تاریخ]],TArticle[تراکنش برنامه ریزی شده])</f>
        <v>0</v>
      </c>
    </row>
    <row r="1832" spans="1:17" x14ac:dyDescent="0.25">
      <c r="A1832" s="3" t="s">
        <v>2448</v>
      </c>
      <c r="B1832" s="164" t="str">
        <f>RIGHT(TDays[[#This Row],[تاریخ]],2)</f>
        <v>06</v>
      </c>
      <c r="C1832" s="164" t="str">
        <f>RIGHT(LEFT(TDays[[#This Row],[تاریخ]],7),2)</f>
        <v>01</v>
      </c>
      <c r="D1832" s="164" t="str">
        <f>LEFT(TDays[[#This Row],[تاریخ]],4)</f>
        <v>1406</v>
      </c>
      <c r="E1832" s="164" t="str">
        <f>LEFT(TDays[[#This Row],[تاریخ]],7)</f>
        <v>1406-01</v>
      </c>
      <c r="F1832">
        <v>5</v>
      </c>
      <c r="G1832" s="165" t="str">
        <f>VLOOKUP(TDays[[#This Row],[کد روز هفته]],TDaysOfTheWeek[],2,FALSE)</f>
        <v>پنجشنبه</v>
      </c>
      <c r="H1832" s="165">
        <f>IFERROR(IF(E1831&lt;&gt;E1832,1,INT(H1831)+IF(TDays[[#This Row],[کد روز هفته]]=0,1,0)),1)</f>
        <v>1</v>
      </c>
      <c r="I1832" s="164">
        <f>-SUMIF(TArticle[تاریخ],TDays[[#This Row],[تاریخ]],TArticle[هزینه])</f>
        <v>0</v>
      </c>
      <c r="J1832" s="164">
        <f>SUMIF(TArticle[تاریخ],TDays[[#This Row],[تاریخ]],TArticle[درآمد تتا])</f>
        <v>0</v>
      </c>
      <c r="K1832" s="164">
        <f>SUMIF(TArticle[تاریخ],TDays[[#This Row],[تاریخ]],TArticle[اسنپ])</f>
        <v>0</v>
      </c>
      <c r="L1832" s="164">
        <f>-SUMIF(TArticle[تاریخ],TDays[[#This Row],[تاریخ]],TArticle[پرداخت بدهی])</f>
        <v>0</v>
      </c>
      <c r="M1832" s="164">
        <f>SUMIF(TArticle[تاریخ],TDays[[#This Row],[تاریخ]],TArticle[افزایش بدهی])</f>
        <v>0</v>
      </c>
      <c r="N1832" s="164">
        <f>-SUMIF(TArticle[تاریخ],TDays[[#This Row],[تاریخ]],TArticle[افزایش سرمایه])</f>
        <v>0</v>
      </c>
      <c r="O1832" s="164">
        <f>SUMIF(TArticle[تاریخ],TDays[[#This Row],[تاریخ]],TArticle[تعداد تراکنش انجام شده])</f>
        <v>0</v>
      </c>
      <c r="P1832" s="164">
        <f>INT(((TDays[[#This Row],[ماه]]-1)*31+TDays[[#This Row],[روز]]+1)/7)+1</f>
        <v>2</v>
      </c>
      <c r="Q1832" s="164">
        <f>SUMIF(TArticle[تاریخ],TDays[[#This Row],[تاریخ]],TArticle[تراکنش برنامه ریزی شده])</f>
        <v>0</v>
      </c>
    </row>
    <row r="1833" spans="1:17" x14ac:dyDescent="0.25">
      <c r="A1833" s="3" t="s">
        <v>2449</v>
      </c>
      <c r="B1833" s="164" t="str">
        <f>RIGHT(TDays[[#This Row],[تاریخ]],2)</f>
        <v>07</v>
      </c>
      <c r="C1833" s="164" t="str">
        <f>RIGHT(LEFT(TDays[[#This Row],[تاریخ]],7),2)</f>
        <v>01</v>
      </c>
      <c r="D1833" s="164" t="str">
        <f>LEFT(TDays[[#This Row],[تاریخ]],4)</f>
        <v>1406</v>
      </c>
      <c r="E1833" s="164" t="str">
        <f>LEFT(TDays[[#This Row],[تاریخ]],7)</f>
        <v>1406-01</v>
      </c>
      <c r="F1833">
        <v>6</v>
      </c>
      <c r="G1833" s="165" t="str">
        <f>VLOOKUP(TDays[[#This Row],[کد روز هفته]],TDaysOfTheWeek[],2,FALSE)</f>
        <v>جمعه</v>
      </c>
      <c r="H1833" s="165">
        <f>IFERROR(IF(E1832&lt;&gt;E1833,1,INT(H1832)+IF(TDays[[#This Row],[کد روز هفته]]=0,1,0)),1)</f>
        <v>1</v>
      </c>
      <c r="I1833" s="164">
        <f>-SUMIF(TArticle[تاریخ],TDays[[#This Row],[تاریخ]],TArticle[هزینه])</f>
        <v>0</v>
      </c>
      <c r="J1833" s="164">
        <f>SUMIF(TArticle[تاریخ],TDays[[#This Row],[تاریخ]],TArticle[درآمد تتا])</f>
        <v>0</v>
      </c>
      <c r="K1833" s="164">
        <f>SUMIF(TArticle[تاریخ],TDays[[#This Row],[تاریخ]],TArticle[اسنپ])</f>
        <v>0</v>
      </c>
      <c r="L1833" s="164">
        <f>-SUMIF(TArticle[تاریخ],TDays[[#This Row],[تاریخ]],TArticle[پرداخت بدهی])</f>
        <v>0</v>
      </c>
      <c r="M1833" s="164">
        <f>SUMIF(TArticle[تاریخ],TDays[[#This Row],[تاریخ]],TArticle[افزایش بدهی])</f>
        <v>0</v>
      </c>
      <c r="N1833" s="164">
        <f>-SUMIF(TArticle[تاریخ],TDays[[#This Row],[تاریخ]],TArticle[افزایش سرمایه])</f>
        <v>0</v>
      </c>
      <c r="O1833" s="164">
        <f>SUMIF(TArticle[تاریخ],TDays[[#This Row],[تاریخ]],TArticle[تعداد تراکنش انجام شده])</f>
        <v>0</v>
      </c>
      <c r="P1833" s="164">
        <f>INT(((TDays[[#This Row],[ماه]]-1)*31+TDays[[#This Row],[روز]]+1)/7)+1</f>
        <v>2</v>
      </c>
      <c r="Q1833" s="164">
        <f>SUMIF(TArticle[تاریخ],TDays[[#This Row],[تاریخ]],TArticle[تراکنش برنامه ریزی شده])</f>
        <v>0</v>
      </c>
    </row>
    <row r="1834" spans="1:17" x14ac:dyDescent="0.25">
      <c r="A1834" s="3" t="s">
        <v>2450</v>
      </c>
      <c r="B1834" s="164" t="str">
        <f>RIGHT(TDays[[#This Row],[تاریخ]],2)</f>
        <v>08</v>
      </c>
      <c r="C1834" s="164" t="str">
        <f>RIGHT(LEFT(TDays[[#This Row],[تاریخ]],7),2)</f>
        <v>01</v>
      </c>
      <c r="D1834" s="164" t="str">
        <f>LEFT(TDays[[#This Row],[تاریخ]],4)</f>
        <v>1406</v>
      </c>
      <c r="E1834" s="164" t="str">
        <f>LEFT(TDays[[#This Row],[تاریخ]],7)</f>
        <v>1406-01</v>
      </c>
      <c r="F1834">
        <v>0</v>
      </c>
      <c r="G1834" s="165" t="str">
        <f>VLOOKUP(TDays[[#This Row],[کد روز هفته]],TDaysOfTheWeek[],2,FALSE)</f>
        <v>شنبه</v>
      </c>
      <c r="H1834" s="165">
        <f>IFERROR(IF(E1833&lt;&gt;E1834,1,INT(H1833)+IF(TDays[[#This Row],[کد روز هفته]]=0,1,0)),1)</f>
        <v>2</v>
      </c>
      <c r="I1834" s="164">
        <f>-SUMIF(TArticle[تاریخ],TDays[[#This Row],[تاریخ]],TArticle[هزینه])</f>
        <v>0</v>
      </c>
      <c r="J1834" s="164">
        <f>SUMIF(TArticle[تاریخ],TDays[[#This Row],[تاریخ]],TArticle[درآمد تتا])</f>
        <v>0</v>
      </c>
      <c r="K1834" s="164">
        <f>SUMIF(TArticle[تاریخ],TDays[[#This Row],[تاریخ]],TArticle[اسنپ])</f>
        <v>0</v>
      </c>
      <c r="L1834" s="164">
        <f>-SUMIF(TArticle[تاریخ],TDays[[#This Row],[تاریخ]],TArticle[پرداخت بدهی])</f>
        <v>0</v>
      </c>
      <c r="M1834" s="164">
        <f>SUMIF(TArticle[تاریخ],TDays[[#This Row],[تاریخ]],TArticle[افزایش بدهی])</f>
        <v>0</v>
      </c>
      <c r="N1834" s="164">
        <f>-SUMIF(TArticle[تاریخ],TDays[[#This Row],[تاریخ]],TArticle[افزایش سرمایه])</f>
        <v>0</v>
      </c>
      <c r="O1834" s="164">
        <f>SUMIF(TArticle[تاریخ],TDays[[#This Row],[تاریخ]],TArticle[تعداد تراکنش انجام شده])</f>
        <v>0</v>
      </c>
      <c r="P1834" s="164">
        <f>INT(((TDays[[#This Row],[ماه]]-1)*31+TDays[[#This Row],[روز]]+1)/7)+1</f>
        <v>2</v>
      </c>
      <c r="Q1834" s="164">
        <f>SUMIF(TArticle[تاریخ],TDays[[#This Row],[تاریخ]],TArticle[تراکنش برنامه ریزی شده])</f>
        <v>0</v>
      </c>
    </row>
    <row r="1835" spans="1:17" x14ac:dyDescent="0.25">
      <c r="A1835" s="3" t="s">
        <v>2451</v>
      </c>
      <c r="B1835" s="164" t="str">
        <f>RIGHT(TDays[[#This Row],[تاریخ]],2)</f>
        <v>09</v>
      </c>
      <c r="C1835" s="164" t="str">
        <f>RIGHT(LEFT(TDays[[#This Row],[تاریخ]],7),2)</f>
        <v>01</v>
      </c>
      <c r="D1835" s="164" t="str">
        <f>LEFT(TDays[[#This Row],[تاریخ]],4)</f>
        <v>1406</v>
      </c>
      <c r="E1835" s="164" t="str">
        <f>LEFT(TDays[[#This Row],[تاریخ]],7)</f>
        <v>1406-01</v>
      </c>
      <c r="F1835">
        <v>1</v>
      </c>
      <c r="G1835" s="165" t="str">
        <f>VLOOKUP(TDays[[#This Row],[کد روز هفته]],TDaysOfTheWeek[],2,FALSE)</f>
        <v>یکشنبه</v>
      </c>
      <c r="H1835" s="165">
        <f>IFERROR(IF(E1834&lt;&gt;E1835,1,INT(H1834)+IF(TDays[[#This Row],[کد روز هفته]]=0,1,0)),1)</f>
        <v>2</v>
      </c>
      <c r="I1835" s="164">
        <f>-SUMIF(TArticle[تاریخ],TDays[[#This Row],[تاریخ]],TArticle[هزینه])</f>
        <v>0</v>
      </c>
      <c r="J1835" s="164">
        <f>SUMIF(TArticle[تاریخ],TDays[[#This Row],[تاریخ]],TArticle[درآمد تتا])</f>
        <v>0</v>
      </c>
      <c r="K1835" s="164">
        <f>SUMIF(TArticle[تاریخ],TDays[[#This Row],[تاریخ]],TArticle[اسنپ])</f>
        <v>0</v>
      </c>
      <c r="L1835" s="164">
        <f>-SUMIF(TArticle[تاریخ],TDays[[#This Row],[تاریخ]],TArticle[پرداخت بدهی])</f>
        <v>0</v>
      </c>
      <c r="M1835" s="164">
        <f>SUMIF(TArticle[تاریخ],TDays[[#This Row],[تاریخ]],TArticle[افزایش بدهی])</f>
        <v>0</v>
      </c>
      <c r="N1835" s="164">
        <f>-SUMIF(TArticle[تاریخ],TDays[[#This Row],[تاریخ]],TArticle[افزایش سرمایه])</f>
        <v>0</v>
      </c>
      <c r="O1835" s="164">
        <f>SUMIF(TArticle[تاریخ],TDays[[#This Row],[تاریخ]],TArticle[تعداد تراکنش انجام شده])</f>
        <v>0</v>
      </c>
      <c r="P1835" s="164">
        <f>INT(((TDays[[#This Row],[ماه]]-1)*31+TDays[[#This Row],[روز]]+1)/7)+1</f>
        <v>2</v>
      </c>
      <c r="Q1835" s="164">
        <f>SUMIF(TArticle[تاریخ],TDays[[#This Row],[تاریخ]],TArticle[تراکنش برنامه ریزی شده])</f>
        <v>0</v>
      </c>
    </row>
    <row r="1836" spans="1:17" x14ac:dyDescent="0.25">
      <c r="A1836" s="3" t="s">
        <v>2452</v>
      </c>
      <c r="B1836" s="164" t="str">
        <f>RIGHT(TDays[[#This Row],[تاریخ]],2)</f>
        <v>10</v>
      </c>
      <c r="C1836" s="164" t="str">
        <f>RIGHT(LEFT(TDays[[#This Row],[تاریخ]],7),2)</f>
        <v>01</v>
      </c>
      <c r="D1836" s="164" t="str">
        <f>LEFT(TDays[[#This Row],[تاریخ]],4)</f>
        <v>1406</v>
      </c>
      <c r="E1836" s="164" t="str">
        <f>LEFT(TDays[[#This Row],[تاریخ]],7)</f>
        <v>1406-01</v>
      </c>
      <c r="F1836">
        <v>2</v>
      </c>
      <c r="G1836" s="165" t="str">
        <f>VLOOKUP(TDays[[#This Row],[کد روز هفته]],TDaysOfTheWeek[],2,FALSE)</f>
        <v>دوشنبه</v>
      </c>
      <c r="H1836" s="165">
        <f>IFERROR(IF(E1835&lt;&gt;E1836,1,INT(H1835)+IF(TDays[[#This Row],[کد روز هفته]]=0,1,0)),1)</f>
        <v>2</v>
      </c>
      <c r="I1836" s="164">
        <f>-SUMIF(TArticle[تاریخ],TDays[[#This Row],[تاریخ]],TArticle[هزینه])</f>
        <v>0</v>
      </c>
      <c r="J1836" s="164">
        <f>SUMIF(TArticle[تاریخ],TDays[[#This Row],[تاریخ]],TArticle[درآمد تتا])</f>
        <v>0</v>
      </c>
      <c r="K1836" s="164">
        <f>SUMIF(TArticle[تاریخ],TDays[[#This Row],[تاریخ]],TArticle[اسنپ])</f>
        <v>0</v>
      </c>
      <c r="L1836" s="164">
        <f>-SUMIF(TArticle[تاریخ],TDays[[#This Row],[تاریخ]],TArticle[پرداخت بدهی])</f>
        <v>0</v>
      </c>
      <c r="M1836" s="164">
        <f>SUMIF(TArticle[تاریخ],TDays[[#This Row],[تاریخ]],TArticle[افزایش بدهی])</f>
        <v>0</v>
      </c>
      <c r="N1836" s="164">
        <f>-SUMIF(TArticle[تاریخ],TDays[[#This Row],[تاریخ]],TArticle[افزایش سرمایه])</f>
        <v>0</v>
      </c>
      <c r="O1836" s="164">
        <f>SUMIF(TArticle[تاریخ],TDays[[#This Row],[تاریخ]],TArticle[تعداد تراکنش انجام شده])</f>
        <v>0</v>
      </c>
      <c r="P1836" s="164">
        <f>INT(((TDays[[#This Row],[ماه]]-1)*31+TDays[[#This Row],[روز]]+1)/7)+1</f>
        <v>2</v>
      </c>
      <c r="Q1836" s="164">
        <f>SUMIF(TArticle[تاریخ],TDays[[#This Row],[تاریخ]],TArticle[تراکنش برنامه ریزی شده])</f>
        <v>0</v>
      </c>
    </row>
    <row r="1837" spans="1:17" x14ac:dyDescent="0.25">
      <c r="A1837" s="3" t="s">
        <v>2453</v>
      </c>
      <c r="B1837" s="164" t="str">
        <f>RIGHT(TDays[[#This Row],[تاریخ]],2)</f>
        <v>11</v>
      </c>
      <c r="C1837" s="164" t="str">
        <f>RIGHT(LEFT(TDays[[#This Row],[تاریخ]],7),2)</f>
        <v>01</v>
      </c>
      <c r="D1837" s="164" t="str">
        <f>LEFT(TDays[[#This Row],[تاریخ]],4)</f>
        <v>1406</v>
      </c>
      <c r="E1837" s="164" t="str">
        <f>LEFT(TDays[[#This Row],[تاریخ]],7)</f>
        <v>1406-01</v>
      </c>
      <c r="F1837">
        <v>3</v>
      </c>
      <c r="G1837" s="165" t="str">
        <f>VLOOKUP(TDays[[#This Row],[کد روز هفته]],TDaysOfTheWeek[],2,FALSE)</f>
        <v>سه شنبه</v>
      </c>
      <c r="H1837" s="165">
        <f>IFERROR(IF(E1836&lt;&gt;E1837,1,INT(H1836)+IF(TDays[[#This Row],[کد روز هفته]]=0,1,0)),1)</f>
        <v>2</v>
      </c>
      <c r="I1837" s="164">
        <f>-SUMIF(TArticle[تاریخ],TDays[[#This Row],[تاریخ]],TArticle[هزینه])</f>
        <v>0</v>
      </c>
      <c r="J1837" s="164">
        <f>SUMIF(TArticle[تاریخ],TDays[[#This Row],[تاریخ]],TArticle[درآمد تتا])</f>
        <v>0</v>
      </c>
      <c r="K1837" s="164">
        <f>SUMIF(TArticle[تاریخ],TDays[[#This Row],[تاریخ]],TArticle[اسنپ])</f>
        <v>0</v>
      </c>
      <c r="L1837" s="164">
        <f>-SUMIF(TArticle[تاریخ],TDays[[#This Row],[تاریخ]],TArticle[پرداخت بدهی])</f>
        <v>0</v>
      </c>
      <c r="M1837" s="164">
        <f>SUMIF(TArticle[تاریخ],TDays[[#This Row],[تاریخ]],TArticle[افزایش بدهی])</f>
        <v>0</v>
      </c>
      <c r="N1837" s="164">
        <f>-SUMIF(TArticle[تاریخ],TDays[[#This Row],[تاریخ]],TArticle[افزایش سرمایه])</f>
        <v>0</v>
      </c>
      <c r="O1837" s="164">
        <f>SUMIF(TArticle[تاریخ],TDays[[#This Row],[تاریخ]],TArticle[تعداد تراکنش انجام شده])</f>
        <v>0</v>
      </c>
      <c r="P1837" s="164">
        <f>INT(((TDays[[#This Row],[ماه]]-1)*31+TDays[[#This Row],[روز]]+1)/7)+1</f>
        <v>2</v>
      </c>
      <c r="Q1837" s="164">
        <f>SUMIF(TArticle[تاریخ],TDays[[#This Row],[تاریخ]],TArticle[تراکنش برنامه ریزی شده])</f>
        <v>0</v>
      </c>
    </row>
    <row r="1838" spans="1:17" x14ac:dyDescent="0.25">
      <c r="A1838" s="3" t="s">
        <v>2454</v>
      </c>
      <c r="B1838" s="164" t="str">
        <f>RIGHT(TDays[[#This Row],[تاریخ]],2)</f>
        <v>12</v>
      </c>
      <c r="C1838" s="164" t="str">
        <f>RIGHT(LEFT(TDays[[#This Row],[تاریخ]],7),2)</f>
        <v>01</v>
      </c>
      <c r="D1838" s="164" t="str">
        <f>LEFT(TDays[[#This Row],[تاریخ]],4)</f>
        <v>1406</v>
      </c>
      <c r="E1838" s="164" t="str">
        <f>LEFT(TDays[[#This Row],[تاریخ]],7)</f>
        <v>1406-01</v>
      </c>
      <c r="F1838">
        <v>4</v>
      </c>
      <c r="G1838" s="165" t="str">
        <f>VLOOKUP(TDays[[#This Row],[کد روز هفته]],TDaysOfTheWeek[],2,FALSE)</f>
        <v>چهارشنبه</v>
      </c>
      <c r="H1838" s="165">
        <f>IFERROR(IF(E1837&lt;&gt;E1838,1,INT(H1837)+IF(TDays[[#This Row],[کد روز هفته]]=0,1,0)),1)</f>
        <v>2</v>
      </c>
      <c r="I1838" s="164">
        <f>-SUMIF(TArticle[تاریخ],TDays[[#This Row],[تاریخ]],TArticle[هزینه])</f>
        <v>0</v>
      </c>
      <c r="J1838" s="164">
        <f>SUMIF(TArticle[تاریخ],TDays[[#This Row],[تاریخ]],TArticle[درآمد تتا])</f>
        <v>0</v>
      </c>
      <c r="K1838" s="164">
        <f>SUMIF(TArticle[تاریخ],TDays[[#This Row],[تاریخ]],TArticle[اسنپ])</f>
        <v>0</v>
      </c>
      <c r="L1838" s="164">
        <f>-SUMIF(TArticle[تاریخ],TDays[[#This Row],[تاریخ]],TArticle[پرداخت بدهی])</f>
        <v>0</v>
      </c>
      <c r="M1838" s="164">
        <f>SUMIF(TArticle[تاریخ],TDays[[#This Row],[تاریخ]],TArticle[افزایش بدهی])</f>
        <v>0</v>
      </c>
      <c r="N1838" s="164">
        <f>-SUMIF(TArticle[تاریخ],TDays[[#This Row],[تاریخ]],TArticle[افزایش سرمایه])</f>
        <v>0</v>
      </c>
      <c r="O1838" s="164">
        <f>SUMIF(TArticle[تاریخ],TDays[[#This Row],[تاریخ]],TArticle[تعداد تراکنش انجام شده])</f>
        <v>0</v>
      </c>
      <c r="P1838" s="164">
        <f>INT(((TDays[[#This Row],[ماه]]-1)*31+TDays[[#This Row],[روز]]+1)/7)+1</f>
        <v>2</v>
      </c>
      <c r="Q1838" s="164">
        <f>SUMIF(TArticle[تاریخ],TDays[[#This Row],[تاریخ]],TArticle[تراکنش برنامه ریزی شده])</f>
        <v>0</v>
      </c>
    </row>
    <row r="1839" spans="1:17" x14ac:dyDescent="0.25">
      <c r="A1839" s="3" t="s">
        <v>2455</v>
      </c>
      <c r="B1839" s="164" t="str">
        <f>RIGHT(TDays[[#This Row],[تاریخ]],2)</f>
        <v>13</v>
      </c>
      <c r="C1839" s="164" t="str">
        <f>RIGHT(LEFT(TDays[[#This Row],[تاریخ]],7),2)</f>
        <v>01</v>
      </c>
      <c r="D1839" s="164" t="str">
        <f>LEFT(TDays[[#This Row],[تاریخ]],4)</f>
        <v>1406</v>
      </c>
      <c r="E1839" s="164" t="str">
        <f>LEFT(TDays[[#This Row],[تاریخ]],7)</f>
        <v>1406-01</v>
      </c>
      <c r="F1839">
        <v>5</v>
      </c>
      <c r="G1839" s="165" t="str">
        <f>VLOOKUP(TDays[[#This Row],[کد روز هفته]],TDaysOfTheWeek[],2,FALSE)</f>
        <v>پنجشنبه</v>
      </c>
      <c r="H1839" s="165">
        <f>IFERROR(IF(E1838&lt;&gt;E1839,1,INT(H1838)+IF(TDays[[#This Row],[کد روز هفته]]=0,1,0)),1)</f>
        <v>2</v>
      </c>
      <c r="I1839" s="164">
        <f>-SUMIF(TArticle[تاریخ],TDays[[#This Row],[تاریخ]],TArticle[هزینه])</f>
        <v>0</v>
      </c>
      <c r="J1839" s="164">
        <f>SUMIF(TArticle[تاریخ],TDays[[#This Row],[تاریخ]],TArticle[درآمد تتا])</f>
        <v>0</v>
      </c>
      <c r="K1839" s="164">
        <f>SUMIF(TArticle[تاریخ],TDays[[#This Row],[تاریخ]],TArticle[اسنپ])</f>
        <v>0</v>
      </c>
      <c r="L1839" s="164">
        <f>-SUMIF(TArticle[تاریخ],TDays[[#This Row],[تاریخ]],TArticle[پرداخت بدهی])</f>
        <v>0</v>
      </c>
      <c r="M1839" s="164">
        <f>SUMIF(TArticle[تاریخ],TDays[[#This Row],[تاریخ]],TArticle[افزایش بدهی])</f>
        <v>0</v>
      </c>
      <c r="N1839" s="164">
        <f>-SUMIF(TArticle[تاریخ],TDays[[#This Row],[تاریخ]],TArticle[افزایش سرمایه])</f>
        <v>0</v>
      </c>
      <c r="O1839" s="164">
        <f>SUMIF(TArticle[تاریخ],TDays[[#This Row],[تاریخ]],TArticle[تعداد تراکنش انجام شده])</f>
        <v>0</v>
      </c>
      <c r="P1839" s="164">
        <f>INT(((TDays[[#This Row],[ماه]]-1)*31+TDays[[#This Row],[روز]]+1)/7)+1</f>
        <v>3</v>
      </c>
      <c r="Q1839" s="164">
        <f>SUMIF(TArticle[تاریخ],TDays[[#This Row],[تاریخ]],TArticle[تراکنش برنامه ریزی شده])</f>
        <v>0</v>
      </c>
    </row>
    <row r="1840" spans="1:17" x14ac:dyDescent="0.25">
      <c r="A1840" s="3" t="s">
        <v>2456</v>
      </c>
      <c r="B1840" s="164" t="str">
        <f>RIGHT(TDays[[#This Row],[تاریخ]],2)</f>
        <v>14</v>
      </c>
      <c r="C1840" s="164" t="str">
        <f>RIGHT(LEFT(TDays[[#This Row],[تاریخ]],7),2)</f>
        <v>01</v>
      </c>
      <c r="D1840" s="164" t="str">
        <f>LEFT(TDays[[#This Row],[تاریخ]],4)</f>
        <v>1406</v>
      </c>
      <c r="E1840" s="164" t="str">
        <f>LEFT(TDays[[#This Row],[تاریخ]],7)</f>
        <v>1406-01</v>
      </c>
      <c r="F1840">
        <v>6</v>
      </c>
      <c r="G1840" s="165" t="str">
        <f>VLOOKUP(TDays[[#This Row],[کد روز هفته]],TDaysOfTheWeek[],2,FALSE)</f>
        <v>جمعه</v>
      </c>
      <c r="H1840" s="165">
        <f>IFERROR(IF(E1839&lt;&gt;E1840,1,INT(H1839)+IF(TDays[[#This Row],[کد روز هفته]]=0,1,0)),1)</f>
        <v>2</v>
      </c>
      <c r="I1840" s="164">
        <f>-SUMIF(TArticle[تاریخ],TDays[[#This Row],[تاریخ]],TArticle[هزینه])</f>
        <v>0</v>
      </c>
      <c r="J1840" s="164">
        <f>SUMIF(TArticle[تاریخ],TDays[[#This Row],[تاریخ]],TArticle[درآمد تتا])</f>
        <v>0</v>
      </c>
      <c r="K1840" s="164">
        <f>SUMIF(TArticle[تاریخ],TDays[[#This Row],[تاریخ]],TArticle[اسنپ])</f>
        <v>0</v>
      </c>
      <c r="L1840" s="164">
        <f>-SUMIF(TArticle[تاریخ],TDays[[#This Row],[تاریخ]],TArticle[پرداخت بدهی])</f>
        <v>0</v>
      </c>
      <c r="M1840" s="164">
        <f>SUMIF(TArticle[تاریخ],TDays[[#This Row],[تاریخ]],TArticle[افزایش بدهی])</f>
        <v>0</v>
      </c>
      <c r="N1840" s="164">
        <f>-SUMIF(TArticle[تاریخ],TDays[[#This Row],[تاریخ]],TArticle[افزایش سرمایه])</f>
        <v>0</v>
      </c>
      <c r="O1840" s="164">
        <f>SUMIF(TArticle[تاریخ],TDays[[#This Row],[تاریخ]],TArticle[تعداد تراکنش انجام شده])</f>
        <v>0</v>
      </c>
      <c r="P1840" s="164">
        <f>INT(((TDays[[#This Row],[ماه]]-1)*31+TDays[[#This Row],[روز]]+1)/7)+1</f>
        <v>3</v>
      </c>
      <c r="Q1840" s="164">
        <f>SUMIF(TArticle[تاریخ],TDays[[#This Row],[تاریخ]],TArticle[تراکنش برنامه ریزی شده])</f>
        <v>0</v>
      </c>
    </row>
    <row r="1841" spans="1:17" x14ac:dyDescent="0.25">
      <c r="A1841" s="3" t="s">
        <v>2457</v>
      </c>
      <c r="B1841" s="164" t="str">
        <f>RIGHT(TDays[[#This Row],[تاریخ]],2)</f>
        <v>15</v>
      </c>
      <c r="C1841" s="164" t="str">
        <f>RIGHT(LEFT(TDays[[#This Row],[تاریخ]],7),2)</f>
        <v>01</v>
      </c>
      <c r="D1841" s="164" t="str">
        <f>LEFT(TDays[[#This Row],[تاریخ]],4)</f>
        <v>1406</v>
      </c>
      <c r="E1841" s="164" t="str">
        <f>LEFT(TDays[[#This Row],[تاریخ]],7)</f>
        <v>1406-01</v>
      </c>
      <c r="F1841">
        <v>0</v>
      </c>
      <c r="G1841" s="165" t="str">
        <f>VLOOKUP(TDays[[#This Row],[کد روز هفته]],TDaysOfTheWeek[],2,FALSE)</f>
        <v>شنبه</v>
      </c>
      <c r="H1841" s="165">
        <f>IFERROR(IF(E1840&lt;&gt;E1841,1,INT(H1840)+IF(TDays[[#This Row],[کد روز هفته]]=0,1,0)),1)</f>
        <v>3</v>
      </c>
      <c r="I1841" s="164">
        <f>-SUMIF(TArticle[تاریخ],TDays[[#This Row],[تاریخ]],TArticle[هزینه])</f>
        <v>0</v>
      </c>
      <c r="J1841" s="164">
        <f>SUMIF(TArticle[تاریخ],TDays[[#This Row],[تاریخ]],TArticle[درآمد تتا])</f>
        <v>0</v>
      </c>
      <c r="K1841" s="164">
        <f>SUMIF(TArticle[تاریخ],TDays[[#This Row],[تاریخ]],TArticle[اسنپ])</f>
        <v>0</v>
      </c>
      <c r="L1841" s="164">
        <f>-SUMIF(TArticle[تاریخ],TDays[[#This Row],[تاریخ]],TArticle[پرداخت بدهی])</f>
        <v>0</v>
      </c>
      <c r="M1841" s="164">
        <f>SUMIF(TArticle[تاریخ],TDays[[#This Row],[تاریخ]],TArticle[افزایش بدهی])</f>
        <v>0</v>
      </c>
      <c r="N1841" s="164">
        <f>-SUMIF(TArticle[تاریخ],TDays[[#This Row],[تاریخ]],TArticle[افزایش سرمایه])</f>
        <v>0</v>
      </c>
      <c r="O1841" s="164">
        <f>SUMIF(TArticle[تاریخ],TDays[[#This Row],[تاریخ]],TArticle[تعداد تراکنش انجام شده])</f>
        <v>0</v>
      </c>
      <c r="P1841" s="164">
        <f>INT(((TDays[[#This Row],[ماه]]-1)*31+TDays[[#This Row],[روز]]+1)/7)+1</f>
        <v>3</v>
      </c>
      <c r="Q1841" s="164">
        <f>SUMIF(TArticle[تاریخ],TDays[[#This Row],[تاریخ]],TArticle[تراکنش برنامه ریزی شده])</f>
        <v>0</v>
      </c>
    </row>
    <row r="1842" spans="1:17" x14ac:dyDescent="0.25">
      <c r="A1842" s="3" t="s">
        <v>2458</v>
      </c>
      <c r="B1842" s="164" t="str">
        <f>RIGHT(TDays[[#This Row],[تاریخ]],2)</f>
        <v>16</v>
      </c>
      <c r="C1842" s="164" t="str">
        <f>RIGHT(LEFT(TDays[[#This Row],[تاریخ]],7),2)</f>
        <v>01</v>
      </c>
      <c r="D1842" s="164" t="str">
        <f>LEFT(TDays[[#This Row],[تاریخ]],4)</f>
        <v>1406</v>
      </c>
      <c r="E1842" s="164" t="str">
        <f>LEFT(TDays[[#This Row],[تاریخ]],7)</f>
        <v>1406-01</v>
      </c>
      <c r="F1842">
        <v>1</v>
      </c>
      <c r="G1842" s="165" t="str">
        <f>VLOOKUP(TDays[[#This Row],[کد روز هفته]],TDaysOfTheWeek[],2,FALSE)</f>
        <v>یکشنبه</v>
      </c>
      <c r="H1842" s="165">
        <f>IFERROR(IF(E1841&lt;&gt;E1842,1,INT(H1841)+IF(TDays[[#This Row],[کد روز هفته]]=0,1,0)),1)</f>
        <v>3</v>
      </c>
      <c r="I1842" s="164">
        <f>-SUMIF(TArticle[تاریخ],TDays[[#This Row],[تاریخ]],TArticle[هزینه])</f>
        <v>0</v>
      </c>
      <c r="J1842" s="164">
        <f>SUMIF(TArticle[تاریخ],TDays[[#This Row],[تاریخ]],TArticle[درآمد تتا])</f>
        <v>0</v>
      </c>
      <c r="K1842" s="164">
        <f>SUMIF(TArticle[تاریخ],TDays[[#This Row],[تاریخ]],TArticle[اسنپ])</f>
        <v>0</v>
      </c>
      <c r="L1842" s="164">
        <f>-SUMIF(TArticle[تاریخ],TDays[[#This Row],[تاریخ]],TArticle[پرداخت بدهی])</f>
        <v>0</v>
      </c>
      <c r="M1842" s="164">
        <f>SUMIF(TArticle[تاریخ],TDays[[#This Row],[تاریخ]],TArticle[افزایش بدهی])</f>
        <v>0</v>
      </c>
      <c r="N1842" s="164">
        <f>-SUMIF(TArticle[تاریخ],TDays[[#This Row],[تاریخ]],TArticle[افزایش سرمایه])</f>
        <v>0</v>
      </c>
      <c r="O1842" s="164">
        <f>SUMIF(TArticle[تاریخ],TDays[[#This Row],[تاریخ]],TArticle[تعداد تراکنش انجام شده])</f>
        <v>0</v>
      </c>
      <c r="P1842" s="164">
        <f>INT(((TDays[[#This Row],[ماه]]-1)*31+TDays[[#This Row],[روز]]+1)/7)+1</f>
        <v>3</v>
      </c>
      <c r="Q1842" s="164">
        <f>SUMIF(TArticle[تاریخ],TDays[[#This Row],[تاریخ]],TArticle[تراکنش برنامه ریزی شده])</f>
        <v>0</v>
      </c>
    </row>
    <row r="1843" spans="1:17" x14ac:dyDescent="0.25">
      <c r="A1843" s="3" t="s">
        <v>2459</v>
      </c>
      <c r="B1843" s="164" t="str">
        <f>RIGHT(TDays[[#This Row],[تاریخ]],2)</f>
        <v>17</v>
      </c>
      <c r="C1843" s="164" t="str">
        <f>RIGHT(LEFT(TDays[[#This Row],[تاریخ]],7),2)</f>
        <v>01</v>
      </c>
      <c r="D1843" s="164" t="str">
        <f>LEFT(TDays[[#This Row],[تاریخ]],4)</f>
        <v>1406</v>
      </c>
      <c r="E1843" s="164" t="str">
        <f>LEFT(TDays[[#This Row],[تاریخ]],7)</f>
        <v>1406-01</v>
      </c>
      <c r="F1843">
        <v>2</v>
      </c>
      <c r="G1843" s="165" t="str">
        <f>VLOOKUP(TDays[[#This Row],[کد روز هفته]],TDaysOfTheWeek[],2,FALSE)</f>
        <v>دوشنبه</v>
      </c>
      <c r="H1843" s="165">
        <f>IFERROR(IF(E1842&lt;&gt;E1843,1,INT(H1842)+IF(TDays[[#This Row],[کد روز هفته]]=0,1,0)),1)</f>
        <v>3</v>
      </c>
      <c r="I1843" s="164">
        <f>-SUMIF(TArticle[تاریخ],TDays[[#This Row],[تاریخ]],TArticle[هزینه])</f>
        <v>0</v>
      </c>
      <c r="J1843" s="164">
        <f>SUMIF(TArticle[تاریخ],TDays[[#This Row],[تاریخ]],TArticle[درآمد تتا])</f>
        <v>0</v>
      </c>
      <c r="K1843" s="164">
        <f>SUMIF(TArticle[تاریخ],TDays[[#This Row],[تاریخ]],TArticle[اسنپ])</f>
        <v>0</v>
      </c>
      <c r="L1843" s="164">
        <f>-SUMIF(TArticle[تاریخ],TDays[[#This Row],[تاریخ]],TArticle[پرداخت بدهی])</f>
        <v>0</v>
      </c>
      <c r="M1843" s="164">
        <f>SUMIF(TArticle[تاریخ],TDays[[#This Row],[تاریخ]],TArticle[افزایش بدهی])</f>
        <v>0</v>
      </c>
      <c r="N1843" s="164">
        <f>-SUMIF(TArticle[تاریخ],TDays[[#This Row],[تاریخ]],TArticle[افزایش سرمایه])</f>
        <v>0</v>
      </c>
      <c r="O1843" s="164">
        <f>SUMIF(TArticle[تاریخ],TDays[[#This Row],[تاریخ]],TArticle[تعداد تراکنش انجام شده])</f>
        <v>0</v>
      </c>
      <c r="P1843" s="164">
        <f>INT(((TDays[[#This Row],[ماه]]-1)*31+TDays[[#This Row],[روز]]+1)/7)+1</f>
        <v>3</v>
      </c>
      <c r="Q1843" s="164">
        <f>SUMIF(TArticle[تاریخ],TDays[[#This Row],[تاریخ]],TArticle[تراکنش برنامه ریزی شده])</f>
        <v>0</v>
      </c>
    </row>
    <row r="1844" spans="1:17" x14ac:dyDescent="0.25">
      <c r="A1844" s="3" t="s">
        <v>2460</v>
      </c>
      <c r="B1844" s="164" t="str">
        <f>RIGHT(TDays[[#This Row],[تاریخ]],2)</f>
        <v>18</v>
      </c>
      <c r="C1844" s="164" t="str">
        <f>RIGHT(LEFT(TDays[[#This Row],[تاریخ]],7),2)</f>
        <v>01</v>
      </c>
      <c r="D1844" s="164" t="str">
        <f>LEFT(TDays[[#This Row],[تاریخ]],4)</f>
        <v>1406</v>
      </c>
      <c r="E1844" s="164" t="str">
        <f>LEFT(TDays[[#This Row],[تاریخ]],7)</f>
        <v>1406-01</v>
      </c>
      <c r="F1844">
        <v>3</v>
      </c>
      <c r="G1844" s="165" t="str">
        <f>VLOOKUP(TDays[[#This Row],[کد روز هفته]],TDaysOfTheWeek[],2,FALSE)</f>
        <v>سه شنبه</v>
      </c>
      <c r="H1844" s="165">
        <f>IFERROR(IF(E1843&lt;&gt;E1844,1,INT(H1843)+IF(TDays[[#This Row],[کد روز هفته]]=0,1,0)),1)</f>
        <v>3</v>
      </c>
      <c r="I1844" s="164">
        <f>-SUMIF(TArticle[تاریخ],TDays[[#This Row],[تاریخ]],TArticle[هزینه])</f>
        <v>0</v>
      </c>
      <c r="J1844" s="164">
        <f>SUMIF(TArticle[تاریخ],TDays[[#This Row],[تاریخ]],TArticle[درآمد تتا])</f>
        <v>0</v>
      </c>
      <c r="K1844" s="164">
        <f>SUMIF(TArticle[تاریخ],TDays[[#This Row],[تاریخ]],TArticle[اسنپ])</f>
        <v>0</v>
      </c>
      <c r="L1844" s="164">
        <f>-SUMIF(TArticle[تاریخ],TDays[[#This Row],[تاریخ]],TArticle[پرداخت بدهی])</f>
        <v>0</v>
      </c>
      <c r="M1844" s="164">
        <f>SUMIF(TArticle[تاریخ],TDays[[#This Row],[تاریخ]],TArticle[افزایش بدهی])</f>
        <v>0</v>
      </c>
      <c r="N1844" s="164">
        <f>-SUMIF(TArticle[تاریخ],TDays[[#This Row],[تاریخ]],TArticle[افزایش سرمایه])</f>
        <v>0</v>
      </c>
      <c r="O1844" s="164">
        <f>SUMIF(TArticle[تاریخ],TDays[[#This Row],[تاریخ]],TArticle[تعداد تراکنش انجام شده])</f>
        <v>0</v>
      </c>
      <c r="P1844" s="164">
        <f>INT(((TDays[[#This Row],[ماه]]-1)*31+TDays[[#This Row],[روز]]+1)/7)+1</f>
        <v>3</v>
      </c>
      <c r="Q1844" s="164">
        <f>SUMIF(TArticle[تاریخ],TDays[[#This Row],[تاریخ]],TArticle[تراکنش برنامه ریزی شده])</f>
        <v>0</v>
      </c>
    </row>
    <row r="1845" spans="1:17" x14ac:dyDescent="0.25">
      <c r="A1845" s="3" t="s">
        <v>2461</v>
      </c>
      <c r="B1845" s="164" t="str">
        <f>RIGHT(TDays[[#This Row],[تاریخ]],2)</f>
        <v>19</v>
      </c>
      <c r="C1845" s="164" t="str">
        <f>RIGHT(LEFT(TDays[[#This Row],[تاریخ]],7),2)</f>
        <v>01</v>
      </c>
      <c r="D1845" s="164" t="str">
        <f>LEFT(TDays[[#This Row],[تاریخ]],4)</f>
        <v>1406</v>
      </c>
      <c r="E1845" s="164" t="str">
        <f>LEFT(TDays[[#This Row],[تاریخ]],7)</f>
        <v>1406-01</v>
      </c>
      <c r="F1845">
        <v>4</v>
      </c>
      <c r="G1845" s="165" t="str">
        <f>VLOOKUP(TDays[[#This Row],[کد روز هفته]],TDaysOfTheWeek[],2,FALSE)</f>
        <v>چهارشنبه</v>
      </c>
      <c r="H1845" s="165">
        <f>IFERROR(IF(E1844&lt;&gt;E1845,1,INT(H1844)+IF(TDays[[#This Row],[کد روز هفته]]=0,1,0)),1)</f>
        <v>3</v>
      </c>
      <c r="I1845" s="164">
        <f>-SUMIF(TArticle[تاریخ],TDays[[#This Row],[تاریخ]],TArticle[هزینه])</f>
        <v>0</v>
      </c>
      <c r="J1845" s="164">
        <f>SUMIF(TArticle[تاریخ],TDays[[#This Row],[تاریخ]],TArticle[درآمد تتا])</f>
        <v>0</v>
      </c>
      <c r="K1845" s="164">
        <f>SUMIF(TArticle[تاریخ],TDays[[#This Row],[تاریخ]],TArticle[اسنپ])</f>
        <v>0</v>
      </c>
      <c r="L1845" s="164">
        <f>-SUMIF(TArticle[تاریخ],TDays[[#This Row],[تاریخ]],TArticle[پرداخت بدهی])</f>
        <v>0</v>
      </c>
      <c r="M1845" s="164">
        <f>SUMIF(TArticle[تاریخ],TDays[[#This Row],[تاریخ]],TArticle[افزایش بدهی])</f>
        <v>0</v>
      </c>
      <c r="N1845" s="164">
        <f>-SUMIF(TArticle[تاریخ],TDays[[#This Row],[تاریخ]],TArticle[افزایش سرمایه])</f>
        <v>0</v>
      </c>
      <c r="O1845" s="164">
        <f>SUMIF(TArticle[تاریخ],TDays[[#This Row],[تاریخ]],TArticle[تعداد تراکنش انجام شده])</f>
        <v>0</v>
      </c>
      <c r="P1845" s="164">
        <f>INT(((TDays[[#This Row],[ماه]]-1)*31+TDays[[#This Row],[روز]]+1)/7)+1</f>
        <v>3</v>
      </c>
      <c r="Q1845" s="164">
        <f>SUMIF(TArticle[تاریخ],TDays[[#This Row],[تاریخ]],TArticle[تراکنش برنامه ریزی شده])</f>
        <v>0</v>
      </c>
    </row>
    <row r="1846" spans="1:17" x14ac:dyDescent="0.25">
      <c r="A1846" s="3" t="s">
        <v>2462</v>
      </c>
      <c r="B1846" s="164" t="str">
        <f>RIGHT(TDays[[#This Row],[تاریخ]],2)</f>
        <v>20</v>
      </c>
      <c r="C1846" s="164" t="str">
        <f>RIGHT(LEFT(TDays[[#This Row],[تاریخ]],7),2)</f>
        <v>01</v>
      </c>
      <c r="D1846" s="164" t="str">
        <f>LEFT(TDays[[#This Row],[تاریخ]],4)</f>
        <v>1406</v>
      </c>
      <c r="E1846" s="164" t="str">
        <f>LEFT(TDays[[#This Row],[تاریخ]],7)</f>
        <v>1406-01</v>
      </c>
      <c r="F1846">
        <v>5</v>
      </c>
      <c r="G1846" s="165" t="str">
        <f>VLOOKUP(TDays[[#This Row],[کد روز هفته]],TDaysOfTheWeek[],2,FALSE)</f>
        <v>پنجشنبه</v>
      </c>
      <c r="H1846" s="165">
        <f>IFERROR(IF(E1845&lt;&gt;E1846,1,INT(H1845)+IF(TDays[[#This Row],[کد روز هفته]]=0,1,0)),1)</f>
        <v>3</v>
      </c>
      <c r="I1846" s="164">
        <f>-SUMIF(TArticle[تاریخ],TDays[[#This Row],[تاریخ]],TArticle[هزینه])</f>
        <v>0</v>
      </c>
      <c r="J1846" s="164">
        <f>SUMIF(TArticle[تاریخ],TDays[[#This Row],[تاریخ]],TArticle[درآمد تتا])</f>
        <v>0</v>
      </c>
      <c r="K1846" s="164">
        <f>SUMIF(TArticle[تاریخ],TDays[[#This Row],[تاریخ]],TArticle[اسنپ])</f>
        <v>0</v>
      </c>
      <c r="L1846" s="164">
        <f>-SUMIF(TArticle[تاریخ],TDays[[#This Row],[تاریخ]],TArticle[پرداخت بدهی])</f>
        <v>0</v>
      </c>
      <c r="M1846" s="164">
        <f>SUMIF(TArticle[تاریخ],TDays[[#This Row],[تاریخ]],TArticle[افزایش بدهی])</f>
        <v>0</v>
      </c>
      <c r="N1846" s="164">
        <f>-SUMIF(TArticle[تاریخ],TDays[[#This Row],[تاریخ]],TArticle[افزایش سرمایه])</f>
        <v>0</v>
      </c>
      <c r="O1846" s="164">
        <f>SUMIF(TArticle[تاریخ],TDays[[#This Row],[تاریخ]],TArticle[تعداد تراکنش انجام شده])</f>
        <v>0</v>
      </c>
      <c r="P1846" s="164">
        <f>INT(((TDays[[#This Row],[ماه]]-1)*31+TDays[[#This Row],[روز]]+1)/7)+1</f>
        <v>4</v>
      </c>
      <c r="Q1846" s="164">
        <f>SUMIF(TArticle[تاریخ],TDays[[#This Row],[تاریخ]],TArticle[تراکنش برنامه ریزی شده])</f>
        <v>0</v>
      </c>
    </row>
    <row r="1847" spans="1:17" x14ac:dyDescent="0.25">
      <c r="A1847" s="3" t="s">
        <v>2463</v>
      </c>
      <c r="B1847" s="164" t="str">
        <f>RIGHT(TDays[[#This Row],[تاریخ]],2)</f>
        <v>21</v>
      </c>
      <c r="C1847" s="164" t="str">
        <f>RIGHT(LEFT(TDays[[#This Row],[تاریخ]],7),2)</f>
        <v>01</v>
      </c>
      <c r="D1847" s="164" t="str">
        <f>LEFT(TDays[[#This Row],[تاریخ]],4)</f>
        <v>1406</v>
      </c>
      <c r="E1847" s="164" t="str">
        <f>LEFT(TDays[[#This Row],[تاریخ]],7)</f>
        <v>1406-01</v>
      </c>
      <c r="F1847">
        <v>6</v>
      </c>
      <c r="G1847" s="165" t="str">
        <f>VLOOKUP(TDays[[#This Row],[کد روز هفته]],TDaysOfTheWeek[],2,FALSE)</f>
        <v>جمعه</v>
      </c>
      <c r="H1847" s="165">
        <f>IFERROR(IF(E1846&lt;&gt;E1847,1,INT(H1846)+IF(TDays[[#This Row],[کد روز هفته]]=0,1,0)),1)</f>
        <v>3</v>
      </c>
      <c r="I1847" s="164">
        <f>-SUMIF(TArticle[تاریخ],TDays[[#This Row],[تاریخ]],TArticle[هزینه])</f>
        <v>0</v>
      </c>
      <c r="J1847" s="164">
        <f>SUMIF(TArticle[تاریخ],TDays[[#This Row],[تاریخ]],TArticle[درآمد تتا])</f>
        <v>0</v>
      </c>
      <c r="K1847" s="164">
        <f>SUMIF(TArticle[تاریخ],TDays[[#This Row],[تاریخ]],TArticle[اسنپ])</f>
        <v>0</v>
      </c>
      <c r="L1847" s="164">
        <f>-SUMIF(TArticle[تاریخ],TDays[[#This Row],[تاریخ]],TArticle[پرداخت بدهی])</f>
        <v>0</v>
      </c>
      <c r="M1847" s="164">
        <f>SUMIF(TArticle[تاریخ],TDays[[#This Row],[تاریخ]],TArticle[افزایش بدهی])</f>
        <v>0</v>
      </c>
      <c r="N1847" s="164">
        <f>-SUMIF(TArticle[تاریخ],TDays[[#This Row],[تاریخ]],TArticle[افزایش سرمایه])</f>
        <v>0</v>
      </c>
      <c r="O1847" s="164">
        <f>SUMIF(TArticle[تاریخ],TDays[[#This Row],[تاریخ]],TArticle[تعداد تراکنش انجام شده])</f>
        <v>0</v>
      </c>
      <c r="P1847" s="164">
        <f>INT(((TDays[[#This Row],[ماه]]-1)*31+TDays[[#This Row],[روز]]+1)/7)+1</f>
        <v>4</v>
      </c>
      <c r="Q1847" s="164">
        <f>SUMIF(TArticle[تاریخ],TDays[[#This Row],[تاریخ]],TArticle[تراکنش برنامه ریزی شده])</f>
        <v>0</v>
      </c>
    </row>
    <row r="1848" spans="1:17" x14ac:dyDescent="0.25">
      <c r="A1848" s="3" t="s">
        <v>2464</v>
      </c>
      <c r="B1848" s="164" t="str">
        <f>RIGHT(TDays[[#This Row],[تاریخ]],2)</f>
        <v>22</v>
      </c>
      <c r="C1848" s="164" t="str">
        <f>RIGHT(LEFT(TDays[[#This Row],[تاریخ]],7),2)</f>
        <v>01</v>
      </c>
      <c r="D1848" s="164" t="str">
        <f>LEFT(TDays[[#This Row],[تاریخ]],4)</f>
        <v>1406</v>
      </c>
      <c r="E1848" s="164" t="str">
        <f>LEFT(TDays[[#This Row],[تاریخ]],7)</f>
        <v>1406-01</v>
      </c>
      <c r="F1848">
        <v>0</v>
      </c>
      <c r="G1848" s="165" t="str">
        <f>VLOOKUP(TDays[[#This Row],[کد روز هفته]],TDaysOfTheWeek[],2,FALSE)</f>
        <v>شنبه</v>
      </c>
      <c r="H1848" s="165">
        <f>IFERROR(IF(E1847&lt;&gt;E1848,1,INT(H1847)+IF(TDays[[#This Row],[کد روز هفته]]=0,1,0)),1)</f>
        <v>4</v>
      </c>
      <c r="I1848" s="164">
        <f>-SUMIF(TArticle[تاریخ],TDays[[#This Row],[تاریخ]],TArticle[هزینه])</f>
        <v>0</v>
      </c>
      <c r="J1848" s="164">
        <f>SUMIF(TArticle[تاریخ],TDays[[#This Row],[تاریخ]],TArticle[درآمد تتا])</f>
        <v>0</v>
      </c>
      <c r="K1848" s="164">
        <f>SUMIF(TArticle[تاریخ],TDays[[#This Row],[تاریخ]],TArticle[اسنپ])</f>
        <v>0</v>
      </c>
      <c r="L1848" s="164">
        <f>-SUMIF(TArticle[تاریخ],TDays[[#This Row],[تاریخ]],TArticle[پرداخت بدهی])</f>
        <v>0</v>
      </c>
      <c r="M1848" s="164">
        <f>SUMIF(TArticle[تاریخ],TDays[[#This Row],[تاریخ]],TArticle[افزایش بدهی])</f>
        <v>0</v>
      </c>
      <c r="N1848" s="164">
        <f>-SUMIF(TArticle[تاریخ],TDays[[#This Row],[تاریخ]],TArticle[افزایش سرمایه])</f>
        <v>0</v>
      </c>
      <c r="O1848" s="164">
        <f>SUMIF(TArticle[تاریخ],TDays[[#This Row],[تاریخ]],TArticle[تعداد تراکنش انجام شده])</f>
        <v>0</v>
      </c>
      <c r="P1848" s="164">
        <f>INT(((TDays[[#This Row],[ماه]]-1)*31+TDays[[#This Row],[روز]]+1)/7)+1</f>
        <v>4</v>
      </c>
      <c r="Q1848" s="164">
        <f>SUMIF(TArticle[تاریخ],TDays[[#This Row],[تاریخ]],TArticle[تراکنش برنامه ریزی شده])</f>
        <v>0</v>
      </c>
    </row>
    <row r="1849" spans="1:17" x14ac:dyDescent="0.25">
      <c r="A1849" s="3" t="s">
        <v>2465</v>
      </c>
      <c r="B1849" s="164" t="str">
        <f>RIGHT(TDays[[#This Row],[تاریخ]],2)</f>
        <v>23</v>
      </c>
      <c r="C1849" s="164" t="str">
        <f>RIGHT(LEFT(TDays[[#This Row],[تاریخ]],7),2)</f>
        <v>01</v>
      </c>
      <c r="D1849" s="164" t="str">
        <f>LEFT(TDays[[#This Row],[تاریخ]],4)</f>
        <v>1406</v>
      </c>
      <c r="E1849" s="164" t="str">
        <f>LEFT(TDays[[#This Row],[تاریخ]],7)</f>
        <v>1406-01</v>
      </c>
      <c r="F1849">
        <v>1</v>
      </c>
      <c r="G1849" s="165" t="str">
        <f>VLOOKUP(TDays[[#This Row],[کد روز هفته]],TDaysOfTheWeek[],2,FALSE)</f>
        <v>یکشنبه</v>
      </c>
      <c r="H1849" s="165">
        <f>IFERROR(IF(E1848&lt;&gt;E1849,1,INT(H1848)+IF(TDays[[#This Row],[کد روز هفته]]=0,1,0)),1)</f>
        <v>4</v>
      </c>
      <c r="I1849" s="164">
        <f>-SUMIF(TArticle[تاریخ],TDays[[#This Row],[تاریخ]],TArticle[هزینه])</f>
        <v>0</v>
      </c>
      <c r="J1849" s="164">
        <f>SUMIF(TArticle[تاریخ],TDays[[#This Row],[تاریخ]],TArticle[درآمد تتا])</f>
        <v>0</v>
      </c>
      <c r="K1849" s="164">
        <f>SUMIF(TArticle[تاریخ],TDays[[#This Row],[تاریخ]],TArticle[اسنپ])</f>
        <v>0</v>
      </c>
      <c r="L1849" s="164">
        <f>-SUMIF(TArticle[تاریخ],TDays[[#This Row],[تاریخ]],TArticle[پرداخت بدهی])</f>
        <v>0</v>
      </c>
      <c r="M1849" s="164">
        <f>SUMIF(TArticle[تاریخ],TDays[[#This Row],[تاریخ]],TArticle[افزایش بدهی])</f>
        <v>0</v>
      </c>
      <c r="N1849" s="164">
        <f>-SUMIF(TArticle[تاریخ],TDays[[#This Row],[تاریخ]],TArticle[افزایش سرمایه])</f>
        <v>0</v>
      </c>
      <c r="O1849" s="164">
        <f>SUMIF(TArticle[تاریخ],TDays[[#This Row],[تاریخ]],TArticle[تعداد تراکنش انجام شده])</f>
        <v>0</v>
      </c>
      <c r="P1849" s="164">
        <f>INT(((TDays[[#This Row],[ماه]]-1)*31+TDays[[#This Row],[روز]]+1)/7)+1</f>
        <v>4</v>
      </c>
      <c r="Q1849" s="164">
        <f>SUMIF(TArticle[تاریخ],TDays[[#This Row],[تاریخ]],TArticle[تراکنش برنامه ریزی شده])</f>
        <v>0</v>
      </c>
    </row>
    <row r="1850" spans="1:17" x14ac:dyDescent="0.25">
      <c r="A1850" s="3" t="s">
        <v>2466</v>
      </c>
      <c r="B1850" s="164" t="str">
        <f>RIGHT(TDays[[#This Row],[تاریخ]],2)</f>
        <v>24</v>
      </c>
      <c r="C1850" s="164" t="str">
        <f>RIGHT(LEFT(TDays[[#This Row],[تاریخ]],7),2)</f>
        <v>01</v>
      </c>
      <c r="D1850" s="164" t="str">
        <f>LEFT(TDays[[#This Row],[تاریخ]],4)</f>
        <v>1406</v>
      </c>
      <c r="E1850" s="164" t="str">
        <f>LEFT(TDays[[#This Row],[تاریخ]],7)</f>
        <v>1406-01</v>
      </c>
      <c r="F1850">
        <v>2</v>
      </c>
      <c r="G1850" s="165" t="str">
        <f>VLOOKUP(TDays[[#This Row],[کد روز هفته]],TDaysOfTheWeek[],2,FALSE)</f>
        <v>دوشنبه</v>
      </c>
      <c r="H1850" s="165">
        <f>IFERROR(IF(E1849&lt;&gt;E1850,1,INT(H1849)+IF(TDays[[#This Row],[کد روز هفته]]=0,1,0)),1)</f>
        <v>4</v>
      </c>
      <c r="I1850" s="164">
        <f>-SUMIF(TArticle[تاریخ],TDays[[#This Row],[تاریخ]],TArticle[هزینه])</f>
        <v>0</v>
      </c>
      <c r="J1850" s="164">
        <f>SUMIF(TArticle[تاریخ],TDays[[#This Row],[تاریخ]],TArticle[درآمد تتا])</f>
        <v>0</v>
      </c>
      <c r="K1850" s="164">
        <f>SUMIF(TArticle[تاریخ],TDays[[#This Row],[تاریخ]],TArticle[اسنپ])</f>
        <v>0</v>
      </c>
      <c r="L1850" s="164">
        <f>-SUMIF(TArticle[تاریخ],TDays[[#This Row],[تاریخ]],TArticle[پرداخت بدهی])</f>
        <v>0</v>
      </c>
      <c r="M1850" s="164">
        <f>SUMIF(TArticle[تاریخ],TDays[[#This Row],[تاریخ]],TArticle[افزایش بدهی])</f>
        <v>0</v>
      </c>
      <c r="N1850" s="164">
        <f>-SUMIF(TArticle[تاریخ],TDays[[#This Row],[تاریخ]],TArticle[افزایش سرمایه])</f>
        <v>0</v>
      </c>
      <c r="O1850" s="164">
        <f>SUMIF(TArticle[تاریخ],TDays[[#This Row],[تاریخ]],TArticle[تعداد تراکنش انجام شده])</f>
        <v>0</v>
      </c>
      <c r="P1850" s="164">
        <f>INT(((TDays[[#This Row],[ماه]]-1)*31+TDays[[#This Row],[روز]]+1)/7)+1</f>
        <v>4</v>
      </c>
      <c r="Q1850" s="164">
        <f>SUMIF(TArticle[تاریخ],TDays[[#This Row],[تاریخ]],TArticle[تراکنش برنامه ریزی شده])</f>
        <v>0</v>
      </c>
    </row>
    <row r="1851" spans="1:17" x14ac:dyDescent="0.25">
      <c r="A1851" s="3" t="s">
        <v>2467</v>
      </c>
      <c r="B1851" s="164" t="str">
        <f>RIGHT(TDays[[#This Row],[تاریخ]],2)</f>
        <v>25</v>
      </c>
      <c r="C1851" s="164" t="str">
        <f>RIGHT(LEFT(TDays[[#This Row],[تاریخ]],7),2)</f>
        <v>01</v>
      </c>
      <c r="D1851" s="164" t="str">
        <f>LEFT(TDays[[#This Row],[تاریخ]],4)</f>
        <v>1406</v>
      </c>
      <c r="E1851" s="164" t="str">
        <f>LEFT(TDays[[#This Row],[تاریخ]],7)</f>
        <v>1406-01</v>
      </c>
      <c r="F1851" s="164">
        <v>3</v>
      </c>
      <c r="G1851" s="165" t="str">
        <f>VLOOKUP(TDays[[#This Row],[کد روز هفته]],TDaysOfTheWeek[],2,FALSE)</f>
        <v>سه شنبه</v>
      </c>
      <c r="H1851" s="165">
        <f>IFERROR(IF(E1850&lt;&gt;E1851,1,INT(H1850)+IF(TDays[[#This Row],[کد روز هفته]]=0,1,0)),1)</f>
        <v>4</v>
      </c>
      <c r="I1851" s="164">
        <f>-SUMIF(TArticle[تاریخ],TDays[[#This Row],[تاریخ]],TArticle[هزینه])</f>
        <v>0</v>
      </c>
      <c r="J1851" s="164">
        <f>SUMIF(TArticle[تاریخ],TDays[[#This Row],[تاریخ]],TArticle[درآمد تتا])</f>
        <v>0</v>
      </c>
      <c r="K1851" s="164">
        <f>SUMIF(TArticle[تاریخ],TDays[[#This Row],[تاریخ]],TArticle[اسنپ])</f>
        <v>0</v>
      </c>
      <c r="L1851" s="164">
        <f>-SUMIF(TArticle[تاریخ],TDays[[#This Row],[تاریخ]],TArticle[پرداخت بدهی])</f>
        <v>0</v>
      </c>
      <c r="M1851" s="164">
        <f>SUMIF(TArticle[تاریخ],TDays[[#This Row],[تاریخ]],TArticle[افزایش بدهی])</f>
        <v>0</v>
      </c>
      <c r="N1851" s="164">
        <f>-SUMIF(TArticle[تاریخ],TDays[[#This Row],[تاریخ]],TArticle[افزایش سرمایه])</f>
        <v>0</v>
      </c>
      <c r="O1851" s="164">
        <f>SUMIF(TArticle[تاریخ],TDays[[#This Row],[تاریخ]],TArticle[تعداد تراکنش انجام شده])</f>
        <v>0</v>
      </c>
      <c r="P1851" s="164">
        <f>INT(((TDays[[#This Row],[ماه]]-1)*31+TDays[[#This Row],[روز]]+1)/7)+1</f>
        <v>4</v>
      </c>
      <c r="Q1851" s="164">
        <f>SUMIF(TArticle[تاریخ],TDays[[#This Row],[تاریخ]],TArticle[تراکنش برنامه ریزی شده])</f>
        <v>0</v>
      </c>
    </row>
    <row r="1852" spans="1:17" x14ac:dyDescent="0.25">
      <c r="A1852" s="3" t="s">
        <v>2468</v>
      </c>
      <c r="B1852" s="164" t="str">
        <f>RIGHT(TDays[[#This Row],[تاریخ]],2)</f>
        <v>26</v>
      </c>
      <c r="C1852" s="164" t="str">
        <f>RIGHT(LEFT(TDays[[#This Row],[تاریخ]],7),2)</f>
        <v>01</v>
      </c>
      <c r="D1852" s="164" t="str">
        <f>LEFT(TDays[[#This Row],[تاریخ]],4)</f>
        <v>1406</v>
      </c>
      <c r="E1852" s="164" t="str">
        <f>LEFT(TDays[[#This Row],[تاریخ]],7)</f>
        <v>1406-01</v>
      </c>
      <c r="F1852" s="164">
        <v>4</v>
      </c>
      <c r="G1852" s="165" t="str">
        <f>VLOOKUP(TDays[[#This Row],[کد روز هفته]],TDaysOfTheWeek[],2,FALSE)</f>
        <v>چهارشنبه</v>
      </c>
      <c r="H1852" s="165">
        <f>IFERROR(IF(E1851&lt;&gt;E1852,1,INT(H1851)+IF(TDays[[#This Row],[کد روز هفته]]=0,1,0)),1)</f>
        <v>4</v>
      </c>
      <c r="I1852" s="164">
        <f>-SUMIF(TArticle[تاریخ],TDays[[#This Row],[تاریخ]],TArticle[هزینه])</f>
        <v>0</v>
      </c>
      <c r="J1852" s="164">
        <f>SUMIF(TArticle[تاریخ],TDays[[#This Row],[تاریخ]],TArticle[درآمد تتا])</f>
        <v>0</v>
      </c>
      <c r="K1852" s="164">
        <f>SUMIF(TArticle[تاریخ],TDays[[#This Row],[تاریخ]],TArticle[اسنپ])</f>
        <v>0</v>
      </c>
      <c r="L1852" s="164">
        <f>-SUMIF(TArticle[تاریخ],TDays[[#This Row],[تاریخ]],TArticle[پرداخت بدهی])</f>
        <v>0</v>
      </c>
      <c r="M1852" s="164">
        <f>SUMIF(TArticle[تاریخ],TDays[[#This Row],[تاریخ]],TArticle[افزایش بدهی])</f>
        <v>0</v>
      </c>
      <c r="N1852" s="164">
        <f>-SUMIF(TArticle[تاریخ],TDays[[#This Row],[تاریخ]],TArticle[افزایش سرمایه])</f>
        <v>0</v>
      </c>
      <c r="O1852" s="164">
        <f>SUMIF(TArticle[تاریخ],TDays[[#This Row],[تاریخ]],TArticle[تعداد تراکنش انجام شده])</f>
        <v>0</v>
      </c>
      <c r="P1852" s="164">
        <f>INT(((TDays[[#This Row],[ماه]]-1)*31+TDays[[#This Row],[روز]]+1)/7)+1</f>
        <v>4</v>
      </c>
      <c r="Q1852" s="164">
        <f>SUMIF(TArticle[تاریخ],TDays[[#This Row],[تاریخ]],TArticle[تراکنش برنامه ریزی شده])</f>
        <v>0</v>
      </c>
    </row>
    <row r="1853" spans="1:17" x14ac:dyDescent="0.25">
      <c r="A1853" s="3" t="s">
        <v>2469</v>
      </c>
      <c r="B1853" s="164" t="str">
        <f>RIGHT(TDays[[#This Row],[تاریخ]],2)</f>
        <v>27</v>
      </c>
      <c r="C1853" s="164" t="str">
        <f>RIGHT(LEFT(TDays[[#This Row],[تاریخ]],7),2)</f>
        <v>01</v>
      </c>
      <c r="D1853" s="164" t="str">
        <f>LEFT(TDays[[#This Row],[تاریخ]],4)</f>
        <v>1406</v>
      </c>
      <c r="E1853" s="164" t="str">
        <f>LEFT(TDays[[#This Row],[تاریخ]],7)</f>
        <v>1406-01</v>
      </c>
      <c r="F1853">
        <v>5</v>
      </c>
      <c r="G1853" s="165" t="str">
        <f>VLOOKUP(TDays[[#This Row],[کد روز هفته]],TDaysOfTheWeek[],2,FALSE)</f>
        <v>پنجشنبه</v>
      </c>
      <c r="H1853" s="165">
        <f>IFERROR(IF(E1852&lt;&gt;E1853,1,INT(H1852)+IF(TDays[[#This Row],[کد روز هفته]]=0,1,0)),1)</f>
        <v>4</v>
      </c>
      <c r="I1853" s="164">
        <f>-SUMIF(TArticle[تاریخ],TDays[[#This Row],[تاریخ]],TArticle[هزینه])</f>
        <v>0</v>
      </c>
      <c r="J1853" s="164">
        <f>SUMIF(TArticle[تاریخ],TDays[[#This Row],[تاریخ]],TArticle[درآمد تتا])</f>
        <v>0</v>
      </c>
      <c r="K1853" s="164">
        <f>SUMIF(TArticle[تاریخ],TDays[[#This Row],[تاریخ]],TArticle[اسنپ])</f>
        <v>0</v>
      </c>
      <c r="L1853" s="164">
        <f>-SUMIF(TArticle[تاریخ],TDays[[#This Row],[تاریخ]],TArticle[پرداخت بدهی])</f>
        <v>0</v>
      </c>
      <c r="M1853" s="164">
        <f>SUMIF(TArticle[تاریخ],TDays[[#This Row],[تاریخ]],TArticle[افزایش بدهی])</f>
        <v>0</v>
      </c>
      <c r="N1853" s="164">
        <f>-SUMIF(TArticle[تاریخ],TDays[[#This Row],[تاریخ]],TArticle[افزایش سرمایه])</f>
        <v>0</v>
      </c>
      <c r="O1853" s="164">
        <f>SUMIF(TArticle[تاریخ],TDays[[#This Row],[تاریخ]],TArticle[تعداد تراکنش انجام شده])</f>
        <v>0</v>
      </c>
      <c r="P1853" s="164">
        <f>INT(((TDays[[#This Row],[ماه]]-1)*31+TDays[[#This Row],[روز]]+1)/7)+1</f>
        <v>5</v>
      </c>
      <c r="Q1853" s="164">
        <f>SUMIF(TArticle[تاریخ],TDays[[#This Row],[تاریخ]],TArticle[تراکنش برنامه ریزی شده])</f>
        <v>0</v>
      </c>
    </row>
    <row r="1854" spans="1:17" x14ac:dyDescent="0.25">
      <c r="A1854" s="3" t="s">
        <v>2470</v>
      </c>
      <c r="B1854" s="164" t="str">
        <f>RIGHT(TDays[[#This Row],[تاریخ]],2)</f>
        <v>28</v>
      </c>
      <c r="C1854" s="164" t="str">
        <f>RIGHT(LEFT(TDays[[#This Row],[تاریخ]],7),2)</f>
        <v>01</v>
      </c>
      <c r="D1854" s="164" t="str">
        <f>LEFT(TDays[[#This Row],[تاریخ]],4)</f>
        <v>1406</v>
      </c>
      <c r="E1854" s="164" t="str">
        <f>LEFT(TDays[[#This Row],[تاریخ]],7)</f>
        <v>1406-01</v>
      </c>
      <c r="F1854">
        <v>6</v>
      </c>
      <c r="G1854" s="165" t="str">
        <f>VLOOKUP(TDays[[#This Row],[کد روز هفته]],TDaysOfTheWeek[],2,FALSE)</f>
        <v>جمعه</v>
      </c>
      <c r="H1854" s="165">
        <f>IFERROR(IF(E1853&lt;&gt;E1854,1,INT(H1853)+IF(TDays[[#This Row],[کد روز هفته]]=0,1,0)),1)</f>
        <v>4</v>
      </c>
      <c r="I1854" s="164">
        <f>-SUMIF(TArticle[تاریخ],TDays[[#This Row],[تاریخ]],TArticle[هزینه])</f>
        <v>0</v>
      </c>
      <c r="J1854" s="164">
        <f>SUMIF(TArticle[تاریخ],TDays[[#This Row],[تاریخ]],TArticle[درآمد تتا])</f>
        <v>0</v>
      </c>
      <c r="K1854" s="164">
        <f>SUMIF(TArticle[تاریخ],TDays[[#This Row],[تاریخ]],TArticle[اسنپ])</f>
        <v>0</v>
      </c>
      <c r="L1854" s="164">
        <f>-SUMIF(TArticle[تاریخ],TDays[[#This Row],[تاریخ]],TArticle[پرداخت بدهی])</f>
        <v>0</v>
      </c>
      <c r="M1854" s="164">
        <f>SUMIF(TArticle[تاریخ],TDays[[#This Row],[تاریخ]],TArticle[افزایش بدهی])</f>
        <v>0</v>
      </c>
      <c r="N1854" s="164">
        <f>-SUMIF(TArticle[تاریخ],TDays[[#This Row],[تاریخ]],TArticle[افزایش سرمایه])</f>
        <v>0</v>
      </c>
      <c r="O1854" s="164">
        <f>SUMIF(TArticle[تاریخ],TDays[[#This Row],[تاریخ]],TArticle[تعداد تراکنش انجام شده])</f>
        <v>0</v>
      </c>
      <c r="P1854" s="164">
        <f>INT(((TDays[[#This Row],[ماه]]-1)*31+TDays[[#This Row],[روز]]+1)/7)+1</f>
        <v>5</v>
      </c>
      <c r="Q1854" s="164">
        <f>SUMIF(TArticle[تاریخ],TDays[[#This Row],[تاریخ]],TArticle[تراکنش برنامه ریزی شده])</f>
        <v>0</v>
      </c>
    </row>
    <row r="1855" spans="1:17" x14ac:dyDescent="0.25">
      <c r="A1855" s="3" t="s">
        <v>2471</v>
      </c>
      <c r="B1855" s="164" t="str">
        <f>RIGHT(TDays[[#This Row],[تاریخ]],2)</f>
        <v>29</v>
      </c>
      <c r="C1855" s="164" t="str">
        <f>RIGHT(LEFT(TDays[[#This Row],[تاریخ]],7),2)</f>
        <v>01</v>
      </c>
      <c r="D1855" s="164" t="str">
        <f>LEFT(TDays[[#This Row],[تاریخ]],4)</f>
        <v>1406</v>
      </c>
      <c r="E1855" s="164" t="str">
        <f>LEFT(TDays[[#This Row],[تاریخ]],7)</f>
        <v>1406-01</v>
      </c>
      <c r="F1855">
        <v>0</v>
      </c>
      <c r="G1855" s="165" t="str">
        <f>VLOOKUP(TDays[[#This Row],[کد روز هفته]],TDaysOfTheWeek[],2,FALSE)</f>
        <v>شنبه</v>
      </c>
      <c r="H1855" s="165">
        <f>IFERROR(IF(E1854&lt;&gt;E1855,1,INT(H1854)+IF(TDays[[#This Row],[کد روز هفته]]=0,1,0)),1)</f>
        <v>5</v>
      </c>
      <c r="I1855" s="164">
        <f>-SUMIF(TArticle[تاریخ],TDays[[#This Row],[تاریخ]],TArticle[هزینه])</f>
        <v>0</v>
      </c>
      <c r="J1855" s="164">
        <f>SUMIF(TArticle[تاریخ],TDays[[#This Row],[تاریخ]],TArticle[درآمد تتا])</f>
        <v>0</v>
      </c>
      <c r="K1855" s="164">
        <f>SUMIF(TArticle[تاریخ],TDays[[#This Row],[تاریخ]],TArticle[اسنپ])</f>
        <v>0</v>
      </c>
      <c r="L1855" s="164">
        <f>-SUMIF(TArticle[تاریخ],TDays[[#This Row],[تاریخ]],TArticle[پرداخت بدهی])</f>
        <v>0</v>
      </c>
      <c r="M1855" s="164">
        <f>SUMIF(TArticle[تاریخ],TDays[[#This Row],[تاریخ]],TArticle[افزایش بدهی])</f>
        <v>0</v>
      </c>
      <c r="N1855" s="164">
        <f>-SUMIF(TArticle[تاریخ],TDays[[#This Row],[تاریخ]],TArticle[افزایش سرمایه])</f>
        <v>0</v>
      </c>
      <c r="O1855" s="164">
        <f>SUMIF(TArticle[تاریخ],TDays[[#This Row],[تاریخ]],TArticle[تعداد تراکنش انجام شده])</f>
        <v>0</v>
      </c>
      <c r="P1855" s="164">
        <f>INT(((TDays[[#This Row],[ماه]]-1)*31+TDays[[#This Row],[روز]]+1)/7)+1</f>
        <v>5</v>
      </c>
      <c r="Q1855" s="164">
        <f>SUMIF(TArticle[تاریخ],TDays[[#This Row],[تاریخ]],TArticle[تراکنش برنامه ریزی شده])</f>
        <v>0</v>
      </c>
    </row>
    <row r="1856" spans="1:17" x14ac:dyDescent="0.25">
      <c r="A1856" s="3" t="s">
        <v>2472</v>
      </c>
      <c r="B1856" s="164" t="str">
        <f>RIGHT(TDays[[#This Row],[تاریخ]],2)</f>
        <v>30</v>
      </c>
      <c r="C1856" s="164" t="str">
        <f>RIGHT(LEFT(TDays[[#This Row],[تاریخ]],7),2)</f>
        <v>01</v>
      </c>
      <c r="D1856" s="164" t="str">
        <f>LEFT(TDays[[#This Row],[تاریخ]],4)</f>
        <v>1406</v>
      </c>
      <c r="E1856" s="164" t="str">
        <f>LEFT(TDays[[#This Row],[تاریخ]],7)</f>
        <v>1406-01</v>
      </c>
      <c r="F1856">
        <v>1</v>
      </c>
      <c r="G1856" s="165" t="str">
        <f>VLOOKUP(TDays[[#This Row],[کد روز هفته]],TDaysOfTheWeek[],2,FALSE)</f>
        <v>یکشنبه</v>
      </c>
      <c r="H1856" s="165">
        <f>IFERROR(IF(E1855&lt;&gt;E1856,1,INT(H1855)+IF(TDays[[#This Row],[کد روز هفته]]=0,1,0)),1)</f>
        <v>5</v>
      </c>
      <c r="I1856" s="164">
        <f>-SUMIF(TArticle[تاریخ],TDays[[#This Row],[تاریخ]],TArticle[هزینه])</f>
        <v>0</v>
      </c>
      <c r="J1856" s="164">
        <f>SUMIF(TArticle[تاریخ],TDays[[#This Row],[تاریخ]],TArticle[درآمد تتا])</f>
        <v>0</v>
      </c>
      <c r="K1856" s="164">
        <f>SUMIF(TArticle[تاریخ],TDays[[#This Row],[تاریخ]],TArticle[اسنپ])</f>
        <v>0</v>
      </c>
      <c r="L1856" s="164">
        <f>-SUMIF(TArticle[تاریخ],TDays[[#This Row],[تاریخ]],TArticle[پرداخت بدهی])</f>
        <v>0</v>
      </c>
      <c r="M1856" s="164">
        <f>SUMIF(TArticle[تاریخ],TDays[[#This Row],[تاریخ]],TArticle[افزایش بدهی])</f>
        <v>0</v>
      </c>
      <c r="N1856" s="164">
        <f>-SUMIF(TArticle[تاریخ],TDays[[#This Row],[تاریخ]],TArticle[افزایش سرمایه])</f>
        <v>0</v>
      </c>
      <c r="O1856" s="164">
        <f>SUMIF(TArticle[تاریخ],TDays[[#This Row],[تاریخ]],TArticle[تعداد تراکنش انجام شده])</f>
        <v>0</v>
      </c>
      <c r="P1856" s="164">
        <f>INT(((TDays[[#This Row],[ماه]]-1)*31+TDays[[#This Row],[روز]]+1)/7)+1</f>
        <v>5</v>
      </c>
      <c r="Q1856" s="164">
        <f>SUMIF(TArticle[تاریخ],TDays[[#This Row],[تاریخ]],TArticle[تراکنش برنامه ریزی شده])</f>
        <v>0</v>
      </c>
    </row>
    <row r="1857" spans="1:17" x14ac:dyDescent="0.25">
      <c r="A1857" s="3" t="s">
        <v>2473</v>
      </c>
      <c r="B1857" s="164" t="str">
        <f>RIGHT(TDays[[#This Row],[تاریخ]],2)</f>
        <v>31</v>
      </c>
      <c r="C1857" s="164" t="str">
        <f>RIGHT(LEFT(TDays[[#This Row],[تاریخ]],7),2)</f>
        <v>01</v>
      </c>
      <c r="D1857" s="164" t="str">
        <f>LEFT(TDays[[#This Row],[تاریخ]],4)</f>
        <v>1406</v>
      </c>
      <c r="E1857" s="164" t="str">
        <f>LEFT(TDays[[#This Row],[تاریخ]],7)</f>
        <v>1406-01</v>
      </c>
      <c r="F1857">
        <v>2</v>
      </c>
      <c r="G1857" s="165" t="str">
        <f>VLOOKUP(TDays[[#This Row],[کد روز هفته]],TDaysOfTheWeek[],2,FALSE)</f>
        <v>دوشنبه</v>
      </c>
      <c r="H1857" s="165">
        <f>IFERROR(IF(E1856&lt;&gt;E1857,1,INT(H1856)+IF(TDays[[#This Row],[کد روز هفته]]=0,1,0)),1)</f>
        <v>5</v>
      </c>
      <c r="I1857" s="164">
        <f>-SUMIF(TArticle[تاریخ],TDays[[#This Row],[تاریخ]],TArticle[هزینه])</f>
        <v>0</v>
      </c>
      <c r="J1857" s="164">
        <f>SUMIF(TArticle[تاریخ],TDays[[#This Row],[تاریخ]],TArticle[درآمد تتا])</f>
        <v>0</v>
      </c>
      <c r="K1857" s="164">
        <f>SUMIF(TArticle[تاریخ],TDays[[#This Row],[تاریخ]],TArticle[اسنپ])</f>
        <v>0</v>
      </c>
      <c r="L1857" s="164">
        <f>-SUMIF(TArticle[تاریخ],TDays[[#This Row],[تاریخ]],TArticle[پرداخت بدهی])</f>
        <v>0</v>
      </c>
      <c r="M1857" s="164">
        <f>SUMIF(TArticle[تاریخ],TDays[[#This Row],[تاریخ]],TArticle[افزایش بدهی])</f>
        <v>0</v>
      </c>
      <c r="N1857" s="164">
        <f>-SUMIF(TArticle[تاریخ],TDays[[#This Row],[تاریخ]],TArticle[افزایش سرمایه])</f>
        <v>0</v>
      </c>
      <c r="O1857" s="164">
        <f>SUMIF(TArticle[تاریخ],TDays[[#This Row],[تاریخ]],TArticle[تعداد تراکنش انجام شده])</f>
        <v>0</v>
      </c>
      <c r="P1857" s="164">
        <f>INT(((TDays[[#This Row],[ماه]]-1)*31+TDays[[#This Row],[روز]]+1)/7)+1</f>
        <v>5</v>
      </c>
      <c r="Q1857" s="164">
        <f>SUMIF(TArticle[تاریخ],TDays[[#This Row],[تاریخ]],TArticle[تراکنش برنامه ریزی شده])</f>
        <v>0</v>
      </c>
    </row>
    <row r="1858" spans="1:17" x14ac:dyDescent="0.25">
      <c r="A1858" s="3" t="s">
        <v>2474</v>
      </c>
      <c r="B1858" s="164" t="str">
        <f>RIGHT(TDays[[#This Row],[تاریخ]],2)</f>
        <v>01</v>
      </c>
      <c r="C1858" s="164" t="str">
        <f>RIGHT(LEFT(TDays[[#This Row],[تاریخ]],7),2)</f>
        <v>02</v>
      </c>
      <c r="D1858" s="164" t="str">
        <f>LEFT(TDays[[#This Row],[تاریخ]],4)</f>
        <v>1406</v>
      </c>
      <c r="E1858" s="164" t="str">
        <f>LEFT(TDays[[#This Row],[تاریخ]],7)</f>
        <v>1406-02</v>
      </c>
      <c r="F1858">
        <v>3</v>
      </c>
      <c r="G1858" s="165" t="str">
        <f>VLOOKUP(TDays[[#This Row],[کد روز هفته]],TDaysOfTheWeek[],2,FALSE)</f>
        <v>سه شنبه</v>
      </c>
      <c r="H1858" s="165">
        <f>IFERROR(IF(E1857&lt;&gt;E1858,1,INT(H1857)+IF(TDays[[#This Row],[کد روز هفته]]=0,1,0)),1)</f>
        <v>1</v>
      </c>
      <c r="I1858" s="164">
        <f>-SUMIF(TArticle[تاریخ],TDays[[#This Row],[تاریخ]],TArticle[هزینه])</f>
        <v>0</v>
      </c>
      <c r="J1858" s="164">
        <f>SUMIF(TArticle[تاریخ],TDays[[#This Row],[تاریخ]],TArticle[درآمد تتا])</f>
        <v>0</v>
      </c>
      <c r="K1858" s="164">
        <f>SUMIF(TArticle[تاریخ],TDays[[#This Row],[تاریخ]],TArticle[اسنپ])</f>
        <v>0</v>
      </c>
      <c r="L1858" s="164">
        <f>-SUMIF(TArticle[تاریخ],TDays[[#This Row],[تاریخ]],TArticle[پرداخت بدهی])</f>
        <v>0</v>
      </c>
      <c r="M1858" s="164">
        <f>SUMIF(TArticle[تاریخ],TDays[[#This Row],[تاریخ]],TArticle[افزایش بدهی])</f>
        <v>0</v>
      </c>
      <c r="N1858" s="164">
        <f>-SUMIF(TArticle[تاریخ],TDays[[#This Row],[تاریخ]],TArticle[افزایش سرمایه])</f>
        <v>0</v>
      </c>
      <c r="O1858" s="164">
        <f>SUMIF(TArticle[تاریخ],TDays[[#This Row],[تاریخ]],TArticle[تعداد تراکنش انجام شده])</f>
        <v>0</v>
      </c>
      <c r="P1858" s="164">
        <f>INT(((TDays[[#This Row],[ماه]]-1)*31+TDays[[#This Row],[روز]]+1)/7)+1</f>
        <v>5</v>
      </c>
      <c r="Q1858" s="164">
        <f>SUMIF(TArticle[تاریخ],TDays[[#This Row],[تاریخ]],TArticle[تراکنش برنامه ریزی شده])</f>
        <v>0</v>
      </c>
    </row>
    <row r="1859" spans="1:17" x14ac:dyDescent="0.25">
      <c r="A1859" s="3" t="s">
        <v>2475</v>
      </c>
      <c r="B1859" s="164" t="str">
        <f>RIGHT(TDays[[#This Row],[تاریخ]],2)</f>
        <v>02</v>
      </c>
      <c r="C1859" s="164" t="str">
        <f>RIGHT(LEFT(TDays[[#This Row],[تاریخ]],7),2)</f>
        <v>02</v>
      </c>
      <c r="D1859" s="164" t="str">
        <f>LEFT(TDays[[#This Row],[تاریخ]],4)</f>
        <v>1406</v>
      </c>
      <c r="E1859" s="164" t="str">
        <f>LEFT(TDays[[#This Row],[تاریخ]],7)</f>
        <v>1406-02</v>
      </c>
      <c r="F1859">
        <v>4</v>
      </c>
      <c r="G1859" s="165" t="str">
        <f>VLOOKUP(TDays[[#This Row],[کد روز هفته]],TDaysOfTheWeek[],2,FALSE)</f>
        <v>چهارشنبه</v>
      </c>
      <c r="H1859" s="165">
        <f>IFERROR(IF(E1858&lt;&gt;E1859,1,INT(H1858)+IF(TDays[[#This Row],[کد روز هفته]]=0,1,0)),1)</f>
        <v>1</v>
      </c>
      <c r="I1859" s="164">
        <f>-SUMIF(TArticle[تاریخ],TDays[[#This Row],[تاریخ]],TArticle[هزینه])</f>
        <v>0</v>
      </c>
      <c r="J1859" s="164">
        <f>SUMIF(TArticle[تاریخ],TDays[[#This Row],[تاریخ]],TArticle[درآمد تتا])</f>
        <v>0</v>
      </c>
      <c r="K1859" s="164">
        <f>SUMIF(TArticle[تاریخ],TDays[[#This Row],[تاریخ]],TArticle[اسنپ])</f>
        <v>0</v>
      </c>
      <c r="L1859" s="164">
        <f>-SUMIF(TArticle[تاریخ],TDays[[#This Row],[تاریخ]],TArticle[پرداخت بدهی])</f>
        <v>0</v>
      </c>
      <c r="M1859" s="164">
        <f>SUMIF(TArticle[تاریخ],TDays[[#This Row],[تاریخ]],TArticle[افزایش بدهی])</f>
        <v>0</v>
      </c>
      <c r="N1859" s="164">
        <f>-SUMIF(TArticle[تاریخ],TDays[[#This Row],[تاریخ]],TArticle[افزایش سرمایه])</f>
        <v>0</v>
      </c>
      <c r="O1859" s="164">
        <f>SUMIF(TArticle[تاریخ],TDays[[#This Row],[تاریخ]],TArticle[تعداد تراکنش انجام شده])</f>
        <v>0</v>
      </c>
      <c r="P1859" s="164">
        <f>INT(((TDays[[#This Row],[ماه]]-1)*31+TDays[[#This Row],[روز]]+1)/7)+1</f>
        <v>5</v>
      </c>
      <c r="Q1859" s="164">
        <f>SUMIF(TArticle[تاریخ],TDays[[#This Row],[تاریخ]],TArticle[تراکنش برنامه ریزی شده])</f>
        <v>0</v>
      </c>
    </row>
    <row r="1860" spans="1:17" x14ac:dyDescent="0.25">
      <c r="A1860" s="3" t="s">
        <v>2476</v>
      </c>
      <c r="B1860" s="164" t="str">
        <f>RIGHT(TDays[[#This Row],[تاریخ]],2)</f>
        <v>03</v>
      </c>
      <c r="C1860" s="164" t="str">
        <f>RIGHT(LEFT(TDays[[#This Row],[تاریخ]],7),2)</f>
        <v>02</v>
      </c>
      <c r="D1860" s="164" t="str">
        <f>LEFT(TDays[[#This Row],[تاریخ]],4)</f>
        <v>1406</v>
      </c>
      <c r="E1860" s="164" t="str">
        <f>LEFT(TDays[[#This Row],[تاریخ]],7)</f>
        <v>1406-02</v>
      </c>
      <c r="F1860">
        <v>5</v>
      </c>
      <c r="G1860" s="165" t="str">
        <f>VLOOKUP(TDays[[#This Row],[کد روز هفته]],TDaysOfTheWeek[],2,FALSE)</f>
        <v>پنجشنبه</v>
      </c>
      <c r="H1860" s="165">
        <f>IFERROR(IF(E1859&lt;&gt;E1860,1,INT(H1859)+IF(TDays[[#This Row],[کد روز هفته]]=0,1,0)),1)</f>
        <v>1</v>
      </c>
      <c r="I1860" s="164">
        <f>-SUMIF(TArticle[تاریخ],TDays[[#This Row],[تاریخ]],TArticle[هزینه])</f>
        <v>0</v>
      </c>
      <c r="J1860" s="164">
        <f>SUMIF(TArticle[تاریخ],TDays[[#This Row],[تاریخ]],TArticle[درآمد تتا])</f>
        <v>0</v>
      </c>
      <c r="K1860" s="164">
        <f>SUMIF(TArticle[تاریخ],TDays[[#This Row],[تاریخ]],TArticle[اسنپ])</f>
        <v>0</v>
      </c>
      <c r="L1860" s="164">
        <f>-SUMIF(TArticle[تاریخ],TDays[[#This Row],[تاریخ]],TArticle[پرداخت بدهی])</f>
        <v>0</v>
      </c>
      <c r="M1860" s="164">
        <f>SUMIF(TArticle[تاریخ],TDays[[#This Row],[تاریخ]],TArticle[افزایش بدهی])</f>
        <v>0</v>
      </c>
      <c r="N1860" s="164">
        <f>-SUMIF(TArticle[تاریخ],TDays[[#This Row],[تاریخ]],TArticle[افزایش سرمایه])</f>
        <v>0</v>
      </c>
      <c r="O1860" s="164">
        <f>SUMIF(TArticle[تاریخ],TDays[[#This Row],[تاریخ]],TArticle[تعداد تراکنش انجام شده])</f>
        <v>0</v>
      </c>
      <c r="P1860" s="164">
        <f>INT(((TDays[[#This Row],[ماه]]-1)*31+TDays[[#This Row],[روز]]+1)/7)+1</f>
        <v>6</v>
      </c>
      <c r="Q1860" s="164">
        <f>SUMIF(TArticle[تاریخ],TDays[[#This Row],[تاریخ]],TArticle[تراکنش برنامه ریزی شده])</f>
        <v>1</v>
      </c>
    </row>
    <row r="1861" spans="1:17" x14ac:dyDescent="0.25">
      <c r="A1861" s="3" t="s">
        <v>2477</v>
      </c>
      <c r="B1861" s="164" t="str">
        <f>RIGHT(TDays[[#This Row],[تاریخ]],2)</f>
        <v>04</v>
      </c>
      <c r="C1861" s="164" t="str">
        <f>RIGHT(LEFT(TDays[[#This Row],[تاریخ]],7),2)</f>
        <v>02</v>
      </c>
      <c r="D1861" s="164" t="str">
        <f>LEFT(TDays[[#This Row],[تاریخ]],4)</f>
        <v>1406</v>
      </c>
      <c r="E1861" s="164" t="str">
        <f>LEFT(TDays[[#This Row],[تاریخ]],7)</f>
        <v>1406-02</v>
      </c>
      <c r="F1861">
        <v>6</v>
      </c>
      <c r="G1861" s="165" t="str">
        <f>VLOOKUP(TDays[[#This Row],[کد روز هفته]],TDaysOfTheWeek[],2,FALSE)</f>
        <v>جمعه</v>
      </c>
      <c r="H1861" s="165">
        <f>IFERROR(IF(E1860&lt;&gt;E1861,1,INT(H1860)+IF(TDays[[#This Row],[کد روز هفته]]=0,1,0)),1)</f>
        <v>1</v>
      </c>
      <c r="I1861" s="164">
        <f>-SUMIF(TArticle[تاریخ],TDays[[#This Row],[تاریخ]],TArticle[هزینه])</f>
        <v>0</v>
      </c>
      <c r="J1861" s="164">
        <f>SUMIF(TArticle[تاریخ],TDays[[#This Row],[تاریخ]],TArticle[درآمد تتا])</f>
        <v>0</v>
      </c>
      <c r="K1861" s="164">
        <f>SUMIF(TArticle[تاریخ],TDays[[#This Row],[تاریخ]],TArticle[اسنپ])</f>
        <v>0</v>
      </c>
      <c r="L1861" s="164">
        <f>-SUMIF(TArticle[تاریخ],TDays[[#This Row],[تاریخ]],TArticle[پرداخت بدهی])</f>
        <v>0</v>
      </c>
      <c r="M1861" s="164">
        <f>SUMIF(TArticle[تاریخ],TDays[[#This Row],[تاریخ]],TArticle[افزایش بدهی])</f>
        <v>0</v>
      </c>
      <c r="N1861" s="164">
        <f>-SUMIF(TArticle[تاریخ],TDays[[#This Row],[تاریخ]],TArticle[افزایش سرمایه])</f>
        <v>0</v>
      </c>
      <c r="O1861" s="164">
        <f>SUMIF(TArticle[تاریخ],TDays[[#This Row],[تاریخ]],TArticle[تعداد تراکنش انجام شده])</f>
        <v>0</v>
      </c>
      <c r="P1861" s="164">
        <f>INT(((TDays[[#This Row],[ماه]]-1)*31+TDays[[#This Row],[روز]]+1)/7)+1</f>
        <v>6</v>
      </c>
      <c r="Q1861" s="164">
        <f>SUMIF(TArticle[تاریخ],TDays[[#This Row],[تاریخ]],TArticle[تراکنش برنامه ریزی شده])</f>
        <v>0</v>
      </c>
    </row>
    <row r="1862" spans="1:17" x14ac:dyDescent="0.25">
      <c r="A1862" s="3" t="s">
        <v>2478</v>
      </c>
      <c r="B1862" s="164" t="str">
        <f>RIGHT(TDays[[#This Row],[تاریخ]],2)</f>
        <v>05</v>
      </c>
      <c r="C1862" s="164" t="str">
        <f>RIGHT(LEFT(TDays[[#This Row],[تاریخ]],7),2)</f>
        <v>02</v>
      </c>
      <c r="D1862" s="164" t="str">
        <f>LEFT(TDays[[#This Row],[تاریخ]],4)</f>
        <v>1406</v>
      </c>
      <c r="E1862" s="164" t="str">
        <f>LEFT(TDays[[#This Row],[تاریخ]],7)</f>
        <v>1406-02</v>
      </c>
      <c r="F1862">
        <v>0</v>
      </c>
      <c r="G1862" s="165" t="str">
        <f>VLOOKUP(TDays[[#This Row],[کد روز هفته]],TDaysOfTheWeek[],2,FALSE)</f>
        <v>شنبه</v>
      </c>
      <c r="H1862" s="165">
        <f>IFERROR(IF(E1861&lt;&gt;E1862,1,INT(H1861)+IF(TDays[[#This Row],[کد روز هفته]]=0,1,0)),1)</f>
        <v>2</v>
      </c>
      <c r="I1862" s="164">
        <f>-SUMIF(TArticle[تاریخ],TDays[[#This Row],[تاریخ]],TArticle[هزینه])</f>
        <v>0</v>
      </c>
      <c r="J1862" s="164">
        <f>SUMIF(TArticle[تاریخ],TDays[[#This Row],[تاریخ]],TArticle[درآمد تتا])</f>
        <v>0</v>
      </c>
      <c r="K1862" s="164">
        <f>SUMIF(TArticle[تاریخ],TDays[[#This Row],[تاریخ]],TArticle[اسنپ])</f>
        <v>0</v>
      </c>
      <c r="L1862" s="164">
        <f>-SUMIF(TArticle[تاریخ],TDays[[#This Row],[تاریخ]],TArticle[پرداخت بدهی])</f>
        <v>0</v>
      </c>
      <c r="M1862" s="164">
        <f>SUMIF(TArticle[تاریخ],TDays[[#This Row],[تاریخ]],TArticle[افزایش بدهی])</f>
        <v>0</v>
      </c>
      <c r="N1862" s="164">
        <f>-SUMIF(TArticle[تاریخ],TDays[[#This Row],[تاریخ]],TArticle[افزایش سرمایه])</f>
        <v>0</v>
      </c>
      <c r="O1862" s="164">
        <f>SUMIF(TArticle[تاریخ],TDays[[#This Row],[تاریخ]],TArticle[تعداد تراکنش انجام شده])</f>
        <v>0</v>
      </c>
      <c r="P1862" s="164">
        <f>INT(((TDays[[#This Row],[ماه]]-1)*31+TDays[[#This Row],[روز]]+1)/7)+1</f>
        <v>6</v>
      </c>
      <c r="Q1862" s="164">
        <f>SUMIF(TArticle[تاریخ],TDays[[#This Row],[تاریخ]],TArticle[تراکنش برنامه ریزی شده])</f>
        <v>0</v>
      </c>
    </row>
    <row r="1863" spans="1:17" x14ac:dyDescent="0.25">
      <c r="A1863" s="3" t="s">
        <v>2479</v>
      </c>
      <c r="B1863" s="164" t="str">
        <f>RIGHT(TDays[[#This Row],[تاریخ]],2)</f>
        <v>06</v>
      </c>
      <c r="C1863" s="164" t="str">
        <f>RIGHT(LEFT(TDays[[#This Row],[تاریخ]],7),2)</f>
        <v>02</v>
      </c>
      <c r="D1863" s="164" t="str">
        <f>LEFT(TDays[[#This Row],[تاریخ]],4)</f>
        <v>1406</v>
      </c>
      <c r="E1863" s="164" t="str">
        <f>LEFT(TDays[[#This Row],[تاریخ]],7)</f>
        <v>1406-02</v>
      </c>
      <c r="F1863">
        <v>1</v>
      </c>
      <c r="G1863" s="165" t="str">
        <f>VLOOKUP(TDays[[#This Row],[کد روز هفته]],TDaysOfTheWeek[],2,FALSE)</f>
        <v>یکشنبه</v>
      </c>
      <c r="H1863" s="165">
        <f>IFERROR(IF(E1862&lt;&gt;E1863,1,INT(H1862)+IF(TDays[[#This Row],[کد روز هفته]]=0,1,0)),1)</f>
        <v>2</v>
      </c>
      <c r="I1863" s="164">
        <f>-SUMIF(TArticle[تاریخ],TDays[[#This Row],[تاریخ]],TArticle[هزینه])</f>
        <v>0</v>
      </c>
      <c r="J1863" s="164">
        <f>SUMIF(TArticle[تاریخ],TDays[[#This Row],[تاریخ]],TArticle[درآمد تتا])</f>
        <v>0</v>
      </c>
      <c r="K1863" s="164">
        <f>SUMIF(TArticle[تاریخ],TDays[[#This Row],[تاریخ]],TArticle[اسنپ])</f>
        <v>0</v>
      </c>
      <c r="L1863" s="164">
        <f>-SUMIF(TArticle[تاریخ],TDays[[#This Row],[تاریخ]],TArticle[پرداخت بدهی])</f>
        <v>0</v>
      </c>
      <c r="M1863" s="164">
        <f>SUMIF(TArticle[تاریخ],TDays[[#This Row],[تاریخ]],TArticle[افزایش بدهی])</f>
        <v>0</v>
      </c>
      <c r="N1863" s="164">
        <f>-SUMIF(TArticle[تاریخ],TDays[[#This Row],[تاریخ]],TArticle[افزایش سرمایه])</f>
        <v>0</v>
      </c>
      <c r="O1863" s="164">
        <f>SUMIF(TArticle[تاریخ],TDays[[#This Row],[تاریخ]],TArticle[تعداد تراکنش انجام شده])</f>
        <v>0</v>
      </c>
      <c r="P1863" s="164">
        <f>INT(((TDays[[#This Row],[ماه]]-1)*31+TDays[[#This Row],[روز]]+1)/7)+1</f>
        <v>6</v>
      </c>
      <c r="Q1863" s="164">
        <f>SUMIF(TArticle[تاریخ],TDays[[#This Row],[تاریخ]],TArticle[تراکنش برنامه ریزی شده])</f>
        <v>0</v>
      </c>
    </row>
    <row r="1864" spans="1:17" x14ac:dyDescent="0.25">
      <c r="A1864" s="3" t="s">
        <v>2480</v>
      </c>
      <c r="B1864" s="164" t="str">
        <f>RIGHT(TDays[[#This Row],[تاریخ]],2)</f>
        <v>07</v>
      </c>
      <c r="C1864" s="164" t="str">
        <f>RIGHT(LEFT(TDays[[#This Row],[تاریخ]],7),2)</f>
        <v>02</v>
      </c>
      <c r="D1864" s="164" t="str">
        <f>LEFT(TDays[[#This Row],[تاریخ]],4)</f>
        <v>1406</v>
      </c>
      <c r="E1864" s="164" t="str">
        <f>LEFT(TDays[[#This Row],[تاریخ]],7)</f>
        <v>1406-02</v>
      </c>
      <c r="F1864">
        <v>2</v>
      </c>
      <c r="G1864" s="165" t="str">
        <f>VLOOKUP(TDays[[#This Row],[کد روز هفته]],TDaysOfTheWeek[],2,FALSE)</f>
        <v>دوشنبه</v>
      </c>
      <c r="H1864" s="165">
        <f>IFERROR(IF(E1863&lt;&gt;E1864,1,INT(H1863)+IF(TDays[[#This Row],[کد روز هفته]]=0,1,0)),1)</f>
        <v>2</v>
      </c>
      <c r="I1864" s="164">
        <f>-SUMIF(TArticle[تاریخ],TDays[[#This Row],[تاریخ]],TArticle[هزینه])</f>
        <v>0</v>
      </c>
      <c r="J1864" s="164">
        <f>SUMIF(TArticle[تاریخ],TDays[[#This Row],[تاریخ]],TArticle[درآمد تتا])</f>
        <v>0</v>
      </c>
      <c r="K1864" s="164">
        <f>SUMIF(TArticle[تاریخ],TDays[[#This Row],[تاریخ]],TArticle[اسنپ])</f>
        <v>0</v>
      </c>
      <c r="L1864" s="164">
        <f>-SUMIF(TArticle[تاریخ],TDays[[#This Row],[تاریخ]],TArticle[پرداخت بدهی])</f>
        <v>0</v>
      </c>
      <c r="M1864" s="164">
        <f>SUMIF(TArticle[تاریخ],TDays[[#This Row],[تاریخ]],TArticle[افزایش بدهی])</f>
        <v>0</v>
      </c>
      <c r="N1864" s="164">
        <f>-SUMIF(TArticle[تاریخ],TDays[[#This Row],[تاریخ]],TArticle[افزایش سرمایه])</f>
        <v>0</v>
      </c>
      <c r="O1864" s="164">
        <f>SUMIF(TArticle[تاریخ],TDays[[#This Row],[تاریخ]],TArticle[تعداد تراکنش انجام شده])</f>
        <v>0</v>
      </c>
      <c r="P1864" s="164">
        <f>INT(((TDays[[#This Row],[ماه]]-1)*31+TDays[[#This Row],[روز]]+1)/7)+1</f>
        <v>6</v>
      </c>
      <c r="Q1864" s="164">
        <f>SUMIF(TArticle[تاریخ],TDays[[#This Row],[تاریخ]],TArticle[تراکنش برنامه ریزی شده])</f>
        <v>0</v>
      </c>
    </row>
    <row r="1865" spans="1:17" x14ac:dyDescent="0.25">
      <c r="A1865" s="3" t="s">
        <v>2481</v>
      </c>
      <c r="B1865" s="164" t="str">
        <f>RIGHT(TDays[[#This Row],[تاریخ]],2)</f>
        <v>08</v>
      </c>
      <c r="C1865" s="164" t="str">
        <f>RIGHT(LEFT(TDays[[#This Row],[تاریخ]],7),2)</f>
        <v>02</v>
      </c>
      <c r="D1865" s="164" t="str">
        <f>LEFT(TDays[[#This Row],[تاریخ]],4)</f>
        <v>1406</v>
      </c>
      <c r="E1865" s="164" t="str">
        <f>LEFT(TDays[[#This Row],[تاریخ]],7)</f>
        <v>1406-02</v>
      </c>
      <c r="F1865">
        <v>3</v>
      </c>
      <c r="G1865" s="165" t="str">
        <f>VLOOKUP(TDays[[#This Row],[کد روز هفته]],TDaysOfTheWeek[],2,FALSE)</f>
        <v>سه شنبه</v>
      </c>
      <c r="H1865" s="165">
        <f>IFERROR(IF(E1864&lt;&gt;E1865,1,INT(H1864)+IF(TDays[[#This Row],[کد روز هفته]]=0,1,0)),1)</f>
        <v>2</v>
      </c>
      <c r="I1865" s="164">
        <f>-SUMIF(TArticle[تاریخ],TDays[[#This Row],[تاریخ]],TArticle[هزینه])</f>
        <v>0</v>
      </c>
      <c r="J1865" s="164">
        <f>SUMIF(TArticle[تاریخ],TDays[[#This Row],[تاریخ]],TArticle[درآمد تتا])</f>
        <v>0</v>
      </c>
      <c r="K1865" s="164">
        <f>SUMIF(TArticle[تاریخ],TDays[[#This Row],[تاریخ]],TArticle[اسنپ])</f>
        <v>0</v>
      </c>
      <c r="L1865" s="164">
        <f>-SUMIF(TArticle[تاریخ],TDays[[#This Row],[تاریخ]],TArticle[پرداخت بدهی])</f>
        <v>0</v>
      </c>
      <c r="M1865" s="164">
        <f>SUMIF(TArticle[تاریخ],TDays[[#This Row],[تاریخ]],TArticle[افزایش بدهی])</f>
        <v>0</v>
      </c>
      <c r="N1865" s="164">
        <f>-SUMIF(TArticle[تاریخ],TDays[[#This Row],[تاریخ]],TArticle[افزایش سرمایه])</f>
        <v>0</v>
      </c>
      <c r="O1865" s="164">
        <f>SUMIF(TArticle[تاریخ],TDays[[#This Row],[تاریخ]],TArticle[تعداد تراکنش انجام شده])</f>
        <v>0</v>
      </c>
      <c r="P1865" s="164">
        <f>INT(((TDays[[#This Row],[ماه]]-1)*31+TDays[[#This Row],[روز]]+1)/7)+1</f>
        <v>6</v>
      </c>
      <c r="Q1865" s="164">
        <f>SUMIF(TArticle[تاریخ],TDays[[#This Row],[تاریخ]],TArticle[تراکنش برنامه ریزی شده])</f>
        <v>0</v>
      </c>
    </row>
    <row r="1866" spans="1:17" x14ac:dyDescent="0.25">
      <c r="A1866" s="3" t="s">
        <v>2482</v>
      </c>
      <c r="B1866" s="164" t="str">
        <f>RIGHT(TDays[[#This Row],[تاریخ]],2)</f>
        <v>09</v>
      </c>
      <c r="C1866" s="164" t="str">
        <f>RIGHT(LEFT(TDays[[#This Row],[تاریخ]],7),2)</f>
        <v>02</v>
      </c>
      <c r="D1866" s="164" t="str">
        <f>LEFT(TDays[[#This Row],[تاریخ]],4)</f>
        <v>1406</v>
      </c>
      <c r="E1866" s="164" t="str">
        <f>LEFT(TDays[[#This Row],[تاریخ]],7)</f>
        <v>1406-02</v>
      </c>
      <c r="F1866">
        <v>4</v>
      </c>
      <c r="G1866" s="165" t="str">
        <f>VLOOKUP(TDays[[#This Row],[کد روز هفته]],TDaysOfTheWeek[],2,FALSE)</f>
        <v>چهارشنبه</v>
      </c>
      <c r="H1866" s="165">
        <f>IFERROR(IF(E1865&lt;&gt;E1866,1,INT(H1865)+IF(TDays[[#This Row],[کد روز هفته]]=0,1,0)),1)</f>
        <v>2</v>
      </c>
      <c r="I1866" s="164">
        <f>-SUMIF(TArticle[تاریخ],TDays[[#This Row],[تاریخ]],TArticle[هزینه])</f>
        <v>0</v>
      </c>
      <c r="J1866" s="164">
        <f>SUMIF(TArticle[تاریخ],TDays[[#This Row],[تاریخ]],TArticle[درآمد تتا])</f>
        <v>0</v>
      </c>
      <c r="K1866" s="164">
        <f>SUMIF(TArticle[تاریخ],TDays[[#This Row],[تاریخ]],TArticle[اسنپ])</f>
        <v>0</v>
      </c>
      <c r="L1866" s="164">
        <f>-SUMIF(TArticle[تاریخ],TDays[[#This Row],[تاریخ]],TArticle[پرداخت بدهی])</f>
        <v>0</v>
      </c>
      <c r="M1866" s="164">
        <f>SUMIF(TArticle[تاریخ],TDays[[#This Row],[تاریخ]],TArticle[افزایش بدهی])</f>
        <v>0</v>
      </c>
      <c r="N1866" s="164">
        <f>-SUMIF(TArticle[تاریخ],TDays[[#This Row],[تاریخ]],TArticle[افزایش سرمایه])</f>
        <v>0</v>
      </c>
      <c r="O1866" s="164">
        <f>SUMIF(TArticle[تاریخ],TDays[[#This Row],[تاریخ]],TArticle[تعداد تراکنش انجام شده])</f>
        <v>0</v>
      </c>
      <c r="P1866" s="164">
        <f>INT(((TDays[[#This Row],[ماه]]-1)*31+TDays[[#This Row],[روز]]+1)/7)+1</f>
        <v>6</v>
      </c>
      <c r="Q1866" s="164">
        <f>SUMIF(TArticle[تاریخ],TDays[[#This Row],[تاریخ]],TArticle[تراکنش برنامه ریزی شده])</f>
        <v>0</v>
      </c>
    </row>
    <row r="1867" spans="1:17" x14ac:dyDescent="0.25">
      <c r="A1867" s="3" t="s">
        <v>2483</v>
      </c>
      <c r="B1867" s="164" t="str">
        <f>RIGHT(TDays[[#This Row],[تاریخ]],2)</f>
        <v>10</v>
      </c>
      <c r="C1867" s="164" t="str">
        <f>RIGHT(LEFT(TDays[[#This Row],[تاریخ]],7),2)</f>
        <v>02</v>
      </c>
      <c r="D1867" s="164" t="str">
        <f>LEFT(TDays[[#This Row],[تاریخ]],4)</f>
        <v>1406</v>
      </c>
      <c r="E1867" s="164" t="str">
        <f>LEFT(TDays[[#This Row],[تاریخ]],7)</f>
        <v>1406-02</v>
      </c>
      <c r="F1867">
        <v>5</v>
      </c>
      <c r="G1867" s="165" t="str">
        <f>VLOOKUP(TDays[[#This Row],[کد روز هفته]],TDaysOfTheWeek[],2,FALSE)</f>
        <v>پنجشنبه</v>
      </c>
      <c r="H1867" s="165">
        <f>IFERROR(IF(E1866&lt;&gt;E1867,1,INT(H1866)+IF(TDays[[#This Row],[کد روز هفته]]=0,1,0)),1)</f>
        <v>2</v>
      </c>
      <c r="I1867" s="164">
        <f>-SUMIF(TArticle[تاریخ],TDays[[#This Row],[تاریخ]],TArticle[هزینه])</f>
        <v>0</v>
      </c>
      <c r="J1867" s="164">
        <f>SUMIF(TArticle[تاریخ],TDays[[#This Row],[تاریخ]],TArticle[درآمد تتا])</f>
        <v>0</v>
      </c>
      <c r="K1867" s="164">
        <f>SUMIF(TArticle[تاریخ],TDays[[#This Row],[تاریخ]],TArticle[اسنپ])</f>
        <v>0</v>
      </c>
      <c r="L1867" s="164">
        <f>-SUMIF(TArticle[تاریخ],TDays[[#This Row],[تاریخ]],TArticle[پرداخت بدهی])</f>
        <v>0</v>
      </c>
      <c r="M1867" s="164">
        <f>SUMIF(TArticle[تاریخ],TDays[[#This Row],[تاریخ]],TArticle[افزایش بدهی])</f>
        <v>0</v>
      </c>
      <c r="N1867" s="164">
        <f>-SUMIF(TArticle[تاریخ],TDays[[#This Row],[تاریخ]],TArticle[افزایش سرمایه])</f>
        <v>0</v>
      </c>
      <c r="O1867" s="164">
        <f>SUMIF(TArticle[تاریخ],TDays[[#This Row],[تاریخ]],TArticle[تعداد تراکنش انجام شده])</f>
        <v>0</v>
      </c>
      <c r="P1867" s="164">
        <f>INT(((TDays[[#This Row],[ماه]]-1)*31+TDays[[#This Row],[روز]]+1)/7)+1</f>
        <v>7</v>
      </c>
      <c r="Q1867" s="164">
        <f>SUMIF(TArticle[تاریخ],TDays[[#This Row],[تاریخ]],TArticle[تراکنش برنامه ریزی شده])</f>
        <v>0</v>
      </c>
    </row>
    <row r="1868" spans="1:17" x14ac:dyDescent="0.25">
      <c r="A1868" s="3" t="s">
        <v>2484</v>
      </c>
      <c r="B1868" s="164" t="str">
        <f>RIGHT(TDays[[#This Row],[تاریخ]],2)</f>
        <v>11</v>
      </c>
      <c r="C1868" s="164" t="str">
        <f>RIGHT(LEFT(TDays[[#This Row],[تاریخ]],7),2)</f>
        <v>02</v>
      </c>
      <c r="D1868" s="164" t="str">
        <f>LEFT(TDays[[#This Row],[تاریخ]],4)</f>
        <v>1406</v>
      </c>
      <c r="E1868" s="164" t="str">
        <f>LEFT(TDays[[#This Row],[تاریخ]],7)</f>
        <v>1406-02</v>
      </c>
      <c r="F1868">
        <v>6</v>
      </c>
      <c r="G1868" s="165" t="str">
        <f>VLOOKUP(TDays[[#This Row],[کد روز هفته]],TDaysOfTheWeek[],2,FALSE)</f>
        <v>جمعه</v>
      </c>
      <c r="H1868" s="165">
        <f>IFERROR(IF(E1867&lt;&gt;E1868,1,INT(H1867)+IF(TDays[[#This Row],[کد روز هفته]]=0,1,0)),1)</f>
        <v>2</v>
      </c>
      <c r="I1868" s="164">
        <f>-SUMIF(TArticle[تاریخ],TDays[[#This Row],[تاریخ]],TArticle[هزینه])</f>
        <v>0</v>
      </c>
      <c r="J1868" s="164">
        <f>SUMIF(TArticle[تاریخ],TDays[[#This Row],[تاریخ]],TArticle[درآمد تتا])</f>
        <v>0</v>
      </c>
      <c r="K1868" s="164">
        <f>SUMIF(TArticle[تاریخ],TDays[[#This Row],[تاریخ]],TArticle[اسنپ])</f>
        <v>0</v>
      </c>
      <c r="L1868" s="164">
        <f>-SUMIF(TArticle[تاریخ],TDays[[#This Row],[تاریخ]],TArticle[پرداخت بدهی])</f>
        <v>0</v>
      </c>
      <c r="M1868" s="164">
        <f>SUMIF(TArticle[تاریخ],TDays[[#This Row],[تاریخ]],TArticle[افزایش بدهی])</f>
        <v>0</v>
      </c>
      <c r="N1868" s="164">
        <f>-SUMIF(TArticle[تاریخ],TDays[[#This Row],[تاریخ]],TArticle[افزایش سرمایه])</f>
        <v>0</v>
      </c>
      <c r="O1868" s="164">
        <f>SUMIF(TArticle[تاریخ],TDays[[#This Row],[تاریخ]],TArticle[تعداد تراکنش انجام شده])</f>
        <v>0</v>
      </c>
      <c r="P1868" s="164">
        <f>INT(((TDays[[#This Row],[ماه]]-1)*31+TDays[[#This Row],[روز]]+1)/7)+1</f>
        <v>7</v>
      </c>
      <c r="Q1868" s="164">
        <f>SUMIF(TArticle[تاریخ],TDays[[#This Row],[تاریخ]],TArticle[تراکنش برنامه ریزی شده])</f>
        <v>0</v>
      </c>
    </row>
    <row r="1869" spans="1:17" x14ac:dyDescent="0.25">
      <c r="A1869" s="3" t="s">
        <v>2485</v>
      </c>
      <c r="B1869" s="164" t="str">
        <f>RIGHT(TDays[[#This Row],[تاریخ]],2)</f>
        <v>12</v>
      </c>
      <c r="C1869" s="164" t="str">
        <f>RIGHT(LEFT(TDays[[#This Row],[تاریخ]],7),2)</f>
        <v>02</v>
      </c>
      <c r="D1869" s="164" t="str">
        <f>LEFT(TDays[[#This Row],[تاریخ]],4)</f>
        <v>1406</v>
      </c>
      <c r="E1869" s="164" t="str">
        <f>LEFT(TDays[[#This Row],[تاریخ]],7)</f>
        <v>1406-02</v>
      </c>
      <c r="F1869">
        <v>0</v>
      </c>
      <c r="G1869" s="165" t="str">
        <f>VLOOKUP(TDays[[#This Row],[کد روز هفته]],TDaysOfTheWeek[],2,FALSE)</f>
        <v>شنبه</v>
      </c>
      <c r="H1869" s="165">
        <f>IFERROR(IF(E1868&lt;&gt;E1869,1,INT(H1868)+IF(TDays[[#This Row],[کد روز هفته]]=0,1,0)),1)</f>
        <v>3</v>
      </c>
      <c r="I1869" s="164">
        <f>-SUMIF(TArticle[تاریخ],TDays[[#This Row],[تاریخ]],TArticle[هزینه])</f>
        <v>0</v>
      </c>
      <c r="J1869" s="164">
        <f>SUMIF(TArticle[تاریخ],TDays[[#This Row],[تاریخ]],TArticle[درآمد تتا])</f>
        <v>0</v>
      </c>
      <c r="K1869" s="164">
        <f>SUMIF(TArticle[تاریخ],TDays[[#This Row],[تاریخ]],TArticle[اسنپ])</f>
        <v>0</v>
      </c>
      <c r="L1869" s="164">
        <f>-SUMIF(TArticle[تاریخ],TDays[[#This Row],[تاریخ]],TArticle[پرداخت بدهی])</f>
        <v>0</v>
      </c>
      <c r="M1869" s="164">
        <f>SUMIF(TArticle[تاریخ],TDays[[#This Row],[تاریخ]],TArticle[افزایش بدهی])</f>
        <v>0</v>
      </c>
      <c r="N1869" s="164">
        <f>-SUMIF(TArticle[تاریخ],TDays[[#This Row],[تاریخ]],TArticle[افزایش سرمایه])</f>
        <v>0</v>
      </c>
      <c r="O1869" s="164">
        <f>SUMIF(TArticle[تاریخ],TDays[[#This Row],[تاریخ]],TArticle[تعداد تراکنش انجام شده])</f>
        <v>0</v>
      </c>
      <c r="P1869" s="164">
        <f>INT(((TDays[[#This Row],[ماه]]-1)*31+TDays[[#This Row],[روز]]+1)/7)+1</f>
        <v>7</v>
      </c>
      <c r="Q1869" s="164">
        <f>SUMIF(TArticle[تاریخ],TDays[[#This Row],[تاریخ]],TArticle[تراکنش برنامه ریزی شده])</f>
        <v>0</v>
      </c>
    </row>
    <row r="1870" spans="1:17" x14ac:dyDescent="0.25">
      <c r="A1870" s="3" t="s">
        <v>2486</v>
      </c>
      <c r="B1870" s="164" t="str">
        <f>RIGHT(TDays[[#This Row],[تاریخ]],2)</f>
        <v>13</v>
      </c>
      <c r="C1870" s="164" t="str">
        <f>RIGHT(LEFT(TDays[[#This Row],[تاریخ]],7),2)</f>
        <v>02</v>
      </c>
      <c r="D1870" s="164" t="str">
        <f>LEFT(TDays[[#This Row],[تاریخ]],4)</f>
        <v>1406</v>
      </c>
      <c r="E1870" s="164" t="str">
        <f>LEFT(TDays[[#This Row],[تاریخ]],7)</f>
        <v>1406-02</v>
      </c>
      <c r="F1870">
        <v>1</v>
      </c>
      <c r="G1870" s="165" t="str">
        <f>VLOOKUP(TDays[[#This Row],[کد روز هفته]],TDaysOfTheWeek[],2,FALSE)</f>
        <v>یکشنبه</v>
      </c>
      <c r="H1870" s="165">
        <f>IFERROR(IF(E1869&lt;&gt;E1870,1,INT(H1869)+IF(TDays[[#This Row],[کد روز هفته]]=0,1,0)),1)</f>
        <v>3</v>
      </c>
      <c r="I1870" s="164">
        <f>-SUMIF(TArticle[تاریخ],TDays[[#This Row],[تاریخ]],TArticle[هزینه])</f>
        <v>0</v>
      </c>
      <c r="J1870" s="164">
        <f>SUMIF(TArticle[تاریخ],TDays[[#This Row],[تاریخ]],TArticle[درآمد تتا])</f>
        <v>0</v>
      </c>
      <c r="K1870" s="164">
        <f>SUMIF(TArticle[تاریخ],TDays[[#This Row],[تاریخ]],TArticle[اسنپ])</f>
        <v>0</v>
      </c>
      <c r="L1870" s="164">
        <f>-SUMIF(TArticle[تاریخ],TDays[[#This Row],[تاریخ]],TArticle[پرداخت بدهی])</f>
        <v>0</v>
      </c>
      <c r="M1870" s="164">
        <f>SUMIF(TArticle[تاریخ],TDays[[#This Row],[تاریخ]],TArticle[افزایش بدهی])</f>
        <v>0</v>
      </c>
      <c r="N1870" s="164">
        <f>-SUMIF(TArticle[تاریخ],TDays[[#This Row],[تاریخ]],TArticle[افزایش سرمایه])</f>
        <v>0</v>
      </c>
      <c r="O1870" s="164">
        <f>SUMIF(TArticle[تاریخ],TDays[[#This Row],[تاریخ]],TArticle[تعداد تراکنش انجام شده])</f>
        <v>0</v>
      </c>
      <c r="P1870" s="164">
        <f>INT(((TDays[[#This Row],[ماه]]-1)*31+TDays[[#This Row],[روز]]+1)/7)+1</f>
        <v>7</v>
      </c>
      <c r="Q1870" s="164">
        <f>SUMIF(TArticle[تاریخ],TDays[[#This Row],[تاریخ]],TArticle[تراکنش برنامه ریزی شده])</f>
        <v>0</v>
      </c>
    </row>
    <row r="1871" spans="1:17" x14ac:dyDescent="0.25">
      <c r="A1871" s="3" t="s">
        <v>2487</v>
      </c>
      <c r="B1871" s="164" t="str">
        <f>RIGHT(TDays[[#This Row],[تاریخ]],2)</f>
        <v>14</v>
      </c>
      <c r="C1871" s="164" t="str">
        <f>RIGHT(LEFT(TDays[[#This Row],[تاریخ]],7),2)</f>
        <v>02</v>
      </c>
      <c r="D1871" s="164" t="str">
        <f>LEFT(TDays[[#This Row],[تاریخ]],4)</f>
        <v>1406</v>
      </c>
      <c r="E1871" s="164" t="str">
        <f>LEFT(TDays[[#This Row],[تاریخ]],7)</f>
        <v>1406-02</v>
      </c>
      <c r="F1871">
        <v>2</v>
      </c>
      <c r="G1871" s="165" t="str">
        <f>VLOOKUP(TDays[[#This Row],[کد روز هفته]],TDaysOfTheWeek[],2,FALSE)</f>
        <v>دوشنبه</v>
      </c>
      <c r="H1871" s="165">
        <f>IFERROR(IF(E1870&lt;&gt;E1871,1,INT(H1870)+IF(TDays[[#This Row],[کد روز هفته]]=0,1,0)),1)</f>
        <v>3</v>
      </c>
      <c r="I1871" s="164">
        <f>-SUMIF(TArticle[تاریخ],TDays[[#This Row],[تاریخ]],TArticle[هزینه])</f>
        <v>0</v>
      </c>
      <c r="J1871" s="164">
        <f>SUMIF(TArticle[تاریخ],TDays[[#This Row],[تاریخ]],TArticle[درآمد تتا])</f>
        <v>0</v>
      </c>
      <c r="K1871" s="164">
        <f>SUMIF(TArticle[تاریخ],TDays[[#This Row],[تاریخ]],TArticle[اسنپ])</f>
        <v>0</v>
      </c>
      <c r="L1871" s="164">
        <f>-SUMIF(TArticle[تاریخ],TDays[[#This Row],[تاریخ]],TArticle[پرداخت بدهی])</f>
        <v>0</v>
      </c>
      <c r="M1871" s="164">
        <f>SUMIF(TArticle[تاریخ],TDays[[#This Row],[تاریخ]],TArticle[افزایش بدهی])</f>
        <v>0</v>
      </c>
      <c r="N1871" s="164">
        <f>-SUMIF(TArticle[تاریخ],TDays[[#This Row],[تاریخ]],TArticle[افزایش سرمایه])</f>
        <v>0</v>
      </c>
      <c r="O1871" s="164">
        <f>SUMIF(TArticle[تاریخ],TDays[[#This Row],[تاریخ]],TArticle[تعداد تراکنش انجام شده])</f>
        <v>0</v>
      </c>
      <c r="P1871" s="164">
        <f>INT(((TDays[[#This Row],[ماه]]-1)*31+TDays[[#This Row],[روز]]+1)/7)+1</f>
        <v>7</v>
      </c>
      <c r="Q1871" s="164">
        <f>SUMIF(TArticle[تاریخ],TDays[[#This Row],[تاریخ]],TArticle[تراکنش برنامه ریزی شده])</f>
        <v>0</v>
      </c>
    </row>
    <row r="1872" spans="1:17" x14ac:dyDescent="0.25">
      <c r="A1872" s="3" t="s">
        <v>2488</v>
      </c>
      <c r="B1872" s="164" t="str">
        <f>RIGHT(TDays[[#This Row],[تاریخ]],2)</f>
        <v>15</v>
      </c>
      <c r="C1872" s="164" t="str">
        <f>RIGHT(LEFT(TDays[[#This Row],[تاریخ]],7),2)</f>
        <v>02</v>
      </c>
      <c r="D1872" s="164" t="str">
        <f>LEFT(TDays[[#This Row],[تاریخ]],4)</f>
        <v>1406</v>
      </c>
      <c r="E1872" s="164" t="str">
        <f>LEFT(TDays[[#This Row],[تاریخ]],7)</f>
        <v>1406-02</v>
      </c>
      <c r="F1872">
        <v>3</v>
      </c>
      <c r="G1872" s="165" t="str">
        <f>VLOOKUP(TDays[[#This Row],[کد روز هفته]],TDaysOfTheWeek[],2,FALSE)</f>
        <v>سه شنبه</v>
      </c>
      <c r="H1872" s="165">
        <f>IFERROR(IF(E1871&lt;&gt;E1872,1,INT(H1871)+IF(TDays[[#This Row],[کد روز هفته]]=0,1,0)),1)</f>
        <v>3</v>
      </c>
      <c r="I1872" s="164">
        <f>-SUMIF(TArticle[تاریخ],TDays[[#This Row],[تاریخ]],TArticle[هزینه])</f>
        <v>0</v>
      </c>
      <c r="J1872" s="164">
        <f>SUMIF(TArticle[تاریخ],TDays[[#This Row],[تاریخ]],TArticle[درآمد تتا])</f>
        <v>0</v>
      </c>
      <c r="K1872" s="164">
        <f>SUMIF(TArticle[تاریخ],TDays[[#This Row],[تاریخ]],TArticle[اسنپ])</f>
        <v>0</v>
      </c>
      <c r="L1872" s="164">
        <f>-SUMIF(TArticle[تاریخ],TDays[[#This Row],[تاریخ]],TArticle[پرداخت بدهی])</f>
        <v>0</v>
      </c>
      <c r="M1872" s="164">
        <f>SUMIF(TArticle[تاریخ],TDays[[#This Row],[تاریخ]],TArticle[افزایش بدهی])</f>
        <v>0</v>
      </c>
      <c r="N1872" s="164">
        <f>-SUMIF(TArticle[تاریخ],TDays[[#This Row],[تاریخ]],TArticle[افزایش سرمایه])</f>
        <v>0</v>
      </c>
      <c r="O1872" s="164">
        <f>SUMIF(TArticle[تاریخ],TDays[[#This Row],[تاریخ]],TArticle[تعداد تراکنش انجام شده])</f>
        <v>0</v>
      </c>
      <c r="P1872" s="164">
        <f>INT(((TDays[[#This Row],[ماه]]-1)*31+TDays[[#This Row],[روز]]+1)/7)+1</f>
        <v>7</v>
      </c>
      <c r="Q1872" s="164">
        <f>SUMIF(TArticle[تاریخ],TDays[[#This Row],[تاریخ]],TArticle[تراکنش برنامه ریزی شده])</f>
        <v>0</v>
      </c>
    </row>
    <row r="1873" spans="1:17" x14ac:dyDescent="0.25">
      <c r="A1873" s="3" t="s">
        <v>2489</v>
      </c>
      <c r="B1873" s="164" t="str">
        <f>RIGHT(TDays[[#This Row],[تاریخ]],2)</f>
        <v>16</v>
      </c>
      <c r="C1873" s="164" t="str">
        <f>RIGHT(LEFT(TDays[[#This Row],[تاریخ]],7),2)</f>
        <v>02</v>
      </c>
      <c r="D1873" s="164" t="str">
        <f>LEFT(TDays[[#This Row],[تاریخ]],4)</f>
        <v>1406</v>
      </c>
      <c r="E1873" s="164" t="str">
        <f>LEFT(TDays[[#This Row],[تاریخ]],7)</f>
        <v>1406-02</v>
      </c>
      <c r="F1873">
        <v>4</v>
      </c>
      <c r="G1873" s="165" t="str">
        <f>VLOOKUP(TDays[[#This Row],[کد روز هفته]],TDaysOfTheWeek[],2,FALSE)</f>
        <v>چهارشنبه</v>
      </c>
      <c r="H1873" s="165">
        <f>IFERROR(IF(E1872&lt;&gt;E1873,1,INT(H1872)+IF(TDays[[#This Row],[کد روز هفته]]=0,1,0)),1)</f>
        <v>3</v>
      </c>
      <c r="I1873" s="164">
        <f>-SUMIF(TArticle[تاریخ],TDays[[#This Row],[تاریخ]],TArticle[هزینه])</f>
        <v>0</v>
      </c>
      <c r="J1873" s="164">
        <f>SUMIF(TArticle[تاریخ],TDays[[#This Row],[تاریخ]],TArticle[درآمد تتا])</f>
        <v>0</v>
      </c>
      <c r="K1873" s="164">
        <f>SUMIF(TArticle[تاریخ],TDays[[#This Row],[تاریخ]],TArticle[اسنپ])</f>
        <v>0</v>
      </c>
      <c r="L1873" s="164">
        <f>-SUMIF(TArticle[تاریخ],TDays[[#This Row],[تاریخ]],TArticle[پرداخت بدهی])</f>
        <v>0</v>
      </c>
      <c r="M1873" s="164">
        <f>SUMIF(TArticle[تاریخ],TDays[[#This Row],[تاریخ]],TArticle[افزایش بدهی])</f>
        <v>0</v>
      </c>
      <c r="N1873" s="164">
        <f>-SUMIF(TArticle[تاریخ],TDays[[#This Row],[تاریخ]],TArticle[افزایش سرمایه])</f>
        <v>0</v>
      </c>
      <c r="O1873" s="164">
        <f>SUMIF(TArticle[تاریخ],TDays[[#This Row],[تاریخ]],TArticle[تعداد تراکنش انجام شده])</f>
        <v>0</v>
      </c>
      <c r="P1873" s="164">
        <f>INT(((TDays[[#This Row],[ماه]]-1)*31+TDays[[#This Row],[روز]]+1)/7)+1</f>
        <v>7</v>
      </c>
      <c r="Q1873" s="164">
        <f>SUMIF(TArticle[تاریخ],TDays[[#This Row],[تاریخ]],TArticle[تراکنش برنامه ریزی شده])</f>
        <v>0</v>
      </c>
    </row>
    <row r="1874" spans="1:17" x14ac:dyDescent="0.25">
      <c r="A1874" s="3" t="s">
        <v>2490</v>
      </c>
      <c r="B1874" s="164" t="str">
        <f>RIGHT(TDays[[#This Row],[تاریخ]],2)</f>
        <v>17</v>
      </c>
      <c r="C1874" s="164" t="str">
        <f>RIGHT(LEFT(TDays[[#This Row],[تاریخ]],7),2)</f>
        <v>02</v>
      </c>
      <c r="D1874" s="164" t="str">
        <f>LEFT(TDays[[#This Row],[تاریخ]],4)</f>
        <v>1406</v>
      </c>
      <c r="E1874" s="164" t="str">
        <f>LEFT(TDays[[#This Row],[تاریخ]],7)</f>
        <v>1406-02</v>
      </c>
      <c r="F1874">
        <v>5</v>
      </c>
      <c r="G1874" s="165" t="str">
        <f>VLOOKUP(TDays[[#This Row],[کد روز هفته]],TDaysOfTheWeek[],2,FALSE)</f>
        <v>پنجشنبه</v>
      </c>
      <c r="H1874" s="165">
        <f>IFERROR(IF(E1873&lt;&gt;E1874,1,INT(H1873)+IF(TDays[[#This Row],[کد روز هفته]]=0,1,0)),1)</f>
        <v>3</v>
      </c>
      <c r="I1874" s="164">
        <f>-SUMIF(TArticle[تاریخ],TDays[[#This Row],[تاریخ]],TArticle[هزینه])</f>
        <v>0</v>
      </c>
      <c r="J1874" s="164">
        <f>SUMIF(TArticle[تاریخ],TDays[[#This Row],[تاریخ]],TArticle[درآمد تتا])</f>
        <v>0</v>
      </c>
      <c r="K1874" s="164">
        <f>SUMIF(TArticle[تاریخ],TDays[[#This Row],[تاریخ]],TArticle[اسنپ])</f>
        <v>0</v>
      </c>
      <c r="L1874" s="164">
        <f>-SUMIF(TArticle[تاریخ],TDays[[#This Row],[تاریخ]],TArticle[پرداخت بدهی])</f>
        <v>0</v>
      </c>
      <c r="M1874" s="164">
        <f>SUMIF(TArticle[تاریخ],TDays[[#This Row],[تاریخ]],TArticle[افزایش بدهی])</f>
        <v>0</v>
      </c>
      <c r="N1874" s="164">
        <f>-SUMIF(TArticle[تاریخ],TDays[[#This Row],[تاریخ]],TArticle[افزایش سرمایه])</f>
        <v>0</v>
      </c>
      <c r="O1874" s="164">
        <f>SUMIF(TArticle[تاریخ],TDays[[#This Row],[تاریخ]],TArticle[تعداد تراکنش انجام شده])</f>
        <v>0</v>
      </c>
      <c r="P1874" s="164">
        <f>INT(((TDays[[#This Row],[ماه]]-1)*31+TDays[[#This Row],[روز]]+1)/7)+1</f>
        <v>8</v>
      </c>
      <c r="Q1874" s="164">
        <f>SUMIF(TArticle[تاریخ],TDays[[#This Row],[تاریخ]],TArticle[تراکنش برنامه ریزی شده])</f>
        <v>0</v>
      </c>
    </row>
    <row r="1875" spans="1:17" x14ac:dyDescent="0.25">
      <c r="A1875" s="3" t="s">
        <v>2491</v>
      </c>
      <c r="B1875" s="164" t="str">
        <f>RIGHT(TDays[[#This Row],[تاریخ]],2)</f>
        <v>18</v>
      </c>
      <c r="C1875" s="164" t="str">
        <f>RIGHT(LEFT(TDays[[#This Row],[تاریخ]],7),2)</f>
        <v>02</v>
      </c>
      <c r="D1875" s="164" t="str">
        <f>LEFT(TDays[[#This Row],[تاریخ]],4)</f>
        <v>1406</v>
      </c>
      <c r="E1875" s="164" t="str">
        <f>LEFT(TDays[[#This Row],[تاریخ]],7)</f>
        <v>1406-02</v>
      </c>
      <c r="F1875">
        <v>6</v>
      </c>
      <c r="G1875" s="165" t="str">
        <f>VLOOKUP(TDays[[#This Row],[کد روز هفته]],TDaysOfTheWeek[],2,FALSE)</f>
        <v>جمعه</v>
      </c>
      <c r="H1875" s="165">
        <f>IFERROR(IF(E1874&lt;&gt;E1875,1,INT(H1874)+IF(TDays[[#This Row],[کد روز هفته]]=0,1,0)),1)</f>
        <v>3</v>
      </c>
      <c r="I1875" s="164">
        <f>-SUMIF(TArticle[تاریخ],TDays[[#This Row],[تاریخ]],TArticle[هزینه])</f>
        <v>0</v>
      </c>
      <c r="J1875" s="164">
        <f>SUMIF(TArticle[تاریخ],TDays[[#This Row],[تاریخ]],TArticle[درآمد تتا])</f>
        <v>0</v>
      </c>
      <c r="K1875" s="164">
        <f>SUMIF(TArticle[تاریخ],TDays[[#This Row],[تاریخ]],TArticle[اسنپ])</f>
        <v>0</v>
      </c>
      <c r="L1875" s="164">
        <f>-SUMIF(TArticle[تاریخ],TDays[[#This Row],[تاریخ]],TArticle[پرداخت بدهی])</f>
        <v>0</v>
      </c>
      <c r="M1875" s="164">
        <f>SUMIF(TArticle[تاریخ],TDays[[#This Row],[تاریخ]],TArticle[افزایش بدهی])</f>
        <v>0</v>
      </c>
      <c r="N1875" s="164">
        <f>-SUMIF(TArticle[تاریخ],TDays[[#This Row],[تاریخ]],TArticle[افزایش سرمایه])</f>
        <v>0</v>
      </c>
      <c r="O1875" s="164">
        <f>SUMIF(TArticle[تاریخ],TDays[[#This Row],[تاریخ]],TArticle[تعداد تراکنش انجام شده])</f>
        <v>0</v>
      </c>
      <c r="P1875" s="164">
        <f>INT(((TDays[[#This Row],[ماه]]-1)*31+TDays[[#This Row],[روز]]+1)/7)+1</f>
        <v>8</v>
      </c>
      <c r="Q1875" s="164">
        <f>SUMIF(TArticle[تاریخ],TDays[[#This Row],[تاریخ]],TArticle[تراکنش برنامه ریزی شده])</f>
        <v>0</v>
      </c>
    </row>
    <row r="1876" spans="1:17" x14ac:dyDescent="0.25">
      <c r="A1876" s="3" t="s">
        <v>2492</v>
      </c>
      <c r="B1876" s="164" t="str">
        <f>RIGHT(TDays[[#This Row],[تاریخ]],2)</f>
        <v>19</v>
      </c>
      <c r="C1876" s="164" t="str">
        <f>RIGHT(LEFT(TDays[[#This Row],[تاریخ]],7),2)</f>
        <v>02</v>
      </c>
      <c r="D1876" s="164" t="str">
        <f>LEFT(TDays[[#This Row],[تاریخ]],4)</f>
        <v>1406</v>
      </c>
      <c r="E1876" s="164" t="str">
        <f>LEFT(TDays[[#This Row],[تاریخ]],7)</f>
        <v>1406-02</v>
      </c>
      <c r="F1876">
        <v>0</v>
      </c>
      <c r="G1876" s="165" t="str">
        <f>VLOOKUP(TDays[[#This Row],[کد روز هفته]],TDaysOfTheWeek[],2,FALSE)</f>
        <v>شنبه</v>
      </c>
      <c r="H1876" s="165">
        <f>IFERROR(IF(E1875&lt;&gt;E1876,1,INT(H1875)+IF(TDays[[#This Row],[کد روز هفته]]=0,1,0)),1)</f>
        <v>4</v>
      </c>
      <c r="I1876" s="164">
        <f>-SUMIF(TArticle[تاریخ],TDays[[#This Row],[تاریخ]],TArticle[هزینه])</f>
        <v>0</v>
      </c>
      <c r="J1876" s="164">
        <f>SUMIF(TArticle[تاریخ],TDays[[#This Row],[تاریخ]],TArticle[درآمد تتا])</f>
        <v>0</v>
      </c>
      <c r="K1876" s="164">
        <f>SUMIF(TArticle[تاریخ],TDays[[#This Row],[تاریخ]],TArticle[اسنپ])</f>
        <v>0</v>
      </c>
      <c r="L1876" s="164">
        <f>-SUMIF(TArticle[تاریخ],TDays[[#This Row],[تاریخ]],TArticle[پرداخت بدهی])</f>
        <v>0</v>
      </c>
      <c r="M1876" s="164">
        <f>SUMIF(TArticle[تاریخ],TDays[[#This Row],[تاریخ]],TArticle[افزایش بدهی])</f>
        <v>0</v>
      </c>
      <c r="N1876" s="164">
        <f>-SUMIF(TArticle[تاریخ],TDays[[#This Row],[تاریخ]],TArticle[افزایش سرمایه])</f>
        <v>0</v>
      </c>
      <c r="O1876" s="164">
        <f>SUMIF(TArticle[تاریخ],TDays[[#This Row],[تاریخ]],TArticle[تعداد تراکنش انجام شده])</f>
        <v>0</v>
      </c>
      <c r="P1876" s="164">
        <f>INT(((TDays[[#This Row],[ماه]]-1)*31+TDays[[#This Row],[روز]]+1)/7)+1</f>
        <v>8</v>
      </c>
      <c r="Q1876" s="164">
        <f>SUMIF(TArticle[تاریخ],TDays[[#This Row],[تاریخ]],TArticle[تراکنش برنامه ریزی شده])</f>
        <v>0</v>
      </c>
    </row>
    <row r="1877" spans="1:17" x14ac:dyDescent="0.25">
      <c r="A1877" s="3" t="s">
        <v>2493</v>
      </c>
      <c r="B1877" s="164" t="str">
        <f>RIGHT(TDays[[#This Row],[تاریخ]],2)</f>
        <v>20</v>
      </c>
      <c r="C1877" s="164" t="str">
        <f>RIGHT(LEFT(TDays[[#This Row],[تاریخ]],7),2)</f>
        <v>02</v>
      </c>
      <c r="D1877" s="164" t="str">
        <f>LEFT(TDays[[#This Row],[تاریخ]],4)</f>
        <v>1406</v>
      </c>
      <c r="E1877" s="164" t="str">
        <f>LEFT(TDays[[#This Row],[تاریخ]],7)</f>
        <v>1406-02</v>
      </c>
      <c r="F1877">
        <v>1</v>
      </c>
      <c r="G1877" s="165" t="str">
        <f>VLOOKUP(TDays[[#This Row],[کد روز هفته]],TDaysOfTheWeek[],2,FALSE)</f>
        <v>یکشنبه</v>
      </c>
      <c r="H1877" s="165">
        <f>IFERROR(IF(E1876&lt;&gt;E1877,1,INT(H1876)+IF(TDays[[#This Row],[کد روز هفته]]=0,1,0)),1)</f>
        <v>4</v>
      </c>
      <c r="I1877" s="164">
        <f>-SUMIF(TArticle[تاریخ],TDays[[#This Row],[تاریخ]],TArticle[هزینه])</f>
        <v>0</v>
      </c>
      <c r="J1877" s="164">
        <f>SUMIF(TArticle[تاریخ],TDays[[#This Row],[تاریخ]],TArticle[درآمد تتا])</f>
        <v>0</v>
      </c>
      <c r="K1877" s="164">
        <f>SUMIF(TArticle[تاریخ],TDays[[#This Row],[تاریخ]],TArticle[اسنپ])</f>
        <v>0</v>
      </c>
      <c r="L1877" s="164">
        <f>-SUMIF(TArticle[تاریخ],TDays[[#This Row],[تاریخ]],TArticle[پرداخت بدهی])</f>
        <v>0</v>
      </c>
      <c r="M1877" s="164">
        <f>SUMIF(TArticle[تاریخ],TDays[[#This Row],[تاریخ]],TArticle[افزایش بدهی])</f>
        <v>0</v>
      </c>
      <c r="N1877" s="164">
        <f>-SUMIF(TArticle[تاریخ],TDays[[#This Row],[تاریخ]],TArticle[افزایش سرمایه])</f>
        <v>0</v>
      </c>
      <c r="O1877" s="164">
        <f>SUMIF(TArticle[تاریخ],TDays[[#This Row],[تاریخ]],TArticle[تعداد تراکنش انجام شده])</f>
        <v>0</v>
      </c>
      <c r="P1877" s="164">
        <f>INT(((TDays[[#This Row],[ماه]]-1)*31+TDays[[#This Row],[روز]]+1)/7)+1</f>
        <v>8</v>
      </c>
      <c r="Q1877" s="164">
        <f>SUMIF(TArticle[تاریخ],TDays[[#This Row],[تاریخ]],TArticle[تراکنش برنامه ریزی شده])</f>
        <v>0</v>
      </c>
    </row>
    <row r="1878" spans="1:17" x14ac:dyDescent="0.25">
      <c r="A1878" s="3" t="s">
        <v>2494</v>
      </c>
      <c r="B1878" s="164" t="str">
        <f>RIGHT(TDays[[#This Row],[تاریخ]],2)</f>
        <v>21</v>
      </c>
      <c r="C1878" s="164" t="str">
        <f>RIGHT(LEFT(TDays[[#This Row],[تاریخ]],7),2)</f>
        <v>02</v>
      </c>
      <c r="D1878" s="164" t="str">
        <f>LEFT(TDays[[#This Row],[تاریخ]],4)</f>
        <v>1406</v>
      </c>
      <c r="E1878" s="164" t="str">
        <f>LEFT(TDays[[#This Row],[تاریخ]],7)</f>
        <v>1406-02</v>
      </c>
      <c r="F1878">
        <v>2</v>
      </c>
      <c r="G1878" s="165" t="str">
        <f>VLOOKUP(TDays[[#This Row],[کد روز هفته]],TDaysOfTheWeek[],2,FALSE)</f>
        <v>دوشنبه</v>
      </c>
      <c r="H1878" s="165">
        <f>IFERROR(IF(E1877&lt;&gt;E1878,1,INT(H1877)+IF(TDays[[#This Row],[کد روز هفته]]=0,1,0)),1)</f>
        <v>4</v>
      </c>
      <c r="I1878" s="164">
        <f>-SUMIF(TArticle[تاریخ],TDays[[#This Row],[تاریخ]],TArticle[هزینه])</f>
        <v>0</v>
      </c>
      <c r="J1878" s="164">
        <f>SUMIF(TArticle[تاریخ],TDays[[#This Row],[تاریخ]],TArticle[درآمد تتا])</f>
        <v>0</v>
      </c>
      <c r="K1878" s="164">
        <f>SUMIF(TArticle[تاریخ],TDays[[#This Row],[تاریخ]],TArticle[اسنپ])</f>
        <v>0</v>
      </c>
      <c r="L1878" s="164">
        <f>-SUMIF(TArticle[تاریخ],TDays[[#This Row],[تاریخ]],TArticle[پرداخت بدهی])</f>
        <v>0</v>
      </c>
      <c r="M1878" s="164">
        <f>SUMIF(TArticle[تاریخ],TDays[[#This Row],[تاریخ]],TArticle[افزایش بدهی])</f>
        <v>0</v>
      </c>
      <c r="N1878" s="164">
        <f>-SUMIF(TArticle[تاریخ],TDays[[#This Row],[تاریخ]],TArticle[افزایش سرمایه])</f>
        <v>0</v>
      </c>
      <c r="O1878" s="164">
        <f>SUMIF(TArticle[تاریخ],TDays[[#This Row],[تاریخ]],TArticle[تعداد تراکنش انجام شده])</f>
        <v>0</v>
      </c>
      <c r="P1878" s="164">
        <f>INT(((TDays[[#This Row],[ماه]]-1)*31+TDays[[#This Row],[روز]]+1)/7)+1</f>
        <v>8</v>
      </c>
      <c r="Q1878" s="164">
        <f>SUMIF(TArticle[تاریخ],TDays[[#This Row],[تاریخ]],TArticle[تراکنش برنامه ریزی شده])</f>
        <v>0</v>
      </c>
    </row>
    <row r="1879" spans="1:17" x14ac:dyDescent="0.25">
      <c r="A1879" s="3" t="s">
        <v>2495</v>
      </c>
      <c r="B1879" s="164" t="str">
        <f>RIGHT(TDays[[#This Row],[تاریخ]],2)</f>
        <v>22</v>
      </c>
      <c r="C1879" s="164" t="str">
        <f>RIGHT(LEFT(TDays[[#This Row],[تاریخ]],7),2)</f>
        <v>02</v>
      </c>
      <c r="D1879" s="164" t="str">
        <f>LEFT(TDays[[#This Row],[تاریخ]],4)</f>
        <v>1406</v>
      </c>
      <c r="E1879" s="164" t="str">
        <f>LEFT(TDays[[#This Row],[تاریخ]],7)</f>
        <v>1406-02</v>
      </c>
      <c r="F1879" s="164">
        <v>3</v>
      </c>
      <c r="G1879" s="165" t="str">
        <f>VLOOKUP(TDays[[#This Row],[کد روز هفته]],TDaysOfTheWeek[],2,FALSE)</f>
        <v>سه شنبه</v>
      </c>
      <c r="H1879" s="165">
        <f>IFERROR(IF(E1878&lt;&gt;E1879,1,INT(H1878)+IF(TDays[[#This Row],[کد روز هفته]]=0,1,0)),1)</f>
        <v>4</v>
      </c>
      <c r="I1879" s="164">
        <f>-SUMIF(TArticle[تاریخ],TDays[[#This Row],[تاریخ]],TArticle[هزینه])</f>
        <v>0</v>
      </c>
      <c r="J1879" s="164">
        <f>SUMIF(TArticle[تاریخ],TDays[[#This Row],[تاریخ]],TArticle[درآمد تتا])</f>
        <v>0</v>
      </c>
      <c r="K1879" s="164">
        <f>SUMIF(TArticle[تاریخ],TDays[[#This Row],[تاریخ]],TArticle[اسنپ])</f>
        <v>0</v>
      </c>
      <c r="L1879" s="164">
        <f>-SUMIF(TArticle[تاریخ],TDays[[#This Row],[تاریخ]],TArticle[پرداخت بدهی])</f>
        <v>0</v>
      </c>
      <c r="M1879" s="164">
        <f>SUMIF(TArticle[تاریخ],TDays[[#This Row],[تاریخ]],TArticle[افزایش بدهی])</f>
        <v>0</v>
      </c>
      <c r="N1879" s="164">
        <f>-SUMIF(TArticle[تاریخ],TDays[[#This Row],[تاریخ]],TArticle[افزایش سرمایه])</f>
        <v>0</v>
      </c>
      <c r="O1879" s="164">
        <f>SUMIF(TArticle[تاریخ],TDays[[#This Row],[تاریخ]],TArticle[تعداد تراکنش انجام شده])</f>
        <v>0</v>
      </c>
      <c r="P1879" s="164">
        <f>INT(((TDays[[#This Row],[ماه]]-1)*31+TDays[[#This Row],[روز]]+1)/7)+1</f>
        <v>8</v>
      </c>
      <c r="Q1879" s="164">
        <f>SUMIF(TArticle[تاریخ],TDays[[#This Row],[تاریخ]],TArticle[تراکنش برنامه ریزی شده])</f>
        <v>0</v>
      </c>
    </row>
    <row r="1880" spans="1:17" x14ac:dyDescent="0.25">
      <c r="A1880" s="3" t="s">
        <v>2496</v>
      </c>
      <c r="B1880" s="164" t="str">
        <f>RIGHT(TDays[[#This Row],[تاریخ]],2)</f>
        <v>23</v>
      </c>
      <c r="C1880" s="164" t="str">
        <f>RIGHT(LEFT(TDays[[#This Row],[تاریخ]],7),2)</f>
        <v>02</v>
      </c>
      <c r="D1880" s="164" t="str">
        <f>LEFT(TDays[[#This Row],[تاریخ]],4)</f>
        <v>1406</v>
      </c>
      <c r="E1880" s="164" t="str">
        <f>LEFT(TDays[[#This Row],[تاریخ]],7)</f>
        <v>1406-02</v>
      </c>
      <c r="F1880" s="164">
        <v>4</v>
      </c>
      <c r="G1880" s="165" t="str">
        <f>VLOOKUP(TDays[[#This Row],[کد روز هفته]],TDaysOfTheWeek[],2,FALSE)</f>
        <v>چهارشنبه</v>
      </c>
      <c r="H1880" s="165">
        <f>IFERROR(IF(E1879&lt;&gt;E1880,1,INT(H1879)+IF(TDays[[#This Row],[کد روز هفته]]=0,1,0)),1)</f>
        <v>4</v>
      </c>
      <c r="I1880" s="164">
        <f>-SUMIF(TArticle[تاریخ],TDays[[#This Row],[تاریخ]],TArticle[هزینه])</f>
        <v>0</v>
      </c>
      <c r="J1880" s="164">
        <f>SUMIF(TArticle[تاریخ],TDays[[#This Row],[تاریخ]],TArticle[درآمد تتا])</f>
        <v>0</v>
      </c>
      <c r="K1880" s="164">
        <f>SUMIF(TArticle[تاریخ],TDays[[#This Row],[تاریخ]],TArticle[اسنپ])</f>
        <v>0</v>
      </c>
      <c r="L1880" s="164">
        <f>-SUMIF(TArticle[تاریخ],TDays[[#This Row],[تاریخ]],TArticle[پرداخت بدهی])</f>
        <v>0</v>
      </c>
      <c r="M1880" s="164">
        <f>SUMIF(TArticle[تاریخ],TDays[[#This Row],[تاریخ]],TArticle[افزایش بدهی])</f>
        <v>0</v>
      </c>
      <c r="N1880" s="164">
        <f>-SUMIF(TArticle[تاریخ],TDays[[#This Row],[تاریخ]],TArticle[افزایش سرمایه])</f>
        <v>0</v>
      </c>
      <c r="O1880" s="164">
        <f>SUMIF(TArticle[تاریخ],TDays[[#This Row],[تاریخ]],TArticle[تعداد تراکنش انجام شده])</f>
        <v>0</v>
      </c>
      <c r="P1880" s="164">
        <f>INT(((TDays[[#This Row],[ماه]]-1)*31+TDays[[#This Row],[روز]]+1)/7)+1</f>
        <v>8</v>
      </c>
      <c r="Q1880" s="164">
        <f>SUMIF(TArticle[تاریخ],TDays[[#This Row],[تاریخ]],TArticle[تراکنش برنامه ریزی شده])</f>
        <v>0</v>
      </c>
    </row>
    <row r="1881" spans="1:17" x14ac:dyDescent="0.25">
      <c r="A1881" s="3" t="s">
        <v>2497</v>
      </c>
      <c r="B1881" s="164" t="str">
        <f>RIGHT(TDays[[#This Row],[تاریخ]],2)</f>
        <v>24</v>
      </c>
      <c r="C1881" s="164" t="str">
        <f>RIGHT(LEFT(TDays[[#This Row],[تاریخ]],7),2)</f>
        <v>02</v>
      </c>
      <c r="D1881" s="164" t="str">
        <f>LEFT(TDays[[#This Row],[تاریخ]],4)</f>
        <v>1406</v>
      </c>
      <c r="E1881" s="164" t="str">
        <f>LEFT(TDays[[#This Row],[تاریخ]],7)</f>
        <v>1406-02</v>
      </c>
      <c r="F1881">
        <v>5</v>
      </c>
      <c r="G1881" s="165" t="str">
        <f>VLOOKUP(TDays[[#This Row],[کد روز هفته]],TDaysOfTheWeek[],2,FALSE)</f>
        <v>پنجشنبه</v>
      </c>
      <c r="H1881" s="165">
        <f>IFERROR(IF(E1880&lt;&gt;E1881,1,INT(H1880)+IF(TDays[[#This Row],[کد روز هفته]]=0,1,0)),1)</f>
        <v>4</v>
      </c>
      <c r="I1881" s="164">
        <f>-SUMIF(TArticle[تاریخ],TDays[[#This Row],[تاریخ]],TArticle[هزینه])</f>
        <v>0</v>
      </c>
      <c r="J1881" s="164">
        <f>SUMIF(TArticle[تاریخ],TDays[[#This Row],[تاریخ]],TArticle[درآمد تتا])</f>
        <v>0</v>
      </c>
      <c r="K1881" s="164">
        <f>SUMIF(TArticle[تاریخ],TDays[[#This Row],[تاریخ]],TArticle[اسنپ])</f>
        <v>0</v>
      </c>
      <c r="L1881" s="164">
        <f>-SUMIF(TArticle[تاریخ],TDays[[#This Row],[تاریخ]],TArticle[پرداخت بدهی])</f>
        <v>0</v>
      </c>
      <c r="M1881" s="164">
        <f>SUMIF(TArticle[تاریخ],TDays[[#This Row],[تاریخ]],TArticle[افزایش بدهی])</f>
        <v>0</v>
      </c>
      <c r="N1881" s="164">
        <f>-SUMIF(TArticle[تاریخ],TDays[[#This Row],[تاریخ]],TArticle[افزایش سرمایه])</f>
        <v>0</v>
      </c>
      <c r="O1881" s="164">
        <f>SUMIF(TArticle[تاریخ],TDays[[#This Row],[تاریخ]],TArticle[تعداد تراکنش انجام شده])</f>
        <v>0</v>
      </c>
      <c r="P1881" s="164">
        <f>INT(((TDays[[#This Row],[ماه]]-1)*31+TDays[[#This Row],[روز]]+1)/7)+1</f>
        <v>9</v>
      </c>
      <c r="Q1881" s="164">
        <f>SUMIF(TArticle[تاریخ],TDays[[#This Row],[تاریخ]],TArticle[تراکنش برنامه ریزی شده])</f>
        <v>0</v>
      </c>
    </row>
    <row r="1882" spans="1:17" x14ac:dyDescent="0.25">
      <c r="A1882" s="3" t="s">
        <v>2498</v>
      </c>
      <c r="B1882" s="164" t="str">
        <f>RIGHT(TDays[[#This Row],[تاریخ]],2)</f>
        <v>25</v>
      </c>
      <c r="C1882" s="164" t="str">
        <f>RIGHT(LEFT(TDays[[#This Row],[تاریخ]],7),2)</f>
        <v>02</v>
      </c>
      <c r="D1882" s="164" t="str">
        <f>LEFT(TDays[[#This Row],[تاریخ]],4)</f>
        <v>1406</v>
      </c>
      <c r="E1882" s="164" t="str">
        <f>LEFT(TDays[[#This Row],[تاریخ]],7)</f>
        <v>1406-02</v>
      </c>
      <c r="F1882">
        <v>6</v>
      </c>
      <c r="G1882" s="165" t="str">
        <f>VLOOKUP(TDays[[#This Row],[کد روز هفته]],TDaysOfTheWeek[],2,FALSE)</f>
        <v>جمعه</v>
      </c>
      <c r="H1882" s="165">
        <f>IFERROR(IF(E1881&lt;&gt;E1882,1,INT(H1881)+IF(TDays[[#This Row],[کد روز هفته]]=0,1,0)),1)</f>
        <v>4</v>
      </c>
      <c r="I1882" s="164">
        <f>-SUMIF(TArticle[تاریخ],TDays[[#This Row],[تاریخ]],TArticle[هزینه])</f>
        <v>0</v>
      </c>
      <c r="J1882" s="164">
        <f>SUMIF(TArticle[تاریخ],TDays[[#This Row],[تاریخ]],TArticle[درآمد تتا])</f>
        <v>0</v>
      </c>
      <c r="K1882" s="164">
        <f>SUMIF(TArticle[تاریخ],TDays[[#This Row],[تاریخ]],TArticle[اسنپ])</f>
        <v>0</v>
      </c>
      <c r="L1882" s="164">
        <f>-SUMIF(TArticle[تاریخ],TDays[[#This Row],[تاریخ]],TArticle[پرداخت بدهی])</f>
        <v>0</v>
      </c>
      <c r="M1882" s="164">
        <f>SUMIF(TArticle[تاریخ],TDays[[#This Row],[تاریخ]],TArticle[افزایش بدهی])</f>
        <v>0</v>
      </c>
      <c r="N1882" s="164">
        <f>-SUMIF(TArticle[تاریخ],TDays[[#This Row],[تاریخ]],TArticle[افزایش سرمایه])</f>
        <v>0</v>
      </c>
      <c r="O1882" s="164">
        <f>SUMIF(TArticle[تاریخ],TDays[[#This Row],[تاریخ]],TArticle[تعداد تراکنش انجام شده])</f>
        <v>0</v>
      </c>
      <c r="P1882" s="164">
        <f>INT(((TDays[[#This Row],[ماه]]-1)*31+TDays[[#This Row],[روز]]+1)/7)+1</f>
        <v>9</v>
      </c>
      <c r="Q1882" s="164">
        <f>SUMIF(TArticle[تاریخ],TDays[[#This Row],[تاریخ]],TArticle[تراکنش برنامه ریزی شده])</f>
        <v>0</v>
      </c>
    </row>
    <row r="1883" spans="1:17" x14ac:dyDescent="0.25">
      <c r="A1883" s="3" t="s">
        <v>2499</v>
      </c>
      <c r="B1883" s="164" t="str">
        <f>RIGHT(TDays[[#This Row],[تاریخ]],2)</f>
        <v>26</v>
      </c>
      <c r="C1883" s="164" t="str">
        <f>RIGHT(LEFT(TDays[[#This Row],[تاریخ]],7),2)</f>
        <v>02</v>
      </c>
      <c r="D1883" s="164" t="str">
        <f>LEFT(TDays[[#This Row],[تاریخ]],4)</f>
        <v>1406</v>
      </c>
      <c r="E1883" s="164" t="str">
        <f>LEFT(TDays[[#This Row],[تاریخ]],7)</f>
        <v>1406-02</v>
      </c>
      <c r="F1883">
        <v>0</v>
      </c>
      <c r="G1883" s="165" t="str">
        <f>VLOOKUP(TDays[[#This Row],[کد روز هفته]],TDaysOfTheWeek[],2,FALSE)</f>
        <v>شنبه</v>
      </c>
      <c r="H1883" s="165">
        <f>IFERROR(IF(E1882&lt;&gt;E1883,1,INT(H1882)+IF(TDays[[#This Row],[کد روز هفته]]=0,1,0)),1)</f>
        <v>5</v>
      </c>
      <c r="I1883" s="164">
        <f>-SUMIF(TArticle[تاریخ],TDays[[#This Row],[تاریخ]],TArticle[هزینه])</f>
        <v>0</v>
      </c>
      <c r="J1883" s="164">
        <f>SUMIF(TArticle[تاریخ],TDays[[#This Row],[تاریخ]],TArticle[درآمد تتا])</f>
        <v>0</v>
      </c>
      <c r="K1883" s="164">
        <f>SUMIF(TArticle[تاریخ],TDays[[#This Row],[تاریخ]],TArticle[اسنپ])</f>
        <v>0</v>
      </c>
      <c r="L1883" s="164">
        <f>-SUMIF(TArticle[تاریخ],TDays[[#This Row],[تاریخ]],TArticle[پرداخت بدهی])</f>
        <v>0</v>
      </c>
      <c r="M1883" s="164">
        <f>SUMIF(TArticle[تاریخ],TDays[[#This Row],[تاریخ]],TArticle[افزایش بدهی])</f>
        <v>0</v>
      </c>
      <c r="N1883" s="164">
        <f>-SUMIF(TArticle[تاریخ],TDays[[#This Row],[تاریخ]],TArticle[افزایش سرمایه])</f>
        <v>0</v>
      </c>
      <c r="O1883" s="164">
        <f>SUMIF(TArticle[تاریخ],TDays[[#This Row],[تاریخ]],TArticle[تعداد تراکنش انجام شده])</f>
        <v>0</v>
      </c>
      <c r="P1883" s="164">
        <f>INT(((TDays[[#This Row],[ماه]]-1)*31+TDays[[#This Row],[روز]]+1)/7)+1</f>
        <v>9</v>
      </c>
      <c r="Q1883" s="164">
        <f>SUMIF(TArticle[تاریخ],TDays[[#This Row],[تاریخ]],TArticle[تراکنش برنامه ریزی شده])</f>
        <v>0</v>
      </c>
    </row>
    <row r="1884" spans="1:17" x14ac:dyDescent="0.25">
      <c r="A1884" s="3" t="s">
        <v>2500</v>
      </c>
      <c r="B1884" s="164" t="str">
        <f>RIGHT(TDays[[#This Row],[تاریخ]],2)</f>
        <v>27</v>
      </c>
      <c r="C1884" s="164" t="str">
        <f>RIGHT(LEFT(TDays[[#This Row],[تاریخ]],7),2)</f>
        <v>02</v>
      </c>
      <c r="D1884" s="164" t="str">
        <f>LEFT(TDays[[#This Row],[تاریخ]],4)</f>
        <v>1406</v>
      </c>
      <c r="E1884" s="164" t="str">
        <f>LEFT(TDays[[#This Row],[تاریخ]],7)</f>
        <v>1406-02</v>
      </c>
      <c r="F1884">
        <v>1</v>
      </c>
      <c r="G1884" s="165" t="str">
        <f>VLOOKUP(TDays[[#This Row],[کد روز هفته]],TDaysOfTheWeek[],2,FALSE)</f>
        <v>یکشنبه</v>
      </c>
      <c r="H1884" s="165">
        <f>IFERROR(IF(E1883&lt;&gt;E1884,1,INT(H1883)+IF(TDays[[#This Row],[کد روز هفته]]=0,1,0)),1)</f>
        <v>5</v>
      </c>
      <c r="I1884" s="164">
        <f>-SUMIF(TArticle[تاریخ],TDays[[#This Row],[تاریخ]],TArticle[هزینه])</f>
        <v>0</v>
      </c>
      <c r="J1884" s="164">
        <f>SUMIF(TArticle[تاریخ],TDays[[#This Row],[تاریخ]],TArticle[درآمد تتا])</f>
        <v>0</v>
      </c>
      <c r="K1884" s="164">
        <f>SUMIF(TArticle[تاریخ],TDays[[#This Row],[تاریخ]],TArticle[اسنپ])</f>
        <v>0</v>
      </c>
      <c r="L1884" s="164">
        <f>-SUMIF(TArticle[تاریخ],TDays[[#This Row],[تاریخ]],TArticle[پرداخت بدهی])</f>
        <v>0</v>
      </c>
      <c r="M1884" s="164">
        <f>SUMIF(TArticle[تاریخ],TDays[[#This Row],[تاریخ]],TArticle[افزایش بدهی])</f>
        <v>0</v>
      </c>
      <c r="N1884" s="164">
        <f>-SUMIF(TArticle[تاریخ],TDays[[#This Row],[تاریخ]],TArticle[افزایش سرمایه])</f>
        <v>0</v>
      </c>
      <c r="O1884" s="164">
        <f>SUMIF(TArticle[تاریخ],TDays[[#This Row],[تاریخ]],TArticle[تعداد تراکنش انجام شده])</f>
        <v>0</v>
      </c>
      <c r="P1884" s="164">
        <f>INT(((TDays[[#This Row],[ماه]]-1)*31+TDays[[#This Row],[روز]]+1)/7)+1</f>
        <v>9</v>
      </c>
      <c r="Q1884" s="164">
        <f>SUMIF(TArticle[تاریخ],TDays[[#This Row],[تاریخ]],TArticle[تراکنش برنامه ریزی شده])</f>
        <v>0</v>
      </c>
    </row>
    <row r="1885" spans="1:17" x14ac:dyDescent="0.25">
      <c r="A1885" s="3" t="s">
        <v>2501</v>
      </c>
      <c r="B1885" s="164" t="str">
        <f>RIGHT(TDays[[#This Row],[تاریخ]],2)</f>
        <v>28</v>
      </c>
      <c r="C1885" s="164" t="str">
        <f>RIGHT(LEFT(TDays[[#This Row],[تاریخ]],7),2)</f>
        <v>02</v>
      </c>
      <c r="D1885" s="164" t="str">
        <f>LEFT(TDays[[#This Row],[تاریخ]],4)</f>
        <v>1406</v>
      </c>
      <c r="E1885" s="164" t="str">
        <f>LEFT(TDays[[#This Row],[تاریخ]],7)</f>
        <v>1406-02</v>
      </c>
      <c r="F1885">
        <v>2</v>
      </c>
      <c r="G1885" s="165" t="str">
        <f>VLOOKUP(TDays[[#This Row],[کد روز هفته]],TDaysOfTheWeek[],2,FALSE)</f>
        <v>دوشنبه</v>
      </c>
      <c r="H1885" s="165">
        <f>IFERROR(IF(E1884&lt;&gt;E1885,1,INT(H1884)+IF(TDays[[#This Row],[کد روز هفته]]=0,1,0)),1)</f>
        <v>5</v>
      </c>
      <c r="I1885" s="164">
        <f>-SUMIF(TArticle[تاریخ],TDays[[#This Row],[تاریخ]],TArticle[هزینه])</f>
        <v>0</v>
      </c>
      <c r="J1885" s="164">
        <f>SUMIF(TArticle[تاریخ],TDays[[#This Row],[تاریخ]],TArticle[درآمد تتا])</f>
        <v>0</v>
      </c>
      <c r="K1885" s="164">
        <f>SUMIF(TArticle[تاریخ],TDays[[#This Row],[تاریخ]],TArticle[اسنپ])</f>
        <v>0</v>
      </c>
      <c r="L1885" s="164">
        <f>-SUMIF(TArticle[تاریخ],TDays[[#This Row],[تاریخ]],TArticle[پرداخت بدهی])</f>
        <v>0</v>
      </c>
      <c r="M1885" s="164">
        <f>SUMIF(TArticle[تاریخ],TDays[[#This Row],[تاریخ]],TArticle[افزایش بدهی])</f>
        <v>0</v>
      </c>
      <c r="N1885" s="164">
        <f>-SUMIF(TArticle[تاریخ],TDays[[#This Row],[تاریخ]],TArticle[افزایش سرمایه])</f>
        <v>0</v>
      </c>
      <c r="O1885" s="164">
        <f>SUMIF(TArticle[تاریخ],TDays[[#This Row],[تاریخ]],TArticle[تعداد تراکنش انجام شده])</f>
        <v>0</v>
      </c>
      <c r="P1885" s="164">
        <f>INT(((TDays[[#This Row],[ماه]]-1)*31+TDays[[#This Row],[روز]]+1)/7)+1</f>
        <v>9</v>
      </c>
      <c r="Q1885" s="164">
        <f>SUMIF(TArticle[تاریخ],TDays[[#This Row],[تاریخ]],TArticle[تراکنش برنامه ریزی شده])</f>
        <v>0</v>
      </c>
    </row>
    <row r="1886" spans="1:17" x14ac:dyDescent="0.25">
      <c r="A1886" s="3" t="s">
        <v>2502</v>
      </c>
      <c r="B1886" s="164" t="str">
        <f>RIGHT(TDays[[#This Row],[تاریخ]],2)</f>
        <v>29</v>
      </c>
      <c r="C1886" s="164" t="str">
        <f>RIGHT(LEFT(TDays[[#This Row],[تاریخ]],7),2)</f>
        <v>02</v>
      </c>
      <c r="D1886" s="164" t="str">
        <f>LEFT(TDays[[#This Row],[تاریخ]],4)</f>
        <v>1406</v>
      </c>
      <c r="E1886" s="164" t="str">
        <f>LEFT(TDays[[#This Row],[تاریخ]],7)</f>
        <v>1406-02</v>
      </c>
      <c r="F1886">
        <v>3</v>
      </c>
      <c r="G1886" s="165" t="str">
        <f>VLOOKUP(TDays[[#This Row],[کد روز هفته]],TDaysOfTheWeek[],2,FALSE)</f>
        <v>سه شنبه</v>
      </c>
      <c r="H1886" s="165">
        <f>IFERROR(IF(E1885&lt;&gt;E1886,1,INT(H1885)+IF(TDays[[#This Row],[کد روز هفته]]=0,1,0)),1)</f>
        <v>5</v>
      </c>
      <c r="I1886" s="164">
        <f>-SUMIF(TArticle[تاریخ],TDays[[#This Row],[تاریخ]],TArticle[هزینه])</f>
        <v>0</v>
      </c>
      <c r="J1886" s="164">
        <f>SUMIF(TArticle[تاریخ],TDays[[#This Row],[تاریخ]],TArticle[درآمد تتا])</f>
        <v>0</v>
      </c>
      <c r="K1886" s="164">
        <f>SUMIF(TArticle[تاریخ],TDays[[#This Row],[تاریخ]],TArticle[اسنپ])</f>
        <v>0</v>
      </c>
      <c r="L1886" s="164">
        <f>-SUMIF(TArticle[تاریخ],TDays[[#This Row],[تاریخ]],TArticle[پرداخت بدهی])</f>
        <v>0</v>
      </c>
      <c r="M1886" s="164">
        <f>SUMIF(TArticle[تاریخ],TDays[[#This Row],[تاریخ]],TArticle[افزایش بدهی])</f>
        <v>0</v>
      </c>
      <c r="N1886" s="164">
        <f>-SUMIF(TArticle[تاریخ],TDays[[#This Row],[تاریخ]],TArticle[افزایش سرمایه])</f>
        <v>0</v>
      </c>
      <c r="O1886" s="164">
        <f>SUMIF(TArticle[تاریخ],TDays[[#This Row],[تاریخ]],TArticle[تعداد تراکنش انجام شده])</f>
        <v>0</v>
      </c>
      <c r="P1886" s="164">
        <f>INT(((TDays[[#This Row],[ماه]]-1)*31+TDays[[#This Row],[روز]]+1)/7)+1</f>
        <v>9</v>
      </c>
      <c r="Q1886" s="164">
        <f>SUMIF(TArticle[تاریخ],TDays[[#This Row],[تاریخ]],TArticle[تراکنش برنامه ریزی شده])</f>
        <v>0</v>
      </c>
    </row>
    <row r="1887" spans="1:17" x14ac:dyDescent="0.25">
      <c r="A1887" s="3" t="s">
        <v>2503</v>
      </c>
      <c r="B1887" s="164" t="str">
        <f>RIGHT(TDays[[#This Row],[تاریخ]],2)</f>
        <v>30</v>
      </c>
      <c r="C1887" s="164" t="str">
        <f>RIGHT(LEFT(TDays[[#This Row],[تاریخ]],7),2)</f>
        <v>02</v>
      </c>
      <c r="D1887" s="164" t="str">
        <f>LEFT(TDays[[#This Row],[تاریخ]],4)</f>
        <v>1406</v>
      </c>
      <c r="E1887" s="164" t="str">
        <f>LEFT(TDays[[#This Row],[تاریخ]],7)</f>
        <v>1406-02</v>
      </c>
      <c r="F1887">
        <v>4</v>
      </c>
      <c r="G1887" s="165" t="str">
        <f>VLOOKUP(TDays[[#This Row],[کد روز هفته]],TDaysOfTheWeek[],2,FALSE)</f>
        <v>چهارشنبه</v>
      </c>
      <c r="H1887" s="165">
        <f>IFERROR(IF(E1886&lt;&gt;E1887,1,INT(H1886)+IF(TDays[[#This Row],[کد روز هفته]]=0,1,0)),1)</f>
        <v>5</v>
      </c>
      <c r="I1887" s="164">
        <f>-SUMIF(TArticle[تاریخ],TDays[[#This Row],[تاریخ]],TArticle[هزینه])</f>
        <v>0</v>
      </c>
      <c r="J1887" s="164">
        <f>SUMIF(TArticle[تاریخ],TDays[[#This Row],[تاریخ]],TArticle[درآمد تتا])</f>
        <v>0</v>
      </c>
      <c r="K1887" s="164">
        <f>SUMIF(TArticle[تاریخ],TDays[[#This Row],[تاریخ]],TArticle[اسنپ])</f>
        <v>0</v>
      </c>
      <c r="L1887" s="164">
        <f>-SUMIF(TArticle[تاریخ],TDays[[#This Row],[تاریخ]],TArticle[پرداخت بدهی])</f>
        <v>0</v>
      </c>
      <c r="M1887" s="164">
        <f>SUMIF(TArticle[تاریخ],TDays[[#This Row],[تاریخ]],TArticle[افزایش بدهی])</f>
        <v>0</v>
      </c>
      <c r="N1887" s="164">
        <f>-SUMIF(TArticle[تاریخ],TDays[[#This Row],[تاریخ]],TArticle[افزایش سرمایه])</f>
        <v>0</v>
      </c>
      <c r="O1887" s="164">
        <f>SUMIF(TArticle[تاریخ],TDays[[#This Row],[تاریخ]],TArticle[تعداد تراکنش انجام شده])</f>
        <v>0</v>
      </c>
      <c r="P1887" s="164">
        <f>INT(((TDays[[#This Row],[ماه]]-1)*31+TDays[[#This Row],[روز]]+1)/7)+1</f>
        <v>9</v>
      </c>
      <c r="Q1887" s="164">
        <f>SUMIF(TArticle[تاریخ],TDays[[#This Row],[تاریخ]],TArticle[تراکنش برنامه ریزی شده])</f>
        <v>0</v>
      </c>
    </row>
    <row r="1888" spans="1:17" x14ac:dyDescent="0.25">
      <c r="A1888" s="3" t="s">
        <v>2504</v>
      </c>
      <c r="B1888" s="164" t="str">
        <f>RIGHT(TDays[[#This Row],[تاریخ]],2)</f>
        <v>31</v>
      </c>
      <c r="C1888" s="164" t="str">
        <f>RIGHT(LEFT(TDays[[#This Row],[تاریخ]],7),2)</f>
        <v>02</v>
      </c>
      <c r="D1888" s="164" t="str">
        <f>LEFT(TDays[[#This Row],[تاریخ]],4)</f>
        <v>1406</v>
      </c>
      <c r="E1888" s="164" t="str">
        <f>LEFT(TDays[[#This Row],[تاریخ]],7)</f>
        <v>1406-02</v>
      </c>
      <c r="F1888">
        <v>5</v>
      </c>
      <c r="G1888" s="165" t="str">
        <f>VLOOKUP(TDays[[#This Row],[کد روز هفته]],TDaysOfTheWeek[],2,FALSE)</f>
        <v>پنجشنبه</v>
      </c>
      <c r="H1888" s="165">
        <f>IFERROR(IF(E1887&lt;&gt;E1888,1,INT(H1887)+IF(TDays[[#This Row],[کد روز هفته]]=0,1,0)),1)</f>
        <v>5</v>
      </c>
      <c r="I1888" s="164">
        <f>-SUMIF(TArticle[تاریخ],TDays[[#This Row],[تاریخ]],TArticle[هزینه])</f>
        <v>0</v>
      </c>
      <c r="J1888" s="164">
        <f>SUMIF(TArticle[تاریخ],TDays[[#This Row],[تاریخ]],TArticle[درآمد تتا])</f>
        <v>0</v>
      </c>
      <c r="K1888" s="164">
        <f>SUMIF(TArticle[تاریخ],TDays[[#This Row],[تاریخ]],TArticle[اسنپ])</f>
        <v>0</v>
      </c>
      <c r="L1888" s="164">
        <f>-SUMIF(TArticle[تاریخ],TDays[[#This Row],[تاریخ]],TArticle[پرداخت بدهی])</f>
        <v>0</v>
      </c>
      <c r="M1888" s="164">
        <f>SUMIF(TArticle[تاریخ],TDays[[#This Row],[تاریخ]],TArticle[افزایش بدهی])</f>
        <v>0</v>
      </c>
      <c r="N1888" s="164">
        <f>-SUMIF(TArticle[تاریخ],TDays[[#This Row],[تاریخ]],TArticle[افزایش سرمایه])</f>
        <v>0</v>
      </c>
      <c r="O1888" s="164">
        <f>SUMIF(TArticle[تاریخ],TDays[[#This Row],[تاریخ]],TArticle[تعداد تراکنش انجام شده])</f>
        <v>0</v>
      </c>
      <c r="P1888" s="164">
        <f>INT(((TDays[[#This Row],[ماه]]-1)*31+TDays[[#This Row],[روز]]+1)/7)+1</f>
        <v>10</v>
      </c>
      <c r="Q1888" s="164">
        <f>SUMIF(TArticle[تاریخ],TDays[[#This Row],[تاریخ]],TArticle[تراکنش برنامه ریزی شده])</f>
        <v>0</v>
      </c>
    </row>
    <row r="1889" spans="1:17" x14ac:dyDescent="0.25">
      <c r="A1889" s="3" t="s">
        <v>2505</v>
      </c>
      <c r="B1889" s="164" t="str">
        <f>RIGHT(TDays[[#This Row],[تاریخ]],2)</f>
        <v>01</v>
      </c>
      <c r="C1889" s="164" t="str">
        <f>RIGHT(LEFT(TDays[[#This Row],[تاریخ]],7),2)</f>
        <v>03</v>
      </c>
      <c r="D1889" s="164" t="str">
        <f>LEFT(TDays[[#This Row],[تاریخ]],4)</f>
        <v>1406</v>
      </c>
      <c r="E1889" s="164" t="str">
        <f>LEFT(TDays[[#This Row],[تاریخ]],7)</f>
        <v>1406-03</v>
      </c>
      <c r="F1889">
        <v>6</v>
      </c>
      <c r="G1889" s="165" t="str">
        <f>VLOOKUP(TDays[[#This Row],[کد روز هفته]],TDaysOfTheWeek[],2,FALSE)</f>
        <v>جمعه</v>
      </c>
      <c r="H1889" s="165">
        <f>IFERROR(IF(E1888&lt;&gt;E1889,1,INT(H1888)+IF(TDays[[#This Row],[کد روز هفته]]=0,1,0)),1)</f>
        <v>1</v>
      </c>
      <c r="I1889" s="164">
        <f>-SUMIF(TArticle[تاریخ],TDays[[#This Row],[تاریخ]],TArticle[هزینه])</f>
        <v>0</v>
      </c>
      <c r="J1889" s="164">
        <f>SUMIF(TArticle[تاریخ],TDays[[#This Row],[تاریخ]],TArticle[درآمد تتا])</f>
        <v>0</v>
      </c>
      <c r="K1889" s="164">
        <f>SUMIF(TArticle[تاریخ],TDays[[#This Row],[تاریخ]],TArticle[اسنپ])</f>
        <v>0</v>
      </c>
      <c r="L1889" s="164">
        <f>-SUMIF(TArticle[تاریخ],TDays[[#This Row],[تاریخ]],TArticle[پرداخت بدهی])</f>
        <v>0</v>
      </c>
      <c r="M1889" s="164">
        <f>SUMIF(TArticle[تاریخ],TDays[[#This Row],[تاریخ]],TArticle[افزایش بدهی])</f>
        <v>0</v>
      </c>
      <c r="N1889" s="164">
        <f>-SUMIF(TArticle[تاریخ],TDays[[#This Row],[تاریخ]],TArticle[افزایش سرمایه])</f>
        <v>0</v>
      </c>
      <c r="O1889" s="164">
        <f>SUMIF(TArticle[تاریخ],TDays[[#This Row],[تاریخ]],TArticle[تعداد تراکنش انجام شده])</f>
        <v>0</v>
      </c>
      <c r="P1889" s="164">
        <f>INT(((TDays[[#This Row],[ماه]]-1)*31+TDays[[#This Row],[روز]]+1)/7)+1</f>
        <v>10</v>
      </c>
      <c r="Q1889" s="164">
        <f>SUMIF(TArticle[تاریخ],TDays[[#This Row],[تاریخ]],TArticle[تراکنش برنامه ریزی شده])</f>
        <v>0</v>
      </c>
    </row>
    <row r="1890" spans="1:17" x14ac:dyDescent="0.25">
      <c r="A1890" s="3" t="s">
        <v>2506</v>
      </c>
      <c r="B1890" s="164" t="str">
        <f>RIGHT(TDays[[#This Row],[تاریخ]],2)</f>
        <v>02</v>
      </c>
      <c r="C1890" s="164" t="str">
        <f>RIGHT(LEFT(TDays[[#This Row],[تاریخ]],7),2)</f>
        <v>03</v>
      </c>
      <c r="D1890" s="164" t="str">
        <f>LEFT(TDays[[#This Row],[تاریخ]],4)</f>
        <v>1406</v>
      </c>
      <c r="E1890" s="164" t="str">
        <f>LEFT(TDays[[#This Row],[تاریخ]],7)</f>
        <v>1406-03</v>
      </c>
      <c r="F1890">
        <v>0</v>
      </c>
      <c r="G1890" s="165" t="str">
        <f>VLOOKUP(TDays[[#This Row],[کد روز هفته]],TDaysOfTheWeek[],2,FALSE)</f>
        <v>شنبه</v>
      </c>
      <c r="H1890" s="165">
        <f>IFERROR(IF(E1889&lt;&gt;E1890,1,INT(H1889)+IF(TDays[[#This Row],[کد روز هفته]]=0,1,0)),1)</f>
        <v>2</v>
      </c>
      <c r="I1890" s="164">
        <f>-SUMIF(TArticle[تاریخ],TDays[[#This Row],[تاریخ]],TArticle[هزینه])</f>
        <v>0</v>
      </c>
      <c r="J1890" s="164">
        <f>SUMIF(TArticle[تاریخ],TDays[[#This Row],[تاریخ]],TArticle[درآمد تتا])</f>
        <v>0</v>
      </c>
      <c r="K1890" s="164">
        <f>SUMIF(TArticle[تاریخ],TDays[[#This Row],[تاریخ]],TArticle[اسنپ])</f>
        <v>0</v>
      </c>
      <c r="L1890" s="164">
        <f>-SUMIF(TArticle[تاریخ],TDays[[#This Row],[تاریخ]],TArticle[پرداخت بدهی])</f>
        <v>0</v>
      </c>
      <c r="M1890" s="164">
        <f>SUMIF(TArticle[تاریخ],TDays[[#This Row],[تاریخ]],TArticle[افزایش بدهی])</f>
        <v>0</v>
      </c>
      <c r="N1890" s="164">
        <f>-SUMIF(TArticle[تاریخ],TDays[[#This Row],[تاریخ]],TArticle[افزایش سرمایه])</f>
        <v>0</v>
      </c>
      <c r="O1890" s="164">
        <f>SUMIF(TArticle[تاریخ],TDays[[#This Row],[تاریخ]],TArticle[تعداد تراکنش انجام شده])</f>
        <v>0</v>
      </c>
      <c r="P1890" s="164">
        <f>INT(((TDays[[#This Row],[ماه]]-1)*31+TDays[[#This Row],[روز]]+1)/7)+1</f>
        <v>10</v>
      </c>
      <c r="Q1890" s="164">
        <f>SUMIF(TArticle[تاریخ],TDays[[#This Row],[تاریخ]],TArticle[تراکنش برنامه ریزی شده])</f>
        <v>0</v>
      </c>
    </row>
    <row r="1891" spans="1:17" x14ac:dyDescent="0.25">
      <c r="A1891" s="3" t="s">
        <v>2507</v>
      </c>
      <c r="B1891" s="164" t="str">
        <f>RIGHT(TDays[[#This Row],[تاریخ]],2)</f>
        <v>03</v>
      </c>
      <c r="C1891" s="164" t="str">
        <f>RIGHT(LEFT(TDays[[#This Row],[تاریخ]],7),2)</f>
        <v>03</v>
      </c>
      <c r="D1891" s="164" t="str">
        <f>LEFT(TDays[[#This Row],[تاریخ]],4)</f>
        <v>1406</v>
      </c>
      <c r="E1891" s="164" t="str">
        <f>LEFT(TDays[[#This Row],[تاریخ]],7)</f>
        <v>1406-03</v>
      </c>
      <c r="F1891">
        <v>1</v>
      </c>
      <c r="G1891" s="165" t="str">
        <f>VLOOKUP(TDays[[#This Row],[کد روز هفته]],TDaysOfTheWeek[],2,FALSE)</f>
        <v>یکشنبه</v>
      </c>
      <c r="H1891" s="165">
        <f>IFERROR(IF(E1890&lt;&gt;E1891,1,INT(H1890)+IF(TDays[[#This Row],[کد روز هفته]]=0,1,0)),1)</f>
        <v>2</v>
      </c>
      <c r="I1891" s="164">
        <f>-SUMIF(TArticle[تاریخ],TDays[[#This Row],[تاریخ]],TArticle[هزینه])</f>
        <v>0</v>
      </c>
      <c r="J1891" s="164">
        <f>SUMIF(TArticle[تاریخ],TDays[[#This Row],[تاریخ]],TArticle[درآمد تتا])</f>
        <v>0</v>
      </c>
      <c r="K1891" s="164">
        <f>SUMIF(TArticle[تاریخ],TDays[[#This Row],[تاریخ]],TArticle[اسنپ])</f>
        <v>0</v>
      </c>
      <c r="L1891" s="164">
        <f>-SUMIF(TArticle[تاریخ],TDays[[#This Row],[تاریخ]],TArticle[پرداخت بدهی])</f>
        <v>0</v>
      </c>
      <c r="M1891" s="164">
        <f>SUMIF(TArticle[تاریخ],TDays[[#This Row],[تاریخ]],TArticle[افزایش بدهی])</f>
        <v>0</v>
      </c>
      <c r="N1891" s="164">
        <f>-SUMIF(TArticle[تاریخ],TDays[[#This Row],[تاریخ]],TArticle[افزایش سرمایه])</f>
        <v>0</v>
      </c>
      <c r="O1891" s="164">
        <f>SUMIF(TArticle[تاریخ],TDays[[#This Row],[تاریخ]],TArticle[تعداد تراکنش انجام شده])</f>
        <v>0</v>
      </c>
      <c r="P1891" s="164">
        <f>INT(((TDays[[#This Row],[ماه]]-1)*31+TDays[[#This Row],[روز]]+1)/7)+1</f>
        <v>10</v>
      </c>
      <c r="Q1891" s="164">
        <f>SUMIF(TArticle[تاریخ],TDays[[#This Row],[تاریخ]],TArticle[تراکنش برنامه ریزی شده])</f>
        <v>1</v>
      </c>
    </row>
    <row r="1892" spans="1:17" x14ac:dyDescent="0.25">
      <c r="A1892" s="3" t="s">
        <v>2508</v>
      </c>
      <c r="B1892" s="164" t="str">
        <f>RIGHT(TDays[[#This Row],[تاریخ]],2)</f>
        <v>04</v>
      </c>
      <c r="C1892" s="164" t="str">
        <f>RIGHT(LEFT(TDays[[#This Row],[تاریخ]],7),2)</f>
        <v>03</v>
      </c>
      <c r="D1892" s="164" t="str">
        <f>LEFT(TDays[[#This Row],[تاریخ]],4)</f>
        <v>1406</v>
      </c>
      <c r="E1892" s="164" t="str">
        <f>LEFT(TDays[[#This Row],[تاریخ]],7)</f>
        <v>1406-03</v>
      </c>
      <c r="F1892">
        <v>2</v>
      </c>
      <c r="G1892" s="165" t="str">
        <f>VLOOKUP(TDays[[#This Row],[کد روز هفته]],TDaysOfTheWeek[],2,FALSE)</f>
        <v>دوشنبه</v>
      </c>
      <c r="H1892" s="165">
        <f>IFERROR(IF(E1891&lt;&gt;E1892,1,INT(H1891)+IF(TDays[[#This Row],[کد روز هفته]]=0,1,0)),1)</f>
        <v>2</v>
      </c>
      <c r="I1892" s="164">
        <f>-SUMIF(TArticle[تاریخ],TDays[[#This Row],[تاریخ]],TArticle[هزینه])</f>
        <v>0</v>
      </c>
      <c r="J1892" s="164">
        <f>SUMIF(TArticle[تاریخ],TDays[[#This Row],[تاریخ]],TArticle[درآمد تتا])</f>
        <v>0</v>
      </c>
      <c r="K1892" s="164">
        <f>SUMIF(TArticle[تاریخ],TDays[[#This Row],[تاریخ]],TArticle[اسنپ])</f>
        <v>0</v>
      </c>
      <c r="L1892" s="164">
        <f>-SUMIF(TArticle[تاریخ],TDays[[#This Row],[تاریخ]],TArticle[پرداخت بدهی])</f>
        <v>0</v>
      </c>
      <c r="M1892" s="164">
        <f>SUMIF(TArticle[تاریخ],TDays[[#This Row],[تاریخ]],TArticle[افزایش بدهی])</f>
        <v>0</v>
      </c>
      <c r="N1892" s="164">
        <f>-SUMIF(TArticle[تاریخ],TDays[[#This Row],[تاریخ]],TArticle[افزایش سرمایه])</f>
        <v>0</v>
      </c>
      <c r="O1892" s="164">
        <f>SUMIF(TArticle[تاریخ],TDays[[#This Row],[تاریخ]],TArticle[تعداد تراکنش انجام شده])</f>
        <v>0</v>
      </c>
      <c r="P1892" s="164">
        <f>INT(((TDays[[#This Row],[ماه]]-1)*31+TDays[[#This Row],[روز]]+1)/7)+1</f>
        <v>10</v>
      </c>
      <c r="Q1892" s="164">
        <f>SUMIF(TArticle[تاریخ],TDays[[#This Row],[تاریخ]],TArticle[تراکنش برنامه ریزی شده])</f>
        <v>0</v>
      </c>
    </row>
    <row r="1893" spans="1:17" x14ac:dyDescent="0.25">
      <c r="A1893" s="3" t="s">
        <v>2509</v>
      </c>
      <c r="B1893" s="164" t="str">
        <f>RIGHT(TDays[[#This Row],[تاریخ]],2)</f>
        <v>05</v>
      </c>
      <c r="C1893" s="164" t="str">
        <f>RIGHT(LEFT(TDays[[#This Row],[تاریخ]],7),2)</f>
        <v>03</v>
      </c>
      <c r="D1893" s="164" t="str">
        <f>LEFT(TDays[[#This Row],[تاریخ]],4)</f>
        <v>1406</v>
      </c>
      <c r="E1893" s="164" t="str">
        <f>LEFT(TDays[[#This Row],[تاریخ]],7)</f>
        <v>1406-03</v>
      </c>
      <c r="F1893">
        <v>3</v>
      </c>
      <c r="G1893" s="165" t="str">
        <f>VLOOKUP(TDays[[#This Row],[کد روز هفته]],TDaysOfTheWeek[],2,FALSE)</f>
        <v>سه شنبه</v>
      </c>
      <c r="H1893" s="165">
        <f>IFERROR(IF(E1892&lt;&gt;E1893,1,INT(H1892)+IF(TDays[[#This Row],[کد روز هفته]]=0,1,0)),1)</f>
        <v>2</v>
      </c>
      <c r="I1893" s="164">
        <f>-SUMIF(TArticle[تاریخ],TDays[[#This Row],[تاریخ]],TArticle[هزینه])</f>
        <v>0</v>
      </c>
      <c r="J1893" s="164">
        <f>SUMIF(TArticle[تاریخ],TDays[[#This Row],[تاریخ]],TArticle[درآمد تتا])</f>
        <v>0</v>
      </c>
      <c r="K1893" s="164">
        <f>SUMIF(TArticle[تاریخ],TDays[[#This Row],[تاریخ]],TArticle[اسنپ])</f>
        <v>0</v>
      </c>
      <c r="L1893" s="164">
        <f>-SUMIF(TArticle[تاریخ],TDays[[#This Row],[تاریخ]],TArticle[پرداخت بدهی])</f>
        <v>0</v>
      </c>
      <c r="M1893" s="164">
        <f>SUMIF(TArticle[تاریخ],TDays[[#This Row],[تاریخ]],TArticle[افزایش بدهی])</f>
        <v>0</v>
      </c>
      <c r="N1893" s="164">
        <f>-SUMIF(TArticle[تاریخ],TDays[[#This Row],[تاریخ]],TArticle[افزایش سرمایه])</f>
        <v>0</v>
      </c>
      <c r="O1893" s="164">
        <f>SUMIF(TArticle[تاریخ],TDays[[#This Row],[تاریخ]],TArticle[تعداد تراکنش انجام شده])</f>
        <v>0</v>
      </c>
      <c r="P1893" s="164">
        <f>INT(((TDays[[#This Row],[ماه]]-1)*31+TDays[[#This Row],[روز]]+1)/7)+1</f>
        <v>10</v>
      </c>
      <c r="Q1893" s="164">
        <f>SUMIF(TArticle[تاریخ],TDays[[#This Row],[تاریخ]],TArticle[تراکنش برنامه ریزی شده])</f>
        <v>0</v>
      </c>
    </row>
    <row r="1894" spans="1:17" x14ac:dyDescent="0.25">
      <c r="A1894" s="3" t="s">
        <v>2510</v>
      </c>
      <c r="B1894" s="164" t="str">
        <f>RIGHT(TDays[[#This Row],[تاریخ]],2)</f>
        <v>06</v>
      </c>
      <c r="C1894" s="164" t="str">
        <f>RIGHT(LEFT(TDays[[#This Row],[تاریخ]],7),2)</f>
        <v>03</v>
      </c>
      <c r="D1894" s="164" t="str">
        <f>LEFT(TDays[[#This Row],[تاریخ]],4)</f>
        <v>1406</v>
      </c>
      <c r="E1894" s="164" t="str">
        <f>LEFT(TDays[[#This Row],[تاریخ]],7)</f>
        <v>1406-03</v>
      </c>
      <c r="F1894">
        <v>4</v>
      </c>
      <c r="G1894" s="165" t="str">
        <f>VLOOKUP(TDays[[#This Row],[کد روز هفته]],TDaysOfTheWeek[],2,FALSE)</f>
        <v>چهارشنبه</v>
      </c>
      <c r="H1894" s="165">
        <f>IFERROR(IF(E1893&lt;&gt;E1894,1,INT(H1893)+IF(TDays[[#This Row],[کد روز هفته]]=0,1,0)),1)</f>
        <v>2</v>
      </c>
      <c r="I1894" s="164">
        <f>-SUMIF(TArticle[تاریخ],TDays[[#This Row],[تاریخ]],TArticle[هزینه])</f>
        <v>0</v>
      </c>
      <c r="J1894" s="164">
        <f>SUMIF(TArticle[تاریخ],TDays[[#This Row],[تاریخ]],TArticle[درآمد تتا])</f>
        <v>0</v>
      </c>
      <c r="K1894" s="164">
        <f>SUMIF(TArticle[تاریخ],TDays[[#This Row],[تاریخ]],TArticle[اسنپ])</f>
        <v>0</v>
      </c>
      <c r="L1894" s="164">
        <f>-SUMIF(TArticle[تاریخ],TDays[[#This Row],[تاریخ]],TArticle[پرداخت بدهی])</f>
        <v>0</v>
      </c>
      <c r="M1894" s="164">
        <f>SUMIF(TArticle[تاریخ],TDays[[#This Row],[تاریخ]],TArticle[افزایش بدهی])</f>
        <v>0</v>
      </c>
      <c r="N1894" s="164">
        <f>-SUMIF(TArticle[تاریخ],TDays[[#This Row],[تاریخ]],TArticle[افزایش سرمایه])</f>
        <v>0</v>
      </c>
      <c r="O1894" s="164">
        <f>SUMIF(TArticle[تاریخ],TDays[[#This Row],[تاریخ]],TArticle[تعداد تراکنش انجام شده])</f>
        <v>0</v>
      </c>
      <c r="P1894" s="164">
        <f>INT(((TDays[[#This Row],[ماه]]-1)*31+TDays[[#This Row],[روز]]+1)/7)+1</f>
        <v>10</v>
      </c>
      <c r="Q1894" s="164">
        <f>SUMIF(TArticle[تاریخ],TDays[[#This Row],[تاریخ]],TArticle[تراکنش برنامه ریزی شده])</f>
        <v>0</v>
      </c>
    </row>
    <row r="1895" spans="1:17" x14ac:dyDescent="0.25">
      <c r="A1895" s="3" t="s">
        <v>2511</v>
      </c>
      <c r="B1895" s="164" t="str">
        <f>RIGHT(TDays[[#This Row],[تاریخ]],2)</f>
        <v>07</v>
      </c>
      <c r="C1895" s="164" t="str">
        <f>RIGHT(LEFT(TDays[[#This Row],[تاریخ]],7),2)</f>
        <v>03</v>
      </c>
      <c r="D1895" s="164" t="str">
        <f>LEFT(TDays[[#This Row],[تاریخ]],4)</f>
        <v>1406</v>
      </c>
      <c r="E1895" s="164" t="str">
        <f>LEFT(TDays[[#This Row],[تاریخ]],7)</f>
        <v>1406-03</v>
      </c>
      <c r="F1895">
        <v>5</v>
      </c>
      <c r="G1895" s="165" t="str">
        <f>VLOOKUP(TDays[[#This Row],[کد روز هفته]],TDaysOfTheWeek[],2,FALSE)</f>
        <v>پنجشنبه</v>
      </c>
      <c r="H1895" s="165">
        <f>IFERROR(IF(E1894&lt;&gt;E1895,1,INT(H1894)+IF(TDays[[#This Row],[کد روز هفته]]=0,1,0)),1)</f>
        <v>2</v>
      </c>
      <c r="I1895" s="164">
        <f>-SUMIF(TArticle[تاریخ],TDays[[#This Row],[تاریخ]],TArticle[هزینه])</f>
        <v>0</v>
      </c>
      <c r="J1895" s="164">
        <f>SUMIF(TArticle[تاریخ],TDays[[#This Row],[تاریخ]],TArticle[درآمد تتا])</f>
        <v>0</v>
      </c>
      <c r="K1895" s="164">
        <f>SUMIF(TArticle[تاریخ],TDays[[#This Row],[تاریخ]],TArticle[اسنپ])</f>
        <v>0</v>
      </c>
      <c r="L1895" s="164">
        <f>-SUMIF(TArticle[تاریخ],TDays[[#This Row],[تاریخ]],TArticle[پرداخت بدهی])</f>
        <v>0</v>
      </c>
      <c r="M1895" s="164">
        <f>SUMIF(TArticle[تاریخ],TDays[[#This Row],[تاریخ]],TArticle[افزایش بدهی])</f>
        <v>0</v>
      </c>
      <c r="N1895" s="164">
        <f>-SUMIF(TArticle[تاریخ],TDays[[#This Row],[تاریخ]],TArticle[افزایش سرمایه])</f>
        <v>0</v>
      </c>
      <c r="O1895" s="164">
        <f>SUMIF(TArticle[تاریخ],TDays[[#This Row],[تاریخ]],TArticle[تعداد تراکنش انجام شده])</f>
        <v>0</v>
      </c>
      <c r="P1895" s="164">
        <f>INT(((TDays[[#This Row],[ماه]]-1)*31+TDays[[#This Row],[روز]]+1)/7)+1</f>
        <v>11</v>
      </c>
      <c r="Q1895" s="164">
        <f>SUMIF(TArticle[تاریخ],TDays[[#This Row],[تاریخ]],TArticle[تراکنش برنامه ریزی شده])</f>
        <v>0</v>
      </c>
    </row>
    <row r="1896" spans="1:17" x14ac:dyDescent="0.25">
      <c r="A1896" s="3" t="s">
        <v>2512</v>
      </c>
      <c r="B1896" s="164" t="str">
        <f>RIGHT(TDays[[#This Row],[تاریخ]],2)</f>
        <v>08</v>
      </c>
      <c r="C1896" s="164" t="str">
        <f>RIGHT(LEFT(TDays[[#This Row],[تاریخ]],7),2)</f>
        <v>03</v>
      </c>
      <c r="D1896" s="164" t="str">
        <f>LEFT(TDays[[#This Row],[تاریخ]],4)</f>
        <v>1406</v>
      </c>
      <c r="E1896" s="164" t="str">
        <f>LEFT(TDays[[#This Row],[تاریخ]],7)</f>
        <v>1406-03</v>
      </c>
      <c r="F1896">
        <v>6</v>
      </c>
      <c r="G1896" s="165" t="str">
        <f>VLOOKUP(TDays[[#This Row],[کد روز هفته]],TDaysOfTheWeek[],2,FALSE)</f>
        <v>جمعه</v>
      </c>
      <c r="H1896" s="165">
        <f>IFERROR(IF(E1895&lt;&gt;E1896,1,INT(H1895)+IF(TDays[[#This Row],[کد روز هفته]]=0,1,0)),1)</f>
        <v>2</v>
      </c>
      <c r="I1896" s="164">
        <f>-SUMIF(TArticle[تاریخ],TDays[[#This Row],[تاریخ]],TArticle[هزینه])</f>
        <v>0</v>
      </c>
      <c r="J1896" s="164">
        <f>SUMIF(TArticle[تاریخ],TDays[[#This Row],[تاریخ]],TArticle[درآمد تتا])</f>
        <v>0</v>
      </c>
      <c r="K1896" s="164">
        <f>SUMIF(TArticle[تاریخ],TDays[[#This Row],[تاریخ]],TArticle[اسنپ])</f>
        <v>0</v>
      </c>
      <c r="L1896" s="164">
        <f>-SUMIF(TArticle[تاریخ],TDays[[#This Row],[تاریخ]],TArticle[پرداخت بدهی])</f>
        <v>0</v>
      </c>
      <c r="M1896" s="164">
        <f>SUMIF(TArticle[تاریخ],TDays[[#This Row],[تاریخ]],TArticle[افزایش بدهی])</f>
        <v>0</v>
      </c>
      <c r="N1896" s="164">
        <f>-SUMIF(TArticle[تاریخ],TDays[[#This Row],[تاریخ]],TArticle[افزایش سرمایه])</f>
        <v>0</v>
      </c>
      <c r="O1896" s="164">
        <f>SUMIF(TArticle[تاریخ],TDays[[#This Row],[تاریخ]],TArticle[تعداد تراکنش انجام شده])</f>
        <v>0</v>
      </c>
      <c r="P1896" s="164">
        <f>INT(((TDays[[#This Row],[ماه]]-1)*31+TDays[[#This Row],[روز]]+1)/7)+1</f>
        <v>11</v>
      </c>
      <c r="Q1896" s="164">
        <f>SUMIF(TArticle[تاریخ],TDays[[#This Row],[تاریخ]],TArticle[تراکنش برنامه ریزی شده])</f>
        <v>0</v>
      </c>
    </row>
    <row r="1897" spans="1:17" x14ac:dyDescent="0.25">
      <c r="A1897" s="3" t="s">
        <v>2513</v>
      </c>
      <c r="B1897" s="164" t="str">
        <f>RIGHT(TDays[[#This Row],[تاریخ]],2)</f>
        <v>09</v>
      </c>
      <c r="C1897" s="164" t="str">
        <f>RIGHT(LEFT(TDays[[#This Row],[تاریخ]],7),2)</f>
        <v>03</v>
      </c>
      <c r="D1897" s="164" t="str">
        <f>LEFT(TDays[[#This Row],[تاریخ]],4)</f>
        <v>1406</v>
      </c>
      <c r="E1897" s="164" t="str">
        <f>LEFT(TDays[[#This Row],[تاریخ]],7)</f>
        <v>1406-03</v>
      </c>
      <c r="F1897">
        <v>0</v>
      </c>
      <c r="G1897" s="165" t="str">
        <f>VLOOKUP(TDays[[#This Row],[کد روز هفته]],TDaysOfTheWeek[],2,FALSE)</f>
        <v>شنبه</v>
      </c>
      <c r="H1897" s="165">
        <f>IFERROR(IF(E1896&lt;&gt;E1897,1,INT(H1896)+IF(TDays[[#This Row],[کد روز هفته]]=0,1,0)),1)</f>
        <v>3</v>
      </c>
      <c r="I1897" s="164">
        <f>-SUMIF(TArticle[تاریخ],TDays[[#This Row],[تاریخ]],TArticle[هزینه])</f>
        <v>0</v>
      </c>
      <c r="J1897" s="164">
        <f>SUMIF(TArticle[تاریخ],TDays[[#This Row],[تاریخ]],TArticle[درآمد تتا])</f>
        <v>0</v>
      </c>
      <c r="K1897" s="164">
        <f>SUMIF(TArticle[تاریخ],TDays[[#This Row],[تاریخ]],TArticle[اسنپ])</f>
        <v>0</v>
      </c>
      <c r="L1897" s="164">
        <f>-SUMIF(TArticle[تاریخ],TDays[[#This Row],[تاریخ]],TArticle[پرداخت بدهی])</f>
        <v>0</v>
      </c>
      <c r="M1897" s="164">
        <f>SUMIF(TArticle[تاریخ],TDays[[#This Row],[تاریخ]],TArticle[افزایش بدهی])</f>
        <v>0</v>
      </c>
      <c r="N1897" s="164">
        <f>-SUMIF(TArticle[تاریخ],TDays[[#This Row],[تاریخ]],TArticle[افزایش سرمایه])</f>
        <v>0</v>
      </c>
      <c r="O1897" s="164">
        <f>SUMIF(TArticle[تاریخ],TDays[[#This Row],[تاریخ]],TArticle[تعداد تراکنش انجام شده])</f>
        <v>0</v>
      </c>
      <c r="P1897" s="164">
        <f>INT(((TDays[[#This Row],[ماه]]-1)*31+TDays[[#This Row],[روز]]+1)/7)+1</f>
        <v>11</v>
      </c>
      <c r="Q1897" s="164">
        <f>SUMIF(TArticle[تاریخ],TDays[[#This Row],[تاریخ]],TArticle[تراکنش برنامه ریزی شده])</f>
        <v>0</v>
      </c>
    </row>
    <row r="1898" spans="1:17" x14ac:dyDescent="0.25">
      <c r="A1898" s="3" t="s">
        <v>2514</v>
      </c>
      <c r="B1898" s="164" t="str">
        <f>RIGHT(TDays[[#This Row],[تاریخ]],2)</f>
        <v>10</v>
      </c>
      <c r="C1898" s="164" t="str">
        <f>RIGHT(LEFT(TDays[[#This Row],[تاریخ]],7),2)</f>
        <v>03</v>
      </c>
      <c r="D1898" s="164" t="str">
        <f>LEFT(TDays[[#This Row],[تاریخ]],4)</f>
        <v>1406</v>
      </c>
      <c r="E1898" s="164" t="str">
        <f>LEFT(TDays[[#This Row],[تاریخ]],7)</f>
        <v>1406-03</v>
      </c>
      <c r="F1898">
        <v>1</v>
      </c>
      <c r="G1898" s="165" t="str">
        <f>VLOOKUP(TDays[[#This Row],[کد روز هفته]],TDaysOfTheWeek[],2,FALSE)</f>
        <v>یکشنبه</v>
      </c>
      <c r="H1898" s="165">
        <f>IFERROR(IF(E1897&lt;&gt;E1898,1,INT(H1897)+IF(TDays[[#This Row],[کد روز هفته]]=0,1,0)),1)</f>
        <v>3</v>
      </c>
      <c r="I1898" s="164">
        <f>-SUMIF(TArticle[تاریخ],TDays[[#This Row],[تاریخ]],TArticle[هزینه])</f>
        <v>0</v>
      </c>
      <c r="J1898" s="164">
        <f>SUMIF(TArticle[تاریخ],TDays[[#This Row],[تاریخ]],TArticle[درآمد تتا])</f>
        <v>0</v>
      </c>
      <c r="K1898" s="164">
        <f>SUMIF(TArticle[تاریخ],TDays[[#This Row],[تاریخ]],TArticle[اسنپ])</f>
        <v>0</v>
      </c>
      <c r="L1898" s="164">
        <f>-SUMIF(TArticle[تاریخ],TDays[[#This Row],[تاریخ]],TArticle[پرداخت بدهی])</f>
        <v>0</v>
      </c>
      <c r="M1898" s="164">
        <f>SUMIF(TArticle[تاریخ],TDays[[#This Row],[تاریخ]],TArticle[افزایش بدهی])</f>
        <v>0</v>
      </c>
      <c r="N1898" s="164">
        <f>-SUMIF(TArticle[تاریخ],TDays[[#This Row],[تاریخ]],TArticle[افزایش سرمایه])</f>
        <v>0</v>
      </c>
      <c r="O1898" s="164">
        <f>SUMIF(TArticle[تاریخ],TDays[[#This Row],[تاریخ]],TArticle[تعداد تراکنش انجام شده])</f>
        <v>0</v>
      </c>
      <c r="P1898" s="164">
        <f>INT(((TDays[[#This Row],[ماه]]-1)*31+TDays[[#This Row],[روز]]+1)/7)+1</f>
        <v>11</v>
      </c>
      <c r="Q1898" s="164">
        <f>SUMIF(TArticle[تاریخ],TDays[[#This Row],[تاریخ]],TArticle[تراکنش برنامه ریزی شده])</f>
        <v>0</v>
      </c>
    </row>
    <row r="1899" spans="1:17" x14ac:dyDescent="0.25">
      <c r="A1899" s="3" t="s">
        <v>2515</v>
      </c>
      <c r="B1899" s="164" t="str">
        <f>RIGHT(TDays[[#This Row],[تاریخ]],2)</f>
        <v>11</v>
      </c>
      <c r="C1899" s="164" t="str">
        <f>RIGHT(LEFT(TDays[[#This Row],[تاریخ]],7),2)</f>
        <v>03</v>
      </c>
      <c r="D1899" s="164" t="str">
        <f>LEFT(TDays[[#This Row],[تاریخ]],4)</f>
        <v>1406</v>
      </c>
      <c r="E1899" s="164" t="str">
        <f>LEFT(TDays[[#This Row],[تاریخ]],7)</f>
        <v>1406-03</v>
      </c>
      <c r="F1899">
        <v>2</v>
      </c>
      <c r="G1899" s="165" t="str">
        <f>VLOOKUP(TDays[[#This Row],[کد روز هفته]],TDaysOfTheWeek[],2,FALSE)</f>
        <v>دوشنبه</v>
      </c>
      <c r="H1899" s="165">
        <f>IFERROR(IF(E1898&lt;&gt;E1899,1,INT(H1898)+IF(TDays[[#This Row],[کد روز هفته]]=0,1,0)),1)</f>
        <v>3</v>
      </c>
      <c r="I1899" s="164">
        <f>-SUMIF(TArticle[تاریخ],TDays[[#This Row],[تاریخ]],TArticle[هزینه])</f>
        <v>0</v>
      </c>
      <c r="J1899" s="164">
        <f>SUMIF(TArticle[تاریخ],TDays[[#This Row],[تاریخ]],TArticle[درآمد تتا])</f>
        <v>0</v>
      </c>
      <c r="K1899" s="164">
        <f>SUMIF(TArticle[تاریخ],TDays[[#This Row],[تاریخ]],TArticle[اسنپ])</f>
        <v>0</v>
      </c>
      <c r="L1899" s="164">
        <f>-SUMIF(TArticle[تاریخ],TDays[[#This Row],[تاریخ]],TArticle[پرداخت بدهی])</f>
        <v>0</v>
      </c>
      <c r="M1899" s="164">
        <f>SUMIF(TArticle[تاریخ],TDays[[#This Row],[تاریخ]],TArticle[افزایش بدهی])</f>
        <v>0</v>
      </c>
      <c r="N1899" s="164">
        <f>-SUMIF(TArticle[تاریخ],TDays[[#This Row],[تاریخ]],TArticle[افزایش سرمایه])</f>
        <v>0</v>
      </c>
      <c r="O1899" s="164">
        <f>SUMIF(TArticle[تاریخ],TDays[[#This Row],[تاریخ]],TArticle[تعداد تراکنش انجام شده])</f>
        <v>0</v>
      </c>
      <c r="P1899" s="164">
        <f>INT(((TDays[[#This Row],[ماه]]-1)*31+TDays[[#This Row],[روز]]+1)/7)+1</f>
        <v>11</v>
      </c>
      <c r="Q1899" s="164">
        <f>SUMIF(TArticle[تاریخ],TDays[[#This Row],[تاریخ]],TArticle[تراکنش برنامه ریزی شده])</f>
        <v>0</v>
      </c>
    </row>
    <row r="1900" spans="1:17" x14ac:dyDescent="0.25">
      <c r="A1900" s="3" t="s">
        <v>2516</v>
      </c>
      <c r="B1900" s="164" t="str">
        <f>RIGHT(TDays[[#This Row],[تاریخ]],2)</f>
        <v>12</v>
      </c>
      <c r="C1900" s="164" t="str">
        <f>RIGHT(LEFT(TDays[[#This Row],[تاریخ]],7),2)</f>
        <v>03</v>
      </c>
      <c r="D1900" s="164" t="str">
        <f>LEFT(TDays[[#This Row],[تاریخ]],4)</f>
        <v>1406</v>
      </c>
      <c r="E1900" s="164" t="str">
        <f>LEFT(TDays[[#This Row],[تاریخ]],7)</f>
        <v>1406-03</v>
      </c>
      <c r="F1900">
        <v>3</v>
      </c>
      <c r="G1900" s="165" t="str">
        <f>VLOOKUP(TDays[[#This Row],[کد روز هفته]],TDaysOfTheWeek[],2,FALSE)</f>
        <v>سه شنبه</v>
      </c>
      <c r="H1900" s="165">
        <f>IFERROR(IF(E1899&lt;&gt;E1900,1,INT(H1899)+IF(TDays[[#This Row],[کد روز هفته]]=0,1,0)),1)</f>
        <v>3</v>
      </c>
      <c r="I1900" s="164">
        <f>-SUMIF(TArticle[تاریخ],TDays[[#This Row],[تاریخ]],TArticle[هزینه])</f>
        <v>0</v>
      </c>
      <c r="J1900" s="164">
        <f>SUMIF(TArticle[تاریخ],TDays[[#This Row],[تاریخ]],TArticle[درآمد تتا])</f>
        <v>0</v>
      </c>
      <c r="K1900" s="164">
        <f>SUMIF(TArticle[تاریخ],TDays[[#This Row],[تاریخ]],TArticle[اسنپ])</f>
        <v>0</v>
      </c>
      <c r="L1900" s="164">
        <f>-SUMIF(TArticle[تاریخ],TDays[[#This Row],[تاریخ]],TArticle[پرداخت بدهی])</f>
        <v>0</v>
      </c>
      <c r="M1900" s="164">
        <f>SUMIF(TArticle[تاریخ],TDays[[#This Row],[تاریخ]],TArticle[افزایش بدهی])</f>
        <v>0</v>
      </c>
      <c r="N1900" s="164">
        <f>-SUMIF(TArticle[تاریخ],TDays[[#This Row],[تاریخ]],TArticle[افزایش سرمایه])</f>
        <v>0</v>
      </c>
      <c r="O1900" s="164">
        <f>SUMIF(TArticle[تاریخ],TDays[[#This Row],[تاریخ]],TArticle[تعداد تراکنش انجام شده])</f>
        <v>0</v>
      </c>
      <c r="P1900" s="164">
        <f>INT(((TDays[[#This Row],[ماه]]-1)*31+TDays[[#This Row],[روز]]+1)/7)+1</f>
        <v>11</v>
      </c>
      <c r="Q1900" s="164">
        <f>SUMIF(TArticle[تاریخ],TDays[[#This Row],[تاریخ]],TArticle[تراکنش برنامه ریزی شده])</f>
        <v>0</v>
      </c>
    </row>
    <row r="1901" spans="1:17" x14ac:dyDescent="0.25">
      <c r="A1901" s="3" t="s">
        <v>2517</v>
      </c>
      <c r="B1901" s="164" t="str">
        <f>RIGHT(TDays[[#This Row],[تاریخ]],2)</f>
        <v>13</v>
      </c>
      <c r="C1901" s="164" t="str">
        <f>RIGHT(LEFT(TDays[[#This Row],[تاریخ]],7),2)</f>
        <v>03</v>
      </c>
      <c r="D1901" s="164" t="str">
        <f>LEFT(TDays[[#This Row],[تاریخ]],4)</f>
        <v>1406</v>
      </c>
      <c r="E1901" s="164" t="str">
        <f>LEFT(TDays[[#This Row],[تاریخ]],7)</f>
        <v>1406-03</v>
      </c>
      <c r="F1901">
        <v>4</v>
      </c>
      <c r="G1901" s="165" t="str">
        <f>VLOOKUP(TDays[[#This Row],[کد روز هفته]],TDaysOfTheWeek[],2,FALSE)</f>
        <v>چهارشنبه</v>
      </c>
      <c r="H1901" s="165">
        <f>IFERROR(IF(E1900&lt;&gt;E1901,1,INT(H1900)+IF(TDays[[#This Row],[کد روز هفته]]=0,1,0)),1)</f>
        <v>3</v>
      </c>
      <c r="I1901" s="164">
        <f>-SUMIF(TArticle[تاریخ],TDays[[#This Row],[تاریخ]],TArticle[هزینه])</f>
        <v>0</v>
      </c>
      <c r="J1901" s="164">
        <f>SUMIF(TArticle[تاریخ],TDays[[#This Row],[تاریخ]],TArticle[درآمد تتا])</f>
        <v>0</v>
      </c>
      <c r="K1901" s="164">
        <f>SUMIF(TArticle[تاریخ],TDays[[#This Row],[تاریخ]],TArticle[اسنپ])</f>
        <v>0</v>
      </c>
      <c r="L1901" s="164">
        <f>-SUMIF(TArticle[تاریخ],TDays[[#This Row],[تاریخ]],TArticle[پرداخت بدهی])</f>
        <v>0</v>
      </c>
      <c r="M1901" s="164">
        <f>SUMIF(TArticle[تاریخ],TDays[[#This Row],[تاریخ]],TArticle[افزایش بدهی])</f>
        <v>0</v>
      </c>
      <c r="N1901" s="164">
        <f>-SUMIF(TArticle[تاریخ],TDays[[#This Row],[تاریخ]],TArticle[افزایش سرمایه])</f>
        <v>0</v>
      </c>
      <c r="O1901" s="164">
        <f>SUMIF(TArticle[تاریخ],TDays[[#This Row],[تاریخ]],TArticle[تعداد تراکنش انجام شده])</f>
        <v>0</v>
      </c>
      <c r="P1901" s="164">
        <f>INT(((TDays[[#This Row],[ماه]]-1)*31+TDays[[#This Row],[روز]]+1)/7)+1</f>
        <v>11</v>
      </c>
      <c r="Q1901" s="164">
        <f>SUMIF(TArticle[تاریخ],TDays[[#This Row],[تاریخ]],TArticle[تراکنش برنامه ریزی شده])</f>
        <v>0</v>
      </c>
    </row>
    <row r="1902" spans="1:17" x14ac:dyDescent="0.25">
      <c r="A1902" s="3" t="s">
        <v>2518</v>
      </c>
      <c r="B1902" s="164" t="str">
        <f>RIGHT(TDays[[#This Row],[تاریخ]],2)</f>
        <v>14</v>
      </c>
      <c r="C1902" s="164" t="str">
        <f>RIGHT(LEFT(TDays[[#This Row],[تاریخ]],7),2)</f>
        <v>03</v>
      </c>
      <c r="D1902" s="164" t="str">
        <f>LEFT(TDays[[#This Row],[تاریخ]],4)</f>
        <v>1406</v>
      </c>
      <c r="E1902" s="164" t="str">
        <f>LEFT(TDays[[#This Row],[تاریخ]],7)</f>
        <v>1406-03</v>
      </c>
      <c r="F1902">
        <v>5</v>
      </c>
      <c r="G1902" s="165" t="str">
        <f>VLOOKUP(TDays[[#This Row],[کد روز هفته]],TDaysOfTheWeek[],2,FALSE)</f>
        <v>پنجشنبه</v>
      </c>
      <c r="H1902" s="165">
        <f>IFERROR(IF(E1901&lt;&gt;E1902,1,INT(H1901)+IF(TDays[[#This Row],[کد روز هفته]]=0,1,0)),1)</f>
        <v>3</v>
      </c>
      <c r="I1902" s="164">
        <f>-SUMIF(TArticle[تاریخ],TDays[[#This Row],[تاریخ]],TArticle[هزینه])</f>
        <v>0</v>
      </c>
      <c r="J1902" s="164">
        <f>SUMIF(TArticle[تاریخ],TDays[[#This Row],[تاریخ]],TArticle[درآمد تتا])</f>
        <v>0</v>
      </c>
      <c r="K1902" s="164">
        <f>SUMIF(TArticle[تاریخ],TDays[[#This Row],[تاریخ]],TArticle[اسنپ])</f>
        <v>0</v>
      </c>
      <c r="L1902" s="164">
        <f>-SUMIF(TArticle[تاریخ],TDays[[#This Row],[تاریخ]],TArticle[پرداخت بدهی])</f>
        <v>0</v>
      </c>
      <c r="M1902" s="164">
        <f>SUMIF(TArticle[تاریخ],TDays[[#This Row],[تاریخ]],TArticle[افزایش بدهی])</f>
        <v>0</v>
      </c>
      <c r="N1902" s="164">
        <f>-SUMIF(TArticle[تاریخ],TDays[[#This Row],[تاریخ]],TArticle[افزایش سرمایه])</f>
        <v>0</v>
      </c>
      <c r="O1902" s="164">
        <f>SUMIF(TArticle[تاریخ],TDays[[#This Row],[تاریخ]],TArticle[تعداد تراکنش انجام شده])</f>
        <v>0</v>
      </c>
      <c r="P1902" s="164">
        <f>INT(((TDays[[#This Row],[ماه]]-1)*31+TDays[[#This Row],[روز]]+1)/7)+1</f>
        <v>12</v>
      </c>
      <c r="Q1902" s="164">
        <f>SUMIF(TArticle[تاریخ],TDays[[#This Row],[تاریخ]],TArticle[تراکنش برنامه ریزی شده])</f>
        <v>0</v>
      </c>
    </row>
    <row r="1903" spans="1:17" x14ac:dyDescent="0.25">
      <c r="A1903" s="3" t="s">
        <v>2519</v>
      </c>
      <c r="B1903" s="164" t="str">
        <f>RIGHT(TDays[[#This Row],[تاریخ]],2)</f>
        <v>15</v>
      </c>
      <c r="C1903" s="164" t="str">
        <f>RIGHT(LEFT(TDays[[#This Row],[تاریخ]],7),2)</f>
        <v>03</v>
      </c>
      <c r="D1903" s="164" t="str">
        <f>LEFT(TDays[[#This Row],[تاریخ]],4)</f>
        <v>1406</v>
      </c>
      <c r="E1903" s="164" t="str">
        <f>LEFT(TDays[[#This Row],[تاریخ]],7)</f>
        <v>1406-03</v>
      </c>
      <c r="F1903">
        <v>6</v>
      </c>
      <c r="G1903" s="165" t="str">
        <f>VLOOKUP(TDays[[#This Row],[کد روز هفته]],TDaysOfTheWeek[],2,FALSE)</f>
        <v>جمعه</v>
      </c>
      <c r="H1903" s="165">
        <f>IFERROR(IF(E1902&lt;&gt;E1903,1,INT(H1902)+IF(TDays[[#This Row],[کد روز هفته]]=0,1,0)),1)</f>
        <v>3</v>
      </c>
      <c r="I1903" s="164">
        <f>-SUMIF(TArticle[تاریخ],TDays[[#This Row],[تاریخ]],TArticle[هزینه])</f>
        <v>0</v>
      </c>
      <c r="J1903" s="164">
        <f>SUMIF(TArticle[تاریخ],TDays[[#This Row],[تاریخ]],TArticle[درآمد تتا])</f>
        <v>0</v>
      </c>
      <c r="K1903" s="164">
        <f>SUMIF(TArticle[تاریخ],TDays[[#This Row],[تاریخ]],TArticle[اسنپ])</f>
        <v>0</v>
      </c>
      <c r="L1903" s="164">
        <f>-SUMIF(TArticle[تاریخ],TDays[[#This Row],[تاریخ]],TArticle[پرداخت بدهی])</f>
        <v>0</v>
      </c>
      <c r="M1903" s="164">
        <f>SUMIF(TArticle[تاریخ],TDays[[#This Row],[تاریخ]],TArticle[افزایش بدهی])</f>
        <v>0</v>
      </c>
      <c r="N1903" s="164">
        <f>-SUMIF(TArticle[تاریخ],TDays[[#This Row],[تاریخ]],TArticle[افزایش سرمایه])</f>
        <v>0</v>
      </c>
      <c r="O1903" s="164">
        <f>SUMIF(TArticle[تاریخ],TDays[[#This Row],[تاریخ]],TArticle[تعداد تراکنش انجام شده])</f>
        <v>0</v>
      </c>
      <c r="P1903" s="164">
        <f>INT(((TDays[[#This Row],[ماه]]-1)*31+TDays[[#This Row],[روز]]+1)/7)+1</f>
        <v>12</v>
      </c>
      <c r="Q1903" s="164">
        <f>SUMIF(TArticle[تاریخ],TDays[[#This Row],[تاریخ]],TArticle[تراکنش برنامه ریزی شده])</f>
        <v>0</v>
      </c>
    </row>
    <row r="1904" spans="1:17" x14ac:dyDescent="0.25">
      <c r="A1904" s="3" t="s">
        <v>2520</v>
      </c>
      <c r="B1904" s="164" t="str">
        <f>RIGHT(TDays[[#This Row],[تاریخ]],2)</f>
        <v>16</v>
      </c>
      <c r="C1904" s="164" t="str">
        <f>RIGHT(LEFT(TDays[[#This Row],[تاریخ]],7),2)</f>
        <v>03</v>
      </c>
      <c r="D1904" s="164" t="str">
        <f>LEFT(TDays[[#This Row],[تاریخ]],4)</f>
        <v>1406</v>
      </c>
      <c r="E1904" s="164" t="str">
        <f>LEFT(TDays[[#This Row],[تاریخ]],7)</f>
        <v>1406-03</v>
      </c>
      <c r="F1904">
        <v>0</v>
      </c>
      <c r="G1904" s="165" t="str">
        <f>VLOOKUP(TDays[[#This Row],[کد روز هفته]],TDaysOfTheWeek[],2,FALSE)</f>
        <v>شنبه</v>
      </c>
      <c r="H1904" s="165">
        <f>IFERROR(IF(E1903&lt;&gt;E1904,1,INT(H1903)+IF(TDays[[#This Row],[کد روز هفته]]=0,1,0)),1)</f>
        <v>4</v>
      </c>
      <c r="I1904" s="164">
        <f>-SUMIF(TArticle[تاریخ],TDays[[#This Row],[تاریخ]],TArticle[هزینه])</f>
        <v>0</v>
      </c>
      <c r="J1904" s="164">
        <f>SUMIF(TArticle[تاریخ],TDays[[#This Row],[تاریخ]],TArticle[درآمد تتا])</f>
        <v>0</v>
      </c>
      <c r="K1904" s="164">
        <f>SUMIF(TArticle[تاریخ],TDays[[#This Row],[تاریخ]],TArticle[اسنپ])</f>
        <v>0</v>
      </c>
      <c r="L1904" s="164">
        <f>-SUMIF(TArticle[تاریخ],TDays[[#This Row],[تاریخ]],TArticle[پرداخت بدهی])</f>
        <v>0</v>
      </c>
      <c r="M1904" s="164">
        <f>SUMIF(TArticle[تاریخ],TDays[[#This Row],[تاریخ]],TArticle[افزایش بدهی])</f>
        <v>0</v>
      </c>
      <c r="N1904" s="164">
        <f>-SUMIF(TArticle[تاریخ],TDays[[#This Row],[تاریخ]],TArticle[افزایش سرمایه])</f>
        <v>0</v>
      </c>
      <c r="O1904" s="164">
        <f>SUMIF(TArticle[تاریخ],TDays[[#This Row],[تاریخ]],TArticle[تعداد تراکنش انجام شده])</f>
        <v>0</v>
      </c>
      <c r="P1904" s="164">
        <f>INT(((TDays[[#This Row],[ماه]]-1)*31+TDays[[#This Row],[روز]]+1)/7)+1</f>
        <v>12</v>
      </c>
      <c r="Q1904" s="164">
        <f>SUMIF(TArticle[تاریخ],TDays[[#This Row],[تاریخ]],TArticle[تراکنش برنامه ریزی شده])</f>
        <v>0</v>
      </c>
    </row>
    <row r="1905" spans="1:17" x14ac:dyDescent="0.25">
      <c r="A1905" s="3" t="s">
        <v>2521</v>
      </c>
      <c r="B1905" s="164" t="str">
        <f>RIGHT(TDays[[#This Row],[تاریخ]],2)</f>
        <v>17</v>
      </c>
      <c r="C1905" s="164" t="str">
        <f>RIGHT(LEFT(TDays[[#This Row],[تاریخ]],7),2)</f>
        <v>03</v>
      </c>
      <c r="D1905" s="164" t="str">
        <f>LEFT(TDays[[#This Row],[تاریخ]],4)</f>
        <v>1406</v>
      </c>
      <c r="E1905" s="164" t="str">
        <f>LEFT(TDays[[#This Row],[تاریخ]],7)</f>
        <v>1406-03</v>
      </c>
      <c r="F1905">
        <v>1</v>
      </c>
      <c r="G1905" s="165" t="str">
        <f>VLOOKUP(TDays[[#This Row],[کد روز هفته]],TDaysOfTheWeek[],2,FALSE)</f>
        <v>یکشنبه</v>
      </c>
      <c r="H1905" s="165">
        <f>IFERROR(IF(E1904&lt;&gt;E1905,1,INT(H1904)+IF(TDays[[#This Row],[کد روز هفته]]=0,1,0)),1)</f>
        <v>4</v>
      </c>
      <c r="I1905" s="164">
        <f>-SUMIF(TArticle[تاریخ],TDays[[#This Row],[تاریخ]],TArticle[هزینه])</f>
        <v>0</v>
      </c>
      <c r="J1905" s="164">
        <f>SUMIF(TArticle[تاریخ],TDays[[#This Row],[تاریخ]],TArticle[درآمد تتا])</f>
        <v>0</v>
      </c>
      <c r="K1905" s="164">
        <f>SUMIF(TArticle[تاریخ],TDays[[#This Row],[تاریخ]],TArticle[اسنپ])</f>
        <v>0</v>
      </c>
      <c r="L1905" s="164">
        <f>-SUMIF(TArticle[تاریخ],TDays[[#This Row],[تاریخ]],TArticle[پرداخت بدهی])</f>
        <v>0</v>
      </c>
      <c r="M1905" s="164">
        <f>SUMIF(TArticle[تاریخ],TDays[[#This Row],[تاریخ]],TArticle[افزایش بدهی])</f>
        <v>0</v>
      </c>
      <c r="N1905" s="164">
        <f>-SUMIF(TArticle[تاریخ],TDays[[#This Row],[تاریخ]],TArticle[افزایش سرمایه])</f>
        <v>0</v>
      </c>
      <c r="O1905" s="164">
        <f>SUMIF(TArticle[تاریخ],TDays[[#This Row],[تاریخ]],TArticle[تعداد تراکنش انجام شده])</f>
        <v>0</v>
      </c>
      <c r="P1905" s="164">
        <f>INT(((TDays[[#This Row],[ماه]]-1)*31+TDays[[#This Row],[روز]]+1)/7)+1</f>
        <v>12</v>
      </c>
      <c r="Q1905" s="164">
        <f>SUMIF(TArticle[تاریخ],TDays[[#This Row],[تاریخ]],TArticle[تراکنش برنامه ریزی شده])</f>
        <v>0</v>
      </c>
    </row>
    <row r="1906" spans="1:17" x14ac:dyDescent="0.25">
      <c r="A1906" s="3" t="s">
        <v>2522</v>
      </c>
      <c r="B1906" s="164" t="str">
        <f>RIGHT(TDays[[#This Row],[تاریخ]],2)</f>
        <v>18</v>
      </c>
      <c r="C1906" s="164" t="str">
        <f>RIGHT(LEFT(TDays[[#This Row],[تاریخ]],7),2)</f>
        <v>03</v>
      </c>
      <c r="D1906" s="164" t="str">
        <f>LEFT(TDays[[#This Row],[تاریخ]],4)</f>
        <v>1406</v>
      </c>
      <c r="E1906" s="164" t="str">
        <f>LEFT(TDays[[#This Row],[تاریخ]],7)</f>
        <v>1406-03</v>
      </c>
      <c r="F1906">
        <v>2</v>
      </c>
      <c r="G1906" s="165" t="str">
        <f>VLOOKUP(TDays[[#This Row],[کد روز هفته]],TDaysOfTheWeek[],2,FALSE)</f>
        <v>دوشنبه</v>
      </c>
      <c r="H1906" s="165">
        <f>IFERROR(IF(E1905&lt;&gt;E1906,1,INT(H1905)+IF(TDays[[#This Row],[کد روز هفته]]=0,1,0)),1)</f>
        <v>4</v>
      </c>
      <c r="I1906" s="164">
        <f>-SUMIF(TArticle[تاریخ],TDays[[#This Row],[تاریخ]],TArticle[هزینه])</f>
        <v>0</v>
      </c>
      <c r="J1906" s="164">
        <f>SUMIF(TArticle[تاریخ],TDays[[#This Row],[تاریخ]],TArticle[درآمد تتا])</f>
        <v>0</v>
      </c>
      <c r="K1906" s="164">
        <f>SUMIF(TArticle[تاریخ],TDays[[#This Row],[تاریخ]],TArticle[اسنپ])</f>
        <v>0</v>
      </c>
      <c r="L1906" s="164">
        <f>-SUMIF(TArticle[تاریخ],TDays[[#This Row],[تاریخ]],TArticle[پرداخت بدهی])</f>
        <v>0</v>
      </c>
      <c r="M1906" s="164">
        <f>SUMIF(TArticle[تاریخ],TDays[[#This Row],[تاریخ]],TArticle[افزایش بدهی])</f>
        <v>0</v>
      </c>
      <c r="N1906" s="164">
        <f>-SUMIF(TArticle[تاریخ],TDays[[#This Row],[تاریخ]],TArticle[افزایش سرمایه])</f>
        <v>0</v>
      </c>
      <c r="O1906" s="164">
        <f>SUMIF(TArticle[تاریخ],TDays[[#This Row],[تاریخ]],TArticle[تعداد تراکنش انجام شده])</f>
        <v>0</v>
      </c>
      <c r="P1906" s="164">
        <f>INT(((TDays[[#This Row],[ماه]]-1)*31+TDays[[#This Row],[روز]]+1)/7)+1</f>
        <v>12</v>
      </c>
      <c r="Q1906" s="164">
        <f>SUMIF(TArticle[تاریخ],TDays[[#This Row],[تاریخ]],TArticle[تراکنش برنامه ریزی شده])</f>
        <v>0</v>
      </c>
    </row>
    <row r="1907" spans="1:17" x14ac:dyDescent="0.25">
      <c r="A1907" s="3" t="s">
        <v>2523</v>
      </c>
      <c r="B1907" s="164" t="str">
        <f>RIGHT(TDays[[#This Row],[تاریخ]],2)</f>
        <v>19</v>
      </c>
      <c r="C1907" s="164" t="str">
        <f>RIGHT(LEFT(TDays[[#This Row],[تاریخ]],7),2)</f>
        <v>03</v>
      </c>
      <c r="D1907" s="164" t="str">
        <f>LEFT(TDays[[#This Row],[تاریخ]],4)</f>
        <v>1406</v>
      </c>
      <c r="E1907" s="164" t="str">
        <f>LEFT(TDays[[#This Row],[تاریخ]],7)</f>
        <v>1406-03</v>
      </c>
      <c r="F1907" s="164">
        <v>3</v>
      </c>
      <c r="G1907" s="165" t="str">
        <f>VLOOKUP(TDays[[#This Row],[کد روز هفته]],TDaysOfTheWeek[],2,FALSE)</f>
        <v>سه شنبه</v>
      </c>
      <c r="H1907" s="165">
        <f>IFERROR(IF(E1906&lt;&gt;E1907,1,INT(H1906)+IF(TDays[[#This Row],[کد روز هفته]]=0,1,0)),1)</f>
        <v>4</v>
      </c>
      <c r="I1907" s="164">
        <f>-SUMIF(TArticle[تاریخ],TDays[[#This Row],[تاریخ]],TArticle[هزینه])</f>
        <v>0</v>
      </c>
      <c r="J1907" s="164">
        <f>SUMIF(TArticle[تاریخ],TDays[[#This Row],[تاریخ]],TArticle[درآمد تتا])</f>
        <v>0</v>
      </c>
      <c r="K1907" s="164">
        <f>SUMIF(TArticle[تاریخ],TDays[[#This Row],[تاریخ]],TArticle[اسنپ])</f>
        <v>0</v>
      </c>
      <c r="L1907" s="164">
        <f>-SUMIF(TArticle[تاریخ],TDays[[#This Row],[تاریخ]],TArticle[پرداخت بدهی])</f>
        <v>0</v>
      </c>
      <c r="M1907" s="164">
        <f>SUMIF(TArticle[تاریخ],TDays[[#This Row],[تاریخ]],TArticle[افزایش بدهی])</f>
        <v>0</v>
      </c>
      <c r="N1907" s="164">
        <f>-SUMIF(TArticle[تاریخ],TDays[[#This Row],[تاریخ]],TArticle[افزایش سرمایه])</f>
        <v>0</v>
      </c>
      <c r="O1907" s="164">
        <f>SUMIF(TArticle[تاریخ],TDays[[#This Row],[تاریخ]],TArticle[تعداد تراکنش انجام شده])</f>
        <v>0</v>
      </c>
      <c r="P1907" s="164">
        <f>INT(((TDays[[#This Row],[ماه]]-1)*31+TDays[[#This Row],[روز]]+1)/7)+1</f>
        <v>12</v>
      </c>
      <c r="Q1907" s="164">
        <f>SUMIF(TArticle[تاریخ],TDays[[#This Row],[تاریخ]],TArticle[تراکنش برنامه ریزی شده])</f>
        <v>0</v>
      </c>
    </row>
    <row r="1908" spans="1:17" x14ac:dyDescent="0.25">
      <c r="A1908" s="3" t="s">
        <v>2524</v>
      </c>
      <c r="B1908" s="164" t="str">
        <f>RIGHT(TDays[[#This Row],[تاریخ]],2)</f>
        <v>20</v>
      </c>
      <c r="C1908" s="164" t="str">
        <f>RIGHT(LEFT(TDays[[#This Row],[تاریخ]],7),2)</f>
        <v>03</v>
      </c>
      <c r="D1908" s="164" t="str">
        <f>LEFT(TDays[[#This Row],[تاریخ]],4)</f>
        <v>1406</v>
      </c>
      <c r="E1908" s="164" t="str">
        <f>LEFT(TDays[[#This Row],[تاریخ]],7)</f>
        <v>1406-03</v>
      </c>
      <c r="F1908" s="164">
        <v>4</v>
      </c>
      <c r="G1908" s="165" t="str">
        <f>VLOOKUP(TDays[[#This Row],[کد روز هفته]],TDaysOfTheWeek[],2,FALSE)</f>
        <v>چهارشنبه</v>
      </c>
      <c r="H1908" s="165">
        <f>IFERROR(IF(E1907&lt;&gt;E1908,1,INT(H1907)+IF(TDays[[#This Row],[کد روز هفته]]=0,1,0)),1)</f>
        <v>4</v>
      </c>
      <c r="I1908" s="164">
        <f>-SUMIF(TArticle[تاریخ],TDays[[#This Row],[تاریخ]],TArticle[هزینه])</f>
        <v>0</v>
      </c>
      <c r="J1908" s="164">
        <f>SUMIF(TArticle[تاریخ],TDays[[#This Row],[تاریخ]],TArticle[درآمد تتا])</f>
        <v>0</v>
      </c>
      <c r="K1908" s="164">
        <f>SUMIF(TArticle[تاریخ],TDays[[#This Row],[تاریخ]],TArticle[اسنپ])</f>
        <v>0</v>
      </c>
      <c r="L1908" s="164">
        <f>-SUMIF(TArticle[تاریخ],TDays[[#This Row],[تاریخ]],TArticle[پرداخت بدهی])</f>
        <v>0</v>
      </c>
      <c r="M1908" s="164">
        <f>SUMIF(TArticle[تاریخ],TDays[[#This Row],[تاریخ]],TArticle[افزایش بدهی])</f>
        <v>0</v>
      </c>
      <c r="N1908" s="164">
        <f>-SUMIF(TArticle[تاریخ],TDays[[#This Row],[تاریخ]],TArticle[افزایش سرمایه])</f>
        <v>0</v>
      </c>
      <c r="O1908" s="164">
        <f>SUMIF(TArticle[تاریخ],TDays[[#This Row],[تاریخ]],TArticle[تعداد تراکنش انجام شده])</f>
        <v>0</v>
      </c>
      <c r="P1908" s="164">
        <f>INT(((TDays[[#This Row],[ماه]]-1)*31+TDays[[#This Row],[روز]]+1)/7)+1</f>
        <v>12</v>
      </c>
      <c r="Q1908" s="164">
        <f>SUMIF(TArticle[تاریخ],TDays[[#This Row],[تاریخ]],TArticle[تراکنش برنامه ریزی شده])</f>
        <v>0</v>
      </c>
    </row>
    <row r="1909" spans="1:17" x14ac:dyDescent="0.25">
      <c r="A1909" s="3" t="s">
        <v>2525</v>
      </c>
      <c r="B1909" s="164" t="str">
        <f>RIGHT(TDays[[#This Row],[تاریخ]],2)</f>
        <v>21</v>
      </c>
      <c r="C1909" s="164" t="str">
        <f>RIGHT(LEFT(TDays[[#This Row],[تاریخ]],7),2)</f>
        <v>03</v>
      </c>
      <c r="D1909" s="164" t="str">
        <f>LEFT(TDays[[#This Row],[تاریخ]],4)</f>
        <v>1406</v>
      </c>
      <c r="E1909" s="164" t="str">
        <f>LEFT(TDays[[#This Row],[تاریخ]],7)</f>
        <v>1406-03</v>
      </c>
      <c r="F1909">
        <v>5</v>
      </c>
      <c r="G1909" s="165" t="str">
        <f>VLOOKUP(TDays[[#This Row],[کد روز هفته]],TDaysOfTheWeek[],2,FALSE)</f>
        <v>پنجشنبه</v>
      </c>
      <c r="H1909" s="165">
        <f>IFERROR(IF(E1908&lt;&gt;E1909,1,INT(H1908)+IF(TDays[[#This Row],[کد روز هفته]]=0,1,0)),1)</f>
        <v>4</v>
      </c>
      <c r="I1909" s="164">
        <f>-SUMIF(TArticle[تاریخ],TDays[[#This Row],[تاریخ]],TArticle[هزینه])</f>
        <v>0</v>
      </c>
      <c r="J1909" s="164">
        <f>SUMIF(TArticle[تاریخ],TDays[[#This Row],[تاریخ]],TArticle[درآمد تتا])</f>
        <v>0</v>
      </c>
      <c r="K1909" s="164">
        <f>SUMIF(TArticle[تاریخ],TDays[[#This Row],[تاریخ]],TArticle[اسنپ])</f>
        <v>0</v>
      </c>
      <c r="L1909" s="164">
        <f>-SUMIF(TArticle[تاریخ],TDays[[#This Row],[تاریخ]],TArticle[پرداخت بدهی])</f>
        <v>0</v>
      </c>
      <c r="M1909" s="164">
        <f>SUMIF(TArticle[تاریخ],TDays[[#This Row],[تاریخ]],TArticle[افزایش بدهی])</f>
        <v>0</v>
      </c>
      <c r="N1909" s="164">
        <f>-SUMIF(TArticle[تاریخ],TDays[[#This Row],[تاریخ]],TArticle[افزایش سرمایه])</f>
        <v>0</v>
      </c>
      <c r="O1909" s="164">
        <f>SUMIF(TArticle[تاریخ],TDays[[#This Row],[تاریخ]],TArticle[تعداد تراکنش انجام شده])</f>
        <v>0</v>
      </c>
      <c r="P1909" s="164">
        <f>INT(((TDays[[#This Row],[ماه]]-1)*31+TDays[[#This Row],[روز]]+1)/7)+1</f>
        <v>13</v>
      </c>
      <c r="Q1909" s="164">
        <f>SUMIF(TArticle[تاریخ],TDays[[#This Row],[تاریخ]],TArticle[تراکنش برنامه ریزی شده])</f>
        <v>0</v>
      </c>
    </row>
    <row r="1910" spans="1:17" x14ac:dyDescent="0.25">
      <c r="A1910" s="3" t="s">
        <v>2526</v>
      </c>
      <c r="B1910" s="164" t="str">
        <f>RIGHT(TDays[[#This Row],[تاریخ]],2)</f>
        <v>22</v>
      </c>
      <c r="C1910" s="164" t="str">
        <f>RIGHT(LEFT(TDays[[#This Row],[تاریخ]],7),2)</f>
        <v>03</v>
      </c>
      <c r="D1910" s="164" t="str">
        <f>LEFT(TDays[[#This Row],[تاریخ]],4)</f>
        <v>1406</v>
      </c>
      <c r="E1910" s="164" t="str">
        <f>LEFT(TDays[[#This Row],[تاریخ]],7)</f>
        <v>1406-03</v>
      </c>
      <c r="F1910">
        <v>6</v>
      </c>
      <c r="G1910" s="165" t="str">
        <f>VLOOKUP(TDays[[#This Row],[کد روز هفته]],TDaysOfTheWeek[],2,FALSE)</f>
        <v>جمعه</v>
      </c>
      <c r="H1910" s="165">
        <f>IFERROR(IF(E1909&lt;&gt;E1910,1,INT(H1909)+IF(TDays[[#This Row],[کد روز هفته]]=0,1,0)),1)</f>
        <v>4</v>
      </c>
      <c r="I1910" s="164">
        <f>-SUMIF(TArticle[تاریخ],TDays[[#This Row],[تاریخ]],TArticle[هزینه])</f>
        <v>0</v>
      </c>
      <c r="J1910" s="164">
        <f>SUMIF(TArticle[تاریخ],TDays[[#This Row],[تاریخ]],TArticle[درآمد تتا])</f>
        <v>0</v>
      </c>
      <c r="K1910" s="164">
        <f>SUMIF(TArticle[تاریخ],TDays[[#This Row],[تاریخ]],TArticle[اسنپ])</f>
        <v>0</v>
      </c>
      <c r="L1910" s="164">
        <f>-SUMIF(TArticle[تاریخ],TDays[[#This Row],[تاریخ]],TArticle[پرداخت بدهی])</f>
        <v>0</v>
      </c>
      <c r="M1910" s="164">
        <f>SUMIF(TArticle[تاریخ],TDays[[#This Row],[تاریخ]],TArticle[افزایش بدهی])</f>
        <v>0</v>
      </c>
      <c r="N1910" s="164">
        <f>-SUMIF(TArticle[تاریخ],TDays[[#This Row],[تاریخ]],TArticle[افزایش سرمایه])</f>
        <v>0</v>
      </c>
      <c r="O1910" s="164">
        <f>SUMIF(TArticle[تاریخ],TDays[[#This Row],[تاریخ]],TArticle[تعداد تراکنش انجام شده])</f>
        <v>0</v>
      </c>
      <c r="P1910" s="164">
        <f>INT(((TDays[[#This Row],[ماه]]-1)*31+TDays[[#This Row],[روز]]+1)/7)+1</f>
        <v>13</v>
      </c>
      <c r="Q1910" s="164">
        <f>SUMIF(TArticle[تاریخ],TDays[[#This Row],[تاریخ]],TArticle[تراکنش برنامه ریزی شده])</f>
        <v>0</v>
      </c>
    </row>
    <row r="1911" spans="1:17" x14ac:dyDescent="0.25">
      <c r="A1911" s="3" t="s">
        <v>2527</v>
      </c>
      <c r="B1911" s="164" t="str">
        <f>RIGHT(TDays[[#This Row],[تاریخ]],2)</f>
        <v>23</v>
      </c>
      <c r="C1911" s="164" t="str">
        <f>RIGHT(LEFT(TDays[[#This Row],[تاریخ]],7),2)</f>
        <v>03</v>
      </c>
      <c r="D1911" s="164" t="str">
        <f>LEFT(TDays[[#This Row],[تاریخ]],4)</f>
        <v>1406</v>
      </c>
      <c r="E1911" s="164" t="str">
        <f>LEFT(TDays[[#This Row],[تاریخ]],7)</f>
        <v>1406-03</v>
      </c>
      <c r="F1911">
        <v>0</v>
      </c>
      <c r="G1911" s="165" t="str">
        <f>VLOOKUP(TDays[[#This Row],[کد روز هفته]],TDaysOfTheWeek[],2,FALSE)</f>
        <v>شنبه</v>
      </c>
      <c r="H1911" s="165">
        <f>IFERROR(IF(E1910&lt;&gt;E1911,1,INT(H1910)+IF(TDays[[#This Row],[کد روز هفته]]=0,1,0)),1)</f>
        <v>5</v>
      </c>
      <c r="I1911" s="164">
        <f>-SUMIF(TArticle[تاریخ],TDays[[#This Row],[تاریخ]],TArticle[هزینه])</f>
        <v>0</v>
      </c>
      <c r="J1911" s="164">
        <f>SUMIF(TArticle[تاریخ],TDays[[#This Row],[تاریخ]],TArticle[درآمد تتا])</f>
        <v>0</v>
      </c>
      <c r="K1911" s="164">
        <f>SUMIF(TArticle[تاریخ],TDays[[#This Row],[تاریخ]],TArticle[اسنپ])</f>
        <v>0</v>
      </c>
      <c r="L1911" s="164">
        <f>-SUMIF(TArticle[تاریخ],TDays[[#This Row],[تاریخ]],TArticle[پرداخت بدهی])</f>
        <v>0</v>
      </c>
      <c r="M1911" s="164">
        <f>SUMIF(TArticle[تاریخ],TDays[[#This Row],[تاریخ]],TArticle[افزایش بدهی])</f>
        <v>0</v>
      </c>
      <c r="N1911" s="164">
        <f>-SUMIF(TArticle[تاریخ],TDays[[#This Row],[تاریخ]],TArticle[افزایش سرمایه])</f>
        <v>0</v>
      </c>
      <c r="O1911" s="164">
        <f>SUMIF(TArticle[تاریخ],TDays[[#This Row],[تاریخ]],TArticle[تعداد تراکنش انجام شده])</f>
        <v>0</v>
      </c>
      <c r="P1911" s="164">
        <f>INT(((TDays[[#This Row],[ماه]]-1)*31+TDays[[#This Row],[روز]]+1)/7)+1</f>
        <v>13</v>
      </c>
      <c r="Q1911" s="164">
        <f>SUMIF(TArticle[تاریخ],TDays[[#This Row],[تاریخ]],TArticle[تراکنش برنامه ریزی شده])</f>
        <v>0</v>
      </c>
    </row>
    <row r="1912" spans="1:17" x14ac:dyDescent="0.25">
      <c r="A1912" s="3" t="s">
        <v>2528</v>
      </c>
      <c r="B1912" s="164" t="str">
        <f>RIGHT(TDays[[#This Row],[تاریخ]],2)</f>
        <v>24</v>
      </c>
      <c r="C1912" s="164" t="str">
        <f>RIGHT(LEFT(TDays[[#This Row],[تاریخ]],7),2)</f>
        <v>03</v>
      </c>
      <c r="D1912" s="164" t="str">
        <f>LEFT(TDays[[#This Row],[تاریخ]],4)</f>
        <v>1406</v>
      </c>
      <c r="E1912" s="164" t="str">
        <f>LEFT(TDays[[#This Row],[تاریخ]],7)</f>
        <v>1406-03</v>
      </c>
      <c r="F1912">
        <v>1</v>
      </c>
      <c r="G1912" s="165" t="str">
        <f>VLOOKUP(TDays[[#This Row],[کد روز هفته]],TDaysOfTheWeek[],2,FALSE)</f>
        <v>یکشنبه</v>
      </c>
      <c r="H1912" s="165">
        <f>IFERROR(IF(E1911&lt;&gt;E1912,1,INT(H1911)+IF(TDays[[#This Row],[کد روز هفته]]=0,1,0)),1)</f>
        <v>5</v>
      </c>
      <c r="I1912" s="164">
        <f>-SUMIF(TArticle[تاریخ],TDays[[#This Row],[تاریخ]],TArticle[هزینه])</f>
        <v>0</v>
      </c>
      <c r="J1912" s="164">
        <f>SUMIF(TArticle[تاریخ],TDays[[#This Row],[تاریخ]],TArticle[درآمد تتا])</f>
        <v>0</v>
      </c>
      <c r="K1912" s="164">
        <f>SUMIF(TArticle[تاریخ],TDays[[#This Row],[تاریخ]],TArticle[اسنپ])</f>
        <v>0</v>
      </c>
      <c r="L1912" s="164">
        <f>-SUMIF(TArticle[تاریخ],TDays[[#This Row],[تاریخ]],TArticle[پرداخت بدهی])</f>
        <v>0</v>
      </c>
      <c r="M1912" s="164">
        <f>SUMIF(TArticle[تاریخ],TDays[[#This Row],[تاریخ]],TArticle[افزایش بدهی])</f>
        <v>0</v>
      </c>
      <c r="N1912" s="164">
        <f>-SUMIF(TArticle[تاریخ],TDays[[#This Row],[تاریخ]],TArticle[افزایش سرمایه])</f>
        <v>0</v>
      </c>
      <c r="O1912" s="164">
        <f>SUMIF(TArticle[تاریخ],TDays[[#This Row],[تاریخ]],TArticle[تعداد تراکنش انجام شده])</f>
        <v>0</v>
      </c>
      <c r="P1912" s="164">
        <f>INT(((TDays[[#This Row],[ماه]]-1)*31+TDays[[#This Row],[روز]]+1)/7)+1</f>
        <v>13</v>
      </c>
      <c r="Q1912" s="164">
        <f>SUMIF(TArticle[تاریخ],TDays[[#This Row],[تاریخ]],TArticle[تراکنش برنامه ریزی شده])</f>
        <v>0</v>
      </c>
    </row>
    <row r="1913" spans="1:17" x14ac:dyDescent="0.25">
      <c r="A1913" s="3" t="s">
        <v>2529</v>
      </c>
      <c r="B1913" s="164" t="str">
        <f>RIGHT(TDays[[#This Row],[تاریخ]],2)</f>
        <v>25</v>
      </c>
      <c r="C1913" s="164" t="str">
        <f>RIGHT(LEFT(TDays[[#This Row],[تاریخ]],7),2)</f>
        <v>03</v>
      </c>
      <c r="D1913" s="164" t="str">
        <f>LEFT(TDays[[#This Row],[تاریخ]],4)</f>
        <v>1406</v>
      </c>
      <c r="E1913" s="164" t="str">
        <f>LEFT(TDays[[#This Row],[تاریخ]],7)</f>
        <v>1406-03</v>
      </c>
      <c r="F1913">
        <v>2</v>
      </c>
      <c r="G1913" s="165" t="str">
        <f>VLOOKUP(TDays[[#This Row],[کد روز هفته]],TDaysOfTheWeek[],2,FALSE)</f>
        <v>دوشنبه</v>
      </c>
      <c r="H1913" s="165">
        <f>IFERROR(IF(E1912&lt;&gt;E1913,1,INT(H1912)+IF(TDays[[#This Row],[کد روز هفته]]=0,1,0)),1)</f>
        <v>5</v>
      </c>
      <c r="I1913" s="164">
        <f>-SUMIF(TArticle[تاریخ],TDays[[#This Row],[تاریخ]],TArticle[هزینه])</f>
        <v>0</v>
      </c>
      <c r="J1913" s="164">
        <f>SUMIF(TArticle[تاریخ],TDays[[#This Row],[تاریخ]],TArticle[درآمد تتا])</f>
        <v>0</v>
      </c>
      <c r="K1913" s="164">
        <f>SUMIF(TArticle[تاریخ],TDays[[#This Row],[تاریخ]],TArticle[اسنپ])</f>
        <v>0</v>
      </c>
      <c r="L1913" s="164">
        <f>-SUMIF(TArticle[تاریخ],TDays[[#This Row],[تاریخ]],TArticle[پرداخت بدهی])</f>
        <v>0</v>
      </c>
      <c r="M1913" s="164">
        <f>SUMIF(TArticle[تاریخ],TDays[[#This Row],[تاریخ]],TArticle[افزایش بدهی])</f>
        <v>0</v>
      </c>
      <c r="N1913" s="164">
        <f>-SUMIF(TArticle[تاریخ],TDays[[#This Row],[تاریخ]],TArticle[افزایش سرمایه])</f>
        <v>0</v>
      </c>
      <c r="O1913" s="164">
        <f>SUMIF(TArticle[تاریخ],TDays[[#This Row],[تاریخ]],TArticle[تعداد تراکنش انجام شده])</f>
        <v>0</v>
      </c>
      <c r="P1913" s="164">
        <f>INT(((TDays[[#This Row],[ماه]]-1)*31+TDays[[#This Row],[روز]]+1)/7)+1</f>
        <v>13</v>
      </c>
      <c r="Q1913" s="164">
        <f>SUMIF(TArticle[تاریخ],TDays[[#This Row],[تاریخ]],TArticle[تراکنش برنامه ریزی شده])</f>
        <v>0</v>
      </c>
    </row>
    <row r="1914" spans="1:17" x14ac:dyDescent="0.25">
      <c r="A1914" s="3" t="s">
        <v>2530</v>
      </c>
      <c r="B1914" s="164" t="str">
        <f>RIGHT(TDays[[#This Row],[تاریخ]],2)</f>
        <v>26</v>
      </c>
      <c r="C1914" s="164" t="str">
        <f>RIGHT(LEFT(TDays[[#This Row],[تاریخ]],7),2)</f>
        <v>03</v>
      </c>
      <c r="D1914" s="164" t="str">
        <f>LEFT(TDays[[#This Row],[تاریخ]],4)</f>
        <v>1406</v>
      </c>
      <c r="E1914" s="164" t="str">
        <f>LEFT(TDays[[#This Row],[تاریخ]],7)</f>
        <v>1406-03</v>
      </c>
      <c r="F1914">
        <v>3</v>
      </c>
      <c r="G1914" s="165" t="str">
        <f>VLOOKUP(TDays[[#This Row],[کد روز هفته]],TDaysOfTheWeek[],2,FALSE)</f>
        <v>سه شنبه</v>
      </c>
      <c r="H1914" s="165">
        <f>IFERROR(IF(E1913&lt;&gt;E1914,1,INT(H1913)+IF(TDays[[#This Row],[کد روز هفته]]=0,1,0)),1)</f>
        <v>5</v>
      </c>
      <c r="I1914" s="164">
        <f>-SUMIF(TArticle[تاریخ],TDays[[#This Row],[تاریخ]],TArticle[هزینه])</f>
        <v>0</v>
      </c>
      <c r="J1914" s="164">
        <f>SUMIF(TArticle[تاریخ],TDays[[#This Row],[تاریخ]],TArticle[درآمد تتا])</f>
        <v>0</v>
      </c>
      <c r="K1914" s="164">
        <f>SUMIF(TArticle[تاریخ],TDays[[#This Row],[تاریخ]],TArticle[اسنپ])</f>
        <v>0</v>
      </c>
      <c r="L1914" s="164">
        <f>-SUMIF(TArticle[تاریخ],TDays[[#This Row],[تاریخ]],TArticle[پرداخت بدهی])</f>
        <v>0</v>
      </c>
      <c r="M1914" s="164">
        <f>SUMIF(TArticle[تاریخ],TDays[[#This Row],[تاریخ]],TArticle[افزایش بدهی])</f>
        <v>0</v>
      </c>
      <c r="N1914" s="164">
        <f>-SUMIF(TArticle[تاریخ],TDays[[#This Row],[تاریخ]],TArticle[افزایش سرمایه])</f>
        <v>0</v>
      </c>
      <c r="O1914" s="164">
        <f>SUMIF(TArticle[تاریخ],TDays[[#This Row],[تاریخ]],TArticle[تعداد تراکنش انجام شده])</f>
        <v>0</v>
      </c>
      <c r="P1914" s="164">
        <f>INT(((TDays[[#This Row],[ماه]]-1)*31+TDays[[#This Row],[روز]]+1)/7)+1</f>
        <v>13</v>
      </c>
      <c r="Q1914" s="164">
        <f>SUMIF(TArticle[تاریخ],TDays[[#This Row],[تاریخ]],TArticle[تراکنش برنامه ریزی شده])</f>
        <v>0</v>
      </c>
    </row>
    <row r="1915" spans="1:17" x14ac:dyDescent="0.25">
      <c r="A1915" s="3" t="s">
        <v>2531</v>
      </c>
      <c r="B1915" s="164" t="str">
        <f>RIGHT(TDays[[#This Row],[تاریخ]],2)</f>
        <v>27</v>
      </c>
      <c r="C1915" s="164" t="str">
        <f>RIGHT(LEFT(TDays[[#This Row],[تاریخ]],7),2)</f>
        <v>03</v>
      </c>
      <c r="D1915" s="164" t="str">
        <f>LEFT(TDays[[#This Row],[تاریخ]],4)</f>
        <v>1406</v>
      </c>
      <c r="E1915" s="164" t="str">
        <f>LEFT(TDays[[#This Row],[تاریخ]],7)</f>
        <v>1406-03</v>
      </c>
      <c r="F1915">
        <v>4</v>
      </c>
      <c r="G1915" s="165" t="str">
        <f>VLOOKUP(TDays[[#This Row],[کد روز هفته]],TDaysOfTheWeek[],2,FALSE)</f>
        <v>چهارشنبه</v>
      </c>
      <c r="H1915" s="165">
        <f>IFERROR(IF(E1914&lt;&gt;E1915,1,INT(H1914)+IF(TDays[[#This Row],[کد روز هفته]]=0,1,0)),1)</f>
        <v>5</v>
      </c>
      <c r="I1915" s="164">
        <f>-SUMIF(TArticle[تاریخ],TDays[[#This Row],[تاریخ]],TArticle[هزینه])</f>
        <v>0</v>
      </c>
      <c r="J1915" s="164">
        <f>SUMIF(TArticle[تاریخ],TDays[[#This Row],[تاریخ]],TArticle[درآمد تتا])</f>
        <v>0</v>
      </c>
      <c r="K1915" s="164">
        <f>SUMIF(TArticle[تاریخ],TDays[[#This Row],[تاریخ]],TArticle[اسنپ])</f>
        <v>0</v>
      </c>
      <c r="L1915" s="164">
        <f>-SUMIF(TArticle[تاریخ],TDays[[#This Row],[تاریخ]],TArticle[پرداخت بدهی])</f>
        <v>0</v>
      </c>
      <c r="M1915" s="164">
        <f>SUMIF(TArticle[تاریخ],TDays[[#This Row],[تاریخ]],TArticle[افزایش بدهی])</f>
        <v>0</v>
      </c>
      <c r="N1915" s="164">
        <f>-SUMIF(TArticle[تاریخ],TDays[[#This Row],[تاریخ]],TArticle[افزایش سرمایه])</f>
        <v>0</v>
      </c>
      <c r="O1915" s="164">
        <f>SUMIF(TArticle[تاریخ],TDays[[#This Row],[تاریخ]],TArticle[تعداد تراکنش انجام شده])</f>
        <v>0</v>
      </c>
      <c r="P1915" s="164">
        <f>INT(((TDays[[#This Row],[ماه]]-1)*31+TDays[[#This Row],[روز]]+1)/7)+1</f>
        <v>13</v>
      </c>
      <c r="Q1915" s="164">
        <f>SUMIF(TArticle[تاریخ],TDays[[#This Row],[تاریخ]],TArticle[تراکنش برنامه ریزی شده])</f>
        <v>0</v>
      </c>
    </row>
    <row r="1916" spans="1:17" x14ac:dyDescent="0.25">
      <c r="A1916" s="3" t="s">
        <v>2532</v>
      </c>
      <c r="B1916" s="164" t="str">
        <f>RIGHT(TDays[[#This Row],[تاریخ]],2)</f>
        <v>28</v>
      </c>
      <c r="C1916" s="164" t="str">
        <f>RIGHT(LEFT(TDays[[#This Row],[تاریخ]],7),2)</f>
        <v>03</v>
      </c>
      <c r="D1916" s="164" t="str">
        <f>LEFT(TDays[[#This Row],[تاریخ]],4)</f>
        <v>1406</v>
      </c>
      <c r="E1916" s="164" t="str">
        <f>LEFT(TDays[[#This Row],[تاریخ]],7)</f>
        <v>1406-03</v>
      </c>
      <c r="F1916">
        <v>5</v>
      </c>
      <c r="G1916" s="165" t="str">
        <f>VLOOKUP(TDays[[#This Row],[کد روز هفته]],TDaysOfTheWeek[],2,FALSE)</f>
        <v>پنجشنبه</v>
      </c>
      <c r="H1916" s="165">
        <f>IFERROR(IF(E1915&lt;&gt;E1916,1,INT(H1915)+IF(TDays[[#This Row],[کد روز هفته]]=0,1,0)),1)</f>
        <v>5</v>
      </c>
      <c r="I1916" s="164">
        <f>-SUMIF(TArticle[تاریخ],TDays[[#This Row],[تاریخ]],TArticle[هزینه])</f>
        <v>0</v>
      </c>
      <c r="J1916" s="164">
        <f>SUMIF(TArticle[تاریخ],TDays[[#This Row],[تاریخ]],TArticle[درآمد تتا])</f>
        <v>0</v>
      </c>
      <c r="K1916" s="164">
        <f>SUMIF(TArticle[تاریخ],TDays[[#This Row],[تاریخ]],TArticle[اسنپ])</f>
        <v>0</v>
      </c>
      <c r="L1916" s="164">
        <f>-SUMIF(TArticle[تاریخ],TDays[[#This Row],[تاریخ]],TArticle[پرداخت بدهی])</f>
        <v>0</v>
      </c>
      <c r="M1916" s="164">
        <f>SUMIF(TArticle[تاریخ],TDays[[#This Row],[تاریخ]],TArticle[افزایش بدهی])</f>
        <v>0</v>
      </c>
      <c r="N1916" s="164">
        <f>-SUMIF(TArticle[تاریخ],TDays[[#This Row],[تاریخ]],TArticle[افزایش سرمایه])</f>
        <v>0</v>
      </c>
      <c r="O1916" s="164">
        <f>SUMIF(TArticle[تاریخ],TDays[[#This Row],[تاریخ]],TArticle[تعداد تراکنش انجام شده])</f>
        <v>0</v>
      </c>
      <c r="P1916" s="164">
        <f>INT(((TDays[[#This Row],[ماه]]-1)*31+TDays[[#This Row],[روز]]+1)/7)+1</f>
        <v>14</v>
      </c>
      <c r="Q1916" s="164">
        <f>SUMIF(TArticle[تاریخ],TDays[[#This Row],[تاریخ]],TArticle[تراکنش برنامه ریزی شده])</f>
        <v>0</v>
      </c>
    </row>
    <row r="1917" spans="1:17" x14ac:dyDescent="0.25">
      <c r="A1917" s="3" t="s">
        <v>2533</v>
      </c>
      <c r="B1917" s="164" t="str">
        <f>RIGHT(TDays[[#This Row],[تاریخ]],2)</f>
        <v>29</v>
      </c>
      <c r="C1917" s="164" t="str">
        <f>RIGHT(LEFT(TDays[[#This Row],[تاریخ]],7),2)</f>
        <v>03</v>
      </c>
      <c r="D1917" s="164" t="str">
        <f>LEFT(TDays[[#This Row],[تاریخ]],4)</f>
        <v>1406</v>
      </c>
      <c r="E1917" s="164" t="str">
        <f>LEFT(TDays[[#This Row],[تاریخ]],7)</f>
        <v>1406-03</v>
      </c>
      <c r="F1917">
        <v>6</v>
      </c>
      <c r="G1917" s="165" t="str">
        <f>VLOOKUP(TDays[[#This Row],[کد روز هفته]],TDaysOfTheWeek[],2,FALSE)</f>
        <v>جمعه</v>
      </c>
      <c r="H1917" s="165">
        <f>IFERROR(IF(E1916&lt;&gt;E1917,1,INT(H1916)+IF(TDays[[#This Row],[کد روز هفته]]=0,1,0)),1)</f>
        <v>5</v>
      </c>
      <c r="I1917" s="164">
        <f>-SUMIF(TArticle[تاریخ],TDays[[#This Row],[تاریخ]],TArticle[هزینه])</f>
        <v>0</v>
      </c>
      <c r="J1917" s="164">
        <f>SUMIF(TArticle[تاریخ],TDays[[#This Row],[تاریخ]],TArticle[درآمد تتا])</f>
        <v>0</v>
      </c>
      <c r="K1917" s="164">
        <f>SUMIF(TArticle[تاریخ],TDays[[#This Row],[تاریخ]],TArticle[اسنپ])</f>
        <v>0</v>
      </c>
      <c r="L1917" s="164">
        <f>-SUMIF(TArticle[تاریخ],TDays[[#This Row],[تاریخ]],TArticle[پرداخت بدهی])</f>
        <v>0</v>
      </c>
      <c r="M1917" s="164">
        <f>SUMIF(TArticle[تاریخ],TDays[[#This Row],[تاریخ]],TArticle[افزایش بدهی])</f>
        <v>0</v>
      </c>
      <c r="N1917" s="164">
        <f>-SUMIF(TArticle[تاریخ],TDays[[#This Row],[تاریخ]],TArticle[افزایش سرمایه])</f>
        <v>0</v>
      </c>
      <c r="O1917" s="164">
        <f>SUMIF(TArticle[تاریخ],TDays[[#This Row],[تاریخ]],TArticle[تعداد تراکنش انجام شده])</f>
        <v>0</v>
      </c>
      <c r="P1917" s="164">
        <f>INT(((TDays[[#This Row],[ماه]]-1)*31+TDays[[#This Row],[روز]]+1)/7)+1</f>
        <v>14</v>
      </c>
      <c r="Q1917" s="164">
        <f>SUMIF(TArticle[تاریخ],TDays[[#This Row],[تاریخ]],TArticle[تراکنش برنامه ریزی شده])</f>
        <v>0</v>
      </c>
    </row>
    <row r="1918" spans="1:17" x14ac:dyDescent="0.25">
      <c r="A1918" s="3" t="s">
        <v>2534</v>
      </c>
      <c r="B1918" s="164" t="str">
        <f>RIGHT(TDays[[#This Row],[تاریخ]],2)</f>
        <v>30</v>
      </c>
      <c r="C1918" s="164" t="str">
        <f>RIGHT(LEFT(TDays[[#This Row],[تاریخ]],7),2)</f>
        <v>03</v>
      </c>
      <c r="D1918" s="164" t="str">
        <f>LEFT(TDays[[#This Row],[تاریخ]],4)</f>
        <v>1406</v>
      </c>
      <c r="E1918" s="164" t="str">
        <f>LEFT(TDays[[#This Row],[تاریخ]],7)</f>
        <v>1406-03</v>
      </c>
      <c r="F1918">
        <v>0</v>
      </c>
      <c r="G1918" s="165" t="str">
        <f>VLOOKUP(TDays[[#This Row],[کد روز هفته]],TDaysOfTheWeek[],2,FALSE)</f>
        <v>شنبه</v>
      </c>
      <c r="H1918" s="165">
        <f>IFERROR(IF(E1917&lt;&gt;E1918,1,INT(H1917)+IF(TDays[[#This Row],[کد روز هفته]]=0,1,0)),1)</f>
        <v>6</v>
      </c>
      <c r="I1918" s="164">
        <f>-SUMIF(TArticle[تاریخ],TDays[[#This Row],[تاریخ]],TArticle[هزینه])</f>
        <v>0</v>
      </c>
      <c r="J1918" s="164">
        <f>SUMIF(TArticle[تاریخ],TDays[[#This Row],[تاریخ]],TArticle[درآمد تتا])</f>
        <v>0</v>
      </c>
      <c r="K1918" s="164">
        <f>SUMIF(TArticle[تاریخ],TDays[[#This Row],[تاریخ]],TArticle[اسنپ])</f>
        <v>0</v>
      </c>
      <c r="L1918" s="164">
        <f>-SUMIF(TArticle[تاریخ],TDays[[#This Row],[تاریخ]],TArticle[پرداخت بدهی])</f>
        <v>0</v>
      </c>
      <c r="M1918" s="164">
        <f>SUMIF(TArticle[تاریخ],TDays[[#This Row],[تاریخ]],TArticle[افزایش بدهی])</f>
        <v>0</v>
      </c>
      <c r="N1918" s="164">
        <f>-SUMIF(TArticle[تاریخ],TDays[[#This Row],[تاریخ]],TArticle[افزایش سرمایه])</f>
        <v>0</v>
      </c>
      <c r="O1918" s="164">
        <f>SUMIF(TArticle[تاریخ],TDays[[#This Row],[تاریخ]],TArticle[تعداد تراکنش انجام شده])</f>
        <v>0</v>
      </c>
      <c r="P1918" s="164">
        <f>INT(((TDays[[#This Row],[ماه]]-1)*31+TDays[[#This Row],[روز]]+1)/7)+1</f>
        <v>14</v>
      </c>
      <c r="Q1918" s="164">
        <f>SUMIF(TArticle[تاریخ],TDays[[#This Row],[تاریخ]],TArticle[تراکنش برنامه ریزی شده])</f>
        <v>0</v>
      </c>
    </row>
    <row r="1919" spans="1:17" x14ac:dyDescent="0.25">
      <c r="A1919" s="3" t="s">
        <v>2535</v>
      </c>
      <c r="B1919" s="164" t="str">
        <f>RIGHT(TDays[[#This Row],[تاریخ]],2)</f>
        <v>31</v>
      </c>
      <c r="C1919" s="164" t="str">
        <f>RIGHT(LEFT(TDays[[#This Row],[تاریخ]],7),2)</f>
        <v>03</v>
      </c>
      <c r="D1919" s="164" t="str">
        <f>LEFT(TDays[[#This Row],[تاریخ]],4)</f>
        <v>1406</v>
      </c>
      <c r="E1919" s="164" t="str">
        <f>LEFT(TDays[[#This Row],[تاریخ]],7)</f>
        <v>1406-03</v>
      </c>
      <c r="F1919">
        <v>1</v>
      </c>
      <c r="G1919" s="165" t="str">
        <f>VLOOKUP(TDays[[#This Row],[کد روز هفته]],TDaysOfTheWeek[],2,FALSE)</f>
        <v>یکشنبه</v>
      </c>
      <c r="H1919" s="165">
        <f>IFERROR(IF(E1918&lt;&gt;E1919,1,INT(H1918)+IF(TDays[[#This Row],[کد روز هفته]]=0,1,0)),1)</f>
        <v>6</v>
      </c>
      <c r="I1919" s="164">
        <f>-SUMIF(TArticle[تاریخ],TDays[[#This Row],[تاریخ]],TArticle[هزینه])</f>
        <v>0</v>
      </c>
      <c r="J1919" s="164">
        <f>SUMIF(TArticle[تاریخ],TDays[[#This Row],[تاریخ]],TArticle[درآمد تتا])</f>
        <v>0</v>
      </c>
      <c r="K1919" s="164">
        <f>SUMIF(TArticle[تاریخ],TDays[[#This Row],[تاریخ]],TArticle[اسنپ])</f>
        <v>0</v>
      </c>
      <c r="L1919" s="164">
        <f>-SUMIF(TArticle[تاریخ],TDays[[#This Row],[تاریخ]],TArticle[پرداخت بدهی])</f>
        <v>0</v>
      </c>
      <c r="M1919" s="164">
        <f>SUMIF(TArticle[تاریخ],TDays[[#This Row],[تاریخ]],TArticle[افزایش بدهی])</f>
        <v>0</v>
      </c>
      <c r="N1919" s="164">
        <f>-SUMIF(TArticle[تاریخ],TDays[[#This Row],[تاریخ]],TArticle[افزایش سرمایه])</f>
        <v>0</v>
      </c>
      <c r="O1919" s="164">
        <f>SUMIF(TArticle[تاریخ],TDays[[#This Row],[تاریخ]],TArticle[تعداد تراکنش انجام شده])</f>
        <v>0</v>
      </c>
      <c r="P1919" s="164">
        <f>INT(((TDays[[#This Row],[ماه]]-1)*31+TDays[[#This Row],[روز]]+1)/7)+1</f>
        <v>14</v>
      </c>
      <c r="Q1919" s="164">
        <f>SUMIF(TArticle[تاریخ],TDays[[#This Row],[تاریخ]],TArticle[تراکنش برنامه ریزی شده])</f>
        <v>0</v>
      </c>
    </row>
    <row r="1920" spans="1:17" x14ac:dyDescent="0.25">
      <c r="A1920" s="3" t="s">
        <v>2536</v>
      </c>
      <c r="B1920" s="164" t="str">
        <f>RIGHT(TDays[[#This Row],[تاریخ]],2)</f>
        <v>01</v>
      </c>
      <c r="C1920" s="164" t="str">
        <f>RIGHT(LEFT(TDays[[#This Row],[تاریخ]],7),2)</f>
        <v>04</v>
      </c>
      <c r="D1920" s="164" t="str">
        <f>LEFT(TDays[[#This Row],[تاریخ]],4)</f>
        <v>1406</v>
      </c>
      <c r="E1920" s="164" t="str">
        <f>LEFT(TDays[[#This Row],[تاریخ]],7)</f>
        <v>1406-04</v>
      </c>
      <c r="F1920">
        <v>2</v>
      </c>
      <c r="G1920" s="165" t="str">
        <f>VLOOKUP(TDays[[#This Row],[کد روز هفته]],TDaysOfTheWeek[],2,FALSE)</f>
        <v>دوشنبه</v>
      </c>
      <c r="H1920" s="165">
        <f>IFERROR(IF(E1919&lt;&gt;E1920,1,INT(H1919)+IF(TDays[[#This Row],[کد روز هفته]]=0,1,0)),1)</f>
        <v>1</v>
      </c>
      <c r="I1920" s="164">
        <f>-SUMIF(TArticle[تاریخ],TDays[[#This Row],[تاریخ]],TArticle[هزینه])</f>
        <v>0</v>
      </c>
      <c r="J1920" s="164">
        <f>SUMIF(TArticle[تاریخ],TDays[[#This Row],[تاریخ]],TArticle[درآمد تتا])</f>
        <v>0</v>
      </c>
      <c r="K1920" s="164">
        <f>SUMIF(TArticle[تاریخ],TDays[[#This Row],[تاریخ]],TArticle[اسنپ])</f>
        <v>0</v>
      </c>
      <c r="L1920" s="164">
        <f>-SUMIF(TArticle[تاریخ],TDays[[#This Row],[تاریخ]],TArticle[پرداخت بدهی])</f>
        <v>0</v>
      </c>
      <c r="M1920" s="164">
        <f>SUMIF(TArticle[تاریخ],TDays[[#This Row],[تاریخ]],TArticle[افزایش بدهی])</f>
        <v>0</v>
      </c>
      <c r="N1920" s="164">
        <f>-SUMIF(TArticle[تاریخ],TDays[[#This Row],[تاریخ]],TArticle[افزایش سرمایه])</f>
        <v>0</v>
      </c>
      <c r="O1920" s="164">
        <f>SUMIF(TArticle[تاریخ],TDays[[#This Row],[تاریخ]],TArticle[تعداد تراکنش انجام شده])</f>
        <v>0</v>
      </c>
      <c r="P1920" s="164">
        <f>INT(((TDays[[#This Row],[ماه]]-1)*31+TDays[[#This Row],[روز]]+1)/7)+1</f>
        <v>14</v>
      </c>
      <c r="Q1920" s="164">
        <f>SUMIF(TArticle[تاریخ],TDays[[#This Row],[تاریخ]],TArticle[تراکنش برنامه ریزی شده])</f>
        <v>0</v>
      </c>
    </row>
    <row r="1921" spans="1:17" x14ac:dyDescent="0.25">
      <c r="A1921" s="3" t="s">
        <v>2537</v>
      </c>
      <c r="B1921" s="164" t="str">
        <f>RIGHT(TDays[[#This Row],[تاریخ]],2)</f>
        <v>02</v>
      </c>
      <c r="C1921" s="164" t="str">
        <f>RIGHT(LEFT(TDays[[#This Row],[تاریخ]],7),2)</f>
        <v>04</v>
      </c>
      <c r="D1921" s="164" t="str">
        <f>LEFT(TDays[[#This Row],[تاریخ]],4)</f>
        <v>1406</v>
      </c>
      <c r="E1921" s="164" t="str">
        <f>LEFT(TDays[[#This Row],[تاریخ]],7)</f>
        <v>1406-04</v>
      </c>
      <c r="F1921">
        <v>3</v>
      </c>
      <c r="G1921" s="165" t="str">
        <f>VLOOKUP(TDays[[#This Row],[کد روز هفته]],TDaysOfTheWeek[],2,FALSE)</f>
        <v>سه شنبه</v>
      </c>
      <c r="H1921" s="165">
        <f>IFERROR(IF(E1920&lt;&gt;E1921,1,INT(H1920)+IF(TDays[[#This Row],[کد روز هفته]]=0,1,0)),1)</f>
        <v>1</v>
      </c>
      <c r="I1921" s="164">
        <f>-SUMIF(TArticle[تاریخ],TDays[[#This Row],[تاریخ]],TArticle[هزینه])</f>
        <v>0</v>
      </c>
      <c r="J1921" s="164">
        <f>SUMIF(TArticle[تاریخ],TDays[[#This Row],[تاریخ]],TArticle[درآمد تتا])</f>
        <v>0</v>
      </c>
      <c r="K1921" s="164">
        <f>SUMIF(TArticle[تاریخ],TDays[[#This Row],[تاریخ]],TArticle[اسنپ])</f>
        <v>0</v>
      </c>
      <c r="L1921" s="164">
        <f>-SUMIF(TArticle[تاریخ],TDays[[#This Row],[تاریخ]],TArticle[پرداخت بدهی])</f>
        <v>0</v>
      </c>
      <c r="M1921" s="164">
        <f>SUMIF(TArticle[تاریخ],TDays[[#This Row],[تاریخ]],TArticle[افزایش بدهی])</f>
        <v>0</v>
      </c>
      <c r="N1921" s="164">
        <f>-SUMIF(TArticle[تاریخ],TDays[[#This Row],[تاریخ]],TArticle[افزایش سرمایه])</f>
        <v>0</v>
      </c>
      <c r="O1921" s="164">
        <f>SUMIF(TArticle[تاریخ],TDays[[#This Row],[تاریخ]],TArticle[تعداد تراکنش انجام شده])</f>
        <v>0</v>
      </c>
      <c r="P1921" s="164">
        <f>INT(((TDays[[#This Row],[ماه]]-1)*31+TDays[[#This Row],[روز]]+1)/7)+1</f>
        <v>14</v>
      </c>
      <c r="Q1921" s="164">
        <f>SUMIF(TArticle[تاریخ],TDays[[#This Row],[تاریخ]],TArticle[تراکنش برنامه ریزی شده])</f>
        <v>0</v>
      </c>
    </row>
    <row r="1922" spans="1:17" x14ac:dyDescent="0.25">
      <c r="A1922" s="3" t="s">
        <v>2538</v>
      </c>
      <c r="B1922" s="164" t="str">
        <f>RIGHT(TDays[[#This Row],[تاریخ]],2)</f>
        <v>03</v>
      </c>
      <c r="C1922" s="164" t="str">
        <f>RIGHT(LEFT(TDays[[#This Row],[تاریخ]],7),2)</f>
        <v>04</v>
      </c>
      <c r="D1922" s="164" t="str">
        <f>LEFT(TDays[[#This Row],[تاریخ]],4)</f>
        <v>1406</v>
      </c>
      <c r="E1922" s="164" t="str">
        <f>LEFT(TDays[[#This Row],[تاریخ]],7)</f>
        <v>1406-04</v>
      </c>
      <c r="F1922">
        <v>4</v>
      </c>
      <c r="G1922" s="165" t="str">
        <f>VLOOKUP(TDays[[#This Row],[کد روز هفته]],TDaysOfTheWeek[],2,FALSE)</f>
        <v>چهارشنبه</v>
      </c>
      <c r="H1922" s="165">
        <f>IFERROR(IF(E1921&lt;&gt;E1922,1,INT(H1921)+IF(TDays[[#This Row],[کد روز هفته]]=0,1,0)),1)</f>
        <v>1</v>
      </c>
      <c r="I1922" s="164">
        <f>-SUMIF(TArticle[تاریخ],TDays[[#This Row],[تاریخ]],TArticle[هزینه])</f>
        <v>0</v>
      </c>
      <c r="J1922" s="164">
        <f>SUMIF(TArticle[تاریخ],TDays[[#This Row],[تاریخ]],TArticle[درآمد تتا])</f>
        <v>0</v>
      </c>
      <c r="K1922" s="164">
        <f>SUMIF(TArticle[تاریخ],TDays[[#This Row],[تاریخ]],TArticle[اسنپ])</f>
        <v>0</v>
      </c>
      <c r="L1922" s="164">
        <f>-SUMIF(TArticle[تاریخ],TDays[[#This Row],[تاریخ]],TArticle[پرداخت بدهی])</f>
        <v>0</v>
      </c>
      <c r="M1922" s="164">
        <f>SUMIF(TArticle[تاریخ],TDays[[#This Row],[تاریخ]],TArticle[افزایش بدهی])</f>
        <v>0</v>
      </c>
      <c r="N1922" s="164">
        <f>-SUMIF(TArticle[تاریخ],TDays[[#This Row],[تاریخ]],TArticle[افزایش سرمایه])</f>
        <v>0</v>
      </c>
      <c r="O1922" s="164">
        <f>SUMIF(TArticle[تاریخ],TDays[[#This Row],[تاریخ]],TArticle[تعداد تراکنش انجام شده])</f>
        <v>0</v>
      </c>
      <c r="P1922" s="164">
        <f>INT(((TDays[[#This Row],[ماه]]-1)*31+TDays[[#This Row],[روز]]+1)/7)+1</f>
        <v>14</v>
      </c>
      <c r="Q1922" s="164">
        <f>SUMIF(TArticle[تاریخ],TDays[[#This Row],[تاریخ]],TArticle[تراکنش برنامه ریزی شده])</f>
        <v>1</v>
      </c>
    </row>
    <row r="1923" spans="1:17" x14ac:dyDescent="0.25">
      <c r="A1923" s="3" t="s">
        <v>2539</v>
      </c>
      <c r="B1923" s="164" t="str">
        <f>RIGHT(TDays[[#This Row],[تاریخ]],2)</f>
        <v>04</v>
      </c>
      <c r="C1923" s="164" t="str">
        <f>RIGHT(LEFT(TDays[[#This Row],[تاریخ]],7),2)</f>
        <v>04</v>
      </c>
      <c r="D1923" s="164" t="str">
        <f>LEFT(TDays[[#This Row],[تاریخ]],4)</f>
        <v>1406</v>
      </c>
      <c r="E1923" s="164" t="str">
        <f>LEFT(TDays[[#This Row],[تاریخ]],7)</f>
        <v>1406-04</v>
      </c>
      <c r="F1923">
        <v>5</v>
      </c>
      <c r="G1923" s="165" t="str">
        <f>VLOOKUP(TDays[[#This Row],[کد روز هفته]],TDaysOfTheWeek[],2,FALSE)</f>
        <v>پنجشنبه</v>
      </c>
      <c r="H1923" s="165">
        <f>IFERROR(IF(E1922&lt;&gt;E1923,1,INT(H1922)+IF(TDays[[#This Row],[کد روز هفته]]=0,1,0)),1)</f>
        <v>1</v>
      </c>
      <c r="I1923" s="164">
        <f>-SUMIF(TArticle[تاریخ],TDays[[#This Row],[تاریخ]],TArticle[هزینه])</f>
        <v>0</v>
      </c>
      <c r="J1923" s="164">
        <f>SUMIF(TArticle[تاریخ],TDays[[#This Row],[تاریخ]],TArticle[درآمد تتا])</f>
        <v>0</v>
      </c>
      <c r="K1923" s="164">
        <f>SUMIF(TArticle[تاریخ],TDays[[#This Row],[تاریخ]],TArticle[اسنپ])</f>
        <v>0</v>
      </c>
      <c r="L1923" s="164">
        <f>-SUMIF(TArticle[تاریخ],TDays[[#This Row],[تاریخ]],TArticle[پرداخت بدهی])</f>
        <v>0</v>
      </c>
      <c r="M1923" s="164">
        <f>SUMIF(TArticle[تاریخ],TDays[[#This Row],[تاریخ]],TArticle[افزایش بدهی])</f>
        <v>0</v>
      </c>
      <c r="N1923" s="164">
        <f>-SUMIF(TArticle[تاریخ],TDays[[#This Row],[تاریخ]],TArticle[افزایش سرمایه])</f>
        <v>0</v>
      </c>
      <c r="O1923" s="164">
        <f>SUMIF(TArticle[تاریخ],TDays[[#This Row],[تاریخ]],TArticle[تعداد تراکنش انجام شده])</f>
        <v>0</v>
      </c>
      <c r="P1923" s="164">
        <f>INT(((TDays[[#This Row],[ماه]]-1)*31+TDays[[#This Row],[روز]]+1)/7)+1</f>
        <v>15</v>
      </c>
      <c r="Q1923" s="164">
        <f>SUMIF(TArticle[تاریخ],TDays[[#This Row],[تاریخ]],TArticle[تراکنش برنامه ریزی شده])</f>
        <v>0</v>
      </c>
    </row>
    <row r="1924" spans="1:17" x14ac:dyDescent="0.25">
      <c r="A1924" s="3" t="s">
        <v>2540</v>
      </c>
      <c r="B1924" s="164" t="str">
        <f>RIGHT(TDays[[#This Row],[تاریخ]],2)</f>
        <v>05</v>
      </c>
      <c r="C1924" s="164" t="str">
        <f>RIGHT(LEFT(TDays[[#This Row],[تاریخ]],7),2)</f>
        <v>04</v>
      </c>
      <c r="D1924" s="164" t="str">
        <f>LEFT(TDays[[#This Row],[تاریخ]],4)</f>
        <v>1406</v>
      </c>
      <c r="E1924" s="164" t="str">
        <f>LEFT(TDays[[#This Row],[تاریخ]],7)</f>
        <v>1406-04</v>
      </c>
      <c r="F1924">
        <v>6</v>
      </c>
      <c r="G1924" s="165" t="str">
        <f>VLOOKUP(TDays[[#This Row],[کد روز هفته]],TDaysOfTheWeek[],2,FALSE)</f>
        <v>جمعه</v>
      </c>
      <c r="H1924" s="165">
        <f>IFERROR(IF(E1923&lt;&gt;E1924,1,INT(H1923)+IF(TDays[[#This Row],[کد روز هفته]]=0,1,0)),1)</f>
        <v>1</v>
      </c>
      <c r="I1924" s="164">
        <f>-SUMIF(TArticle[تاریخ],TDays[[#This Row],[تاریخ]],TArticle[هزینه])</f>
        <v>0</v>
      </c>
      <c r="J1924" s="164">
        <f>SUMIF(TArticle[تاریخ],TDays[[#This Row],[تاریخ]],TArticle[درآمد تتا])</f>
        <v>0</v>
      </c>
      <c r="K1924" s="164">
        <f>SUMIF(TArticle[تاریخ],TDays[[#This Row],[تاریخ]],TArticle[اسنپ])</f>
        <v>0</v>
      </c>
      <c r="L1924" s="164">
        <f>-SUMIF(TArticle[تاریخ],TDays[[#This Row],[تاریخ]],TArticle[پرداخت بدهی])</f>
        <v>0</v>
      </c>
      <c r="M1924" s="164">
        <f>SUMIF(TArticle[تاریخ],TDays[[#This Row],[تاریخ]],TArticle[افزایش بدهی])</f>
        <v>0</v>
      </c>
      <c r="N1924" s="164">
        <f>-SUMIF(TArticle[تاریخ],TDays[[#This Row],[تاریخ]],TArticle[افزایش سرمایه])</f>
        <v>0</v>
      </c>
      <c r="O1924" s="164">
        <f>SUMIF(TArticle[تاریخ],TDays[[#This Row],[تاریخ]],TArticle[تعداد تراکنش انجام شده])</f>
        <v>0</v>
      </c>
      <c r="P1924" s="164">
        <f>INT(((TDays[[#This Row],[ماه]]-1)*31+TDays[[#This Row],[روز]]+1)/7)+1</f>
        <v>15</v>
      </c>
      <c r="Q1924" s="164">
        <f>SUMIF(TArticle[تاریخ],TDays[[#This Row],[تاریخ]],TArticle[تراکنش برنامه ریزی شده])</f>
        <v>0</v>
      </c>
    </row>
    <row r="1925" spans="1:17" x14ac:dyDescent="0.25">
      <c r="A1925" s="3" t="s">
        <v>2541</v>
      </c>
      <c r="B1925" s="164" t="str">
        <f>RIGHT(TDays[[#This Row],[تاریخ]],2)</f>
        <v>06</v>
      </c>
      <c r="C1925" s="164" t="str">
        <f>RIGHT(LEFT(TDays[[#This Row],[تاریخ]],7),2)</f>
        <v>04</v>
      </c>
      <c r="D1925" s="164" t="str">
        <f>LEFT(TDays[[#This Row],[تاریخ]],4)</f>
        <v>1406</v>
      </c>
      <c r="E1925" s="164" t="str">
        <f>LEFT(TDays[[#This Row],[تاریخ]],7)</f>
        <v>1406-04</v>
      </c>
      <c r="F1925">
        <v>0</v>
      </c>
      <c r="G1925" s="165" t="str">
        <f>VLOOKUP(TDays[[#This Row],[کد روز هفته]],TDaysOfTheWeek[],2,FALSE)</f>
        <v>شنبه</v>
      </c>
      <c r="H1925" s="165">
        <f>IFERROR(IF(E1924&lt;&gt;E1925,1,INT(H1924)+IF(TDays[[#This Row],[کد روز هفته]]=0,1,0)),1)</f>
        <v>2</v>
      </c>
      <c r="I1925" s="164">
        <f>-SUMIF(TArticle[تاریخ],TDays[[#This Row],[تاریخ]],TArticle[هزینه])</f>
        <v>0</v>
      </c>
      <c r="J1925" s="164">
        <f>SUMIF(TArticle[تاریخ],TDays[[#This Row],[تاریخ]],TArticle[درآمد تتا])</f>
        <v>0</v>
      </c>
      <c r="K1925" s="164">
        <f>SUMIF(TArticle[تاریخ],TDays[[#This Row],[تاریخ]],TArticle[اسنپ])</f>
        <v>0</v>
      </c>
      <c r="L1925" s="164">
        <f>-SUMIF(TArticle[تاریخ],TDays[[#This Row],[تاریخ]],TArticle[پرداخت بدهی])</f>
        <v>0</v>
      </c>
      <c r="M1925" s="164">
        <f>SUMIF(TArticle[تاریخ],TDays[[#This Row],[تاریخ]],TArticle[افزایش بدهی])</f>
        <v>0</v>
      </c>
      <c r="N1925" s="164">
        <f>-SUMIF(TArticle[تاریخ],TDays[[#This Row],[تاریخ]],TArticle[افزایش سرمایه])</f>
        <v>0</v>
      </c>
      <c r="O1925" s="164">
        <f>SUMIF(TArticle[تاریخ],TDays[[#This Row],[تاریخ]],TArticle[تعداد تراکنش انجام شده])</f>
        <v>0</v>
      </c>
      <c r="P1925" s="164">
        <f>INT(((TDays[[#This Row],[ماه]]-1)*31+TDays[[#This Row],[روز]]+1)/7)+1</f>
        <v>15</v>
      </c>
      <c r="Q1925" s="164">
        <f>SUMIF(TArticle[تاریخ],TDays[[#This Row],[تاریخ]],TArticle[تراکنش برنامه ریزی شده])</f>
        <v>0</v>
      </c>
    </row>
    <row r="1926" spans="1:17" x14ac:dyDescent="0.25">
      <c r="A1926" s="3" t="s">
        <v>2542</v>
      </c>
      <c r="B1926" s="164" t="str">
        <f>RIGHT(TDays[[#This Row],[تاریخ]],2)</f>
        <v>07</v>
      </c>
      <c r="C1926" s="164" t="str">
        <f>RIGHT(LEFT(TDays[[#This Row],[تاریخ]],7),2)</f>
        <v>04</v>
      </c>
      <c r="D1926" s="164" t="str">
        <f>LEFT(TDays[[#This Row],[تاریخ]],4)</f>
        <v>1406</v>
      </c>
      <c r="E1926" s="164" t="str">
        <f>LEFT(TDays[[#This Row],[تاریخ]],7)</f>
        <v>1406-04</v>
      </c>
      <c r="F1926">
        <v>1</v>
      </c>
      <c r="G1926" s="165" t="str">
        <f>VLOOKUP(TDays[[#This Row],[کد روز هفته]],TDaysOfTheWeek[],2,FALSE)</f>
        <v>یکشنبه</v>
      </c>
      <c r="H1926" s="165">
        <f>IFERROR(IF(E1925&lt;&gt;E1926,1,INT(H1925)+IF(TDays[[#This Row],[کد روز هفته]]=0,1,0)),1)</f>
        <v>2</v>
      </c>
      <c r="I1926" s="164">
        <f>-SUMIF(TArticle[تاریخ],TDays[[#This Row],[تاریخ]],TArticle[هزینه])</f>
        <v>0</v>
      </c>
      <c r="J1926" s="164">
        <f>SUMIF(TArticle[تاریخ],TDays[[#This Row],[تاریخ]],TArticle[درآمد تتا])</f>
        <v>0</v>
      </c>
      <c r="K1926" s="164">
        <f>SUMIF(TArticle[تاریخ],TDays[[#This Row],[تاریخ]],TArticle[اسنپ])</f>
        <v>0</v>
      </c>
      <c r="L1926" s="164">
        <f>-SUMIF(TArticle[تاریخ],TDays[[#This Row],[تاریخ]],TArticle[پرداخت بدهی])</f>
        <v>0</v>
      </c>
      <c r="M1926" s="164">
        <f>SUMIF(TArticle[تاریخ],TDays[[#This Row],[تاریخ]],TArticle[افزایش بدهی])</f>
        <v>0</v>
      </c>
      <c r="N1926" s="164">
        <f>-SUMIF(TArticle[تاریخ],TDays[[#This Row],[تاریخ]],TArticle[افزایش سرمایه])</f>
        <v>0</v>
      </c>
      <c r="O1926" s="164">
        <f>SUMIF(TArticle[تاریخ],TDays[[#This Row],[تاریخ]],TArticle[تعداد تراکنش انجام شده])</f>
        <v>0</v>
      </c>
      <c r="P1926" s="164">
        <f>INT(((TDays[[#This Row],[ماه]]-1)*31+TDays[[#This Row],[روز]]+1)/7)+1</f>
        <v>15</v>
      </c>
      <c r="Q1926" s="164">
        <f>SUMIF(TArticle[تاریخ],TDays[[#This Row],[تاریخ]],TArticle[تراکنش برنامه ریزی شده])</f>
        <v>0</v>
      </c>
    </row>
    <row r="1927" spans="1:17" x14ac:dyDescent="0.25">
      <c r="A1927" s="3" t="s">
        <v>2543</v>
      </c>
      <c r="B1927" s="164" t="str">
        <f>RIGHT(TDays[[#This Row],[تاریخ]],2)</f>
        <v>08</v>
      </c>
      <c r="C1927" s="164" t="str">
        <f>RIGHT(LEFT(TDays[[#This Row],[تاریخ]],7),2)</f>
        <v>04</v>
      </c>
      <c r="D1927" s="164" t="str">
        <f>LEFT(TDays[[#This Row],[تاریخ]],4)</f>
        <v>1406</v>
      </c>
      <c r="E1927" s="164" t="str">
        <f>LEFT(TDays[[#This Row],[تاریخ]],7)</f>
        <v>1406-04</v>
      </c>
      <c r="F1927">
        <v>2</v>
      </c>
      <c r="G1927" s="165" t="str">
        <f>VLOOKUP(TDays[[#This Row],[کد روز هفته]],TDaysOfTheWeek[],2,FALSE)</f>
        <v>دوشنبه</v>
      </c>
      <c r="H1927" s="165">
        <f>IFERROR(IF(E1926&lt;&gt;E1927,1,INT(H1926)+IF(TDays[[#This Row],[کد روز هفته]]=0,1,0)),1)</f>
        <v>2</v>
      </c>
      <c r="I1927" s="164">
        <f>-SUMIF(TArticle[تاریخ],TDays[[#This Row],[تاریخ]],TArticle[هزینه])</f>
        <v>0</v>
      </c>
      <c r="J1927" s="164">
        <f>SUMIF(TArticle[تاریخ],TDays[[#This Row],[تاریخ]],TArticle[درآمد تتا])</f>
        <v>0</v>
      </c>
      <c r="K1927" s="164">
        <f>SUMIF(TArticle[تاریخ],TDays[[#This Row],[تاریخ]],TArticle[اسنپ])</f>
        <v>0</v>
      </c>
      <c r="L1927" s="164">
        <f>-SUMIF(TArticle[تاریخ],TDays[[#This Row],[تاریخ]],TArticle[پرداخت بدهی])</f>
        <v>0</v>
      </c>
      <c r="M1927" s="164">
        <f>SUMIF(TArticle[تاریخ],TDays[[#This Row],[تاریخ]],TArticle[افزایش بدهی])</f>
        <v>0</v>
      </c>
      <c r="N1927" s="164">
        <f>-SUMIF(TArticle[تاریخ],TDays[[#This Row],[تاریخ]],TArticle[افزایش سرمایه])</f>
        <v>0</v>
      </c>
      <c r="O1927" s="164">
        <f>SUMIF(TArticle[تاریخ],TDays[[#This Row],[تاریخ]],TArticle[تعداد تراکنش انجام شده])</f>
        <v>0</v>
      </c>
      <c r="P1927" s="164">
        <f>INT(((TDays[[#This Row],[ماه]]-1)*31+TDays[[#This Row],[روز]]+1)/7)+1</f>
        <v>15</v>
      </c>
      <c r="Q1927" s="164">
        <f>SUMIF(TArticle[تاریخ],TDays[[#This Row],[تاریخ]],TArticle[تراکنش برنامه ریزی شده])</f>
        <v>0</v>
      </c>
    </row>
    <row r="1928" spans="1:17" x14ac:dyDescent="0.25">
      <c r="A1928" s="3" t="s">
        <v>2544</v>
      </c>
      <c r="B1928" s="164" t="str">
        <f>RIGHT(TDays[[#This Row],[تاریخ]],2)</f>
        <v>09</v>
      </c>
      <c r="C1928" s="164" t="str">
        <f>RIGHT(LEFT(TDays[[#This Row],[تاریخ]],7),2)</f>
        <v>04</v>
      </c>
      <c r="D1928" s="164" t="str">
        <f>LEFT(TDays[[#This Row],[تاریخ]],4)</f>
        <v>1406</v>
      </c>
      <c r="E1928" s="164" t="str">
        <f>LEFT(TDays[[#This Row],[تاریخ]],7)</f>
        <v>1406-04</v>
      </c>
      <c r="F1928">
        <v>3</v>
      </c>
      <c r="G1928" s="165" t="str">
        <f>VLOOKUP(TDays[[#This Row],[کد روز هفته]],TDaysOfTheWeek[],2,FALSE)</f>
        <v>سه شنبه</v>
      </c>
      <c r="H1928" s="165">
        <f>IFERROR(IF(E1927&lt;&gt;E1928,1,INT(H1927)+IF(TDays[[#This Row],[کد روز هفته]]=0,1,0)),1)</f>
        <v>2</v>
      </c>
      <c r="I1928" s="164">
        <f>-SUMIF(TArticle[تاریخ],TDays[[#This Row],[تاریخ]],TArticle[هزینه])</f>
        <v>0</v>
      </c>
      <c r="J1928" s="164">
        <f>SUMIF(TArticle[تاریخ],TDays[[#This Row],[تاریخ]],TArticle[درآمد تتا])</f>
        <v>0</v>
      </c>
      <c r="K1928" s="164">
        <f>SUMIF(TArticle[تاریخ],TDays[[#This Row],[تاریخ]],TArticle[اسنپ])</f>
        <v>0</v>
      </c>
      <c r="L1928" s="164">
        <f>-SUMIF(TArticle[تاریخ],TDays[[#This Row],[تاریخ]],TArticle[پرداخت بدهی])</f>
        <v>0</v>
      </c>
      <c r="M1928" s="164">
        <f>SUMIF(TArticle[تاریخ],TDays[[#This Row],[تاریخ]],TArticle[افزایش بدهی])</f>
        <v>0</v>
      </c>
      <c r="N1928" s="164">
        <f>-SUMIF(TArticle[تاریخ],TDays[[#This Row],[تاریخ]],TArticle[افزایش سرمایه])</f>
        <v>0</v>
      </c>
      <c r="O1928" s="164">
        <f>SUMIF(TArticle[تاریخ],TDays[[#This Row],[تاریخ]],TArticle[تعداد تراکنش انجام شده])</f>
        <v>0</v>
      </c>
      <c r="P1928" s="164">
        <f>INT(((TDays[[#This Row],[ماه]]-1)*31+TDays[[#This Row],[روز]]+1)/7)+1</f>
        <v>15</v>
      </c>
      <c r="Q1928" s="164">
        <f>SUMIF(TArticle[تاریخ],TDays[[#This Row],[تاریخ]],TArticle[تراکنش برنامه ریزی شده])</f>
        <v>0</v>
      </c>
    </row>
    <row r="1929" spans="1:17" x14ac:dyDescent="0.25">
      <c r="A1929" s="3" t="s">
        <v>2545</v>
      </c>
      <c r="B1929" s="164" t="str">
        <f>RIGHT(TDays[[#This Row],[تاریخ]],2)</f>
        <v>10</v>
      </c>
      <c r="C1929" s="164" t="str">
        <f>RIGHT(LEFT(TDays[[#This Row],[تاریخ]],7),2)</f>
        <v>04</v>
      </c>
      <c r="D1929" s="164" t="str">
        <f>LEFT(TDays[[#This Row],[تاریخ]],4)</f>
        <v>1406</v>
      </c>
      <c r="E1929" s="164" t="str">
        <f>LEFT(TDays[[#This Row],[تاریخ]],7)</f>
        <v>1406-04</v>
      </c>
      <c r="F1929">
        <v>4</v>
      </c>
      <c r="G1929" s="165" t="str">
        <f>VLOOKUP(TDays[[#This Row],[کد روز هفته]],TDaysOfTheWeek[],2,FALSE)</f>
        <v>چهارشنبه</v>
      </c>
      <c r="H1929" s="165">
        <f>IFERROR(IF(E1928&lt;&gt;E1929,1,INT(H1928)+IF(TDays[[#This Row],[کد روز هفته]]=0,1,0)),1)</f>
        <v>2</v>
      </c>
      <c r="I1929" s="164">
        <f>-SUMIF(TArticle[تاریخ],TDays[[#This Row],[تاریخ]],TArticle[هزینه])</f>
        <v>0</v>
      </c>
      <c r="J1929" s="164">
        <f>SUMIF(TArticle[تاریخ],TDays[[#This Row],[تاریخ]],TArticle[درآمد تتا])</f>
        <v>0</v>
      </c>
      <c r="K1929" s="164">
        <f>SUMIF(TArticle[تاریخ],TDays[[#This Row],[تاریخ]],TArticle[اسنپ])</f>
        <v>0</v>
      </c>
      <c r="L1929" s="164">
        <f>-SUMIF(TArticle[تاریخ],TDays[[#This Row],[تاریخ]],TArticle[پرداخت بدهی])</f>
        <v>0</v>
      </c>
      <c r="M1929" s="164">
        <f>SUMIF(TArticle[تاریخ],TDays[[#This Row],[تاریخ]],TArticle[افزایش بدهی])</f>
        <v>0</v>
      </c>
      <c r="N1929" s="164">
        <f>-SUMIF(TArticle[تاریخ],TDays[[#This Row],[تاریخ]],TArticle[افزایش سرمایه])</f>
        <v>0</v>
      </c>
      <c r="O1929" s="164">
        <f>SUMIF(TArticle[تاریخ],TDays[[#This Row],[تاریخ]],TArticle[تعداد تراکنش انجام شده])</f>
        <v>0</v>
      </c>
      <c r="P1929" s="164">
        <f>INT(((TDays[[#This Row],[ماه]]-1)*31+TDays[[#This Row],[روز]]+1)/7)+1</f>
        <v>15</v>
      </c>
      <c r="Q1929" s="164">
        <f>SUMIF(TArticle[تاریخ],TDays[[#This Row],[تاریخ]],TArticle[تراکنش برنامه ریزی شده])</f>
        <v>0</v>
      </c>
    </row>
    <row r="1930" spans="1:17" x14ac:dyDescent="0.25">
      <c r="A1930" s="3" t="s">
        <v>2546</v>
      </c>
      <c r="B1930" s="164" t="str">
        <f>RIGHT(TDays[[#This Row],[تاریخ]],2)</f>
        <v>11</v>
      </c>
      <c r="C1930" s="164" t="str">
        <f>RIGHT(LEFT(TDays[[#This Row],[تاریخ]],7),2)</f>
        <v>04</v>
      </c>
      <c r="D1930" s="164" t="str">
        <f>LEFT(TDays[[#This Row],[تاریخ]],4)</f>
        <v>1406</v>
      </c>
      <c r="E1930" s="164" t="str">
        <f>LEFT(TDays[[#This Row],[تاریخ]],7)</f>
        <v>1406-04</v>
      </c>
      <c r="F1930">
        <v>5</v>
      </c>
      <c r="G1930" s="165" t="str">
        <f>VLOOKUP(TDays[[#This Row],[کد روز هفته]],TDaysOfTheWeek[],2,FALSE)</f>
        <v>پنجشنبه</v>
      </c>
      <c r="H1930" s="165">
        <f>IFERROR(IF(E1929&lt;&gt;E1930,1,INT(H1929)+IF(TDays[[#This Row],[کد روز هفته]]=0,1,0)),1)</f>
        <v>2</v>
      </c>
      <c r="I1930" s="164">
        <f>-SUMIF(TArticle[تاریخ],TDays[[#This Row],[تاریخ]],TArticle[هزینه])</f>
        <v>0</v>
      </c>
      <c r="J1930" s="164">
        <f>SUMIF(TArticle[تاریخ],TDays[[#This Row],[تاریخ]],TArticle[درآمد تتا])</f>
        <v>0</v>
      </c>
      <c r="K1930" s="164">
        <f>SUMIF(TArticle[تاریخ],TDays[[#This Row],[تاریخ]],TArticle[اسنپ])</f>
        <v>0</v>
      </c>
      <c r="L1930" s="164">
        <f>-SUMIF(TArticle[تاریخ],TDays[[#This Row],[تاریخ]],TArticle[پرداخت بدهی])</f>
        <v>0</v>
      </c>
      <c r="M1930" s="164">
        <f>SUMIF(TArticle[تاریخ],TDays[[#This Row],[تاریخ]],TArticle[افزایش بدهی])</f>
        <v>0</v>
      </c>
      <c r="N1930" s="164">
        <f>-SUMIF(TArticle[تاریخ],TDays[[#This Row],[تاریخ]],TArticle[افزایش سرمایه])</f>
        <v>0</v>
      </c>
      <c r="O1930" s="164">
        <f>SUMIF(TArticle[تاریخ],TDays[[#This Row],[تاریخ]],TArticle[تعداد تراکنش انجام شده])</f>
        <v>0</v>
      </c>
      <c r="P1930" s="164">
        <f>INT(((TDays[[#This Row],[ماه]]-1)*31+TDays[[#This Row],[روز]]+1)/7)+1</f>
        <v>16</v>
      </c>
      <c r="Q1930" s="164">
        <f>SUMIF(TArticle[تاریخ],TDays[[#This Row],[تاریخ]],TArticle[تراکنش برنامه ریزی شده])</f>
        <v>0</v>
      </c>
    </row>
    <row r="1931" spans="1:17" x14ac:dyDescent="0.25">
      <c r="A1931" s="3" t="s">
        <v>2547</v>
      </c>
      <c r="B1931" s="164" t="str">
        <f>RIGHT(TDays[[#This Row],[تاریخ]],2)</f>
        <v>12</v>
      </c>
      <c r="C1931" s="164" t="str">
        <f>RIGHT(LEFT(TDays[[#This Row],[تاریخ]],7),2)</f>
        <v>04</v>
      </c>
      <c r="D1931" s="164" t="str">
        <f>LEFT(TDays[[#This Row],[تاریخ]],4)</f>
        <v>1406</v>
      </c>
      <c r="E1931" s="164" t="str">
        <f>LEFT(TDays[[#This Row],[تاریخ]],7)</f>
        <v>1406-04</v>
      </c>
      <c r="F1931">
        <v>6</v>
      </c>
      <c r="G1931" s="165" t="str">
        <f>VLOOKUP(TDays[[#This Row],[کد روز هفته]],TDaysOfTheWeek[],2,FALSE)</f>
        <v>جمعه</v>
      </c>
      <c r="H1931" s="165">
        <f>IFERROR(IF(E1930&lt;&gt;E1931,1,INT(H1930)+IF(TDays[[#This Row],[کد روز هفته]]=0,1,0)),1)</f>
        <v>2</v>
      </c>
      <c r="I1931" s="164">
        <f>-SUMIF(TArticle[تاریخ],TDays[[#This Row],[تاریخ]],TArticle[هزینه])</f>
        <v>0</v>
      </c>
      <c r="J1931" s="164">
        <f>SUMIF(TArticle[تاریخ],TDays[[#This Row],[تاریخ]],TArticle[درآمد تتا])</f>
        <v>0</v>
      </c>
      <c r="K1931" s="164">
        <f>SUMIF(TArticle[تاریخ],TDays[[#This Row],[تاریخ]],TArticle[اسنپ])</f>
        <v>0</v>
      </c>
      <c r="L1931" s="164">
        <f>-SUMIF(TArticle[تاریخ],TDays[[#This Row],[تاریخ]],TArticle[پرداخت بدهی])</f>
        <v>0</v>
      </c>
      <c r="M1931" s="164">
        <f>SUMIF(TArticle[تاریخ],TDays[[#This Row],[تاریخ]],TArticle[افزایش بدهی])</f>
        <v>0</v>
      </c>
      <c r="N1931" s="164">
        <f>-SUMIF(TArticle[تاریخ],TDays[[#This Row],[تاریخ]],TArticle[افزایش سرمایه])</f>
        <v>0</v>
      </c>
      <c r="O1931" s="164">
        <f>SUMIF(TArticle[تاریخ],TDays[[#This Row],[تاریخ]],TArticle[تعداد تراکنش انجام شده])</f>
        <v>0</v>
      </c>
      <c r="P1931" s="164">
        <f>INT(((TDays[[#This Row],[ماه]]-1)*31+TDays[[#This Row],[روز]]+1)/7)+1</f>
        <v>16</v>
      </c>
      <c r="Q1931" s="164">
        <f>SUMIF(TArticle[تاریخ],TDays[[#This Row],[تاریخ]],TArticle[تراکنش برنامه ریزی شده])</f>
        <v>0</v>
      </c>
    </row>
    <row r="1932" spans="1:17" x14ac:dyDescent="0.25">
      <c r="A1932" s="3" t="s">
        <v>2548</v>
      </c>
      <c r="B1932" s="164" t="str">
        <f>RIGHT(TDays[[#This Row],[تاریخ]],2)</f>
        <v>13</v>
      </c>
      <c r="C1932" s="164" t="str">
        <f>RIGHT(LEFT(TDays[[#This Row],[تاریخ]],7),2)</f>
        <v>04</v>
      </c>
      <c r="D1932" s="164" t="str">
        <f>LEFT(TDays[[#This Row],[تاریخ]],4)</f>
        <v>1406</v>
      </c>
      <c r="E1932" s="164" t="str">
        <f>LEFT(TDays[[#This Row],[تاریخ]],7)</f>
        <v>1406-04</v>
      </c>
      <c r="F1932">
        <v>0</v>
      </c>
      <c r="G1932" s="165" t="str">
        <f>VLOOKUP(TDays[[#This Row],[کد روز هفته]],TDaysOfTheWeek[],2,FALSE)</f>
        <v>شنبه</v>
      </c>
      <c r="H1932" s="165">
        <f>IFERROR(IF(E1931&lt;&gt;E1932,1,INT(H1931)+IF(TDays[[#This Row],[کد روز هفته]]=0,1,0)),1)</f>
        <v>3</v>
      </c>
      <c r="I1932" s="164">
        <f>-SUMIF(TArticle[تاریخ],TDays[[#This Row],[تاریخ]],TArticle[هزینه])</f>
        <v>0</v>
      </c>
      <c r="J1932" s="164">
        <f>SUMIF(TArticle[تاریخ],TDays[[#This Row],[تاریخ]],TArticle[درآمد تتا])</f>
        <v>0</v>
      </c>
      <c r="K1932" s="164">
        <f>SUMIF(TArticle[تاریخ],TDays[[#This Row],[تاریخ]],TArticle[اسنپ])</f>
        <v>0</v>
      </c>
      <c r="L1932" s="164">
        <f>-SUMIF(TArticle[تاریخ],TDays[[#This Row],[تاریخ]],TArticle[پرداخت بدهی])</f>
        <v>0</v>
      </c>
      <c r="M1932" s="164">
        <f>SUMIF(TArticle[تاریخ],TDays[[#This Row],[تاریخ]],TArticle[افزایش بدهی])</f>
        <v>0</v>
      </c>
      <c r="N1932" s="164">
        <f>-SUMIF(TArticle[تاریخ],TDays[[#This Row],[تاریخ]],TArticle[افزایش سرمایه])</f>
        <v>0</v>
      </c>
      <c r="O1932" s="164">
        <f>SUMIF(TArticle[تاریخ],TDays[[#This Row],[تاریخ]],TArticle[تعداد تراکنش انجام شده])</f>
        <v>0</v>
      </c>
      <c r="P1932" s="164">
        <f>INT(((TDays[[#This Row],[ماه]]-1)*31+TDays[[#This Row],[روز]]+1)/7)+1</f>
        <v>16</v>
      </c>
      <c r="Q1932" s="164">
        <f>SUMIF(TArticle[تاریخ],TDays[[#This Row],[تاریخ]],TArticle[تراکنش برنامه ریزی شده])</f>
        <v>0</v>
      </c>
    </row>
    <row r="1933" spans="1:17" x14ac:dyDescent="0.25">
      <c r="A1933" s="3" t="s">
        <v>2549</v>
      </c>
      <c r="B1933" s="164" t="str">
        <f>RIGHT(TDays[[#This Row],[تاریخ]],2)</f>
        <v>14</v>
      </c>
      <c r="C1933" s="164" t="str">
        <f>RIGHT(LEFT(TDays[[#This Row],[تاریخ]],7),2)</f>
        <v>04</v>
      </c>
      <c r="D1933" s="164" t="str">
        <f>LEFT(TDays[[#This Row],[تاریخ]],4)</f>
        <v>1406</v>
      </c>
      <c r="E1933" s="164" t="str">
        <f>LEFT(TDays[[#This Row],[تاریخ]],7)</f>
        <v>1406-04</v>
      </c>
      <c r="F1933">
        <v>1</v>
      </c>
      <c r="G1933" s="165" t="str">
        <f>VLOOKUP(TDays[[#This Row],[کد روز هفته]],TDaysOfTheWeek[],2,FALSE)</f>
        <v>یکشنبه</v>
      </c>
      <c r="H1933" s="165">
        <f>IFERROR(IF(E1932&lt;&gt;E1933,1,INT(H1932)+IF(TDays[[#This Row],[کد روز هفته]]=0,1,0)),1)</f>
        <v>3</v>
      </c>
      <c r="I1933" s="164">
        <f>-SUMIF(TArticle[تاریخ],TDays[[#This Row],[تاریخ]],TArticle[هزینه])</f>
        <v>0</v>
      </c>
      <c r="J1933" s="164">
        <f>SUMIF(TArticle[تاریخ],TDays[[#This Row],[تاریخ]],TArticle[درآمد تتا])</f>
        <v>0</v>
      </c>
      <c r="K1933" s="164">
        <f>SUMIF(TArticle[تاریخ],TDays[[#This Row],[تاریخ]],TArticle[اسنپ])</f>
        <v>0</v>
      </c>
      <c r="L1933" s="164">
        <f>-SUMIF(TArticle[تاریخ],TDays[[#This Row],[تاریخ]],TArticle[پرداخت بدهی])</f>
        <v>0</v>
      </c>
      <c r="M1933" s="164">
        <f>SUMIF(TArticle[تاریخ],TDays[[#This Row],[تاریخ]],TArticle[افزایش بدهی])</f>
        <v>0</v>
      </c>
      <c r="N1933" s="164">
        <f>-SUMIF(TArticle[تاریخ],TDays[[#This Row],[تاریخ]],TArticle[افزایش سرمایه])</f>
        <v>0</v>
      </c>
      <c r="O1933" s="164">
        <f>SUMIF(TArticle[تاریخ],TDays[[#This Row],[تاریخ]],TArticle[تعداد تراکنش انجام شده])</f>
        <v>0</v>
      </c>
      <c r="P1933" s="164">
        <f>INT(((TDays[[#This Row],[ماه]]-1)*31+TDays[[#This Row],[روز]]+1)/7)+1</f>
        <v>16</v>
      </c>
      <c r="Q1933" s="164">
        <f>SUMIF(TArticle[تاریخ],TDays[[#This Row],[تاریخ]],TArticle[تراکنش برنامه ریزی شده])</f>
        <v>0</v>
      </c>
    </row>
    <row r="1934" spans="1:17" x14ac:dyDescent="0.25">
      <c r="A1934" s="3" t="s">
        <v>2550</v>
      </c>
      <c r="B1934" s="164" t="str">
        <f>RIGHT(TDays[[#This Row],[تاریخ]],2)</f>
        <v>15</v>
      </c>
      <c r="C1934" s="164" t="str">
        <f>RIGHT(LEFT(TDays[[#This Row],[تاریخ]],7),2)</f>
        <v>04</v>
      </c>
      <c r="D1934" s="164" t="str">
        <f>LEFT(TDays[[#This Row],[تاریخ]],4)</f>
        <v>1406</v>
      </c>
      <c r="E1934" s="164" t="str">
        <f>LEFT(TDays[[#This Row],[تاریخ]],7)</f>
        <v>1406-04</v>
      </c>
      <c r="F1934">
        <v>2</v>
      </c>
      <c r="G1934" s="165" t="str">
        <f>VLOOKUP(TDays[[#This Row],[کد روز هفته]],TDaysOfTheWeek[],2,FALSE)</f>
        <v>دوشنبه</v>
      </c>
      <c r="H1934" s="165">
        <f>IFERROR(IF(E1933&lt;&gt;E1934,1,INT(H1933)+IF(TDays[[#This Row],[کد روز هفته]]=0,1,0)),1)</f>
        <v>3</v>
      </c>
      <c r="I1934" s="164">
        <f>-SUMIF(TArticle[تاریخ],TDays[[#This Row],[تاریخ]],TArticle[هزینه])</f>
        <v>0</v>
      </c>
      <c r="J1934" s="164">
        <f>SUMIF(TArticle[تاریخ],TDays[[#This Row],[تاریخ]],TArticle[درآمد تتا])</f>
        <v>0</v>
      </c>
      <c r="K1934" s="164">
        <f>SUMIF(TArticle[تاریخ],TDays[[#This Row],[تاریخ]],TArticle[اسنپ])</f>
        <v>0</v>
      </c>
      <c r="L1934" s="164">
        <f>-SUMIF(TArticle[تاریخ],TDays[[#This Row],[تاریخ]],TArticle[پرداخت بدهی])</f>
        <v>0</v>
      </c>
      <c r="M1934" s="164">
        <f>SUMIF(TArticle[تاریخ],TDays[[#This Row],[تاریخ]],TArticle[افزایش بدهی])</f>
        <v>0</v>
      </c>
      <c r="N1934" s="164">
        <f>-SUMIF(TArticle[تاریخ],TDays[[#This Row],[تاریخ]],TArticle[افزایش سرمایه])</f>
        <v>0</v>
      </c>
      <c r="O1934" s="164">
        <f>SUMIF(TArticle[تاریخ],TDays[[#This Row],[تاریخ]],TArticle[تعداد تراکنش انجام شده])</f>
        <v>0</v>
      </c>
      <c r="P1934" s="164">
        <f>INT(((TDays[[#This Row],[ماه]]-1)*31+TDays[[#This Row],[روز]]+1)/7)+1</f>
        <v>16</v>
      </c>
      <c r="Q1934" s="164">
        <f>SUMIF(TArticle[تاریخ],TDays[[#This Row],[تاریخ]],TArticle[تراکنش برنامه ریزی شده])</f>
        <v>0</v>
      </c>
    </row>
    <row r="1935" spans="1:17" x14ac:dyDescent="0.25">
      <c r="A1935" s="3" t="s">
        <v>2551</v>
      </c>
      <c r="B1935" s="164" t="str">
        <f>RIGHT(TDays[[#This Row],[تاریخ]],2)</f>
        <v>16</v>
      </c>
      <c r="C1935" s="164" t="str">
        <f>RIGHT(LEFT(TDays[[#This Row],[تاریخ]],7),2)</f>
        <v>04</v>
      </c>
      <c r="D1935" s="164" t="str">
        <f>LEFT(TDays[[#This Row],[تاریخ]],4)</f>
        <v>1406</v>
      </c>
      <c r="E1935" s="164" t="str">
        <f>LEFT(TDays[[#This Row],[تاریخ]],7)</f>
        <v>1406-04</v>
      </c>
      <c r="F1935" s="164">
        <v>3</v>
      </c>
      <c r="G1935" s="165" t="str">
        <f>VLOOKUP(TDays[[#This Row],[کد روز هفته]],TDaysOfTheWeek[],2,FALSE)</f>
        <v>سه شنبه</v>
      </c>
      <c r="H1935" s="165">
        <f>IFERROR(IF(E1934&lt;&gt;E1935,1,INT(H1934)+IF(TDays[[#This Row],[کد روز هفته]]=0,1,0)),1)</f>
        <v>3</v>
      </c>
      <c r="I1935" s="164">
        <f>-SUMIF(TArticle[تاریخ],TDays[[#This Row],[تاریخ]],TArticle[هزینه])</f>
        <v>0</v>
      </c>
      <c r="J1935" s="164">
        <f>SUMIF(TArticle[تاریخ],TDays[[#This Row],[تاریخ]],TArticle[درآمد تتا])</f>
        <v>0</v>
      </c>
      <c r="K1935" s="164">
        <f>SUMIF(TArticle[تاریخ],TDays[[#This Row],[تاریخ]],TArticle[اسنپ])</f>
        <v>0</v>
      </c>
      <c r="L1935" s="164">
        <f>-SUMIF(TArticle[تاریخ],TDays[[#This Row],[تاریخ]],TArticle[پرداخت بدهی])</f>
        <v>0</v>
      </c>
      <c r="M1935" s="164">
        <f>SUMIF(TArticle[تاریخ],TDays[[#This Row],[تاریخ]],TArticle[افزایش بدهی])</f>
        <v>0</v>
      </c>
      <c r="N1935" s="164">
        <f>-SUMIF(TArticle[تاریخ],TDays[[#This Row],[تاریخ]],TArticle[افزایش سرمایه])</f>
        <v>0</v>
      </c>
      <c r="O1935" s="164">
        <f>SUMIF(TArticle[تاریخ],TDays[[#This Row],[تاریخ]],TArticle[تعداد تراکنش انجام شده])</f>
        <v>0</v>
      </c>
      <c r="P1935" s="164">
        <f>INT(((TDays[[#This Row],[ماه]]-1)*31+TDays[[#This Row],[روز]]+1)/7)+1</f>
        <v>16</v>
      </c>
      <c r="Q1935" s="164">
        <f>SUMIF(TArticle[تاریخ],TDays[[#This Row],[تاریخ]],TArticle[تراکنش برنامه ریزی شده])</f>
        <v>0</v>
      </c>
    </row>
    <row r="1936" spans="1:17" x14ac:dyDescent="0.25">
      <c r="A1936" s="3" t="s">
        <v>2552</v>
      </c>
      <c r="B1936" s="164" t="str">
        <f>RIGHT(TDays[[#This Row],[تاریخ]],2)</f>
        <v>17</v>
      </c>
      <c r="C1936" s="164" t="str">
        <f>RIGHT(LEFT(TDays[[#This Row],[تاریخ]],7),2)</f>
        <v>04</v>
      </c>
      <c r="D1936" s="164" t="str">
        <f>LEFT(TDays[[#This Row],[تاریخ]],4)</f>
        <v>1406</v>
      </c>
      <c r="E1936" s="164" t="str">
        <f>LEFT(TDays[[#This Row],[تاریخ]],7)</f>
        <v>1406-04</v>
      </c>
      <c r="F1936" s="164">
        <v>4</v>
      </c>
      <c r="G1936" s="165" t="str">
        <f>VLOOKUP(TDays[[#This Row],[کد روز هفته]],TDaysOfTheWeek[],2,FALSE)</f>
        <v>چهارشنبه</v>
      </c>
      <c r="H1936" s="165">
        <f>IFERROR(IF(E1935&lt;&gt;E1936,1,INT(H1935)+IF(TDays[[#This Row],[کد روز هفته]]=0,1,0)),1)</f>
        <v>3</v>
      </c>
      <c r="I1936" s="164">
        <f>-SUMIF(TArticle[تاریخ],TDays[[#This Row],[تاریخ]],TArticle[هزینه])</f>
        <v>0</v>
      </c>
      <c r="J1936" s="164">
        <f>SUMIF(TArticle[تاریخ],TDays[[#This Row],[تاریخ]],TArticle[درآمد تتا])</f>
        <v>0</v>
      </c>
      <c r="K1936" s="164">
        <f>SUMIF(TArticle[تاریخ],TDays[[#This Row],[تاریخ]],TArticle[اسنپ])</f>
        <v>0</v>
      </c>
      <c r="L1936" s="164">
        <f>-SUMIF(TArticle[تاریخ],TDays[[#This Row],[تاریخ]],TArticle[پرداخت بدهی])</f>
        <v>0</v>
      </c>
      <c r="M1936" s="164">
        <f>SUMIF(TArticle[تاریخ],TDays[[#This Row],[تاریخ]],TArticle[افزایش بدهی])</f>
        <v>0</v>
      </c>
      <c r="N1936" s="164">
        <f>-SUMIF(TArticle[تاریخ],TDays[[#This Row],[تاریخ]],TArticle[افزایش سرمایه])</f>
        <v>0</v>
      </c>
      <c r="O1936" s="164">
        <f>SUMIF(TArticle[تاریخ],TDays[[#This Row],[تاریخ]],TArticle[تعداد تراکنش انجام شده])</f>
        <v>0</v>
      </c>
      <c r="P1936" s="164">
        <f>INT(((TDays[[#This Row],[ماه]]-1)*31+TDays[[#This Row],[روز]]+1)/7)+1</f>
        <v>16</v>
      </c>
      <c r="Q1936" s="164">
        <f>SUMIF(TArticle[تاریخ],TDays[[#This Row],[تاریخ]],TArticle[تراکنش برنامه ریزی شده])</f>
        <v>0</v>
      </c>
    </row>
    <row r="1937" spans="1:17" x14ac:dyDescent="0.25">
      <c r="A1937" s="3" t="s">
        <v>2553</v>
      </c>
      <c r="B1937" s="164" t="str">
        <f>RIGHT(TDays[[#This Row],[تاریخ]],2)</f>
        <v>18</v>
      </c>
      <c r="C1937" s="164" t="str">
        <f>RIGHT(LEFT(TDays[[#This Row],[تاریخ]],7),2)</f>
        <v>04</v>
      </c>
      <c r="D1937" s="164" t="str">
        <f>LEFT(TDays[[#This Row],[تاریخ]],4)</f>
        <v>1406</v>
      </c>
      <c r="E1937" s="164" t="str">
        <f>LEFT(TDays[[#This Row],[تاریخ]],7)</f>
        <v>1406-04</v>
      </c>
      <c r="F1937">
        <v>5</v>
      </c>
      <c r="G1937" s="165" t="str">
        <f>VLOOKUP(TDays[[#This Row],[کد روز هفته]],TDaysOfTheWeek[],2,FALSE)</f>
        <v>پنجشنبه</v>
      </c>
      <c r="H1937" s="165">
        <f>IFERROR(IF(E1936&lt;&gt;E1937,1,INT(H1936)+IF(TDays[[#This Row],[کد روز هفته]]=0,1,0)),1)</f>
        <v>3</v>
      </c>
      <c r="I1937" s="164">
        <f>-SUMIF(TArticle[تاریخ],TDays[[#This Row],[تاریخ]],TArticle[هزینه])</f>
        <v>0</v>
      </c>
      <c r="J1937" s="164">
        <f>SUMIF(TArticle[تاریخ],TDays[[#This Row],[تاریخ]],TArticle[درآمد تتا])</f>
        <v>0</v>
      </c>
      <c r="K1937" s="164">
        <f>SUMIF(TArticle[تاریخ],TDays[[#This Row],[تاریخ]],TArticle[اسنپ])</f>
        <v>0</v>
      </c>
      <c r="L1937" s="164">
        <f>-SUMIF(TArticle[تاریخ],TDays[[#This Row],[تاریخ]],TArticle[پرداخت بدهی])</f>
        <v>0</v>
      </c>
      <c r="M1937" s="164">
        <f>SUMIF(TArticle[تاریخ],TDays[[#This Row],[تاریخ]],TArticle[افزایش بدهی])</f>
        <v>0</v>
      </c>
      <c r="N1937" s="164">
        <f>-SUMIF(TArticle[تاریخ],TDays[[#This Row],[تاریخ]],TArticle[افزایش سرمایه])</f>
        <v>0</v>
      </c>
      <c r="O1937" s="164">
        <f>SUMIF(TArticle[تاریخ],TDays[[#This Row],[تاریخ]],TArticle[تعداد تراکنش انجام شده])</f>
        <v>0</v>
      </c>
      <c r="P1937" s="164">
        <f>INT(((TDays[[#This Row],[ماه]]-1)*31+TDays[[#This Row],[روز]]+1)/7)+1</f>
        <v>17</v>
      </c>
      <c r="Q1937" s="164">
        <f>SUMIF(TArticle[تاریخ],TDays[[#This Row],[تاریخ]],TArticle[تراکنش برنامه ریزی شده])</f>
        <v>0</v>
      </c>
    </row>
    <row r="1938" spans="1:17" x14ac:dyDescent="0.25">
      <c r="A1938" s="3" t="s">
        <v>2554</v>
      </c>
      <c r="B1938" s="164" t="str">
        <f>RIGHT(TDays[[#This Row],[تاریخ]],2)</f>
        <v>19</v>
      </c>
      <c r="C1938" s="164" t="str">
        <f>RIGHT(LEFT(TDays[[#This Row],[تاریخ]],7),2)</f>
        <v>04</v>
      </c>
      <c r="D1938" s="164" t="str">
        <f>LEFT(TDays[[#This Row],[تاریخ]],4)</f>
        <v>1406</v>
      </c>
      <c r="E1938" s="164" t="str">
        <f>LEFT(TDays[[#This Row],[تاریخ]],7)</f>
        <v>1406-04</v>
      </c>
      <c r="F1938">
        <v>6</v>
      </c>
      <c r="G1938" s="165" t="str">
        <f>VLOOKUP(TDays[[#This Row],[کد روز هفته]],TDaysOfTheWeek[],2,FALSE)</f>
        <v>جمعه</v>
      </c>
      <c r="H1938" s="165">
        <f>IFERROR(IF(E1937&lt;&gt;E1938,1,INT(H1937)+IF(TDays[[#This Row],[کد روز هفته]]=0,1,0)),1)</f>
        <v>3</v>
      </c>
      <c r="I1938" s="164">
        <f>-SUMIF(TArticle[تاریخ],TDays[[#This Row],[تاریخ]],TArticle[هزینه])</f>
        <v>0</v>
      </c>
      <c r="J1938" s="164">
        <f>SUMIF(TArticle[تاریخ],TDays[[#This Row],[تاریخ]],TArticle[درآمد تتا])</f>
        <v>0</v>
      </c>
      <c r="K1938" s="164">
        <f>SUMIF(TArticle[تاریخ],TDays[[#This Row],[تاریخ]],TArticle[اسنپ])</f>
        <v>0</v>
      </c>
      <c r="L1938" s="164">
        <f>-SUMIF(TArticle[تاریخ],TDays[[#This Row],[تاریخ]],TArticle[پرداخت بدهی])</f>
        <v>0</v>
      </c>
      <c r="M1938" s="164">
        <f>SUMIF(TArticle[تاریخ],TDays[[#This Row],[تاریخ]],TArticle[افزایش بدهی])</f>
        <v>0</v>
      </c>
      <c r="N1938" s="164">
        <f>-SUMIF(TArticle[تاریخ],TDays[[#This Row],[تاریخ]],TArticle[افزایش سرمایه])</f>
        <v>0</v>
      </c>
      <c r="O1938" s="164">
        <f>SUMIF(TArticle[تاریخ],TDays[[#This Row],[تاریخ]],TArticle[تعداد تراکنش انجام شده])</f>
        <v>0</v>
      </c>
      <c r="P1938" s="164">
        <f>INT(((TDays[[#This Row],[ماه]]-1)*31+TDays[[#This Row],[روز]]+1)/7)+1</f>
        <v>17</v>
      </c>
      <c r="Q1938" s="164">
        <f>SUMIF(TArticle[تاریخ],TDays[[#This Row],[تاریخ]],TArticle[تراکنش برنامه ریزی شده])</f>
        <v>0</v>
      </c>
    </row>
    <row r="1939" spans="1:17" x14ac:dyDescent="0.25">
      <c r="A1939" s="3" t="s">
        <v>2555</v>
      </c>
      <c r="B1939" s="164" t="str">
        <f>RIGHT(TDays[[#This Row],[تاریخ]],2)</f>
        <v>20</v>
      </c>
      <c r="C1939" s="164" t="str">
        <f>RIGHT(LEFT(TDays[[#This Row],[تاریخ]],7),2)</f>
        <v>04</v>
      </c>
      <c r="D1939" s="164" t="str">
        <f>LEFT(TDays[[#This Row],[تاریخ]],4)</f>
        <v>1406</v>
      </c>
      <c r="E1939" s="164" t="str">
        <f>LEFT(TDays[[#This Row],[تاریخ]],7)</f>
        <v>1406-04</v>
      </c>
      <c r="F1939">
        <v>0</v>
      </c>
      <c r="G1939" s="165" t="str">
        <f>VLOOKUP(TDays[[#This Row],[کد روز هفته]],TDaysOfTheWeek[],2,FALSE)</f>
        <v>شنبه</v>
      </c>
      <c r="H1939" s="165">
        <f>IFERROR(IF(E1938&lt;&gt;E1939,1,INT(H1938)+IF(TDays[[#This Row],[کد روز هفته]]=0,1,0)),1)</f>
        <v>4</v>
      </c>
      <c r="I1939" s="164">
        <f>-SUMIF(TArticle[تاریخ],TDays[[#This Row],[تاریخ]],TArticle[هزینه])</f>
        <v>0</v>
      </c>
      <c r="J1939" s="164">
        <f>SUMIF(TArticle[تاریخ],TDays[[#This Row],[تاریخ]],TArticle[درآمد تتا])</f>
        <v>0</v>
      </c>
      <c r="K1939" s="164">
        <f>SUMIF(TArticle[تاریخ],TDays[[#This Row],[تاریخ]],TArticle[اسنپ])</f>
        <v>0</v>
      </c>
      <c r="L1939" s="164">
        <f>-SUMIF(TArticle[تاریخ],TDays[[#This Row],[تاریخ]],TArticle[پرداخت بدهی])</f>
        <v>0</v>
      </c>
      <c r="M1939" s="164">
        <f>SUMIF(TArticle[تاریخ],TDays[[#This Row],[تاریخ]],TArticle[افزایش بدهی])</f>
        <v>0</v>
      </c>
      <c r="N1939" s="164">
        <f>-SUMIF(TArticle[تاریخ],TDays[[#This Row],[تاریخ]],TArticle[افزایش سرمایه])</f>
        <v>0</v>
      </c>
      <c r="O1939" s="164">
        <f>SUMIF(TArticle[تاریخ],TDays[[#This Row],[تاریخ]],TArticle[تعداد تراکنش انجام شده])</f>
        <v>0</v>
      </c>
      <c r="P1939" s="164">
        <f>INT(((TDays[[#This Row],[ماه]]-1)*31+TDays[[#This Row],[روز]]+1)/7)+1</f>
        <v>17</v>
      </c>
      <c r="Q1939" s="164">
        <f>SUMIF(TArticle[تاریخ],TDays[[#This Row],[تاریخ]],TArticle[تراکنش برنامه ریزی شده])</f>
        <v>0</v>
      </c>
    </row>
    <row r="1940" spans="1:17" x14ac:dyDescent="0.25">
      <c r="A1940" s="3" t="s">
        <v>2556</v>
      </c>
      <c r="B1940" s="164" t="str">
        <f>RIGHT(TDays[[#This Row],[تاریخ]],2)</f>
        <v>21</v>
      </c>
      <c r="C1940" s="164" t="str">
        <f>RIGHT(LEFT(TDays[[#This Row],[تاریخ]],7),2)</f>
        <v>04</v>
      </c>
      <c r="D1940" s="164" t="str">
        <f>LEFT(TDays[[#This Row],[تاریخ]],4)</f>
        <v>1406</v>
      </c>
      <c r="E1940" s="164" t="str">
        <f>LEFT(TDays[[#This Row],[تاریخ]],7)</f>
        <v>1406-04</v>
      </c>
      <c r="F1940">
        <v>1</v>
      </c>
      <c r="G1940" s="165" t="str">
        <f>VLOOKUP(TDays[[#This Row],[کد روز هفته]],TDaysOfTheWeek[],2,FALSE)</f>
        <v>یکشنبه</v>
      </c>
      <c r="H1940" s="165">
        <f>IFERROR(IF(E1939&lt;&gt;E1940,1,INT(H1939)+IF(TDays[[#This Row],[کد روز هفته]]=0,1,0)),1)</f>
        <v>4</v>
      </c>
      <c r="I1940" s="164">
        <f>-SUMIF(TArticle[تاریخ],TDays[[#This Row],[تاریخ]],TArticle[هزینه])</f>
        <v>0</v>
      </c>
      <c r="J1940" s="164">
        <f>SUMIF(TArticle[تاریخ],TDays[[#This Row],[تاریخ]],TArticle[درآمد تتا])</f>
        <v>0</v>
      </c>
      <c r="K1940" s="164">
        <f>SUMIF(TArticle[تاریخ],TDays[[#This Row],[تاریخ]],TArticle[اسنپ])</f>
        <v>0</v>
      </c>
      <c r="L1940" s="164">
        <f>-SUMIF(TArticle[تاریخ],TDays[[#This Row],[تاریخ]],TArticle[پرداخت بدهی])</f>
        <v>0</v>
      </c>
      <c r="M1940" s="164">
        <f>SUMIF(TArticle[تاریخ],TDays[[#This Row],[تاریخ]],TArticle[افزایش بدهی])</f>
        <v>0</v>
      </c>
      <c r="N1940" s="164">
        <f>-SUMIF(TArticle[تاریخ],TDays[[#This Row],[تاریخ]],TArticle[افزایش سرمایه])</f>
        <v>0</v>
      </c>
      <c r="O1940" s="164">
        <f>SUMIF(TArticle[تاریخ],TDays[[#This Row],[تاریخ]],TArticle[تعداد تراکنش انجام شده])</f>
        <v>0</v>
      </c>
      <c r="P1940" s="164">
        <f>INT(((TDays[[#This Row],[ماه]]-1)*31+TDays[[#This Row],[روز]]+1)/7)+1</f>
        <v>17</v>
      </c>
      <c r="Q1940" s="164">
        <f>SUMIF(TArticle[تاریخ],TDays[[#This Row],[تاریخ]],TArticle[تراکنش برنامه ریزی شده])</f>
        <v>0</v>
      </c>
    </row>
    <row r="1941" spans="1:17" x14ac:dyDescent="0.25">
      <c r="A1941" s="3" t="s">
        <v>2557</v>
      </c>
      <c r="B1941" s="164" t="str">
        <f>RIGHT(TDays[[#This Row],[تاریخ]],2)</f>
        <v>22</v>
      </c>
      <c r="C1941" s="164" t="str">
        <f>RIGHT(LEFT(TDays[[#This Row],[تاریخ]],7),2)</f>
        <v>04</v>
      </c>
      <c r="D1941" s="164" t="str">
        <f>LEFT(TDays[[#This Row],[تاریخ]],4)</f>
        <v>1406</v>
      </c>
      <c r="E1941" s="164" t="str">
        <f>LEFT(TDays[[#This Row],[تاریخ]],7)</f>
        <v>1406-04</v>
      </c>
      <c r="F1941">
        <v>2</v>
      </c>
      <c r="G1941" s="165" t="str">
        <f>VLOOKUP(TDays[[#This Row],[کد روز هفته]],TDaysOfTheWeek[],2,FALSE)</f>
        <v>دوشنبه</v>
      </c>
      <c r="H1941" s="165">
        <f>IFERROR(IF(E1940&lt;&gt;E1941,1,INT(H1940)+IF(TDays[[#This Row],[کد روز هفته]]=0,1,0)),1)</f>
        <v>4</v>
      </c>
      <c r="I1941" s="164">
        <f>-SUMIF(TArticle[تاریخ],TDays[[#This Row],[تاریخ]],TArticle[هزینه])</f>
        <v>0</v>
      </c>
      <c r="J1941" s="164">
        <f>SUMIF(TArticle[تاریخ],TDays[[#This Row],[تاریخ]],TArticle[درآمد تتا])</f>
        <v>0</v>
      </c>
      <c r="K1941" s="164">
        <f>SUMIF(TArticle[تاریخ],TDays[[#This Row],[تاریخ]],TArticle[اسنپ])</f>
        <v>0</v>
      </c>
      <c r="L1941" s="164">
        <f>-SUMIF(TArticle[تاریخ],TDays[[#This Row],[تاریخ]],TArticle[پرداخت بدهی])</f>
        <v>0</v>
      </c>
      <c r="M1941" s="164">
        <f>SUMIF(TArticle[تاریخ],TDays[[#This Row],[تاریخ]],TArticle[افزایش بدهی])</f>
        <v>0</v>
      </c>
      <c r="N1941" s="164">
        <f>-SUMIF(TArticle[تاریخ],TDays[[#This Row],[تاریخ]],TArticle[افزایش سرمایه])</f>
        <v>0</v>
      </c>
      <c r="O1941" s="164">
        <f>SUMIF(TArticle[تاریخ],TDays[[#This Row],[تاریخ]],TArticle[تعداد تراکنش انجام شده])</f>
        <v>0</v>
      </c>
      <c r="P1941" s="164">
        <f>INT(((TDays[[#This Row],[ماه]]-1)*31+TDays[[#This Row],[روز]]+1)/7)+1</f>
        <v>17</v>
      </c>
      <c r="Q1941" s="164">
        <f>SUMIF(TArticle[تاریخ],TDays[[#This Row],[تاریخ]],TArticle[تراکنش برنامه ریزی شده])</f>
        <v>0</v>
      </c>
    </row>
    <row r="1942" spans="1:17" x14ac:dyDescent="0.25">
      <c r="A1942" s="3" t="s">
        <v>2558</v>
      </c>
      <c r="B1942" s="164" t="str">
        <f>RIGHT(TDays[[#This Row],[تاریخ]],2)</f>
        <v>23</v>
      </c>
      <c r="C1942" s="164" t="str">
        <f>RIGHT(LEFT(TDays[[#This Row],[تاریخ]],7),2)</f>
        <v>04</v>
      </c>
      <c r="D1942" s="164" t="str">
        <f>LEFT(TDays[[#This Row],[تاریخ]],4)</f>
        <v>1406</v>
      </c>
      <c r="E1942" s="164" t="str">
        <f>LEFT(TDays[[#This Row],[تاریخ]],7)</f>
        <v>1406-04</v>
      </c>
      <c r="F1942">
        <v>3</v>
      </c>
      <c r="G1942" s="165" t="str">
        <f>VLOOKUP(TDays[[#This Row],[کد روز هفته]],TDaysOfTheWeek[],2,FALSE)</f>
        <v>سه شنبه</v>
      </c>
      <c r="H1942" s="165">
        <f>IFERROR(IF(E1941&lt;&gt;E1942,1,INT(H1941)+IF(TDays[[#This Row],[کد روز هفته]]=0,1,0)),1)</f>
        <v>4</v>
      </c>
      <c r="I1942" s="164">
        <f>-SUMIF(TArticle[تاریخ],TDays[[#This Row],[تاریخ]],TArticle[هزینه])</f>
        <v>0</v>
      </c>
      <c r="J1942" s="164">
        <f>SUMIF(TArticle[تاریخ],TDays[[#This Row],[تاریخ]],TArticle[درآمد تتا])</f>
        <v>0</v>
      </c>
      <c r="K1942" s="164">
        <f>SUMIF(TArticle[تاریخ],TDays[[#This Row],[تاریخ]],TArticle[اسنپ])</f>
        <v>0</v>
      </c>
      <c r="L1942" s="164">
        <f>-SUMIF(TArticle[تاریخ],TDays[[#This Row],[تاریخ]],TArticle[پرداخت بدهی])</f>
        <v>0</v>
      </c>
      <c r="M1942" s="164">
        <f>SUMIF(TArticle[تاریخ],TDays[[#This Row],[تاریخ]],TArticle[افزایش بدهی])</f>
        <v>0</v>
      </c>
      <c r="N1942" s="164">
        <f>-SUMIF(TArticle[تاریخ],TDays[[#This Row],[تاریخ]],TArticle[افزایش سرمایه])</f>
        <v>0</v>
      </c>
      <c r="O1942" s="164">
        <f>SUMIF(TArticle[تاریخ],TDays[[#This Row],[تاریخ]],TArticle[تعداد تراکنش انجام شده])</f>
        <v>0</v>
      </c>
      <c r="P1942" s="164">
        <f>INT(((TDays[[#This Row],[ماه]]-1)*31+TDays[[#This Row],[روز]]+1)/7)+1</f>
        <v>17</v>
      </c>
      <c r="Q1942" s="164">
        <f>SUMIF(TArticle[تاریخ],TDays[[#This Row],[تاریخ]],TArticle[تراکنش برنامه ریزی شده])</f>
        <v>0</v>
      </c>
    </row>
    <row r="1943" spans="1:17" x14ac:dyDescent="0.25">
      <c r="A1943" s="3" t="s">
        <v>2559</v>
      </c>
      <c r="B1943" s="164" t="str">
        <f>RIGHT(TDays[[#This Row],[تاریخ]],2)</f>
        <v>24</v>
      </c>
      <c r="C1943" s="164" t="str">
        <f>RIGHT(LEFT(TDays[[#This Row],[تاریخ]],7),2)</f>
        <v>04</v>
      </c>
      <c r="D1943" s="164" t="str">
        <f>LEFT(TDays[[#This Row],[تاریخ]],4)</f>
        <v>1406</v>
      </c>
      <c r="E1943" s="164" t="str">
        <f>LEFT(TDays[[#This Row],[تاریخ]],7)</f>
        <v>1406-04</v>
      </c>
      <c r="F1943">
        <v>4</v>
      </c>
      <c r="G1943" s="165" t="str">
        <f>VLOOKUP(TDays[[#This Row],[کد روز هفته]],TDaysOfTheWeek[],2,FALSE)</f>
        <v>چهارشنبه</v>
      </c>
      <c r="H1943" s="165">
        <f>IFERROR(IF(E1942&lt;&gt;E1943,1,INT(H1942)+IF(TDays[[#This Row],[کد روز هفته]]=0,1,0)),1)</f>
        <v>4</v>
      </c>
      <c r="I1943" s="164">
        <f>-SUMIF(TArticle[تاریخ],TDays[[#This Row],[تاریخ]],TArticle[هزینه])</f>
        <v>0</v>
      </c>
      <c r="J1943" s="164">
        <f>SUMIF(TArticle[تاریخ],TDays[[#This Row],[تاریخ]],TArticle[درآمد تتا])</f>
        <v>0</v>
      </c>
      <c r="K1943" s="164">
        <f>SUMIF(TArticle[تاریخ],TDays[[#This Row],[تاریخ]],TArticle[اسنپ])</f>
        <v>0</v>
      </c>
      <c r="L1943" s="164">
        <f>-SUMIF(TArticle[تاریخ],TDays[[#This Row],[تاریخ]],TArticle[پرداخت بدهی])</f>
        <v>0</v>
      </c>
      <c r="M1943" s="164">
        <f>SUMIF(TArticle[تاریخ],TDays[[#This Row],[تاریخ]],TArticle[افزایش بدهی])</f>
        <v>0</v>
      </c>
      <c r="N1943" s="164">
        <f>-SUMIF(TArticle[تاریخ],TDays[[#This Row],[تاریخ]],TArticle[افزایش سرمایه])</f>
        <v>0</v>
      </c>
      <c r="O1943" s="164">
        <f>SUMIF(TArticle[تاریخ],TDays[[#This Row],[تاریخ]],TArticle[تعداد تراکنش انجام شده])</f>
        <v>0</v>
      </c>
      <c r="P1943" s="164">
        <f>INT(((TDays[[#This Row],[ماه]]-1)*31+TDays[[#This Row],[روز]]+1)/7)+1</f>
        <v>17</v>
      </c>
      <c r="Q1943" s="164">
        <f>SUMIF(TArticle[تاریخ],TDays[[#This Row],[تاریخ]],TArticle[تراکنش برنامه ریزی شده])</f>
        <v>0</v>
      </c>
    </row>
    <row r="1944" spans="1:17" x14ac:dyDescent="0.25">
      <c r="A1944" s="3" t="s">
        <v>2560</v>
      </c>
      <c r="B1944" s="164" t="str">
        <f>RIGHT(TDays[[#This Row],[تاریخ]],2)</f>
        <v>25</v>
      </c>
      <c r="C1944" s="164" t="str">
        <f>RIGHT(LEFT(TDays[[#This Row],[تاریخ]],7),2)</f>
        <v>04</v>
      </c>
      <c r="D1944" s="164" t="str">
        <f>LEFT(TDays[[#This Row],[تاریخ]],4)</f>
        <v>1406</v>
      </c>
      <c r="E1944" s="164" t="str">
        <f>LEFT(TDays[[#This Row],[تاریخ]],7)</f>
        <v>1406-04</v>
      </c>
      <c r="F1944">
        <v>5</v>
      </c>
      <c r="G1944" s="165" t="str">
        <f>VLOOKUP(TDays[[#This Row],[کد روز هفته]],TDaysOfTheWeek[],2,FALSE)</f>
        <v>پنجشنبه</v>
      </c>
      <c r="H1944" s="165">
        <f>IFERROR(IF(E1943&lt;&gt;E1944,1,INT(H1943)+IF(TDays[[#This Row],[کد روز هفته]]=0,1,0)),1)</f>
        <v>4</v>
      </c>
      <c r="I1944" s="164">
        <f>-SUMIF(TArticle[تاریخ],TDays[[#This Row],[تاریخ]],TArticle[هزینه])</f>
        <v>0</v>
      </c>
      <c r="J1944" s="164">
        <f>SUMIF(TArticle[تاریخ],TDays[[#This Row],[تاریخ]],TArticle[درآمد تتا])</f>
        <v>0</v>
      </c>
      <c r="K1944" s="164">
        <f>SUMIF(TArticle[تاریخ],TDays[[#This Row],[تاریخ]],TArticle[اسنپ])</f>
        <v>0</v>
      </c>
      <c r="L1944" s="164">
        <f>-SUMIF(TArticle[تاریخ],TDays[[#This Row],[تاریخ]],TArticle[پرداخت بدهی])</f>
        <v>0</v>
      </c>
      <c r="M1944" s="164">
        <f>SUMIF(TArticle[تاریخ],TDays[[#This Row],[تاریخ]],TArticle[افزایش بدهی])</f>
        <v>0</v>
      </c>
      <c r="N1944" s="164">
        <f>-SUMIF(TArticle[تاریخ],TDays[[#This Row],[تاریخ]],TArticle[افزایش سرمایه])</f>
        <v>0</v>
      </c>
      <c r="O1944" s="164">
        <f>SUMIF(TArticle[تاریخ],TDays[[#This Row],[تاریخ]],TArticle[تعداد تراکنش انجام شده])</f>
        <v>0</v>
      </c>
      <c r="P1944" s="164">
        <f>INT(((TDays[[#This Row],[ماه]]-1)*31+TDays[[#This Row],[روز]]+1)/7)+1</f>
        <v>18</v>
      </c>
      <c r="Q1944" s="164">
        <f>SUMIF(TArticle[تاریخ],TDays[[#This Row],[تاریخ]],TArticle[تراکنش برنامه ریزی شده])</f>
        <v>0</v>
      </c>
    </row>
    <row r="1945" spans="1:17" x14ac:dyDescent="0.25">
      <c r="A1945" s="3" t="s">
        <v>2561</v>
      </c>
      <c r="B1945" s="164" t="str">
        <f>RIGHT(TDays[[#This Row],[تاریخ]],2)</f>
        <v>26</v>
      </c>
      <c r="C1945" s="164" t="str">
        <f>RIGHT(LEFT(TDays[[#This Row],[تاریخ]],7),2)</f>
        <v>04</v>
      </c>
      <c r="D1945" s="164" t="str">
        <f>LEFT(TDays[[#This Row],[تاریخ]],4)</f>
        <v>1406</v>
      </c>
      <c r="E1945" s="164" t="str">
        <f>LEFT(TDays[[#This Row],[تاریخ]],7)</f>
        <v>1406-04</v>
      </c>
      <c r="F1945">
        <v>6</v>
      </c>
      <c r="G1945" s="165" t="str">
        <f>VLOOKUP(TDays[[#This Row],[کد روز هفته]],TDaysOfTheWeek[],2,FALSE)</f>
        <v>جمعه</v>
      </c>
      <c r="H1945" s="165">
        <f>IFERROR(IF(E1944&lt;&gt;E1945,1,INT(H1944)+IF(TDays[[#This Row],[کد روز هفته]]=0,1,0)),1)</f>
        <v>4</v>
      </c>
      <c r="I1945" s="164">
        <f>-SUMIF(TArticle[تاریخ],TDays[[#This Row],[تاریخ]],TArticle[هزینه])</f>
        <v>0</v>
      </c>
      <c r="J1945" s="164">
        <f>SUMIF(TArticle[تاریخ],TDays[[#This Row],[تاریخ]],TArticle[درآمد تتا])</f>
        <v>0</v>
      </c>
      <c r="K1945" s="164">
        <f>SUMIF(TArticle[تاریخ],TDays[[#This Row],[تاریخ]],TArticle[اسنپ])</f>
        <v>0</v>
      </c>
      <c r="L1945" s="164">
        <f>-SUMIF(TArticle[تاریخ],TDays[[#This Row],[تاریخ]],TArticle[پرداخت بدهی])</f>
        <v>0</v>
      </c>
      <c r="M1945" s="164">
        <f>SUMIF(TArticle[تاریخ],TDays[[#This Row],[تاریخ]],TArticle[افزایش بدهی])</f>
        <v>0</v>
      </c>
      <c r="N1945" s="164">
        <f>-SUMIF(TArticle[تاریخ],TDays[[#This Row],[تاریخ]],TArticle[افزایش سرمایه])</f>
        <v>0</v>
      </c>
      <c r="O1945" s="164">
        <f>SUMIF(TArticle[تاریخ],TDays[[#This Row],[تاریخ]],TArticle[تعداد تراکنش انجام شده])</f>
        <v>0</v>
      </c>
      <c r="P1945" s="164">
        <f>INT(((TDays[[#This Row],[ماه]]-1)*31+TDays[[#This Row],[روز]]+1)/7)+1</f>
        <v>18</v>
      </c>
      <c r="Q1945" s="164">
        <f>SUMIF(TArticle[تاریخ],TDays[[#This Row],[تاریخ]],TArticle[تراکنش برنامه ریزی شده])</f>
        <v>0</v>
      </c>
    </row>
    <row r="1946" spans="1:17" x14ac:dyDescent="0.25">
      <c r="A1946" s="3" t="s">
        <v>2562</v>
      </c>
      <c r="B1946" s="164" t="str">
        <f>RIGHT(TDays[[#This Row],[تاریخ]],2)</f>
        <v>27</v>
      </c>
      <c r="C1946" s="164" t="str">
        <f>RIGHT(LEFT(TDays[[#This Row],[تاریخ]],7),2)</f>
        <v>04</v>
      </c>
      <c r="D1946" s="164" t="str">
        <f>LEFT(TDays[[#This Row],[تاریخ]],4)</f>
        <v>1406</v>
      </c>
      <c r="E1946" s="164" t="str">
        <f>LEFT(TDays[[#This Row],[تاریخ]],7)</f>
        <v>1406-04</v>
      </c>
      <c r="F1946">
        <v>0</v>
      </c>
      <c r="G1946" s="165" t="str">
        <f>VLOOKUP(TDays[[#This Row],[کد روز هفته]],TDaysOfTheWeek[],2,FALSE)</f>
        <v>شنبه</v>
      </c>
      <c r="H1946" s="165">
        <f>IFERROR(IF(E1945&lt;&gt;E1946,1,INT(H1945)+IF(TDays[[#This Row],[کد روز هفته]]=0,1,0)),1)</f>
        <v>5</v>
      </c>
      <c r="I1946" s="164">
        <f>-SUMIF(TArticle[تاریخ],TDays[[#This Row],[تاریخ]],TArticle[هزینه])</f>
        <v>0</v>
      </c>
      <c r="J1946" s="164">
        <f>SUMIF(TArticle[تاریخ],TDays[[#This Row],[تاریخ]],TArticle[درآمد تتا])</f>
        <v>0</v>
      </c>
      <c r="K1946" s="164">
        <f>SUMIF(TArticle[تاریخ],TDays[[#This Row],[تاریخ]],TArticle[اسنپ])</f>
        <v>0</v>
      </c>
      <c r="L1946" s="164">
        <f>-SUMIF(TArticle[تاریخ],TDays[[#This Row],[تاریخ]],TArticle[پرداخت بدهی])</f>
        <v>0</v>
      </c>
      <c r="M1946" s="164">
        <f>SUMIF(TArticle[تاریخ],TDays[[#This Row],[تاریخ]],TArticle[افزایش بدهی])</f>
        <v>0</v>
      </c>
      <c r="N1946" s="164">
        <f>-SUMIF(TArticle[تاریخ],TDays[[#This Row],[تاریخ]],TArticle[افزایش سرمایه])</f>
        <v>0</v>
      </c>
      <c r="O1946" s="164">
        <f>SUMIF(TArticle[تاریخ],TDays[[#This Row],[تاریخ]],TArticle[تعداد تراکنش انجام شده])</f>
        <v>0</v>
      </c>
      <c r="P1946" s="164">
        <f>INT(((TDays[[#This Row],[ماه]]-1)*31+TDays[[#This Row],[روز]]+1)/7)+1</f>
        <v>18</v>
      </c>
      <c r="Q1946" s="164">
        <f>SUMIF(TArticle[تاریخ],TDays[[#This Row],[تاریخ]],TArticle[تراکنش برنامه ریزی شده])</f>
        <v>0</v>
      </c>
    </row>
    <row r="1947" spans="1:17" x14ac:dyDescent="0.25">
      <c r="A1947" s="3" t="s">
        <v>2563</v>
      </c>
      <c r="B1947" s="164" t="str">
        <f>RIGHT(TDays[[#This Row],[تاریخ]],2)</f>
        <v>28</v>
      </c>
      <c r="C1947" s="164" t="str">
        <f>RIGHT(LEFT(TDays[[#This Row],[تاریخ]],7),2)</f>
        <v>04</v>
      </c>
      <c r="D1947" s="164" t="str">
        <f>LEFT(TDays[[#This Row],[تاریخ]],4)</f>
        <v>1406</v>
      </c>
      <c r="E1947" s="164" t="str">
        <f>LEFT(TDays[[#This Row],[تاریخ]],7)</f>
        <v>1406-04</v>
      </c>
      <c r="F1947">
        <v>1</v>
      </c>
      <c r="G1947" s="165" t="str">
        <f>VLOOKUP(TDays[[#This Row],[کد روز هفته]],TDaysOfTheWeek[],2,FALSE)</f>
        <v>یکشنبه</v>
      </c>
      <c r="H1947" s="165">
        <f>IFERROR(IF(E1946&lt;&gt;E1947,1,INT(H1946)+IF(TDays[[#This Row],[کد روز هفته]]=0,1,0)),1)</f>
        <v>5</v>
      </c>
      <c r="I1947" s="164">
        <f>-SUMIF(TArticle[تاریخ],TDays[[#This Row],[تاریخ]],TArticle[هزینه])</f>
        <v>0</v>
      </c>
      <c r="J1947" s="164">
        <f>SUMIF(TArticle[تاریخ],TDays[[#This Row],[تاریخ]],TArticle[درآمد تتا])</f>
        <v>0</v>
      </c>
      <c r="K1947" s="164">
        <f>SUMIF(TArticle[تاریخ],TDays[[#This Row],[تاریخ]],TArticle[اسنپ])</f>
        <v>0</v>
      </c>
      <c r="L1947" s="164">
        <f>-SUMIF(TArticle[تاریخ],TDays[[#This Row],[تاریخ]],TArticle[پرداخت بدهی])</f>
        <v>0</v>
      </c>
      <c r="M1947" s="164">
        <f>SUMIF(TArticle[تاریخ],TDays[[#This Row],[تاریخ]],TArticle[افزایش بدهی])</f>
        <v>0</v>
      </c>
      <c r="N1947" s="164">
        <f>-SUMIF(TArticle[تاریخ],TDays[[#This Row],[تاریخ]],TArticle[افزایش سرمایه])</f>
        <v>0</v>
      </c>
      <c r="O1947" s="164">
        <f>SUMIF(TArticle[تاریخ],TDays[[#This Row],[تاریخ]],TArticle[تعداد تراکنش انجام شده])</f>
        <v>0</v>
      </c>
      <c r="P1947" s="164">
        <f>INT(((TDays[[#This Row],[ماه]]-1)*31+TDays[[#This Row],[روز]]+1)/7)+1</f>
        <v>18</v>
      </c>
      <c r="Q1947" s="164">
        <f>SUMIF(TArticle[تاریخ],TDays[[#This Row],[تاریخ]],TArticle[تراکنش برنامه ریزی شده])</f>
        <v>0</v>
      </c>
    </row>
    <row r="1948" spans="1:17" x14ac:dyDescent="0.25">
      <c r="A1948" s="3" t="s">
        <v>2564</v>
      </c>
      <c r="B1948" s="164" t="str">
        <f>RIGHT(TDays[[#This Row],[تاریخ]],2)</f>
        <v>29</v>
      </c>
      <c r="C1948" s="164" t="str">
        <f>RIGHT(LEFT(TDays[[#This Row],[تاریخ]],7),2)</f>
        <v>04</v>
      </c>
      <c r="D1948" s="164" t="str">
        <f>LEFT(TDays[[#This Row],[تاریخ]],4)</f>
        <v>1406</v>
      </c>
      <c r="E1948" s="164" t="str">
        <f>LEFT(TDays[[#This Row],[تاریخ]],7)</f>
        <v>1406-04</v>
      </c>
      <c r="F1948">
        <v>2</v>
      </c>
      <c r="G1948" s="165" t="str">
        <f>VLOOKUP(TDays[[#This Row],[کد روز هفته]],TDaysOfTheWeek[],2,FALSE)</f>
        <v>دوشنبه</v>
      </c>
      <c r="H1948" s="165">
        <f>IFERROR(IF(E1947&lt;&gt;E1948,1,INT(H1947)+IF(TDays[[#This Row],[کد روز هفته]]=0,1,0)),1)</f>
        <v>5</v>
      </c>
      <c r="I1948" s="164">
        <f>-SUMIF(TArticle[تاریخ],TDays[[#This Row],[تاریخ]],TArticle[هزینه])</f>
        <v>0</v>
      </c>
      <c r="J1948" s="164">
        <f>SUMIF(TArticle[تاریخ],TDays[[#This Row],[تاریخ]],TArticle[درآمد تتا])</f>
        <v>0</v>
      </c>
      <c r="K1948" s="164">
        <f>SUMIF(TArticle[تاریخ],TDays[[#This Row],[تاریخ]],TArticle[اسنپ])</f>
        <v>0</v>
      </c>
      <c r="L1948" s="164">
        <f>-SUMIF(TArticle[تاریخ],TDays[[#This Row],[تاریخ]],TArticle[پرداخت بدهی])</f>
        <v>0</v>
      </c>
      <c r="M1948" s="164">
        <f>SUMIF(TArticle[تاریخ],TDays[[#This Row],[تاریخ]],TArticle[افزایش بدهی])</f>
        <v>0</v>
      </c>
      <c r="N1948" s="164">
        <f>-SUMIF(TArticle[تاریخ],TDays[[#This Row],[تاریخ]],TArticle[افزایش سرمایه])</f>
        <v>0</v>
      </c>
      <c r="O1948" s="164">
        <f>SUMIF(TArticle[تاریخ],TDays[[#This Row],[تاریخ]],TArticle[تعداد تراکنش انجام شده])</f>
        <v>0</v>
      </c>
      <c r="P1948" s="164">
        <f>INT(((TDays[[#This Row],[ماه]]-1)*31+TDays[[#This Row],[روز]]+1)/7)+1</f>
        <v>18</v>
      </c>
      <c r="Q1948" s="164">
        <f>SUMIF(TArticle[تاریخ],TDays[[#This Row],[تاریخ]],TArticle[تراکنش برنامه ریزی شده])</f>
        <v>0</v>
      </c>
    </row>
    <row r="1949" spans="1:17" x14ac:dyDescent="0.25">
      <c r="A1949" s="3" t="s">
        <v>2565</v>
      </c>
      <c r="B1949" s="164" t="str">
        <f>RIGHT(TDays[[#This Row],[تاریخ]],2)</f>
        <v>30</v>
      </c>
      <c r="C1949" s="164" t="str">
        <f>RIGHT(LEFT(TDays[[#This Row],[تاریخ]],7),2)</f>
        <v>04</v>
      </c>
      <c r="D1949" s="164" t="str">
        <f>LEFT(TDays[[#This Row],[تاریخ]],4)</f>
        <v>1406</v>
      </c>
      <c r="E1949" s="164" t="str">
        <f>LEFT(TDays[[#This Row],[تاریخ]],7)</f>
        <v>1406-04</v>
      </c>
      <c r="F1949">
        <v>3</v>
      </c>
      <c r="G1949" s="165" t="str">
        <f>VLOOKUP(TDays[[#This Row],[کد روز هفته]],TDaysOfTheWeek[],2,FALSE)</f>
        <v>سه شنبه</v>
      </c>
      <c r="H1949" s="165">
        <f>IFERROR(IF(E1948&lt;&gt;E1949,1,INT(H1948)+IF(TDays[[#This Row],[کد روز هفته]]=0,1,0)),1)</f>
        <v>5</v>
      </c>
      <c r="I1949" s="164">
        <f>-SUMIF(TArticle[تاریخ],TDays[[#This Row],[تاریخ]],TArticle[هزینه])</f>
        <v>0</v>
      </c>
      <c r="J1949" s="164">
        <f>SUMIF(TArticle[تاریخ],TDays[[#This Row],[تاریخ]],TArticle[درآمد تتا])</f>
        <v>0</v>
      </c>
      <c r="K1949" s="164">
        <f>SUMIF(TArticle[تاریخ],TDays[[#This Row],[تاریخ]],TArticle[اسنپ])</f>
        <v>0</v>
      </c>
      <c r="L1949" s="164">
        <f>-SUMIF(TArticle[تاریخ],TDays[[#This Row],[تاریخ]],TArticle[پرداخت بدهی])</f>
        <v>0</v>
      </c>
      <c r="M1949" s="164">
        <f>SUMIF(TArticle[تاریخ],TDays[[#This Row],[تاریخ]],TArticle[افزایش بدهی])</f>
        <v>0</v>
      </c>
      <c r="N1949" s="164">
        <f>-SUMIF(TArticle[تاریخ],TDays[[#This Row],[تاریخ]],TArticle[افزایش سرمایه])</f>
        <v>0</v>
      </c>
      <c r="O1949" s="164">
        <f>SUMIF(TArticle[تاریخ],TDays[[#This Row],[تاریخ]],TArticle[تعداد تراکنش انجام شده])</f>
        <v>0</v>
      </c>
      <c r="P1949" s="164">
        <f>INT(((TDays[[#This Row],[ماه]]-1)*31+TDays[[#This Row],[روز]]+1)/7)+1</f>
        <v>18</v>
      </c>
      <c r="Q1949" s="164">
        <f>SUMIF(TArticle[تاریخ],TDays[[#This Row],[تاریخ]],TArticle[تراکنش برنامه ریزی شده])</f>
        <v>0</v>
      </c>
    </row>
    <row r="1950" spans="1:17" x14ac:dyDescent="0.25">
      <c r="A1950" s="3" t="s">
        <v>2566</v>
      </c>
      <c r="B1950" s="164" t="str">
        <f>RIGHT(TDays[[#This Row],[تاریخ]],2)</f>
        <v>31</v>
      </c>
      <c r="C1950" s="164" t="str">
        <f>RIGHT(LEFT(TDays[[#This Row],[تاریخ]],7),2)</f>
        <v>04</v>
      </c>
      <c r="D1950" s="164" t="str">
        <f>LEFT(TDays[[#This Row],[تاریخ]],4)</f>
        <v>1406</v>
      </c>
      <c r="E1950" s="164" t="str">
        <f>LEFT(TDays[[#This Row],[تاریخ]],7)</f>
        <v>1406-04</v>
      </c>
      <c r="F1950">
        <v>4</v>
      </c>
      <c r="G1950" s="165" t="str">
        <f>VLOOKUP(TDays[[#This Row],[کد روز هفته]],TDaysOfTheWeek[],2,FALSE)</f>
        <v>چهارشنبه</v>
      </c>
      <c r="H1950" s="165">
        <f>IFERROR(IF(E1949&lt;&gt;E1950,1,INT(H1949)+IF(TDays[[#This Row],[کد روز هفته]]=0,1,0)),1)</f>
        <v>5</v>
      </c>
      <c r="I1950" s="164">
        <f>-SUMIF(TArticle[تاریخ],TDays[[#This Row],[تاریخ]],TArticle[هزینه])</f>
        <v>0</v>
      </c>
      <c r="J1950" s="164">
        <f>SUMIF(TArticle[تاریخ],TDays[[#This Row],[تاریخ]],TArticle[درآمد تتا])</f>
        <v>0</v>
      </c>
      <c r="K1950" s="164">
        <f>SUMIF(TArticle[تاریخ],TDays[[#This Row],[تاریخ]],TArticle[اسنپ])</f>
        <v>0</v>
      </c>
      <c r="L1950" s="164">
        <f>-SUMIF(TArticle[تاریخ],TDays[[#This Row],[تاریخ]],TArticle[پرداخت بدهی])</f>
        <v>0</v>
      </c>
      <c r="M1950" s="164">
        <f>SUMIF(TArticle[تاریخ],TDays[[#This Row],[تاریخ]],TArticle[افزایش بدهی])</f>
        <v>0</v>
      </c>
      <c r="N1950" s="164">
        <f>-SUMIF(TArticle[تاریخ],TDays[[#This Row],[تاریخ]],TArticle[افزایش سرمایه])</f>
        <v>0</v>
      </c>
      <c r="O1950" s="164">
        <f>SUMIF(TArticle[تاریخ],TDays[[#This Row],[تاریخ]],TArticle[تعداد تراکنش انجام شده])</f>
        <v>0</v>
      </c>
      <c r="P1950" s="164">
        <f>INT(((TDays[[#This Row],[ماه]]-1)*31+TDays[[#This Row],[روز]]+1)/7)+1</f>
        <v>18</v>
      </c>
      <c r="Q1950" s="164">
        <f>SUMIF(TArticle[تاریخ],TDays[[#This Row],[تاریخ]],TArticle[تراکنش برنامه ریزی شده])</f>
        <v>0</v>
      </c>
    </row>
    <row r="1951" spans="1:17" x14ac:dyDescent="0.25">
      <c r="A1951" s="3" t="s">
        <v>2567</v>
      </c>
      <c r="B1951" s="164" t="str">
        <f>RIGHT(TDays[[#This Row],[تاریخ]],2)</f>
        <v>01</v>
      </c>
      <c r="C1951" s="164" t="str">
        <f>RIGHT(LEFT(TDays[[#This Row],[تاریخ]],7),2)</f>
        <v>05</v>
      </c>
      <c r="D1951" s="164" t="str">
        <f>LEFT(TDays[[#This Row],[تاریخ]],4)</f>
        <v>1406</v>
      </c>
      <c r="E1951" s="164" t="str">
        <f>LEFT(TDays[[#This Row],[تاریخ]],7)</f>
        <v>1406-05</v>
      </c>
      <c r="F1951">
        <v>5</v>
      </c>
      <c r="G1951" s="165" t="str">
        <f>VLOOKUP(TDays[[#This Row],[کد روز هفته]],TDaysOfTheWeek[],2,FALSE)</f>
        <v>پنجشنبه</v>
      </c>
      <c r="H1951" s="165">
        <f>IFERROR(IF(E1950&lt;&gt;E1951,1,INT(H1950)+IF(TDays[[#This Row],[کد روز هفته]]=0,1,0)),1)</f>
        <v>1</v>
      </c>
      <c r="I1951" s="164">
        <f>-SUMIF(TArticle[تاریخ],TDays[[#This Row],[تاریخ]],TArticle[هزینه])</f>
        <v>0</v>
      </c>
      <c r="J1951" s="164">
        <f>SUMIF(TArticle[تاریخ],TDays[[#This Row],[تاریخ]],TArticle[درآمد تتا])</f>
        <v>0</v>
      </c>
      <c r="K1951" s="164">
        <f>SUMIF(TArticle[تاریخ],TDays[[#This Row],[تاریخ]],TArticle[اسنپ])</f>
        <v>0</v>
      </c>
      <c r="L1951" s="164">
        <f>-SUMIF(TArticle[تاریخ],TDays[[#This Row],[تاریخ]],TArticle[پرداخت بدهی])</f>
        <v>0</v>
      </c>
      <c r="M1951" s="164">
        <f>SUMIF(TArticle[تاریخ],TDays[[#This Row],[تاریخ]],TArticle[افزایش بدهی])</f>
        <v>0</v>
      </c>
      <c r="N1951" s="164">
        <f>-SUMIF(TArticle[تاریخ],TDays[[#This Row],[تاریخ]],TArticle[افزایش سرمایه])</f>
        <v>0</v>
      </c>
      <c r="O1951" s="164">
        <f>SUMIF(TArticle[تاریخ],TDays[[#This Row],[تاریخ]],TArticle[تعداد تراکنش انجام شده])</f>
        <v>0</v>
      </c>
      <c r="P1951" s="164">
        <f>INT(((TDays[[#This Row],[ماه]]-1)*31+TDays[[#This Row],[روز]]+1)/7)+1</f>
        <v>19</v>
      </c>
      <c r="Q1951" s="164">
        <f>SUMIF(TArticle[تاریخ],TDays[[#This Row],[تاریخ]],TArticle[تراکنش برنامه ریزی شده])</f>
        <v>0</v>
      </c>
    </row>
    <row r="1952" spans="1:17" x14ac:dyDescent="0.25">
      <c r="A1952" s="3" t="s">
        <v>2568</v>
      </c>
      <c r="B1952" s="164" t="str">
        <f>RIGHT(TDays[[#This Row],[تاریخ]],2)</f>
        <v>02</v>
      </c>
      <c r="C1952" s="164" t="str">
        <f>RIGHT(LEFT(TDays[[#This Row],[تاریخ]],7),2)</f>
        <v>05</v>
      </c>
      <c r="D1952" s="164" t="str">
        <f>LEFT(TDays[[#This Row],[تاریخ]],4)</f>
        <v>1406</v>
      </c>
      <c r="E1952" s="164" t="str">
        <f>LEFT(TDays[[#This Row],[تاریخ]],7)</f>
        <v>1406-05</v>
      </c>
      <c r="F1952">
        <v>6</v>
      </c>
      <c r="G1952" s="165" t="str">
        <f>VLOOKUP(TDays[[#This Row],[کد روز هفته]],TDaysOfTheWeek[],2,FALSE)</f>
        <v>جمعه</v>
      </c>
      <c r="H1952" s="165">
        <f>IFERROR(IF(E1951&lt;&gt;E1952,1,INT(H1951)+IF(TDays[[#This Row],[کد روز هفته]]=0,1,0)),1)</f>
        <v>1</v>
      </c>
      <c r="I1952" s="164">
        <f>-SUMIF(TArticle[تاریخ],TDays[[#This Row],[تاریخ]],TArticle[هزینه])</f>
        <v>0</v>
      </c>
      <c r="J1952" s="164">
        <f>SUMIF(TArticle[تاریخ],TDays[[#This Row],[تاریخ]],TArticle[درآمد تتا])</f>
        <v>0</v>
      </c>
      <c r="K1952" s="164">
        <f>SUMIF(TArticle[تاریخ],TDays[[#This Row],[تاریخ]],TArticle[اسنپ])</f>
        <v>0</v>
      </c>
      <c r="L1952" s="164">
        <f>-SUMIF(TArticle[تاریخ],TDays[[#This Row],[تاریخ]],TArticle[پرداخت بدهی])</f>
        <v>0</v>
      </c>
      <c r="M1952" s="164">
        <f>SUMIF(TArticle[تاریخ],TDays[[#This Row],[تاریخ]],TArticle[افزایش بدهی])</f>
        <v>0</v>
      </c>
      <c r="N1952" s="164">
        <f>-SUMIF(TArticle[تاریخ],TDays[[#This Row],[تاریخ]],TArticle[افزایش سرمایه])</f>
        <v>0</v>
      </c>
      <c r="O1952" s="164">
        <f>SUMIF(TArticle[تاریخ],TDays[[#This Row],[تاریخ]],TArticle[تعداد تراکنش انجام شده])</f>
        <v>0</v>
      </c>
      <c r="P1952" s="164">
        <f>INT(((TDays[[#This Row],[ماه]]-1)*31+TDays[[#This Row],[روز]]+1)/7)+1</f>
        <v>19</v>
      </c>
      <c r="Q1952" s="164">
        <f>SUMIF(TArticle[تاریخ],TDays[[#This Row],[تاریخ]],TArticle[تراکنش برنامه ریزی شده])</f>
        <v>0</v>
      </c>
    </row>
    <row r="1953" spans="1:17" x14ac:dyDescent="0.25">
      <c r="A1953" s="3" t="s">
        <v>2569</v>
      </c>
      <c r="B1953" s="164" t="str">
        <f>RIGHT(TDays[[#This Row],[تاریخ]],2)</f>
        <v>03</v>
      </c>
      <c r="C1953" s="164" t="str">
        <f>RIGHT(LEFT(TDays[[#This Row],[تاریخ]],7),2)</f>
        <v>05</v>
      </c>
      <c r="D1953" s="164" t="str">
        <f>LEFT(TDays[[#This Row],[تاریخ]],4)</f>
        <v>1406</v>
      </c>
      <c r="E1953" s="164" t="str">
        <f>LEFT(TDays[[#This Row],[تاریخ]],7)</f>
        <v>1406-05</v>
      </c>
      <c r="F1953">
        <v>0</v>
      </c>
      <c r="G1953" s="165" t="str">
        <f>VLOOKUP(TDays[[#This Row],[کد روز هفته]],TDaysOfTheWeek[],2,FALSE)</f>
        <v>شنبه</v>
      </c>
      <c r="H1953" s="165">
        <f>IFERROR(IF(E1952&lt;&gt;E1953,1,INT(H1952)+IF(TDays[[#This Row],[کد روز هفته]]=0,1,0)),1)</f>
        <v>2</v>
      </c>
      <c r="I1953" s="164">
        <f>-SUMIF(TArticle[تاریخ],TDays[[#This Row],[تاریخ]],TArticle[هزینه])</f>
        <v>0</v>
      </c>
      <c r="J1953" s="164">
        <f>SUMIF(TArticle[تاریخ],TDays[[#This Row],[تاریخ]],TArticle[درآمد تتا])</f>
        <v>0</v>
      </c>
      <c r="K1953" s="164">
        <f>SUMIF(TArticle[تاریخ],TDays[[#This Row],[تاریخ]],TArticle[اسنپ])</f>
        <v>0</v>
      </c>
      <c r="L1953" s="164">
        <f>-SUMIF(TArticle[تاریخ],TDays[[#This Row],[تاریخ]],TArticle[پرداخت بدهی])</f>
        <v>0</v>
      </c>
      <c r="M1953" s="164">
        <f>SUMIF(TArticle[تاریخ],TDays[[#This Row],[تاریخ]],TArticle[افزایش بدهی])</f>
        <v>0</v>
      </c>
      <c r="N1953" s="164">
        <f>-SUMIF(TArticle[تاریخ],TDays[[#This Row],[تاریخ]],TArticle[افزایش سرمایه])</f>
        <v>0</v>
      </c>
      <c r="O1953" s="164">
        <f>SUMIF(TArticle[تاریخ],TDays[[#This Row],[تاریخ]],TArticle[تعداد تراکنش انجام شده])</f>
        <v>0</v>
      </c>
      <c r="P1953" s="164">
        <f>INT(((TDays[[#This Row],[ماه]]-1)*31+TDays[[#This Row],[روز]]+1)/7)+1</f>
        <v>19</v>
      </c>
      <c r="Q1953" s="164">
        <f>SUMIF(TArticle[تاریخ],TDays[[#This Row],[تاریخ]],TArticle[تراکنش برنامه ریزی شده])</f>
        <v>1</v>
      </c>
    </row>
    <row r="1954" spans="1:17" x14ac:dyDescent="0.25">
      <c r="A1954" s="3" t="s">
        <v>2570</v>
      </c>
      <c r="B1954" s="164" t="str">
        <f>RIGHT(TDays[[#This Row],[تاریخ]],2)</f>
        <v>04</v>
      </c>
      <c r="C1954" s="164" t="str">
        <f>RIGHT(LEFT(TDays[[#This Row],[تاریخ]],7),2)</f>
        <v>05</v>
      </c>
      <c r="D1954" s="164" t="str">
        <f>LEFT(TDays[[#This Row],[تاریخ]],4)</f>
        <v>1406</v>
      </c>
      <c r="E1954" s="164" t="str">
        <f>LEFT(TDays[[#This Row],[تاریخ]],7)</f>
        <v>1406-05</v>
      </c>
      <c r="F1954">
        <v>1</v>
      </c>
      <c r="G1954" s="165" t="str">
        <f>VLOOKUP(TDays[[#This Row],[کد روز هفته]],TDaysOfTheWeek[],2,FALSE)</f>
        <v>یکشنبه</v>
      </c>
      <c r="H1954" s="165">
        <f>IFERROR(IF(E1953&lt;&gt;E1954,1,INT(H1953)+IF(TDays[[#This Row],[کد روز هفته]]=0,1,0)),1)</f>
        <v>2</v>
      </c>
      <c r="I1954" s="164">
        <f>-SUMIF(TArticle[تاریخ],TDays[[#This Row],[تاریخ]],TArticle[هزینه])</f>
        <v>0</v>
      </c>
      <c r="J1954" s="164">
        <f>SUMIF(TArticle[تاریخ],TDays[[#This Row],[تاریخ]],TArticle[درآمد تتا])</f>
        <v>0</v>
      </c>
      <c r="K1954" s="164">
        <f>SUMIF(TArticle[تاریخ],TDays[[#This Row],[تاریخ]],TArticle[اسنپ])</f>
        <v>0</v>
      </c>
      <c r="L1954" s="164">
        <f>-SUMIF(TArticle[تاریخ],TDays[[#This Row],[تاریخ]],TArticle[پرداخت بدهی])</f>
        <v>0</v>
      </c>
      <c r="M1954" s="164">
        <f>SUMIF(TArticle[تاریخ],TDays[[#This Row],[تاریخ]],TArticle[افزایش بدهی])</f>
        <v>0</v>
      </c>
      <c r="N1954" s="164">
        <f>-SUMIF(TArticle[تاریخ],TDays[[#This Row],[تاریخ]],TArticle[افزایش سرمایه])</f>
        <v>0</v>
      </c>
      <c r="O1954" s="164">
        <f>SUMIF(TArticle[تاریخ],TDays[[#This Row],[تاریخ]],TArticle[تعداد تراکنش انجام شده])</f>
        <v>0</v>
      </c>
      <c r="P1954" s="164">
        <f>INT(((TDays[[#This Row],[ماه]]-1)*31+TDays[[#This Row],[روز]]+1)/7)+1</f>
        <v>19</v>
      </c>
      <c r="Q1954" s="164">
        <f>SUMIF(TArticle[تاریخ],TDays[[#This Row],[تاریخ]],TArticle[تراکنش برنامه ریزی شده])</f>
        <v>0</v>
      </c>
    </row>
    <row r="1955" spans="1:17" x14ac:dyDescent="0.25">
      <c r="A1955" s="3" t="s">
        <v>2571</v>
      </c>
      <c r="B1955" s="164" t="str">
        <f>RIGHT(TDays[[#This Row],[تاریخ]],2)</f>
        <v>05</v>
      </c>
      <c r="C1955" s="164" t="str">
        <f>RIGHT(LEFT(TDays[[#This Row],[تاریخ]],7),2)</f>
        <v>05</v>
      </c>
      <c r="D1955" s="164" t="str">
        <f>LEFT(TDays[[#This Row],[تاریخ]],4)</f>
        <v>1406</v>
      </c>
      <c r="E1955" s="164" t="str">
        <f>LEFT(TDays[[#This Row],[تاریخ]],7)</f>
        <v>1406-05</v>
      </c>
      <c r="F1955">
        <v>2</v>
      </c>
      <c r="G1955" s="165" t="str">
        <f>VLOOKUP(TDays[[#This Row],[کد روز هفته]],TDaysOfTheWeek[],2,FALSE)</f>
        <v>دوشنبه</v>
      </c>
      <c r="H1955" s="165">
        <f>IFERROR(IF(E1954&lt;&gt;E1955,1,INT(H1954)+IF(TDays[[#This Row],[کد روز هفته]]=0,1,0)),1)</f>
        <v>2</v>
      </c>
      <c r="I1955" s="164">
        <f>-SUMIF(TArticle[تاریخ],TDays[[#This Row],[تاریخ]],TArticle[هزینه])</f>
        <v>0</v>
      </c>
      <c r="J1955" s="164">
        <f>SUMIF(TArticle[تاریخ],TDays[[#This Row],[تاریخ]],TArticle[درآمد تتا])</f>
        <v>0</v>
      </c>
      <c r="K1955" s="164">
        <f>SUMIF(TArticle[تاریخ],TDays[[#This Row],[تاریخ]],TArticle[اسنپ])</f>
        <v>0</v>
      </c>
      <c r="L1955" s="164">
        <f>-SUMIF(TArticle[تاریخ],TDays[[#This Row],[تاریخ]],TArticle[پرداخت بدهی])</f>
        <v>0</v>
      </c>
      <c r="M1955" s="164">
        <f>SUMIF(TArticle[تاریخ],TDays[[#This Row],[تاریخ]],TArticle[افزایش بدهی])</f>
        <v>0</v>
      </c>
      <c r="N1955" s="164">
        <f>-SUMIF(TArticle[تاریخ],TDays[[#This Row],[تاریخ]],TArticle[افزایش سرمایه])</f>
        <v>0</v>
      </c>
      <c r="O1955" s="164">
        <f>SUMIF(TArticle[تاریخ],TDays[[#This Row],[تاریخ]],TArticle[تعداد تراکنش انجام شده])</f>
        <v>0</v>
      </c>
      <c r="P1955" s="164">
        <f>INT(((TDays[[#This Row],[ماه]]-1)*31+TDays[[#This Row],[روز]]+1)/7)+1</f>
        <v>19</v>
      </c>
      <c r="Q1955" s="164">
        <f>SUMIF(TArticle[تاریخ],TDays[[#This Row],[تاریخ]],TArticle[تراکنش برنامه ریزی شده])</f>
        <v>0</v>
      </c>
    </row>
    <row r="1956" spans="1:17" x14ac:dyDescent="0.25">
      <c r="A1956" s="3" t="s">
        <v>2572</v>
      </c>
      <c r="B1956" s="164" t="str">
        <f>RIGHT(TDays[[#This Row],[تاریخ]],2)</f>
        <v>06</v>
      </c>
      <c r="C1956" s="164" t="str">
        <f>RIGHT(LEFT(TDays[[#This Row],[تاریخ]],7),2)</f>
        <v>05</v>
      </c>
      <c r="D1956" s="164" t="str">
        <f>LEFT(TDays[[#This Row],[تاریخ]],4)</f>
        <v>1406</v>
      </c>
      <c r="E1956" s="164" t="str">
        <f>LEFT(TDays[[#This Row],[تاریخ]],7)</f>
        <v>1406-05</v>
      </c>
      <c r="F1956">
        <v>3</v>
      </c>
      <c r="G1956" s="165" t="str">
        <f>VLOOKUP(TDays[[#This Row],[کد روز هفته]],TDaysOfTheWeek[],2,FALSE)</f>
        <v>سه شنبه</v>
      </c>
      <c r="H1956" s="165">
        <f>IFERROR(IF(E1955&lt;&gt;E1956,1,INT(H1955)+IF(TDays[[#This Row],[کد روز هفته]]=0,1,0)),1)</f>
        <v>2</v>
      </c>
      <c r="I1956" s="164">
        <f>-SUMIF(TArticle[تاریخ],TDays[[#This Row],[تاریخ]],TArticle[هزینه])</f>
        <v>0</v>
      </c>
      <c r="J1956" s="164">
        <f>SUMIF(TArticle[تاریخ],TDays[[#This Row],[تاریخ]],TArticle[درآمد تتا])</f>
        <v>0</v>
      </c>
      <c r="K1956" s="164">
        <f>SUMIF(TArticle[تاریخ],TDays[[#This Row],[تاریخ]],TArticle[اسنپ])</f>
        <v>0</v>
      </c>
      <c r="L1956" s="164">
        <f>-SUMIF(TArticle[تاریخ],TDays[[#This Row],[تاریخ]],TArticle[پرداخت بدهی])</f>
        <v>0</v>
      </c>
      <c r="M1956" s="164">
        <f>SUMIF(TArticle[تاریخ],TDays[[#This Row],[تاریخ]],TArticle[افزایش بدهی])</f>
        <v>0</v>
      </c>
      <c r="N1956" s="164">
        <f>-SUMIF(TArticle[تاریخ],TDays[[#This Row],[تاریخ]],TArticle[افزایش سرمایه])</f>
        <v>0</v>
      </c>
      <c r="O1956" s="164">
        <f>SUMIF(TArticle[تاریخ],TDays[[#This Row],[تاریخ]],TArticle[تعداد تراکنش انجام شده])</f>
        <v>0</v>
      </c>
      <c r="P1956" s="164">
        <f>INT(((TDays[[#This Row],[ماه]]-1)*31+TDays[[#This Row],[روز]]+1)/7)+1</f>
        <v>19</v>
      </c>
      <c r="Q1956" s="164">
        <f>SUMIF(TArticle[تاریخ],TDays[[#This Row],[تاریخ]],TArticle[تراکنش برنامه ریزی شده])</f>
        <v>0</v>
      </c>
    </row>
    <row r="1957" spans="1:17" x14ac:dyDescent="0.25">
      <c r="A1957" s="3" t="s">
        <v>2573</v>
      </c>
      <c r="B1957" s="164" t="str">
        <f>RIGHT(TDays[[#This Row],[تاریخ]],2)</f>
        <v>07</v>
      </c>
      <c r="C1957" s="164" t="str">
        <f>RIGHT(LEFT(TDays[[#This Row],[تاریخ]],7),2)</f>
        <v>05</v>
      </c>
      <c r="D1957" s="164" t="str">
        <f>LEFT(TDays[[#This Row],[تاریخ]],4)</f>
        <v>1406</v>
      </c>
      <c r="E1957" s="164" t="str">
        <f>LEFT(TDays[[#This Row],[تاریخ]],7)</f>
        <v>1406-05</v>
      </c>
      <c r="F1957">
        <v>4</v>
      </c>
      <c r="G1957" s="165" t="str">
        <f>VLOOKUP(TDays[[#This Row],[کد روز هفته]],TDaysOfTheWeek[],2,FALSE)</f>
        <v>چهارشنبه</v>
      </c>
      <c r="H1957" s="165">
        <f>IFERROR(IF(E1956&lt;&gt;E1957,1,INT(H1956)+IF(TDays[[#This Row],[کد روز هفته]]=0,1,0)),1)</f>
        <v>2</v>
      </c>
      <c r="I1957" s="164">
        <f>-SUMIF(TArticle[تاریخ],TDays[[#This Row],[تاریخ]],TArticle[هزینه])</f>
        <v>0</v>
      </c>
      <c r="J1957" s="164">
        <f>SUMIF(TArticle[تاریخ],TDays[[#This Row],[تاریخ]],TArticle[درآمد تتا])</f>
        <v>0</v>
      </c>
      <c r="K1957" s="164">
        <f>SUMIF(TArticle[تاریخ],TDays[[#This Row],[تاریخ]],TArticle[اسنپ])</f>
        <v>0</v>
      </c>
      <c r="L1957" s="164">
        <f>-SUMIF(TArticle[تاریخ],TDays[[#This Row],[تاریخ]],TArticle[پرداخت بدهی])</f>
        <v>0</v>
      </c>
      <c r="M1957" s="164">
        <f>SUMIF(TArticle[تاریخ],TDays[[#This Row],[تاریخ]],TArticle[افزایش بدهی])</f>
        <v>0</v>
      </c>
      <c r="N1957" s="164">
        <f>-SUMIF(TArticle[تاریخ],TDays[[#This Row],[تاریخ]],TArticle[افزایش سرمایه])</f>
        <v>0</v>
      </c>
      <c r="O1957" s="164">
        <f>SUMIF(TArticle[تاریخ],TDays[[#This Row],[تاریخ]],TArticle[تعداد تراکنش انجام شده])</f>
        <v>0</v>
      </c>
      <c r="P1957" s="164">
        <f>INT(((TDays[[#This Row],[ماه]]-1)*31+TDays[[#This Row],[روز]]+1)/7)+1</f>
        <v>19</v>
      </c>
      <c r="Q1957" s="164">
        <f>SUMIF(TArticle[تاریخ],TDays[[#This Row],[تاریخ]],TArticle[تراکنش برنامه ریزی شده])</f>
        <v>0</v>
      </c>
    </row>
    <row r="1958" spans="1:17" x14ac:dyDescent="0.25">
      <c r="A1958" s="3" t="s">
        <v>2574</v>
      </c>
      <c r="B1958" s="164" t="str">
        <f>RIGHT(TDays[[#This Row],[تاریخ]],2)</f>
        <v>08</v>
      </c>
      <c r="C1958" s="164" t="str">
        <f>RIGHT(LEFT(TDays[[#This Row],[تاریخ]],7),2)</f>
        <v>05</v>
      </c>
      <c r="D1958" s="164" t="str">
        <f>LEFT(TDays[[#This Row],[تاریخ]],4)</f>
        <v>1406</v>
      </c>
      <c r="E1958" s="164" t="str">
        <f>LEFT(TDays[[#This Row],[تاریخ]],7)</f>
        <v>1406-05</v>
      </c>
      <c r="F1958">
        <v>5</v>
      </c>
      <c r="G1958" s="165" t="str">
        <f>VLOOKUP(TDays[[#This Row],[کد روز هفته]],TDaysOfTheWeek[],2,FALSE)</f>
        <v>پنجشنبه</v>
      </c>
      <c r="H1958" s="165">
        <f>IFERROR(IF(E1957&lt;&gt;E1958,1,INT(H1957)+IF(TDays[[#This Row],[کد روز هفته]]=0,1,0)),1)</f>
        <v>2</v>
      </c>
      <c r="I1958" s="164">
        <f>-SUMIF(TArticle[تاریخ],TDays[[#This Row],[تاریخ]],TArticle[هزینه])</f>
        <v>0</v>
      </c>
      <c r="J1958" s="164">
        <f>SUMIF(TArticle[تاریخ],TDays[[#This Row],[تاریخ]],TArticle[درآمد تتا])</f>
        <v>0</v>
      </c>
      <c r="K1958" s="164">
        <f>SUMIF(TArticle[تاریخ],TDays[[#This Row],[تاریخ]],TArticle[اسنپ])</f>
        <v>0</v>
      </c>
      <c r="L1958" s="164">
        <f>-SUMIF(TArticle[تاریخ],TDays[[#This Row],[تاریخ]],TArticle[پرداخت بدهی])</f>
        <v>0</v>
      </c>
      <c r="M1958" s="164">
        <f>SUMIF(TArticle[تاریخ],TDays[[#This Row],[تاریخ]],TArticle[افزایش بدهی])</f>
        <v>0</v>
      </c>
      <c r="N1958" s="164">
        <f>-SUMIF(TArticle[تاریخ],TDays[[#This Row],[تاریخ]],TArticle[افزایش سرمایه])</f>
        <v>0</v>
      </c>
      <c r="O1958" s="164">
        <f>SUMIF(TArticle[تاریخ],TDays[[#This Row],[تاریخ]],TArticle[تعداد تراکنش انجام شده])</f>
        <v>0</v>
      </c>
      <c r="P1958" s="164">
        <f>INT(((TDays[[#This Row],[ماه]]-1)*31+TDays[[#This Row],[روز]]+1)/7)+1</f>
        <v>20</v>
      </c>
      <c r="Q1958" s="164">
        <f>SUMIF(TArticle[تاریخ],TDays[[#This Row],[تاریخ]],TArticle[تراکنش برنامه ریزی شده])</f>
        <v>0</v>
      </c>
    </row>
    <row r="1959" spans="1:17" x14ac:dyDescent="0.25">
      <c r="A1959" s="3" t="s">
        <v>2575</v>
      </c>
      <c r="B1959" s="164" t="str">
        <f>RIGHT(TDays[[#This Row],[تاریخ]],2)</f>
        <v>09</v>
      </c>
      <c r="C1959" s="164" t="str">
        <f>RIGHT(LEFT(TDays[[#This Row],[تاریخ]],7),2)</f>
        <v>05</v>
      </c>
      <c r="D1959" s="164" t="str">
        <f>LEFT(TDays[[#This Row],[تاریخ]],4)</f>
        <v>1406</v>
      </c>
      <c r="E1959" s="164" t="str">
        <f>LEFT(TDays[[#This Row],[تاریخ]],7)</f>
        <v>1406-05</v>
      </c>
      <c r="F1959">
        <v>6</v>
      </c>
      <c r="G1959" s="165" t="str">
        <f>VLOOKUP(TDays[[#This Row],[کد روز هفته]],TDaysOfTheWeek[],2,FALSE)</f>
        <v>جمعه</v>
      </c>
      <c r="H1959" s="165">
        <f>IFERROR(IF(E1958&lt;&gt;E1959,1,INT(H1958)+IF(TDays[[#This Row],[کد روز هفته]]=0,1,0)),1)</f>
        <v>2</v>
      </c>
      <c r="I1959" s="164">
        <f>-SUMIF(TArticle[تاریخ],TDays[[#This Row],[تاریخ]],TArticle[هزینه])</f>
        <v>0</v>
      </c>
      <c r="J1959" s="164">
        <f>SUMIF(TArticle[تاریخ],TDays[[#This Row],[تاریخ]],TArticle[درآمد تتا])</f>
        <v>0</v>
      </c>
      <c r="K1959" s="164">
        <f>SUMIF(TArticle[تاریخ],TDays[[#This Row],[تاریخ]],TArticle[اسنپ])</f>
        <v>0</v>
      </c>
      <c r="L1959" s="164">
        <f>-SUMIF(TArticle[تاریخ],TDays[[#This Row],[تاریخ]],TArticle[پرداخت بدهی])</f>
        <v>0</v>
      </c>
      <c r="M1959" s="164">
        <f>SUMIF(TArticle[تاریخ],TDays[[#This Row],[تاریخ]],TArticle[افزایش بدهی])</f>
        <v>0</v>
      </c>
      <c r="N1959" s="164">
        <f>-SUMIF(TArticle[تاریخ],TDays[[#This Row],[تاریخ]],TArticle[افزایش سرمایه])</f>
        <v>0</v>
      </c>
      <c r="O1959" s="164">
        <f>SUMIF(TArticle[تاریخ],TDays[[#This Row],[تاریخ]],TArticle[تعداد تراکنش انجام شده])</f>
        <v>0</v>
      </c>
      <c r="P1959" s="164">
        <f>INT(((TDays[[#This Row],[ماه]]-1)*31+TDays[[#This Row],[روز]]+1)/7)+1</f>
        <v>20</v>
      </c>
      <c r="Q1959" s="164">
        <f>SUMIF(TArticle[تاریخ],TDays[[#This Row],[تاریخ]],TArticle[تراکنش برنامه ریزی شده])</f>
        <v>0</v>
      </c>
    </row>
    <row r="1960" spans="1:17" x14ac:dyDescent="0.25">
      <c r="A1960" s="3" t="s">
        <v>2576</v>
      </c>
      <c r="B1960" s="164" t="str">
        <f>RIGHT(TDays[[#This Row],[تاریخ]],2)</f>
        <v>10</v>
      </c>
      <c r="C1960" s="164" t="str">
        <f>RIGHT(LEFT(TDays[[#This Row],[تاریخ]],7),2)</f>
        <v>05</v>
      </c>
      <c r="D1960" s="164" t="str">
        <f>LEFT(TDays[[#This Row],[تاریخ]],4)</f>
        <v>1406</v>
      </c>
      <c r="E1960" s="164" t="str">
        <f>LEFT(TDays[[#This Row],[تاریخ]],7)</f>
        <v>1406-05</v>
      </c>
      <c r="F1960">
        <v>0</v>
      </c>
      <c r="G1960" s="165" t="str">
        <f>VLOOKUP(TDays[[#This Row],[کد روز هفته]],TDaysOfTheWeek[],2,FALSE)</f>
        <v>شنبه</v>
      </c>
      <c r="H1960" s="165">
        <f>IFERROR(IF(E1959&lt;&gt;E1960,1,INT(H1959)+IF(TDays[[#This Row],[کد روز هفته]]=0,1,0)),1)</f>
        <v>3</v>
      </c>
      <c r="I1960" s="164">
        <f>-SUMIF(TArticle[تاریخ],TDays[[#This Row],[تاریخ]],TArticle[هزینه])</f>
        <v>0</v>
      </c>
      <c r="J1960" s="164">
        <f>SUMIF(TArticle[تاریخ],TDays[[#This Row],[تاریخ]],TArticle[درآمد تتا])</f>
        <v>0</v>
      </c>
      <c r="K1960" s="164">
        <f>SUMIF(TArticle[تاریخ],TDays[[#This Row],[تاریخ]],TArticle[اسنپ])</f>
        <v>0</v>
      </c>
      <c r="L1960" s="164">
        <f>-SUMIF(TArticle[تاریخ],TDays[[#This Row],[تاریخ]],TArticle[پرداخت بدهی])</f>
        <v>0</v>
      </c>
      <c r="M1960" s="164">
        <f>SUMIF(TArticle[تاریخ],TDays[[#This Row],[تاریخ]],TArticle[افزایش بدهی])</f>
        <v>0</v>
      </c>
      <c r="N1960" s="164">
        <f>-SUMIF(TArticle[تاریخ],TDays[[#This Row],[تاریخ]],TArticle[افزایش سرمایه])</f>
        <v>0</v>
      </c>
      <c r="O1960" s="164">
        <f>SUMIF(TArticle[تاریخ],TDays[[#This Row],[تاریخ]],TArticle[تعداد تراکنش انجام شده])</f>
        <v>0</v>
      </c>
      <c r="P1960" s="164">
        <f>INT(((TDays[[#This Row],[ماه]]-1)*31+TDays[[#This Row],[روز]]+1)/7)+1</f>
        <v>20</v>
      </c>
      <c r="Q1960" s="164">
        <f>SUMIF(TArticle[تاریخ],TDays[[#This Row],[تاریخ]],TArticle[تراکنش برنامه ریزی شده])</f>
        <v>0</v>
      </c>
    </row>
    <row r="1961" spans="1:17" x14ac:dyDescent="0.25">
      <c r="A1961" s="3" t="s">
        <v>2577</v>
      </c>
      <c r="B1961" s="164" t="str">
        <f>RIGHT(TDays[[#This Row],[تاریخ]],2)</f>
        <v>11</v>
      </c>
      <c r="C1961" s="164" t="str">
        <f>RIGHT(LEFT(TDays[[#This Row],[تاریخ]],7),2)</f>
        <v>05</v>
      </c>
      <c r="D1961" s="164" t="str">
        <f>LEFT(TDays[[#This Row],[تاریخ]],4)</f>
        <v>1406</v>
      </c>
      <c r="E1961" s="164" t="str">
        <f>LEFT(TDays[[#This Row],[تاریخ]],7)</f>
        <v>1406-05</v>
      </c>
      <c r="F1961">
        <v>1</v>
      </c>
      <c r="G1961" s="165" t="str">
        <f>VLOOKUP(TDays[[#This Row],[کد روز هفته]],TDaysOfTheWeek[],2,FALSE)</f>
        <v>یکشنبه</v>
      </c>
      <c r="H1961" s="165">
        <f>IFERROR(IF(E1960&lt;&gt;E1961,1,INT(H1960)+IF(TDays[[#This Row],[کد روز هفته]]=0,1,0)),1)</f>
        <v>3</v>
      </c>
      <c r="I1961" s="164">
        <f>-SUMIF(TArticle[تاریخ],TDays[[#This Row],[تاریخ]],TArticle[هزینه])</f>
        <v>0</v>
      </c>
      <c r="J1961" s="164">
        <f>SUMIF(TArticle[تاریخ],TDays[[#This Row],[تاریخ]],TArticle[درآمد تتا])</f>
        <v>0</v>
      </c>
      <c r="K1961" s="164">
        <f>SUMIF(TArticle[تاریخ],TDays[[#This Row],[تاریخ]],TArticle[اسنپ])</f>
        <v>0</v>
      </c>
      <c r="L1961" s="164">
        <f>-SUMIF(TArticle[تاریخ],TDays[[#This Row],[تاریخ]],TArticle[پرداخت بدهی])</f>
        <v>0</v>
      </c>
      <c r="M1961" s="164">
        <f>SUMIF(TArticle[تاریخ],TDays[[#This Row],[تاریخ]],TArticle[افزایش بدهی])</f>
        <v>0</v>
      </c>
      <c r="N1961" s="164">
        <f>-SUMIF(TArticle[تاریخ],TDays[[#This Row],[تاریخ]],TArticle[افزایش سرمایه])</f>
        <v>0</v>
      </c>
      <c r="O1961" s="164">
        <f>SUMIF(TArticle[تاریخ],TDays[[#This Row],[تاریخ]],TArticle[تعداد تراکنش انجام شده])</f>
        <v>0</v>
      </c>
      <c r="P1961" s="164">
        <f>INT(((TDays[[#This Row],[ماه]]-1)*31+TDays[[#This Row],[روز]]+1)/7)+1</f>
        <v>20</v>
      </c>
      <c r="Q1961" s="164">
        <f>SUMIF(TArticle[تاریخ],TDays[[#This Row],[تاریخ]],TArticle[تراکنش برنامه ریزی شده])</f>
        <v>0</v>
      </c>
    </row>
    <row r="1962" spans="1:17" x14ac:dyDescent="0.25">
      <c r="A1962" s="3" t="s">
        <v>2578</v>
      </c>
      <c r="B1962" s="164" t="str">
        <f>RIGHT(TDays[[#This Row],[تاریخ]],2)</f>
        <v>12</v>
      </c>
      <c r="C1962" s="164" t="str">
        <f>RIGHT(LEFT(TDays[[#This Row],[تاریخ]],7),2)</f>
        <v>05</v>
      </c>
      <c r="D1962" s="164" t="str">
        <f>LEFT(TDays[[#This Row],[تاریخ]],4)</f>
        <v>1406</v>
      </c>
      <c r="E1962" s="164" t="str">
        <f>LEFT(TDays[[#This Row],[تاریخ]],7)</f>
        <v>1406-05</v>
      </c>
      <c r="F1962">
        <v>2</v>
      </c>
      <c r="G1962" s="165" t="str">
        <f>VLOOKUP(TDays[[#This Row],[کد روز هفته]],TDaysOfTheWeek[],2,FALSE)</f>
        <v>دوشنبه</v>
      </c>
      <c r="H1962" s="165">
        <f>IFERROR(IF(E1961&lt;&gt;E1962,1,INT(H1961)+IF(TDays[[#This Row],[کد روز هفته]]=0,1,0)),1)</f>
        <v>3</v>
      </c>
      <c r="I1962" s="164">
        <f>-SUMIF(TArticle[تاریخ],TDays[[#This Row],[تاریخ]],TArticle[هزینه])</f>
        <v>0</v>
      </c>
      <c r="J1962" s="164">
        <f>SUMIF(TArticle[تاریخ],TDays[[#This Row],[تاریخ]],TArticle[درآمد تتا])</f>
        <v>0</v>
      </c>
      <c r="K1962" s="164">
        <f>SUMIF(TArticle[تاریخ],TDays[[#This Row],[تاریخ]],TArticle[اسنپ])</f>
        <v>0</v>
      </c>
      <c r="L1962" s="164">
        <f>-SUMIF(TArticle[تاریخ],TDays[[#This Row],[تاریخ]],TArticle[پرداخت بدهی])</f>
        <v>0</v>
      </c>
      <c r="M1962" s="164">
        <f>SUMIF(TArticle[تاریخ],TDays[[#This Row],[تاریخ]],TArticle[افزایش بدهی])</f>
        <v>0</v>
      </c>
      <c r="N1962" s="164">
        <f>-SUMIF(TArticle[تاریخ],TDays[[#This Row],[تاریخ]],TArticle[افزایش سرمایه])</f>
        <v>0</v>
      </c>
      <c r="O1962" s="164">
        <f>SUMIF(TArticle[تاریخ],TDays[[#This Row],[تاریخ]],TArticle[تعداد تراکنش انجام شده])</f>
        <v>0</v>
      </c>
      <c r="P1962" s="164">
        <f>INT(((TDays[[#This Row],[ماه]]-1)*31+TDays[[#This Row],[روز]]+1)/7)+1</f>
        <v>20</v>
      </c>
      <c r="Q1962" s="164">
        <f>SUMIF(TArticle[تاریخ],TDays[[#This Row],[تاریخ]],TArticle[تراکنش برنامه ریزی شده])</f>
        <v>0</v>
      </c>
    </row>
    <row r="1963" spans="1:17" x14ac:dyDescent="0.25">
      <c r="A1963" s="3" t="s">
        <v>2579</v>
      </c>
      <c r="B1963" s="164" t="str">
        <f>RIGHT(TDays[[#This Row],[تاریخ]],2)</f>
        <v>13</v>
      </c>
      <c r="C1963" s="164" t="str">
        <f>RIGHT(LEFT(TDays[[#This Row],[تاریخ]],7),2)</f>
        <v>05</v>
      </c>
      <c r="D1963" s="164" t="str">
        <f>LEFT(TDays[[#This Row],[تاریخ]],4)</f>
        <v>1406</v>
      </c>
      <c r="E1963" s="164" t="str">
        <f>LEFT(TDays[[#This Row],[تاریخ]],7)</f>
        <v>1406-05</v>
      </c>
      <c r="F1963" s="164">
        <v>3</v>
      </c>
      <c r="G1963" s="165" t="str">
        <f>VLOOKUP(TDays[[#This Row],[کد روز هفته]],TDaysOfTheWeek[],2,FALSE)</f>
        <v>سه شنبه</v>
      </c>
      <c r="H1963" s="165">
        <f>IFERROR(IF(E1962&lt;&gt;E1963,1,INT(H1962)+IF(TDays[[#This Row],[کد روز هفته]]=0,1,0)),1)</f>
        <v>3</v>
      </c>
      <c r="I1963" s="164">
        <f>-SUMIF(TArticle[تاریخ],TDays[[#This Row],[تاریخ]],TArticle[هزینه])</f>
        <v>0</v>
      </c>
      <c r="J1963" s="164">
        <f>SUMIF(TArticle[تاریخ],TDays[[#This Row],[تاریخ]],TArticle[درآمد تتا])</f>
        <v>0</v>
      </c>
      <c r="K1963" s="164">
        <f>SUMIF(TArticle[تاریخ],TDays[[#This Row],[تاریخ]],TArticle[اسنپ])</f>
        <v>0</v>
      </c>
      <c r="L1963" s="164">
        <f>-SUMIF(TArticle[تاریخ],TDays[[#This Row],[تاریخ]],TArticle[پرداخت بدهی])</f>
        <v>0</v>
      </c>
      <c r="M1963" s="164">
        <f>SUMIF(TArticle[تاریخ],TDays[[#This Row],[تاریخ]],TArticle[افزایش بدهی])</f>
        <v>0</v>
      </c>
      <c r="N1963" s="164">
        <f>-SUMIF(TArticle[تاریخ],TDays[[#This Row],[تاریخ]],TArticle[افزایش سرمایه])</f>
        <v>0</v>
      </c>
      <c r="O1963" s="164">
        <f>SUMIF(TArticle[تاریخ],TDays[[#This Row],[تاریخ]],TArticle[تعداد تراکنش انجام شده])</f>
        <v>0</v>
      </c>
      <c r="P1963" s="164">
        <f>INT(((TDays[[#This Row],[ماه]]-1)*31+TDays[[#This Row],[روز]]+1)/7)+1</f>
        <v>20</v>
      </c>
      <c r="Q1963" s="164">
        <f>SUMIF(TArticle[تاریخ],TDays[[#This Row],[تاریخ]],TArticle[تراکنش برنامه ریزی شده])</f>
        <v>0</v>
      </c>
    </row>
    <row r="1964" spans="1:17" x14ac:dyDescent="0.25">
      <c r="A1964" s="3" t="s">
        <v>2580</v>
      </c>
      <c r="B1964" s="164" t="str">
        <f>RIGHT(TDays[[#This Row],[تاریخ]],2)</f>
        <v>14</v>
      </c>
      <c r="C1964" s="164" t="str">
        <f>RIGHT(LEFT(TDays[[#This Row],[تاریخ]],7),2)</f>
        <v>05</v>
      </c>
      <c r="D1964" s="164" t="str">
        <f>LEFT(TDays[[#This Row],[تاریخ]],4)</f>
        <v>1406</v>
      </c>
      <c r="E1964" s="164" t="str">
        <f>LEFT(TDays[[#This Row],[تاریخ]],7)</f>
        <v>1406-05</v>
      </c>
      <c r="F1964" s="164">
        <v>4</v>
      </c>
      <c r="G1964" s="165" t="str">
        <f>VLOOKUP(TDays[[#This Row],[کد روز هفته]],TDaysOfTheWeek[],2,FALSE)</f>
        <v>چهارشنبه</v>
      </c>
      <c r="H1964" s="165">
        <f>IFERROR(IF(E1963&lt;&gt;E1964,1,INT(H1963)+IF(TDays[[#This Row],[کد روز هفته]]=0,1,0)),1)</f>
        <v>3</v>
      </c>
      <c r="I1964" s="164">
        <f>-SUMIF(TArticle[تاریخ],TDays[[#This Row],[تاریخ]],TArticle[هزینه])</f>
        <v>0</v>
      </c>
      <c r="J1964" s="164">
        <f>SUMIF(TArticle[تاریخ],TDays[[#This Row],[تاریخ]],TArticle[درآمد تتا])</f>
        <v>0</v>
      </c>
      <c r="K1964" s="164">
        <f>SUMIF(TArticle[تاریخ],TDays[[#This Row],[تاریخ]],TArticle[اسنپ])</f>
        <v>0</v>
      </c>
      <c r="L1964" s="164">
        <f>-SUMIF(TArticle[تاریخ],TDays[[#This Row],[تاریخ]],TArticle[پرداخت بدهی])</f>
        <v>0</v>
      </c>
      <c r="M1964" s="164">
        <f>SUMIF(TArticle[تاریخ],TDays[[#This Row],[تاریخ]],TArticle[افزایش بدهی])</f>
        <v>0</v>
      </c>
      <c r="N1964" s="164">
        <f>-SUMIF(TArticle[تاریخ],TDays[[#This Row],[تاریخ]],TArticle[افزایش سرمایه])</f>
        <v>0</v>
      </c>
      <c r="O1964" s="164">
        <f>SUMIF(TArticle[تاریخ],TDays[[#This Row],[تاریخ]],TArticle[تعداد تراکنش انجام شده])</f>
        <v>0</v>
      </c>
      <c r="P1964" s="164">
        <f>INT(((TDays[[#This Row],[ماه]]-1)*31+TDays[[#This Row],[روز]]+1)/7)+1</f>
        <v>20</v>
      </c>
      <c r="Q1964" s="164">
        <f>SUMIF(TArticle[تاریخ],TDays[[#This Row],[تاریخ]],TArticle[تراکنش برنامه ریزی شده])</f>
        <v>0</v>
      </c>
    </row>
    <row r="1965" spans="1:17" x14ac:dyDescent="0.25">
      <c r="A1965" s="3" t="s">
        <v>2581</v>
      </c>
      <c r="B1965" s="164" t="str">
        <f>RIGHT(TDays[[#This Row],[تاریخ]],2)</f>
        <v>15</v>
      </c>
      <c r="C1965" s="164" t="str">
        <f>RIGHT(LEFT(TDays[[#This Row],[تاریخ]],7),2)</f>
        <v>05</v>
      </c>
      <c r="D1965" s="164" t="str">
        <f>LEFT(TDays[[#This Row],[تاریخ]],4)</f>
        <v>1406</v>
      </c>
      <c r="E1965" s="164" t="str">
        <f>LEFT(TDays[[#This Row],[تاریخ]],7)</f>
        <v>1406-05</v>
      </c>
      <c r="F1965">
        <v>5</v>
      </c>
      <c r="G1965" s="165" t="str">
        <f>VLOOKUP(TDays[[#This Row],[کد روز هفته]],TDaysOfTheWeek[],2,FALSE)</f>
        <v>پنجشنبه</v>
      </c>
      <c r="H1965" s="165">
        <f>IFERROR(IF(E1964&lt;&gt;E1965,1,INT(H1964)+IF(TDays[[#This Row],[کد روز هفته]]=0,1,0)),1)</f>
        <v>3</v>
      </c>
      <c r="I1965" s="164">
        <f>-SUMIF(TArticle[تاریخ],TDays[[#This Row],[تاریخ]],TArticle[هزینه])</f>
        <v>0</v>
      </c>
      <c r="J1965" s="164">
        <f>SUMIF(TArticle[تاریخ],TDays[[#This Row],[تاریخ]],TArticle[درآمد تتا])</f>
        <v>0</v>
      </c>
      <c r="K1965" s="164">
        <f>SUMIF(TArticle[تاریخ],TDays[[#This Row],[تاریخ]],TArticle[اسنپ])</f>
        <v>0</v>
      </c>
      <c r="L1965" s="164">
        <f>-SUMIF(TArticle[تاریخ],TDays[[#This Row],[تاریخ]],TArticle[پرداخت بدهی])</f>
        <v>0</v>
      </c>
      <c r="M1965" s="164">
        <f>SUMIF(TArticle[تاریخ],TDays[[#This Row],[تاریخ]],TArticle[افزایش بدهی])</f>
        <v>0</v>
      </c>
      <c r="N1965" s="164">
        <f>-SUMIF(TArticle[تاریخ],TDays[[#This Row],[تاریخ]],TArticle[افزایش سرمایه])</f>
        <v>0</v>
      </c>
      <c r="O1965" s="164">
        <f>SUMIF(TArticle[تاریخ],TDays[[#This Row],[تاریخ]],TArticle[تعداد تراکنش انجام شده])</f>
        <v>0</v>
      </c>
      <c r="P1965" s="164">
        <f>INT(((TDays[[#This Row],[ماه]]-1)*31+TDays[[#This Row],[روز]]+1)/7)+1</f>
        <v>21</v>
      </c>
      <c r="Q1965" s="164">
        <f>SUMIF(TArticle[تاریخ],TDays[[#This Row],[تاریخ]],TArticle[تراکنش برنامه ریزی شده])</f>
        <v>0</v>
      </c>
    </row>
    <row r="1966" spans="1:17" x14ac:dyDescent="0.25">
      <c r="A1966" s="3" t="s">
        <v>2582</v>
      </c>
      <c r="B1966" s="164" t="str">
        <f>RIGHT(TDays[[#This Row],[تاریخ]],2)</f>
        <v>16</v>
      </c>
      <c r="C1966" s="164" t="str">
        <f>RIGHT(LEFT(TDays[[#This Row],[تاریخ]],7),2)</f>
        <v>05</v>
      </c>
      <c r="D1966" s="164" t="str">
        <f>LEFT(TDays[[#This Row],[تاریخ]],4)</f>
        <v>1406</v>
      </c>
      <c r="E1966" s="164" t="str">
        <f>LEFT(TDays[[#This Row],[تاریخ]],7)</f>
        <v>1406-05</v>
      </c>
      <c r="F1966">
        <v>6</v>
      </c>
      <c r="G1966" s="165" t="str">
        <f>VLOOKUP(TDays[[#This Row],[کد روز هفته]],TDaysOfTheWeek[],2,FALSE)</f>
        <v>جمعه</v>
      </c>
      <c r="H1966" s="165">
        <f>IFERROR(IF(E1965&lt;&gt;E1966,1,INT(H1965)+IF(TDays[[#This Row],[کد روز هفته]]=0,1,0)),1)</f>
        <v>3</v>
      </c>
      <c r="I1966" s="164">
        <f>-SUMIF(TArticle[تاریخ],TDays[[#This Row],[تاریخ]],TArticle[هزینه])</f>
        <v>0</v>
      </c>
      <c r="J1966" s="164">
        <f>SUMIF(TArticle[تاریخ],TDays[[#This Row],[تاریخ]],TArticle[درآمد تتا])</f>
        <v>0</v>
      </c>
      <c r="K1966" s="164">
        <f>SUMIF(TArticle[تاریخ],TDays[[#This Row],[تاریخ]],TArticle[اسنپ])</f>
        <v>0</v>
      </c>
      <c r="L1966" s="164">
        <f>-SUMIF(TArticle[تاریخ],TDays[[#This Row],[تاریخ]],TArticle[پرداخت بدهی])</f>
        <v>0</v>
      </c>
      <c r="M1966" s="164">
        <f>SUMIF(TArticle[تاریخ],TDays[[#This Row],[تاریخ]],TArticle[افزایش بدهی])</f>
        <v>0</v>
      </c>
      <c r="N1966" s="164">
        <f>-SUMIF(TArticle[تاریخ],TDays[[#This Row],[تاریخ]],TArticle[افزایش سرمایه])</f>
        <v>0</v>
      </c>
      <c r="O1966" s="164">
        <f>SUMIF(TArticle[تاریخ],TDays[[#This Row],[تاریخ]],TArticle[تعداد تراکنش انجام شده])</f>
        <v>0</v>
      </c>
      <c r="P1966" s="164">
        <f>INT(((TDays[[#This Row],[ماه]]-1)*31+TDays[[#This Row],[روز]]+1)/7)+1</f>
        <v>21</v>
      </c>
      <c r="Q1966" s="164">
        <f>SUMIF(TArticle[تاریخ],TDays[[#This Row],[تاریخ]],TArticle[تراکنش برنامه ریزی شده])</f>
        <v>0</v>
      </c>
    </row>
    <row r="1967" spans="1:17" x14ac:dyDescent="0.25">
      <c r="A1967" s="3" t="s">
        <v>2583</v>
      </c>
      <c r="B1967" s="164" t="str">
        <f>RIGHT(TDays[[#This Row],[تاریخ]],2)</f>
        <v>17</v>
      </c>
      <c r="C1967" s="164" t="str">
        <f>RIGHT(LEFT(TDays[[#This Row],[تاریخ]],7),2)</f>
        <v>05</v>
      </c>
      <c r="D1967" s="164" t="str">
        <f>LEFT(TDays[[#This Row],[تاریخ]],4)</f>
        <v>1406</v>
      </c>
      <c r="E1967" s="164" t="str">
        <f>LEFT(TDays[[#This Row],[تاریخ]],7)</f>
        <v>1406-05</v>
      </c>
      <c r="F1967">
        <v>0</v>
      </c>
      <c r="G1967" s="165" t="str">
        <f>VLOOKUP(TDays[[#This Row],[کد روز هفته]],TDaysOfTheWeek[],2,FALSE)</f>
        <v>شنبه</v>
      </c>
      <c r="H1967" s="165">
        <f>IFERROR(IF(E1966&lt;&gt;E1967,1,INT(H1966)+IF(TDays[[#This Row],[کد روز هفته]]=0,1,0)),1)</f>
        <v>4</v>
      </c>
      <c r="I1967" s="164">
        <f>-SUMIF(TArticle[تاریخ],TDays[[#This Row],[تاریخ]],TArticle[هزینه])</f>
        <v>0</v>
      </c>
      <c r="J1967" s="164">
        <f>SUMIF(TArticle[تاریخ],TDays[[#This Row],[تاریخ]],TArticle[درآمد تتا])</f>
        <v>0</v>
      </c>
      <c r="K1967" s="164">
        <f>SUMIF(TArticle[تاریخ],TDays[[#This Row],[تاریخ]],TArticle[اسنپ])</f>
        <v>0</v>
      </c>
      <c r="L1967" s="164">
        <f>-SUMIF(TArticle[تاریخ],TDays[[#This Row],[تاریخ]],TArticle[پرداخت بدهی])</f>
        <v>0</v>
      </c>
      <c r="M1967" s="164">
        <f>SUMIF(TArticle[تاریخ],TDays[[#This Row],[تاریخ]],TArticle[افزایش بدهی])</f>
        <v>0</v>
      </c>
      <c r="N1967" s="164">
        <f>-SUMIF(TArticle[تاریخ],TDays[[#This Row],[تاریخ]],TArticle[افزایش سرمایه])</f>
        <v>0</v>
      </c>
      <c r="O1967" s="164">
        <f>SUMIF(TArticle[تاریخ],TDays[[#This Row],[تاریخ]],TArticle[تعداد تراکنش انجام شده])</f>
        <v>0</v>
      </c>
      <c r="P1967" s="164">
        <f>INT(((TDays[[#This Row],[ماه]]-1)*31+TDays[[#This Row],[روز]]+1)/7)+1</f>
        <v>21</v>
      </c>
      <c r="Q1967" s="164">
        <f>SUMIF(TArticle[تاریخ],TDays[[#This Row],[تاریخ]],TArticle[تراکنش برنامه ریزی شده])</f>
        <v>0</v>
      </c>
    </row>
    <row r="1968" spans="1:17" x14ac:dyDescent="0.25">
      <c r="A1968" s="3" t="s">
        <v>2584</v>
      </c>
      <c r="B1968" s="164" t="str">
        <f>RIGHT(TDays[[#This Row],[تاریخ]],2)</f>
        <v>18</v>
      </c>
      <c r="C1968" s="164" t="str">
        <f>RIGHT(LEFT(TDays[[#This Row],[تاریخ]],7),2)</f>
        <v>05</v>
      </c>
      <c r="D1968" s="164" t="str">
        <f>LEFT(TDays[[#This Row],[تاریخ]],4)</f>
        <v>1406</v>
      </c>
      <c r="E1968" s="164" t="str">
        <f>LEFT(TDays[[#This Row],[تاریخ]],7)</f>
        <v>1406-05</v>
      </c>
      <c r="F1968">
        <v>1</v>
      </c>
      <c r="G1968" s="165" t="str">
        <f>VLOOKUP(TDays[[#This Row],[کد روز هفته]],TDaysOfTheWeek[],2,FALSE)</f>
        <v>یکشنبه</v>
      </c>
      <c r="H1968" s="165">
        <f>IFERROR(IF(E1967&lt;&gt;E1968,1,INT(H1967)+IF(TDays[[#This Row],[کد روز هفته]]=0,1,0)),1)</f>
        <v>4</v>
      </c>
      <c r="I1968" s="164">
        <f>-SUMIF(TArticle[تاریخ],TDays[[#This Row],[تاریخ]],TArticle[هزینه])</f>
        <v>0</v>
      </c>
      <c r="J1968" s="164">
        <f>SUMIF(TArticle[تاریخ],TDays[[#This Row],[تاریخ]],TArticle[درآمد تتا])</f>
        <v>0</v>
      </c>
      <c r="K1968" s="164">
        <f>SUMIF(TArticle[تاریخ],TDays[[#This Row],[تاریخ]],TArticle[اسنپ])</f>
        <v>0</v>
      </c>
      <c r="L1968" s="164">
        <f>-SUMIF(TArticle[تاریخ],TDays[[#This Row],[تاریخ]],TArticle[پرداخت بدهی])</f>
        <v>0</v>
      </c>
      <c r="M1968" s="164">
        <f>SUMIF(TArticle[تاریخ],TDays[[#This Row],[تاریخ]],TArticle[افزایش بدهی])</f>
        <v>0</v>
      </c>
      <c r="N1968" s="164">
        <f>-SUMIF(TArticle[تاریخ],TDays[[#This Row],[تاریخ]],TArticle[افزایش سرمایه])</f>
        <v>0</v>
      </c>
      <c r="O1968" s="164">
        <f>SUMIF(TArticle[تاریخ],TDays[[#This Row],[تاریخ]],TArticle[تعداد تراکنش انجام شده])</f>
        <v>0</v>
      </c>
      <c r="P1968" s="164">
        <f>INT(((TDays[[#This Row],[ماه]]-1)*31+TDays[[#This Row],[روز]]+1)/7)+1</f>
        <v>21</v>
      </c>
      <c r="Q1968" s="164">
        <f>SUMIF(TArticle[تاریخ],TDays[[#This Row],[تاریخ]],TArticle[تراکنش برنامه ریزی شده])</f>
        <v>0</v>
      </c>
    </row>
    <row r="1969" spans="1:17" x14ac:dyDescent="0.25">
      <c r="A1969" s="3" t="s">
        <v>2585</v>
      </c>
      <c r="B1969" s="164" t="str">
        <f>RIGHT(TDays[[#This Row],[تاریخ]],2)</f>
        <v>19</v>
      </c>
      <c r="C1969" s="164" t="str">
        <f>RIGHT(LEFT(TDays[[#This Row],[تاریخ]],7),2)</f>
        <v>05</v>
      </c>
      <c r="D1969" s="164" t="str">
        <f>LEFT(TDays[[#This Row],[تاریخ]],4)</f>
        <v>1406</v>
      </c>
      <c r="E1969" s="164" t="str">
        <f>LEFT(TDays[[#This Row],[تاریخ]],7)</f>
        <v>1406-05</v>
      </c>
      <c r="F1969">
        <v>2</v>
      </c>
      <c r="G1969" s="165" t="str">
        <f>VLOOKUP(TDays[[#This Row],[کد روز هفته]],TDaysOfTheWeek[],2,FALSE)</f>
        <v>دوشنبه</v>
      </c>
      <c r="H1969" s="165">
        <f>IFERROR(IF(E1968&lt;&gt;E1969,1,INT(H1968)+IF(TDays[[#This Row],[کد روز هفته]]=0,1,0)),1)</f>
        <v>4</v>
      </c>
      <c r="I1969" s="164">
        <f>-SUMIF(TArticle[تاریخ],TDays[[#This Row],[تاریخ]],TArticle[هزینه])</f>
        <v>0</v>
      </c>
      <c r="J1969" s="164">
        <f>SUMIF(TArticle[تاریخ],TDays[[#This Row],[تاریخ]],TArticle[درآمد تتا])</f>
        <v>0</v>
      </c>
      <c r="K1969" s="164">
        <f>SUMIF(TArticle[تاریخ],TDays[[#This Row],[تاریخ]],TArticle[اسنپ])</f>
        <v>0</v>
      </c>
      <c r="L1969" s="164">
        <f>-SUMIF(TArticle[تاریخ],TDays[[#This Row],[تاریخ]],TArticle[پرداخت بدهی])</f>
        <v>0</v>
      </c>
      <c r="M1969" s="164">
        <f>SUMIF(TArticle[تاریخ],TDays[[#This Row],[تاریخ]],TArticle[افزایش بدهی])</f>
        <v>0</v>
      </c>
      <c r="N1969" s="164">
        <f>-SUMIF(TArticle[تاریخ],TDays[[#This Row],[تاریخ]],TArticle[افزایش سرمایه])</f>
        <v>0</v>
      </c>
      <c r="O1969" s="164">
        <f>SUMIF(TArticle[تاریخ],TDays[[#This Row],[تاریخ]],TArticle[تعداد تراکنش انجام شده])</f>
        <v>0</v>
      </c>
      <c r="P1969" s="164">
        <f>INT(((TDays[[#This Row],[ماه]]-1)*31+TDays[[#This Row],[روز]]+1)/7)+1</f>
        <v>21</v>
      </c>
      <c r="Q1969" s="164">
        <f>SUMIF(TArticle[تاریخ],TDays[[#This Row],[تاریخ]],TArticle[تراکنش برنامه ریزی شده])</f>
        <v>0</v>
      </c>
    </row>
    <row r="1970" spans="1:17" x14ac:dyDescent="0.25">
      <c r="A1970" s="3" t="s">
        <v>2586</v>
      </c>
      <c r="B1970" s="164" t="str">
        <f>RIGHT(TDays[[#This Row],[تاریخ]],2)</f>
        <v>20</v>
      </c>
      <c r="C1970" s="164" t="str">
        <f>RIGHT(LEFT(TDays[[#This Row],[تاریخ]],7),2)</f>
        <v>05</v>
      </c>
      <c r="D1970" s="164" t="str">
        <f>LEFT(TDays[[#This Row],[تاریخ]],4)</f>
        <v>1406</v>
      </c>
      <c r="E1970" s="164" t="str">
        <f>LEFT(TDays[[#This Row],[تاریخ]],7)</f>
        <v>1406-05</v>
      </c>
      <c r="F1970">
        <v>3</v>
      </c>
      <c r="G1970" s="165" t="str">
        <f>VLOOKUP(TDays[[#This Row],[کد روز هفته]],TDaysOfTheWeek[],2,FALSE)</f>
        <v>سه شنبه</v>
      </c>
      <c r="H1970" s="165">
        <f>IFERROR(IF(E1969&lt;&gt;E1970,1,INT(H1969)+IF(TDays[[#This Row],[کد روز هفته]]=0,1,0)),1)</f>
        <v>4</v>
      </c>
      <c r="I1970" s="164">
        <f>-SUMIF(TArticle[تاریخ],TDays[[#This Row],[تاریخ]],TArticle[هزینه])</f>
        <v>0</v>
      </c>
      <c r="J1970" s="164">
        <f>SUMIF(TArticle[تاریخ],TDays[[#This Row],[تاریخ]],TArticle[درآمد تتا])</f>
        <v>0</v>
      </c>
      <c r="K1970" s="164">
        <f>SUMIF(TArticle[تاریخ],TDays[[#This Row],[تاریخ]],TArticle[اسنپ])</f>
        <v>0</v>
      </c>
      <c r="L1970" s="164">
        <f>-SUMIF(TArticle[تاریخ],TDays[[#This Row],[تاریخ]],TArticle[پرداخت بدهی])</f>
        <v>0</v>
      </c>
      <c r="M1970" s="164">
        <f>SUMIF(TArticle[تاریخ],TDays[[#This Row],[تاریخ]],TArticle[افزایش بدهی])</f>
        <v>0</v>
      </c>
      <c r="N1970" s="164">
        <f>-SUMIF(TArticle[تاریخ],TDays[[#This Row],[تاریخ]],TArticle[افزایش سرمایه])</f>
        <v>0</v>
      </c>
      <c r="O1970" s="164">
        <f>SUMIF(TArticle[تاریخ],TDays[[#This Row],[تاریخ]],TArticle[تعداد تراکنش انجام شده])</f>
        <v>0</v>
      </c>
      <c r="P1970" s="164">
        <f>INT(((TDays[[#This Row],[ماه]]-1)*31+TDays[[#This Row],[روز]]+1)/7)+1</f>
        <v>21</v>
      </c>
      <c r="Q1970" s="164">
        <f>SUMIF(TArticle[تاریخ],TDays[[#This Row],[تاریخ]],TArticle[تراکنش برنامه ریزی شده])</f>
        <v>0</v>
      </c>
    </row>
    <row r="1971" spans="1:17" x14ac:dyDescent="0.25">
      <c r="A1971" s="3" t="s">
        <v>2587</v>
      </c>
      <c r="B1971" s="164" t="str">
        <f>RIGHT(TDays[[#This Row],[تاریخ]],2)</f>
        <v>21</v>
      </c>
      <c r="C1971" s="164" t="str">
        <f>RIGHT(LEFT(TDays[[#This Row],[تاریخ]],7),2)</f>
        <v>05</v>
      </c>
      <c r="D1971" s="164" t="str">
        <f>LEFT(TDays[[#This Row],[تاریخ]],4)</f>
        <v>1406</v>
      </c>
      <c r="E1971" s="164" t="str">
        <f>LEFT(TDays[[#This Row],[تاریخ]],7)</f>
        <v>1406-05</v>
      </c>
      <c r="F1971">
        <v>4</v>
      </c>
      <c r="G1971" s="165" t="str">
        <f>VLOOKUP(TDays[[#This Row],[کد روز هفته]],TDaysOfTheWeek[],2,FALSE)</f>
        <v>چهارشنبه</v>
      </c>
      <c r="H1971" s="165">
        <f>IFERROR(IF(E1970&lt;&gt;E1971,1,INT(H1970)+IF(TDays[[#This Row],[کد روز هفته]]=0,1,0)),1)</f>
        <v>4</v>
      </c>
      <c r="I1971" s="164">
        <f>-SUMIF(TArticle[تاریخ],TDays[[#This Row],[تاریخ]],TArticle[هزینه])</f>
        <v>0</v>
      </c>
      <c r="J1971" s="164">
        <f>SUMIF(TArticle[تاریخ],TDays[[#This Row],[تاریخ]],TArticle[درآمد تتا])</f>
        <v>0</v>
      </c>
      <c r="K1971" s="164">
        <f>SUMIF(TArticle[تاریخ],TDays[[#This Row],[تاریخ]],TArticle[اسنپ])</f>
        <v>0</v>
      </c>
      <c r="L1971" s="164">
        <f>-SUMIF(TArticle[تاریخ],TDays[[#This Row],[تاریخ]],TArticle[پرداخت بدهی])</f>
        <v>0</v>
      </c>
      <c r="M1971" s="164">
        <f>SUMIF(TArticle[تاریخ],TDays[[#This Row],[تاریخ]],TArticle[افزایش بدهی])</f>
        <v>0</v>
      </c>
      <c r="N1971" s="164">
        <f>-SUMIF(TArticle[تاریخ],TDays[[#This Row],[تاریخ]],TArticle[افزایش سرمایه])</f>
        <v>0</v>
      </c>
      <c r="O1971" s="164">
        <f>SUMIF(TArticle[تاریخ],TDays[[#This Row],[تاریخ]],TArticle[تعداد تراکنش انجام شده])</f>
        <v>0</v>
      </c>
      <c r="P1971" s="164">
        <f>INT(((TDays[[#This Row],[ماه]]-1)*31+TDays[[#This Row],[روز]]+1)/7)+1</f>
        <v>21</v>
      </c>
      <c r="Q1971" s="164">
        <f>SUMIF(TArticle[تاریخ],TDays[[#This Row],[تاریخ]],TArticle[تراکنش برنامه ریزی شده])</f>
        <v>0</v>
      </c>
    </row>
    <row r="1972" spans="1:17" x14ac:dyDescent="0.25">
      <c r="A1972" s="3" t="s">
        <v>2588</v>
      </c>
      <c r="B1972" s="164" t="str">
        <f>RIGHT(TDays[[#This Row],[تاریخ]],2)</f>
        <v>22</v>
      </c>
      <c r="C1972" s="164" t="str">
        <f>RIGHT(LEFT(TDays[[#This Row],[تاریخ]],7),2)</f>
        <v>05</v>
      </c>
      <c r="D1972" s="164" t="str">
        <f>LEFT(TDays[[#This Row],[تاریخ]],4)</f>
        <v>1406</v>
      </c>
      <c r="E1972" s="164" t="str">
        <f>LEFT(TDays[[#This Row],[تاریخ]],7)</f>
        <v>1406-05</v>
      </c>
      <c r="F1972">
        <v>5</v>
      </c>
      <c r="G1972" s="165" t="str">
        <f>VLOOKUP(TDays[[#This Row],[کد روز هفته]],TDaysOfTheWeek[],2,FALSE)</f>
        <v>پنجشنبه</v>
      </c>
      <c r="H1972" s="165">
        <f>IFERROR(IF(E1971&lt;&gt;E1972,1,INT(H1971)+IF(TDays[[#This Row],[کد روز هفته]]=0,1,0)),1)</f>
        <v>4</v>
      </c>
      <c r="I1972" s="164">
        <f>-SUMIF(TArticle[تاریخ],TDays[[#This Row],[تاریخ]],TArticle[هزینه])</f>
        <v>0</v>
      </c>
      <c r="J1972" s="164">
        <f>SUMIF(TArticle[تاریخ],TDays[[#This Row],[تاریخ]],TArticle[درآمد تتا])</f>
        <v>0</v>
      </c>
      <c r="K1972" s="164">
        <f>SUMIF(TArticle[تاریخ],TDays[[#This Row],[تاریخ]],TArticle[اسنپ])</f>
        <v>0</v>
      </c>
      <c r="L1972" s="164">
        <f>-SUMIF(TArticle[تاریخ],TDays[[#This Row],[تاریخ]],TArticle[پرداخت بدهی])</f>
        <v>0</v>
      </c>
      <c r="M1972" s="164">
        <f>SUMIF(TArticle[تاریخ],TDays[[#This Row],[تاریخ]],TArticle[افزایش بدهی])</f>
        <v>0</v>
      </c>
      <c r="N1972" s="164">
        <f>-SUMIF(TArticle[تاریخ],TDays[[#This Row],[تاریخ]],TArticle[افزایش سرمایه])</f>
        <v>0</v>
      </c>
      <c r="O1972" s="164">
        <f>SUMIF(TArticle[تاریخ],TDays[[#This Row],[تاریخ]],TArticle[تعداد تراکنش انجام شده])</f>
        <v>0</v>
      </c>
      <c r="P1972" s="164">
        <f>INT(((TDays[[#This Row],[ماه]]-1)*31+TDays[[#This Row],[روز]]+1)/7)+1</f>
        <v>22</v>
      </c>
      <c r="Q1972" s="164">
        <f>SUMIF(TArticle[تاریخ],TDays[[#This Row],[تاریخ]],TArticle[تراکنش برنامه ریزی شده])</f>
        <v>0</v>
      </c>
    </row>
    <row r="1973" spans="1:17" x14ac:dyDescent="0.25">
      <c r="A1973" s="3" t="s">
        <v>2589</v>
      </c>
      <c r="B1973" s="164" t="str">
        <f>RIGHT(TDays[[#This Row],[تاریخ]],2)</f>
        <v>23</v>
      </c>
      <c r="C1973" s="164" t="str">
        <f>RIGHT(LEFT(TDays[[#This Row],[تاریخ]],7),2)</f>
        <v>05</v>
      </c>
      <c r="D1973" s="164" t="str">
        <f>LEFT(TDays[[#This Row],[تاریخ]],4)</f>
        <v>1406</v>
      </c>
      <c r="E1973" s="164" t="str">
        <f>LEFT(TDays[[#This Row],[تاریخ]],7)</f>
        <v>1406-05</v>
      </c>
      <c r="F1973">
        <v>6</v>
      </c>
      <c r="G1973" s="165" t="str">
        <f>VLOOKUP(TDays[[#This Row],[کد روز هفته]],TDaysOfTheWeek[],2,FALSE)</f>
        <v>جمعه</v>
      </c>
      <c r="H1973" s="165">
        <f>IFERROR(IF(E1972&lt;&gt;E1973,1,INT(H1972)+IF(TDays[[#This Row],[کد روز هفته]]=0,1,0)),1)</f>
        <v>4</v>
      </c>
      <c r="I1973" s="164">
        <f>-SUMIF(TArticle[تاریخ],TDays[[#This Row],[تاریخ]],TArticle[هزینه])</f>
        <v>0</v>
      </c>
      <c r="J1973" s="164">
        <f>SUMIF(TArticle[تاریخ],TDays[[#This Row],[تاریخ]],TArticle[درآمد تتا])</f>
        <v>0</v>
      </c>
      <c r="K1973" s="164">
        <f>SUMIF(TArticle[تاریخ],TDays[[#This Row],[تاریخ]],TArticle[اسنپ])</f>
        <v>0</v>
      </c>
      <c r="L1973" s="164">
        <f>-SUMIF(TArticle[تاریخ],TDays[[#This Row],[تاریخ]],TArticle[پرداخت بدهی])</f>
        <v>0</v>
      </c>
      <c r="M1973" s="164">
        <f>SUMIF(TArticle[تاریخ],TDays[[#This Row],[تاریخ]],TArticle[افزایش بدهی])</f>
        <v>0</v>
      </c>
      <c r="N1973" s="164">
        <f>-SUMIF(TArticle[تاریخ],TDays[[#This Row],[تاریخ]],TArticle[افزایش سرمایه])</f>
        <v>0</v>
      </c>
      <c r="O1973" s="164">
        <f>SUMIF(TArticle[تاریخ],TDays[[#This Row],[تاریخ]],TArticle[تعداد تراکنش انجام شده])</f>
        <v>0</v>
      </c>
      <c r="P1973" s="164">
        <f>INT(((TDays[[#This Row],[ماه]]-1)*31+TDays[[#This Row],[روز]]+1)/7)+1</f>
        <v>22</v>
      </c>
      <c r="Q1973" s="164">
        <f>SUMIF(TArticle[تاریخ],TDays[[#This Row],[تاریخ]],TArticle[تراکنش برنامه ریزی شده])</f>
        <v>0</v>
      </c>
    </row>
    <row r="1974" spans="1:17" x14ac:dyDescent="0.25">
      <c r="A1974" s="3" t="s">
        <v>2590</v>
      </c>
      <c r="B1974" s="164" t="str">
        <f>RIGHT(TDays[[#This Row],[تاریخ]],2)</f>
        <v>24</v>
      </c>
      <c r="C1974" s="164" t="str">
        <f>RIGHT(LEFT(TDays[[#This Row],[تاریخ]],7),2)</f>
        <v>05</v>
      </c>
      <c r="D1974" s="164" t="str">
        <f>LEFT(TDays[[#This Row],[تاریخ]],4)</f>
        <v>1406</v>
      </c>
      <c r="E1974" s="164" t="str">
        <f>LEFT(TDays[[#This Row],[تاریخ]],7)</f>
        <v>1406-05</v>
      </c>
      <c r="F1974">
        <v>0</v>
      </c>
      <c r="G1974" s="165" t="str">
        <f>VLOOKUP(TDays[[#This Row],[کد روز هفته]],TDaysOfTheWeek[],2,FALSE)</f>
        <v>شنبه</v>
      </c>
      <c r="H1974" s="165">
        <f>IFERROR(IF(E1973&lt;&gt;E1974,1,INT(H1973)+IF(TDays[[#This Row],[کد روز هفته]]=0,1,0)),1)</f>
        <v>5</v>
      </c>
      <c r="I1974" s="164">
        <f>-SUMIF(TArticle[تاریخ],TDays[[#This Row],[تاریخ]],TArticle[هزینه])</f>
        <v>0</v>
      </c>
      <c r="J1974" s="164">
        <f>SUMIF(TArticle[تاریخ],TDays[[#This Row],[تاریخ]],TArticle[درآمد تتا])</f>
        <v>0</v>
      </c>
      <c r="K1974" s="164">
        <f>SUMIF(TArticle[تاریخ],TDays[[#This Row],[تاریخ]],TArticle[اسنپ])</f>
        <v>0</v>
      </c>
      <c r="L1974" s="164">
        <f>-SUMIF(TArticle[تاریخ],TDays[[#This Row],[تاریخ]],TArticle[پرداخت بدهی])</f>
        <v>0</v>
      </c>
      <c r="M1974" s="164">
        <f>SUMIF(TArticle[تاریخ],TDays[[#This Row],[تاریخ]],TArticle[افزایش بدهی])</f>
        <v>0</v>
      </c>
      <c r="N1974" s="164">
        <f>-SUMIF(TArticle[تاریخ],TDays[[#This Row],[تاریخ]],TArticle[افزایش سرمایه])</f>
        <v>0</v>
      </c>
      <c r="O1974" s="164">
        <f>SUMIF(TArticle[تاریخ],TDays[[#This Row],[تاریخ]],TArticle[تعداد تراکنش انجام شده])</f>
        <v>0</v>
      </c>
      <c r="P1974" s="164">
        <f>INT(((TDays[[#This Row],[ماه]]-1)*31+TDays[[#This Row],[روز]]+1)/7)+1</f>
        <v>22</v>
      </c>
      <c r="Q1974" s="164">
        <f>SUMIF(TArticle[تاریخ],TDays[[#This Row],[تاریخ]],TArticle[تراکنش برنامه ریزی شده])</f>
        <v>0</v>
      </c>
    </row>
    <row r="1975" spans="1:17" x14ac:dyDescent="0.25">
      <c r="A1975" s="3" t="s">
        <v>2591</v>
      </c>
      <c r="B1975" s="164" t="str">
        <f>RIGHT(TDays[[#This Row],[تاریخ]],2)</f>
        <v>25</v>
      </c>
      <c r="C1975" s="164" t="str">
        <f>RIGHT(LEFT(TDays[[#This Row],[تاریخ]],7),2)</f>
        <v>05</v>
      </c>
      <c r="D1975" s="164" t="str">
        <f>LEFT(TDays[[#This Row],[تاریخ]],4)</f>
        <v>1406</v>
      </c>
      <c r="E1975" s="164" t="str">
        <f>LEFT(TDays[[#This Row],[تاریخ]],7)</f>
        <v>1406-05</v>
      </c>
      <c r="F1975">
        <v>1</v>
      </c>
      <c r="G1975" s="165" t="str">
        <f>VLOOKUP(TDays[[#This Row],[کد روز هفته]],TDaysOfTheWeek[],2,FALSE)</f>
        <v>یکشنبه</v>
      </c>
      <c r="H1975" s="165">
        <f>IFERROR(IF(E1974&lt;&gt;E1975,1,INT(H1974)+IF(TDays[[#This Row],[کد روز هفته]]=0,1,0)),1)</f>
        <v>5</v>
      </c>
      <c r="I1975" s="164">
        <f>-SUMIF(TArticle[تاریخ],TDays[[#This Row],[تاریخ]],TArticle[هزینه])</f>
        <v>0</v>
      </c>
      <c r="J1975" s="164">
        <f>SUMIF(TArticle[تاریخ],TDays[[#This Row],[تاریخ]],TArticle[درآمد تتا])</f>
        <v>0</v>
      </c>
      <c r="K1975" s="164">
        <f>SUMIF(TArticle[تاریخ],TDays[[#This Row],[تاریخ]],TArticle[اسنپ])</f>
        <v>0</v>
      </c>
      <c r="L1975" s="164">
        <f>-SUMIF(TArticle[تاریخ],TDays[[#This Row],[تاریخ]],TArticle[پرداخت بدهی])</f>
        <v>0</v>
      </c>
      <c r="M1975" s="164">
        <f>SUMIF(TArticle[تاریخ],TDays[[#This Row],[تاریخ]],TArticle[افزایش بدهی])</f>
        <v>0</v>
      </c>
      <c r="N1975" s="164">
        <f>-SUMIF(TArticle[تاریخ],TDays[[#This Row],[تاریخ]],TArticle[افزایش سرمایه])</f>
        <v>0</v>
      </c>
      <c r="O1975" s="164">
        <f>SUMIF(TArticle[تاریخ],TDays[[#This Row],[تاریخ]],TArticle[تعداد تراکنش انجام شده])</f>
        <v>0</v>
      </c>
      <c r="P1975" s="164">
        <f>INT(((TDays[[#This Row],[ماه]]-1)*31+TDays[[#This Row],[روز]]+1)/7)+1</f>
        <v>22</v>
      </c>
      <c r="Q1975" s="164">
        <f>SUMIF(TArticle[تاریخ],TDays[[#This Row],[تاریخ]],TArticle[تراکنش برنامه ریزی شده])</f>
        <v>0</v>
      </c>
    </row>
    <row r="1976" spans="1:17" x14ac:dyDescent="0.25">
      <c r="A1976" s="3" t="s">
        <v>2592</v>
      </c>
      <c r="B1976" s="164" t="str">
        <f>RIGHT(TDays[[#This Row],[تاریخ]],2)</f>
        <v>26</v>
      </c>
      <c r="C1976" s="164" t="str">
        <f>RIGHT(LEFT(TDays[[#This Row],[تاریخ]],7),2)</f>
        <v>05</v>
      </c>
      <c r="D1976" s="164" t="str">
        <f>LEFT(TDays[[#This Row],[تاریخ]],4)</f>
        <v>1406</v>
      </c>
      <c r="E1976" s="164" t="str">
        <f>LEFT(TDays[[#This Row],[تاریخ]],7)</f>
        <v>1406-05</v>
      </c>
      <c r="F1976">
        <v>2</v>
      </c>
      <c r="G1976" s="165" t="str">
        <f>VLOOKUP(TDays[[#This Row],[کد روز هفته]],TDaysOfTheWeek[],2,FALSE)</f>
        <v>دوشنبه</v>
      </c>
      <c r="H1976" s="165">
        <f>IFERROR(IF(E1975&lt;&gt;E1976,1,INT(H1975)+IF(TDays[[#This Row],[کد روز هفته]]=0,1,0)),1)</f>
        <v>5</v>
      </c>
      <c r="I1976" s="164">
        <f>-SUMIF(TArticle[تاریخ],TDays[[#This Row],[تاریخ]],TArticle[هزینه])</f>
        <v>0</v>
      </c>
      <c r="J1976" s="164">
        <f>SUMIF(TArticle[تاریخ],TDays[[#This Row],[تاریخ]],TArticle[درآمد تتا])</f>
        <v>0</v>
      </c>
      <c r="K1976" s="164">
        <f>SUMIF(TArticle[تاریخ],TDays[[#This Row],[تاریخ]],TArticle[اسنپ])</f>
        <v>0</v>
      </c>
      <c r="L1976" s="164">
        <f>-SUMIF(TArticle[تاریخ],TDays[[#This Row],[تاریخ]],TArticle[پرداخت بدهی])</f>
        <v>0</v>
      </c>
      <c r="M1976" s="164">
        <f>SUMIF(TArticle[تاریخ],TDays[[#This Row],[تاریخ]],TArticle[افزایش بدهی])</f>
        <v>0</v>
      </c>
      <c r="N1976" s="164">
        <f>-SUMIF(TArticle[تاریخ],TDays[[#This Row],[تاریخ]],TArticle[افزایش سرمایه])</f>
        <v>0</v>
      </c>
      <c r="O1976" s="164">
        <f>SUMIF(TArticle[تاریخ],TDays[[#This Row],[تاریخ]],TArticle[تعداد تراکنش انجام شده])</f>
        <v>0</v>
      </c>
      <c r="P1976" s="164">
        <f>INT(((TDays[[#This Row],[ماه]]-1)*31+TDays[[#This Row],[روز]]+1)/7)+1</f>
        <v>22</v>
      </c>
      <c r="Q1976" s="164">
        <f>SUMIF(TArticle[تاریخ],TDays[[#This Row],[تاریخ]],TArticle[تراکنش برنامه ریزی شده])</f>
        <v>0</v>
      </c>
    </row>
    <row r="1977" spans="1:17" x14ac:dyDescent="0.25">
      <c r="A1977" s="3" t="s">
        <v>2593</v>
      </c>
      <c r="B1977" s="164" t="str">
        <f>RIGHT(TDays[[#This Row],[تاریخ]],2)</f>
        <v>27</v>
      </c>
      <c r="C1977" s="164" t="str">
        <f>RIGHT(LEFT(TDays[[#This Row],[تاریخ]],7),2)</f>
        <v>05</v>
      </c>
      <c r="D1977" s="164" t="str">
        <f>LEFT(TDays[[#This Row],[تاریخ]],4)</f>
        <v>1406</v>
      </c>
      <c r="E1977" s="164" t="str">
        <f>LEFT(TDays[[#This Row],[تاریخ]],7)</f>
        <v>1406-05</v>
      </c>
      <c r="F1977">
        <v>3</v>
      </c>
      <c r="G1977" s="165" t="str">
        <f>VLOOKUP(TDays[[#This Row],[کد روز هفته]],TDaysOfTheWeek[],2,FALSE)</f>
        <v>سه شنبه</v>
      </c>
      <c r="H1977" s="165">
        <f>IFERROR(IF(E1976&lt;&gt;E1977,1,INT(H1976)+IF(TDays[[#This Row],[کد روز هفته]]=0,1,0)),1)</f>
        <v>5</v>
      </c>
      <c r="I1977" s="164">
        <f>-SUMIF(TArticle[تاریخ],TDays[[#This Row],[تاریخ]],TArticle[هزینه])</f>
        <v>0</v>
      </c>
      <c r="J1977" s="164">
        <f>SUMIF(TArticle[تاریخ],TDays[[#This Row],[تاریخ]],TArticle[درآمد تتا])</f>
        <v>0</v>
      </c>
      <c r="K1977" s="164">
        <f>SUMIF(TArticle[تاریخ],TDays[[#This Row],[تاریخ]],TArticle[اسنپ])</f>
        <v>0</v>
      </c>
      <c r="L1977" s="164">
        <f>-SUMIF(TArticle[تاریخ],TDays[[#This Row],[تاریخ]],TArticle[پرداخت بدهی])</f>
        <v>0</v>
      </c>
      <c r="M1977" s="164">
        <f>SUMIF(TArticle[تاریخ],TDays[[#This Row],[تاریخ]],TArticle[افزایش بدهی])</f>
        <v>0</v>
      </c>
      <c r="N1977" s="164">
        <f>-SUMIF(TArticle[تاریخ],TDays[[#This Row],[تاریخ]],TArticle[افزایش سرمایه])</f>
        <v>0</v>
      </c>
      <c r="O1977" s="164">
        <f>SUMIF(TArticle[تاریخ],TDays[[#This Row],[تاریخ]],TArticle[تعداد تراکنش انجام شده])</f>
        <v>0</v>
      </c>
      <c r="P1977" s="164">
        <f>INT(((TDays[[#This Row],[ماه]]-1)*31+TDays[[#This Row],[روز]]+1)/7)+1</f>
        <v>22</v>
      </c>
      <c r="Q1977" s="164">
        <f>SUMIF(TArticle[تاریخ],TDays[[#This Row],[تاریخ]],TArticle[تراکنش برنامه ریزی شده])</f>
        <v>0</v>
      </c>
    </row>
    <row r="1978" spans="1:17" x14ac:dyDescent="0.25">
      <c r="A1978" s="3" t="s">
        <v>2594</v>
      </c>
      <c r="B1978" s="164" t="str">
        <f>RIGHT(TDays[[#This Row],[تاریخ]],2)</f>
        <v>28</v>
      </c>
      <c r="C1978" s="164" t="str">
        <f>RIGHT(LEFT(TDays[[#This Row],[تاریخ]],7),2)</f>
        <v>05</v>
      </c>
      <c r="D1978" s="164" t="str">
        <f>LEFT(TDays[[#This Row],[تاریخ]],4)</f>
        <v>1406</v>
      </c>
      <c r="E1978" s="164" t="str">
        <f>LEFT(TDays[[#This Row],[تاریخ]],7)</f>
        <v>1406-05</v>
      </c>
      <c r="F1978">
        <v>4</v>
      </c>
      <c r="G1978" s="165" t="str">
        <f>VLOOKUP(TDays[[#This Row],[کد روز هفته]],TDaysOfTheWeek[],2,FALSE)</f>
        <v>چهارشنبه</v>
      </c>
      <c r="H1978" s="165">
        <f>IFERROR(IF(E1977&lt;&gt;E1978,1,INT(H1977)+IF(TDays[[#This Row],[کد روز هفته]]=0,1,0)),1)</f>
        <v>5</v>
      </c>
      <c r="I1978" s="164">
        <f>-SUMIF(TArticle[تاریخ],TDays[[#This Row],[تاریخ]],TArticle[هزینه])</f>
        <v>0</v>
      </c>
      <c r="J1978" s="164">
        <f>SUMIF(TArticle[تاریخ],TDays[[#This Row],[تاریخ]],TArticle[درآمد تتا])</f>
        <v>0</v>
      </c>
      <c r="K1978" s="164">
        <f>SUMIF(TArticle[تاریخ],TDays[[#This Row],[تاریخ]],TArticle[اسنپ])</f>
        <v>0</v>
      </c>
      <c r="L1978" s="164">
        <f>-SUMIF(TArticle[تاریخ],TDays[[#This Row],[تاریخ]],TArticle[پرداخت بدهی])</f>
        <v>0</v>
      </c>
      <c r="M1978" s="164">
        <f>SUMIF(TArticle[تاریخ],TDays[[#This Row],[تاریخ]],TArticle[افزایش بدهی])</f>
        <v>0</v>
      </c>
      <c r="N1978" s="164">
        <f>-SUMIF(TArticle[تاریخ],TDays[[#This Row],[تاریخ]],TArticle[افزایش سرمایه])</f>
        <v>0</v>
      </c>
      <c r="O1978" s="164">
        <f>SUMIF(TArticle[تاریخ],TDays[[#This Row],[تاریخ]],TArticle[تعداد تراکنش انجام شده])</f>
        <v>0</v>
      </c>
      <c r="P1978" s="164">
        <f>INT(((TDays[[#This Row],[ماه]]-1)*31+TDays[[#This Row],[روز]]+1)/7)+1</f>
        <v>22</v>
      </c>
      <c r="Q1978" s="164">
        <f>SUMIF(TArticle[تاریخ],TDays[[#This Row],[تاریخ]],TArticle[تراکنش برنامه ریزی شده])</f>
        <v>0</v>
      </c>
    </row>
    <row r="1979" spans="1:17" x14ac:dyDescent="0.25">
      <c r="A1979" s="3" t="s">
        <v>2595</v>
      </c>
      <c r="B1979" s="164" t="str">
        <f>RIGHT(TDays[[#This Row],[تاریخ]],2)</f>
        <v>29</v>
      </c>
      <c r="C1979" s="164" t="str">
        <f>RIGHT(LEFT(TDays[[#This Row],[تاریخ]],7),2)</f>
        <v>05</v>
      </c>
      <c r="D1979" s="164" t="str">
        <f>LEFT(TDays[[#This Row],[تاریخ]],4)</f>
        <v>1406</v>
      </c>
      <c r="E1979" s="164" t="str">
        <f>LEFT(TDays[[#This Row],[تاریخ]],7)</f>
        <v>1406-05</v>
      </c>
      <c r="F1979">
        <v>5</v>
      </c>
      <c r="G1979" s="165" t="str">
        <f>VLOOKUP(TDays[[#This Row],[کد روز هفته]],TDaysOfTheWeek[],2,FALSE)</f>
        <v>پنجشنبه</v>
      </c>
      <c r="H1979" s="165">
        <f>IFERROR(IF(E1978&lt;&gt;E1979,1,INT(H1978)+IF(TDays[[#This Row],[کد روز هفته]]=0,1,0)),1)</f>
        <v>5</v>
      </c>
      <c r="I1979" s="164">
        <f>-SUMIF(TArticle[تاریخ],TDays[[#This Row],[تاریخ]],TArticle[هزینه])</f>
        <v>0</v>
      </c>
      <c r="J1979" s="164">
        <f>SUMIF(TArticle[تاریخ],TDays[[#This Row],[تاریخ]],TArticle[درآمد تتا])</f>
        <v>0</v>
      </c>
      <c r="K1979" s="164">
        <f>SUMIF(TArticle[تاریخ],TDays[[#This Row],[تاریخ]],TArticle[اسنپ])</f>
        <v>0</v>
      </c>
      <c r="L1979" s="164">
        <f>-SUMIF(TArticle[تاریخ],TDays[[#This Row],[تاریخ]],TArticle[پرداخت بدهی])</f>
        <v>0</v>
      </c>
      <c r="M1979" s="164">
        <f>SUMIF(TArticle[تاریخ],TDays[[#This Row],[تاریخ]],TArticle[افزایش بدهی])</f>
        <v>0</v>
      </c>
      <c r="N1979" s="164">
        <f>-SUMIF(TArticle[تاریخ],TDays[[#This Row],[تاریخ]],TArticle[افزایش سرمایه])</f>
        <v>0</v>
      </c>
      <c r="O1979" s="164">
        <f>SUMIF(TArticle[تاریخ],TDays[[#This Row],[تاریخ]],TArticle[تعداد تراکنش انجام شده])</f>
        <v>0</v>
      </c>
      <c r="P1979" s="164">
        <f>INT(((TDays[[#This Row],[ماه]]-1)*31+TDays[[#This Row],[روز]]+1)/7)+1</f>
        <v>23</v>
      </c>
      <c r="Q1979" s="164">
        <f>SUMIF(TArticle[تاریخ],TDays[[#This Row],[تاریخ]],TArticle[تراکنش برنامه ریزی شده])</f>
        <v>0</v>
      </c>
    </row>
    <row r="1980" spans="1:17" x14ac:dyDescent="0.25">
      <c r="A1980" s="3" t="s">
        <v>2596</v>
      </c>
      <c r="B1980" s="164" t="str">
        <f>RIGHT(TDays[[#This Row],[تاریخ]],2)</f>
        <v>30</v>
      </c>
      <c r="C1980" s="164" t="str">
        <f>RIGHT(LEFT(TDays[[#This Row],[تاریخ]],7),2)</f>
        <v>05</v>
      </c>
      <c r="D1980" s="164" t="str">
        <f>LEFT(TDays[[#This Row],[تاریخ]],4)</f>
        <v>1406</v>
      </c>
      <c r="E1980" s="164" t="str">
        <f>LEFT(TDays[[#This Row],[تاریخ]],7)</f>
        <v>1406-05</v>
      </c>
      <c r="F1980">
        <v>6</v>
      </c>
      <c r="G1980" s="165" t="str">
        <f>VLOOKUP(TDays[[#This Row],[کد روز هفته]],TDaysOfTheWeek[],2,FALSE)</f>
        <v>جمعه</v>
      </c>
      <c r="H1980" s="165">
        <f>IFERROR(IF(E1979&lt;&gt;E1980,1,INT(H1979)+IF(TDays[[#This Row],[کد روز هفته]]=0,1,0)),1)</f>
        <v>5</v>
      </c>
      <c r="I1980" s="164">
        <f>-SUMIF(TArticle[تاریخ],TDays[[#This Row],[تاریخ]],TArticle[هزینه])</f>
        <v>0</v>
      </c>
      <c r="J1980" s="164">
        <f>SUMIF(TArticle[تاریخ],TDays[[#This Row],[تاریخ]],TArticle[درآمد تتا])</f>
        <v>0</v>
      </c>
      <c r="K1980" s="164">
        <f>SUMIF(TArticle[تاریخ],TDays[[#This Row],[تاریخ]],TArticle[اسنپ])</f>
        <v>0</v>
      </c>
      <c r="L1980" s="164">
        <f>-SUMIF(TArticle[تاریخ],TDays[[#This Row],[تاریخ]],TArticle[پرداخت بدهی])</f>
        <v>0</v>
      </c>
      <c r="M1980" s="164">
        <f>SUMIF(TArticle[تاریخ],TDays[[#This Row],[تاریخ]],TArticle[افزایش بدهی])</f>
        <v>0</v>
      </c>
      <c r="N1980" s="164">
        <f>-SUMIF(TArticle[تاریخ],TDays[[#This Row],[تاریخ]],TArticle[افزایش سرمایه])</f>
        <v>0</v>
      </c>
      <c r="O1980" s="164">
        <f>SUMIF(TArticle[تاریخ],TDays[[#This Row],[تاریخ]],TArticle[تعداد تراکنش انجام شده])</f>
        <v>0</v>
      </c>
      <c r="P1980" s="164">
        <f>INT(((TDays[[#This Row],[ماه]]-1)*31+TDays[[#This Row],[روز]]+1)/7)+1</f>
        <v>23</v>
      </c>
      <c r="Q1980" s="164">
        <f>SUMIF(TArticle[تاریخ],TDays[[#This Row],[تاریخ]],TArticle[تراکنش برنامه ریزی شده])</f>
        <v>0</v>
      </c>
    </row>
    <row r="1981" spans="1:17" x14ac:dyDescent="0.25">
      <c r="A1981" s="3" t="s">
        <v>2597</v>
      </c>
      <c r="B1981" s="164" t="str">
        <f>RIGHT(TDays[[#This Row],[تاریخ]],2)</f>
        <v>31</v>
      </c>
      <c r="C1981" s="164" t="str">
        <f>RIGHT(LEFT(TDays[[#This Row],[تاریخ]],7),2)</f>
        <v>05</v>
      </c>
      <c r="D1981" s="164" t="str">
        <f>LEFT(TDays[[#This Row],[تاریخ]],4)</f>
        <v>1406</v>
      </c>
      <c r="E1981" s="164" t="str">
        <f>LEFT(TDays[[#This Row],[تاریخ]],7)</f>
        <v>1406-05</v>
      </c>
      <c r="F1981">
        <v>0</v>
      </c>
      <c r="G1981" s="165" t="str">
        <f>VLOOKUP(TDays[[#This Row],[کد روز هفته]],TDaysOfTheWeek[],2,FALSE)</f>
        <v>شنبه</v>
      </c>
      <c r="H1981" s="165">
        <f>IFERROR(IF(E1980&lt;&gt;E1981,1,INT(H1980)+IF(TDays[[#This Row],[کد روز هفته]]=0,1,0)),1)</f>
        <v>6</v>
      </c>
      <c r="I1981" s="164">
        <f>-SUMIF(TArticle[تاریخ],TDays[[#This Row],[تاریخ]],TArticle[هزینه])</f>
        <v>0</v>
      </c>
      <c r="J1981" s="164">
        <f>SUMIF(TArticle[تاریخ],TDays[[#This Row],[تاریخ]],TArticle[درآمد تتا])</f>
        <v>0</v>
      </c>
      <c r="K1981" s="164">
        <f>SUMIF(TArticle[تاریخ],TDays[[#This Row],[تاریخ]],TArticle[اسنپ])</f>
        <v>0</v>
      </c>
      <c r="L1981" s="164">
        <f>-SUMIF(TArticle[تاریخ],TDays[[#This Row],[تاریخ]],TArticle[پرداخت بدهی])</f>
        <v>0</v>
      </c>
      <c r="M1981" s="164">
        <f>SUMIF(TArticle[تاریخ],TDays[[#This Row],[تاریخ]],TArticle[افزایش بدهی])</f>
        <v>0</v>
      </c>
      <c r="N1981" s="164">
        <f>-SUMIF(TArticle[تاریخ],TDays[[#This Row],[تاریخ]],TArticle[افزایش سرمایه])</f>
        <v>0</v>
      </c>
      <c r="O1981" s="164">
        <f>SUMIF(TArticle[تاریخ],TDays[[#This Row],[تاریخ]],TArticle[تعداد تراکنش انجام شده])</f>
        <v>0</v>
      </c>
      <c r="P1981" s="164">
        <f>INT(((TDays[[#This Row],[ماه]]-1)*31+TDays[[#This Row],[روز]]+1)/7)+1</f>
        <v>23</v>
      </c>
      <c r="Q1981" s="164">
        <f>SUMIF(TArticle[تاریخ],TDays[[#This Row],[تاریخ]],TArticle[تراکنش برنامه ریزی شده])</f>
        <v>0</v>
      </c>
    </row>
    <row r="1982" spans="1:17" x14ac:dyDescent="0.25">
      <c r="A1982" s="3" t="s">
        <v>2598</v>
      </c>
      <c r="B1982" s="164" t="str">
        <f>RIGHT(TDays[[#This Row],[تاریخ]],2)</f>
        <v>01</v>
      </c>
      <c r="C1982" s="164" t="str">
        <f>RIGHT(LEFT(TDays[[#This Row],[تاریخ]],7),2)</f>
        <v>06</v>
      </c>
      <c r="D1982" s="164" t="str">
        <f>LEFT(TDays[[#This Row],[تاریخ]],4)</f>
        <v>1406</v>
      </c>
      <c r="E1982" s="164" t="str">
        <f>LEFT(TDays[[#This Row],[تاریخ]],7)</f>
        <v>1406-06</v>
      </c>
      <c r="F1982">
        <v>1</v>
      </c>
      <c r="G1982" s="165" t="str">
        <f>VLOOKUP(TDays[[#This Row],[کد روز هفته]],TDaysOfTheWeek[],2,FALSE)</f>
        <v>یکشنبه</v>
      </c>
      <c r="H1982" s="165">
        <f>IFERROR(IF(E1981&lt;&gt;E1982,1,INT(H1981)+IF(TDays[[#This Row],[کد روز هفته]]=0,1,0)),1)</f>
        <v>1</v>
      </c>
      <c r="I1982" s="164">
        <f>-SUMIF(TArticle[تاریخ],TDays[[#This Row],[تاریخ]],TArticle[هزینه])</f>
        <v>0</v>
      </c>
      <c r="J1982" s="164">
        <f>SUMIF(TArticle[تاریخ],TDays[[#This Row],[تاریخ]],TArticle[درآمد تتا])</f>
        <v>0</v>
      </c>
      <c r="K1982" s="164">
        <f>SUMIF(TArticle[تاریخ],TDays[[#This Row],[تاریخ]],TArticle[اسنپ])</f>
        <v>0</v>
      </c>
      <c r="L1982" s="164">
        <f>-SUMIF(TArticle[تاریخ],TDays[[#This Row],[تاریخ]],TArticle[پرداخت بدهی])</f>
        <v>0</v>
      </c>
      <c r="M1982" s="164">
        <f>SUMIF(TArticle[تاریخ],TDays[[#This Row],[تاریخ]],TArticle[افزایش بدهی])</f>
        <v>0</v>
      </c>
      <c r="N1982" s="164">
        <f>-SUMIF(TArticle[تاریخ],TDays[[#This Row],[تاریخ]],TArticle[افزایش سرمایه])</f>
        <v>0</v>
      </c>
      <c r="O1982" s="164">
        <f>SUMIF(TArticle[تاریخ],TDays[[#This Row],[تاریخ]],TArticle[تعداد تراکنش انجام شده])</f>
        <v>0</v>
      </c>
      <c r="P1982" s="164">
        <f>INT(((TDays[[#This Row],[ماه]]-1)*31+TDays[[#This Row],[روز]]+1)/7)+1</f>
        <v>23</v>
      </c>
      <c r="Q1982" s="164">
        <f>SUMIF(TArticle[تاریخ],TDays[[#This Row],[تاریخ]],TArticle[تراکنش برنامه ریزی شده])</f>
        <v>0</v>
      </c>
    </row>
    <row r="1983" spans="1:17" x14ac:dyDescent="0.25">
      <c r="A1983" s="3" t="s">
        <v>2599</v>
      </c>
      <c r="B1983" s="164" t="str">
        <f>RIGHT(TDays[[#This Row],[تاریخ]],2)</f>
        <v>02</v>
      </c>
      <c r="C1983" s="164" t="str">
        <f>RIGHT(LEFT(TDays[[#This Row],[تاریخ]],7),2)</f>
        <v>06</v>
      </c>
      <c r="D1983" s="164" t="str">
        <f>LEFT(TDays[[#This Row],[تاریخ]],4)</f>
        <v>1406</v>
      </c>
      <c r="E1983" s="164" t="str">
        <f>LEFT(TDays[[#This Row],[تاریخ]],7)</f>
        <v>1406-06</v>
      </c>
      <c r="F1983">
        <v>2</v>
      </c>
      <c r="G1983" s="165" t="str">
        <f>VLOOKUP(TDays[[#This Row],[کد روز هفته]],TDaysOfTheWeek[],2,FALSE)</f>
        <v>دوشنبه</v>
      </c>
      <c r="H1983" s="165">
        <f>IFERROR(IF(E1982&lt;&gt;E1983,1,INT(H1982)+IF(TDays[[#This Row],[کد روز هفته]]=0,1,0)),1)</f>
        <v>1</v>
      </c>
      <c r="I1983" s="164">
        <f>-SUMIF(TArticle[تاریخ],TDays[[#This Row],[تاریخ]],TArticle[هزینه])</f>
        <v>0</v>
      </c>
      <c r="J1983" s="164">
        <f>SUMIF(TArticle[تاریخ],TDays[[#This Row],[تاریخ]],TArticle[درآمد تتا])</f>
        <v>0</v>
      </c>
      <c r="K1983" s="164">
        <f>SUMIF(TArticle[تاریخ],TDays[[#This Row],[تاریخ]],TArticle[اسنپ])</f>
        <v>0</v>
      </c>
      <c r="L1983" s="164">
        <f>-SUMIF(TArticle[تاریخ],TDays[[#This Row],[تاریخ]],TArticle[پرداخت بدهی])</f>
        <v>0</v>
      </c>
      <c r="M1983" s="164">
        <f>SUMIF(TArticle[تاریخ],TDays[[#This Row],[تاریخ]],TArticle[افزایش بدهی])</f>
        <v>0</v>
      </c>
      <c r="N1983" s="164">
        <f>-SUMIF(TArticle[تاریخ],TDays[[#This Row],[تاریخ]],TArticle[افزایش سرمایه])</f>
        <v>0</v>
      </c>
      <c r="O1983" s="164">
        <f>SUMIF(TArticle[تاریخ],TDays[[#This Row],[تاریخ]],TArticle[تعداد تراکنش انجام شده])</f>
        <v>0</v>
      </c>
      <c r="P1983" s="164">
        <f>INT(((TDays[[#This Row],[ماه]]-1)*31+TDays[[#This Row],[روز]]+1)/7)+1</f>
        <v>23</v>
      </c>
      <c r="Q1983" s="164">
        <f>SUMIF(TArticle[تاریخ],TDays[[#This Row],[تاریخ]],TArticle[تراکنش برنامه ریزی شده])</f>
        <v>0</v>
      </c>
    </row>
    <row r="1984" spans="1:17" x14ac:dyDescent="0.25">
      <c r="A1984" s="3" t="s">
        <v>2600</v>
      </c>
      <c r="B1984" s="164" t="str">
        <f>RIGHT(TDays[[#This Row],[تاریخ]],2)</f>
        <v>03</v>
      </c>
      <c r="C1984" s="164" t="str">
        <f>RIGHT(LEFT(TDays[[#This Row],[تاریخ]],7),2)</f>
        <v>06</v>
      </c>
      <c r="D1984" s="164" t="str">
        <f>LEFT(TDays[[#This Row],[تاریخ]],4)</f>
        <v>1406</v>
      </c>
      <c r="E1984" s="164" t="str">
        <f>LEFT(TDays[[#This Row],[تاریخ]],7)</f>
        <v>1406-06</v>
      </c>
      <c r="F1984">
        <v>3</v>
      </c>
      <c r="G1984" s="165" t="str">
        <f>VLOOKUP(TDays[[#This Row],[کد روز هفته]],TDaysOfTheWeek[],2,FALSE)</f>
        <v>سه شنبه</v>
      </c>
      <c r="H1984" s="165">
        <f>IFERROR(IF(E1983&lt;&gt;E1984,1,INT(H1983)+IF(TDays[[#This Row],[کد روز هفته]]=0,1,0)),1)</f>
        <v>1</v>
      </c>
      <c r="I1984" s="164">
        <f>-SUMIF(TArticle[تاریخ],TDays[[#This Row],[تاریخ]],TArticle[هزینه])</f>
        <v>0</v>
      </c>
      <c r="J1984" s="164">
        <f>SUMIF(TArticle[تاریخ],TDays[[#This Row],[تاریخ]],TArticle[درآمد تتا])</f>
        <v>0</v>
      </c>
      <c r="K1984" s="164">
        <f>SUMIF(TArticle[تاریخ],TDays[[#This Row],[تاریخ]],TArticle[اسنپ])</f>
        <v>0</v>
      </c>
      <c r="L1984" s="164">
        <f>-SUMIF(TArticle[تاریخ],TDays[[#This Row],[تاریخ]],TArticle[پرداخت بدهی])</f>
        <v>0</v>
      </c>
      <c r="M1984" s="164">
        <f>SUMIF(TArticle[تاریخ],TDays[[#This Row],[تاریخ]],TArticle[افزایش بدهی])</f>
        <v>0</v>
      </c>
      <c r="N1984" s="164">
        <f>-SUMIF(TArticle[تاریخ],TDays[[#This Row],[تاریخ]],TArticle[افزایش سرمایه])</f>
        <v>0</v>
      </c>
      <c r="O1984" s="164">
        <f>SUMIF(TArticle[تاریخ],TDays[[#This Row],[تاریخ]],TArticle[تعداد تراکنش انجام شده])</f>
        <v>0</v>
      </c>
      <c r="P1984" s="164">
        <f>INT(((TDays[[#This Row],[ماه]]-1)*31+TDays[[#This Row],[روز]]+1)/7)+1</f>
        <v>23</v>
      </c>
      <c r="Q1984" s="164">
        <f>SUMIF(TArticle[تاریخ],TDays[[#This Row],[تاریخ]],TArticle[تراکنش برنامه ریزی شده])</f>
        <v>1</v>
      </c>
    </row>
    <row r="1985" spans="1:17" x14ac:dyDescent="0.25">
      <c r="A1985" s="3" t="s">
        <v>2601</v>
      </c>
      <c r="B1985" s="164" t="str">
        <f>RIGHT(TDays[[#This Row],[تاریخ]],2)</f>
        <v>04</v>
      </c>
      <c r="C1985" s="164" t="str">
        <f>RIGHT(LEFT(TDays[[#This Row],[تاریخ]],7),2)</f>
        <v>06</v>
      </c>
      <c r="D1985" s="164" t="str">
        <f>LEFT(TDays[[#This Row],[تاریخ]],4)</f>
        <v>1406</v>
      </c>
      <c r="E1985" s="164" t="str">
        <f>LEFT(TDays[[#This Row],[تاریخ]],7)</f>
        <v>1406-06</v>
      </c>
      <c r="F1985">
        <v>4</v>
      </c>
      <c r="G1985" s="165" t="str">
        <f>VLOOKUP(TDays[[#This Row],[کد روز هفته]],TDaysOfTheWeek[],2,FALSE)</f>
        <v>چهارشنبه</v>
      </c>
      <c r="H1985" s="165">
        <f>IFERROR(IF(E1984&lt;&gt;E1985,1,INT(H1984)+IF(TDays[[#This Row],[کد روز هفته]]=0,1,0)),1)</f>
        <v>1</v>
      </c>
      <c r="I1985" s="164">
        <f>-SUMIF(TArticle[تاریخ],TDays[[#This Row],[تاریخ]],TArticle[هزینه])</f>
        <v>0</v>
      </c>
      <c r="J1985" s="164">
        <f>SUMIF(TArticle[تاریخ],TDays[[#This Row],[تاریخ]],TArticle[درآمد تتا])</f>
        <v>0</v>
      </c>
      <c r="K1985" s="164">
        <f>SUMIF(TArticle[تاریخ],TDays[[#This Row],[تاریخ]],TArticle[اسنپ])</f>
        <v>0</v>
      </c>
      <c r="L1985" s="164">
        <f>-SUMIF(TArticle[تاریخ],TDays[[#This Row],[تاریخ]],TArticle[پرداخت بدهی])</f>
        <v>0</v>
      </c>
      <c r="M1985" s="164">
        <f>SUMIF(TArticle[تاریخ],TDays[[#This Row],[تاریخ]],TArticle[افزایش بدهی])</f>
        <v>0</v>
      </c>
      <c r="N1985" s="164">
        <f>-SUMIF(TArticle[تاریخ],TDays[[#This Row],[تاریخ]],TArticle[افزایش سرمایه])</f>
        <v>0</v>
      </c>
      <c r="O1985" s="164">
        <f>SUMIF(TArticle[تاریخ],TDays[[#This Row],[تاریخ]],TArticle[تعداد تراکنش انجام شده])</f>
        <v>0</v>
      </c>
      <c r="P1985" s="164">
        <f>INT(((TDays[[#This Row],[ماه]]-1)*31+TDays[[#This Row],[روز]]+1)/7)+1</f>
        <v>23</v>
      </c>
      <c r="Q1985" s="164">
        <f>SUMIF(TArticle[تاریخ],TDays[[#This Row],[تاریخ]],TArticle[تراکنش برنامه ریزی شده])</f>
        <v>0</v>
      </c>
    </row>
    <row r="1986" spans="1:17" x14ac:dyDescent="0.25">
      <c r="A1986" s="3" t="s">
        <v>2602</v>
      </c>
      <c r="B1986" s="164" t="str">
        <f>RIGHT(TDays[[#This Row],[تاریخ]],2)</f>
        <v>05</v>
      </c>
      <c r="C1986" s="164" t="str">
        <f>RIGHT(LEFT(TDays[[#This Row],[تاریخ]],7),2)</f>
        <v>06</v>
      </c>
      <c r="D1986" s="164" t="str">
        <f>LEFT(TDays[[#This Row],[تاریخ]],4)</f>
        <v>1406</v>
      </c>
      <c r="E1986" s="164" t="str">
        <f>LEFT(TDays[[#This Row],[تاریخ]],7)</f>
        <v>1406-06</v>
      </c>
      <c r="F1986">
        <v>5</v>
      </c>
      <c r="G1986" s="165" t="str">
        <f>VLOOKUP(TDays[[#This Row],[کد روز هفته]],TDaysOfTheWeek[],2,FALSE)</f>
        <v>پنجشنبه</v>
      </c>
      <c r="H1986" s="165">
        <f>IFERROR(IF(E1985&lt;&gt;E1986,1,INT(H1985)+IF(TDays[[#This Row],[کد روز هفته]]=0,1,0)),1)</f>
        <v>1</v>
      </c>
      <c r="I1986" s="164">
        <f>-SUMIF(TArticle[تاریخ],TDays[[#This Row],[تاریخ]],TArticle[هزینه])</f>
        <v>0</v>
      </c>
      <c r="J1986" s="164">
        <f>SUMIF(TArticle[تاریخ],TDays[[#This Row],[تاریخ]],TArticle[درآمد تتا])</f>
        <v>0</v>
      </c>
      <c r="K1986" s="164">
        <f>SUMIF(TArticle[تاریخ],TDays[[#This Row],[تاریخ]],TArticle[اسنپ])</f>
        <v>0</v>
      </c>
      <c r="L1986" s="164">
        <f>-SUMIF(TArticle[تاریخ],TDays[[#This Row],[تاریخ]],TArticle[پرداخت بدهی])</f>
        <v>0</v>
      </c>
      <c r="M1986" s="164">
        <f>SUMIF(TArticle[تاریخ],TDays[[#This Row],[تاریخ]],TArticle[افزایش بدهی])</f>
        <v>0</v>
      </c>
      <c r="N1986" s="164">
        <f>-SUMIF(TArticle[تاریخ],TDays[[#This Row],[تاریخ]],TArticle[افزایش سرمایه])</f>
        <v>0</v>
      </c>
      <c r="O1986" s="164">
        <f>SUMIF(TArticle[تاریخ],TDays[[#This Row],[تاریخ]],TArticle[تعداد تراکنش انجام شده])</f>
        <v>0</v>
      </c>
      <c r="P1986" s="164">
        <f>INT(((TDays[[#This Row],[ماه]]-1)*31+TDays[[#This Row],[روز]]+1)/7)+1</f>
        <v>24</v>
      </c>
      <c r="Q1986" s="164">
        <f>SUMIF(TArticle[تاریخ],TDays[[#This Row],[تاریخ]],TArticle[تراکنش برنامه ریزی شده])</f>
        <v>0</v>
      </c>
    </row>
    <row r="1987" spans="1:17" x14ac:dyDescent="0.25">
      <c r="A1987" s="3" t="s">
        <v>2603</v>
      </c>
      <c r="B1987" s="164" t="str">
        <f>RIGHT(TDays[[#This Row],[تاریخ]],2)</f>
        <v>06</v>
      </c>
      <c r="C1987" s="164" t="str">
        <f>RIGHT(LEFT(TDays[[#This Row],[تاریخ]],7),2)</f>
        <v>06</v>
      </c>
      <c r="D1987" s="164" t="str">
        <f>LEFT(TDays[[#This Row],[تاریخ]],4)</f>
        <v>1406</v>
      </c>
      <c r="E1987" s="164" t="str">
        <f>LEFT(TDays[[#This Row],[تاریخ]],7)</f>
        <v>1406-06</v>
      </c>
      <c r="F1987">
        <v>6</v>
      </c>
      <c r="G1987" s="165" t="str">
        <f>VLOOKUP(TDays[[#This Row],[کد روز هفته]],TDaysOfTheWeek[],2,FALSE)</f>
        <v>جمعه</v>
      </c>
      <c r="H1987" s="165">
        <f>IFERROR(IF(E1986&lt;&gt;E1987,1,INT(H1986)+IF(TDays[[#This Row],[کد روز هفته]]=0,1,0)),1)</f>
        <v>1</v>
      </c>
      <c r="I1987" s="164">
        <f>-SUMIF(TArticle[تاریخ],TDays[[#This Row],[تاریخ]],TArticle[هزینه])</f>
        <v>0</v>
      </c>
      <c r="J1987" s="164">
        <f>SUMIF(TArticle[تاریخ],TDays[[#This Row],[تاریخ]],TArticle[درآمد تتا])</f>
        <v>0</v>
      </c>
      <c r="K1987" s="164">
        <f>SUMIF(TArticle[تاریخ],TDays[[#This Row],[تاریخ]],TArticle[اسنپ])</f>
        <v>0</v>
      </c>
      <c r="L1987" s="164">
        <f>-SUMIF(TArticle[تاریخ],TDays[[#This Row],[تاریخ]],TArticle[پرداخت بدهی])</f>
        <v>0</v>
      </c>
      <c r="M1987" s="164">
        <f>SUMIF(TArticle[تاریخ],TDays[[#This Row],[تاریخ]],TArticle[افزایش بدهی])</f>
        <v>0</v>
      </c>
      <c r="N1987" s="164">
        <f>-SUMIF(TArticle[تاریخ],TDays[[#This Row],[تاریخ]],TArticle[افزایش سرمایه])</f>
        <v>0</v>
      </c>
      <c r="O1987" s="164">
        <f>SUMIF(TArticle[تاریخ],TDays[[#This Row],[تاریخ]],TArticle[تعداد تراکنش انجام شده])</f>
        <v>0</v>
      </c>
      <c r="P1987" s="164">
        <f>INT(((TDays[[#This Row],[ماه]]-1)*31+TDays[[#This Row],[روز]]+1)/7)+1</f>
        <v>24</v>
      </c>
      <c r="Q1987" s="164">
        <f>SUMIF(TArticle[تاریخ],TDays[[#This Row],[تاریخ]],TArticle[تراکنش برنامه ریزی شده])</f>
        <v>0</v>
      </c>
    </row>
    <row r="1988" spans="1:17" x14ac:dyDescent="0.25">
      <c r="A1988" s="3" t="s">
        <v>2604</v>
      </c>
      <c r="B1988" s="164" t="str">
        <f>RIGHT(TDays[[#This Row],[تاریخ]],2)</f>
        <v>07</v>
      </c>
      <c r="C1988" s="164" t="str">
        <f>RIGHT(LEFT(TDays[[#This Row],[تاریخ]],7),2)</f>
        <v>06</v>
      </c>
      <c r="D1988" s="164" t="str">
        <f>LEFT(TDays[[#This Row],[تاریخ]],4)</f>
        <v>1406</v>
      </c>
      <c r="E1988" s="164" t="str">
        <f>LEFT(TDays[[#This Row],[تاریخ]],7)</f>
        <v>1406-06</v>
      </c>
      <c r="F1988">
        <v>0</v>
      </c>
      <c r="G1988" s="165" t="str">
        <f>VLOOKUP(TDays[[#This Row],[کد روز هفته]],TDaysOfTheWeek[],2,FALSE)</f>
        <v>شنبه</v>
      </c>
      <c r="H1988" s="165">
        <f>IFERROR(IF(E1987&lt;&gt;E1988,1,INT(H1987)+IF(TDays[[#This Row],[کد روز هفته]]=0,1,0)),1)</f>
        <v>2</v>
      </c>
      <c r="I1988" s="164">
        <f>-SUMIF(TArticle[تاریخ],TDays[[#This Row],[تاریخ]],TArticle[هزینه])</f>
        <v>0</v>
      </c>
      <c r="J1988" s="164">
        <f>SUMIF(TArticle[تاریخ],TDays[[#This Row],[تاریخ]],TArticle[درآمد تتا])</f>
        <v>0</v>
      </c>
      <c r="K1988" s="164">
        <f>SUMIF(TArticle[تاریخ],TDays[[#This Row],[تاریخ]],TArticle[اسنپ])</f>
        <v>0</v>
      </c>
      <c r="L1988" s="164">
        <f>-SUMIF(TArticle[تاریخ],TDays[[#This Row],[تاریخ]],TArticle[پرداخت بدهی])</f>
        <v>0</v>
      </c>
      <c r="M1988" s="164">
        <f>SUMIF(TArticle[تاریخ],TDays[[#This Row],[تاریخ]],TArticle[افزایش بدهی])</f>
        <v>0</v>
      </c>
      <c r="N1988" s="164">
        <f>-SUMIF(TArticle[تاریخ],TDays[[#This Row],[تاریخ]],TArticle[افزایش سرمایه])</f>
        <v>0</v>
      </c>
      <c r="O1988" s="164">
        <f>SUMIF(TArticle[تاریخ],TDays[[#This Row],[تاریخ]],TArticle[تعداد تراکنش انجام شده])</f>
        <v>0</v>
      </c>
      <c r="P1988" s="164">
        <f>INT(((TDays[[#This Row],[ماه]]-1)*31+TDays[[#This Row],[روز]]+1)/7)+1</f>
        <v>24</v>
      </c>
      <c r="Q1988" s="164">
        <f>SUMIF(TArticle[تاریخ],TDays[[#This Row],[تاریخ]],TArticle[تراکنش برنامه ریزی شده])</f>
        <v>0</v>
      </c>
    </row>
    <row r="1989" spans="1:17" x14ac:dyDescent="0.25">
      <c r="A1989" s="3" t="s">
        <v>2605</v>
      </c>
      <c r="B1989" s="164" t="str">
        <f>RIGHT(TDays[[#This Row],[تاریخ]],2)</f>
        <v>08</v>
      </c>
      <c r="C1989" s="164" t="str">
        <f>RIGHT(LEFT(TDays[[#This Row],[تاریخ]],7),2)</f>
        <v>06</v>
      </c>
      <c r="D1989" s="164" t="str">
        <f>LEFT(TDays[[#This Row],[تاریخ]],4)</f>
        <v>1406</v>
      </c>
      <c r="E1989" s="164" t="str">
        <f>LEFT(TDays[[#This Row],[تاریخ]],7)</f>
        <v>1406-06</v>
      </c>
      <c r="F1989">
        <v>1</v>
      </c>
      <c r="G1989" s="165" t="str">
        <f>VLOOKUP(TDays[[#This Row],[کد روز هفته]],TDaysOfTheWeek[],2,FALSE)</f>
        <v>یکشنبه</v>
      </c>
      <c r="H1989" s="165">
        <f>IFERROR(IF(E1988&lt;&gt;E1989,1,INT(H1988)+IF(TDays[[#This Row],[کد روز هفته]]=0,1,0)),1)</f>
        <v>2</v>
      </c>
      <c r="I1989" s="164">
        <f>-SUMIF(TArticle[تاریخ],TDays[[#This Row],[تاریخ]],TArticle[هزینه])</f>
        <v>0</v>
      </c>
      <c r="J1989" s="164">
        <f>SUMIF(TArticle[تاریخ],TDays[[#This Row],[تاریخ]],TArticle[درآمد تتا])</f>
        <v>0</v>
      </c>
      <c r="K1989" s="164">
        <f>SUMIF(TArticle[تاریخ],TDays[[#This Row],[تاریخ]],TArticle[اسنپ])</f>
        <v>0</v>
      </c>
      <c r="L1989" s="164">
        <f>-SUMIF(TArticle[تاریخ],TDays[[#This Row],[تاریخ]],TArticle[پرداخت بدهی])</f>
        <v>0</v>
      </c>
      <c r="M1989" s="164">
        <f>SUMIF(TArticle[تاریخ],TDays[[#This Row],[تاریخ]],TArticle[افزایش بدهی])</f>
        <v>0</v>
      </c>
      <c r="N1989" s="164">
        <f>-SUMIF(TArticle[تاریخ],TDays[[#This Row],[تاریخ]],TArticle[افزایش سرمایه])</f>
        <v>0</v>
      </c>
      <c r="O1989" s="164">
        <f>SUMIF(TArticle[تاریخ],TDays[[#This Row],[تاریخ]],TArticle[تعداد تراکنش انجام شده])</f>
        <v>0</v>
      </c>
      <c r="P1989" s="164">
        <f>INT(((TDays[[#This Row],[ماه]]-1)*31+TDays[[#This Row],[روز]]+1)/7)+1</f>
        <v>24</v>
      </c>
      <c r="Q1989" s="164">
        <f>SUMIF(TArticle[تاریخ],TDays[[#This Row],[تاریخ]],TArticle[تراکنش برنامه ریزی شده])</f>
        <v>0</v>
      </c>
    </row>
    <row r="1990" spans="1:17" x14ac:dyDescent="0.25">
      <c r="A1990" s="3" t="s">
        <v>2606</v>
      </c>
      <c r="B1990" s="164" t="str">
        <f>RIGHT(TDays[[#This Row],[تاریخ]],2)</f>
        <v>09</v>
      </c>
      <c r="C1990" s="164" t="str">
        <f>RIGHT(LEFT(TDays[[#This Row],[تاریخ]],7),2)</f>
        <v>06</v>
      </c>
      <c r="D1990" s="164" t="str">
        <f>LEFT(TDays[[#This Row],[تاریخ]],4)</f>
        <v>1406</v>
      </c>
      <c r="E1990" s="164" t="str">
        <f>LEFT(TDays[[#This Row],[تاریخ]],7)</f>
        <v>1406-06</v>
      </c>
      <c r="F1990">
        <v>2</v>
      </c>
      <c r="G1990" s="165" t="str">
        <f>VLOOKUP(TDays[[#This Row],[کد روز هفته]],TDaysOfTheWeek[],2,FALSE)</f>
        <v>دوشنبه</v>
      </c>
      <c r="H1990" s="165">
        <f>IFERROR(IF(E1989&lt;&gt;E1990,1,INT(H1989)+IF(TDays[[#This Row],[کد روز هفته]]=0,1,0)),1)</f>
        <v>2</v>
      </c>
      <c r="I1990" s="164">
        <f>-SUMIF(TArticle[تاریخ],TDays[[#This Row],[تاریخ]],TArticle[هزینه])</f>
        <v>0</v>
      </c>
      <c r="J1990" s="164">
        <f>SUMIF(TArticle[تاریخ],TDays[[#This Row],[تاریخ]],TArticle[درآمد تتا])</f>
        <v>0</v>
      </c>
      <c r="K1990" s="164">
        <f>SUMIF(TArticle[تاریخ],TDays[[#This Row],[تاریخ]],TArticle[اسنپ])</f>
        <v>0</v>
      </c>
      <c r="L1990" s="164">
        <f>-SUMIF(TArticle[تاریخ],TDays[[#This Row],[تاریخ]],TArticle[پرداخت بدهی])</f>
        <v>0</v>
      </c>
      <c r="M1990" s="164">
        <f>SUMIF(TArticle[تاریخ],TDays[[#This Row],[تاریخ]],TArticle[افزایش بدهی])</f>
        <v>0</v>
      </c>
      <c r="N1990" s="164">
        <f>-SUMIF(TArticle[تاریخ],TDays[[#This Row],[تاریخ]],TArticle[افزایش سرمایه])</f>
        <v>0</v>
      </c>
      <c r="O1990" s="164">
        <f>SUMIF(TArticle[تاریخ],TDays[[#This Row],[تاریخ]],TArticle[تعداد تراکنش انجام شده])</f>
        <v>0</v>
      </c>
      <c r="P1990" s="164">
        <f>INT(((TDays[[#This Row],[ماه]]-1)*31+TDays[[#This Row],[روز]]+1)/7)+1</f>
        <v>24</v>
      </c>
      <c r="Q1990" s="164">
        <f>SUMIF(TArticle[تاریخ],TDays[[#This Row],[تاریخ]],TArticle[تراکنش برنامه ریزی شده])</f>
        <v>0</v>
      </c>
    </row>
    <row r="1991" spans="1:17" x14ac:dyDescent="0.25">
      <c r="A1991" s="3" t="s">
        <v>2607</v>
      </c>
      <c r="B1991" s="164" t="str">
        <f>RIGHT(TDays[[#This Row],[تاریخ]],2)</f>
        <v>10</v>
      </c>
      <c r="C1991" s="164" t="str">
        <f>RIGHT(LEFT(TDays[[#This Row],[تاریخ]],7),2)</f>
        <v>06</v>
      </c>
      <c r="D1991" s="164" t="str">
        <f>LEFT(TDays[[#This Row],[تاریخ]],4)</f>
        <v>1406</v>
      </c>
      <c r="E1991" s="164" t="str">
        <f>LEFT(TDays[[#This Row],[تاریخ]],7)</f>
        <v>1406-06</v>
      </c>
      <c r="F1991" s="164">
        <v>3</v>
      </c>
      <c r="G1991" s="165" t="str">
        <f>VLOOKUP(TDays[[#This Row],[کد روز هفته]],TDaysOfTheWeek[],2,FALSE)</f>
        <v>سه شنبه</v>
      </c>
      <c r="H1991" s="165">
        <f>IFERROR(IF(E1990&lt;&gt;E1991,1,INT(H1990)+IF(TDays[[#This Row],[کد روز هفته]]=0,1,0)),1)</f>
        <v>2</v>
      </c>
      <c r="I1991" s="164">
        <f>-SUMIF(TArticle[تاریخ],TDays[[#This Row],[تاریخ]],TArticle[هزینه])</f>
        <v>0</v>
      </c>
      <c r="J1991" s="164">
        <f>SUMIF(TArticle[تاریخ],TDays[[#This Row],[تاریخ]],TArticle[درآمد تتا])</f>
        <v>0</v>
      </c>
      <c r="K1991" s="164">
        <f>SUMIF(TArticle[تاریخ],TDays[[#This Row],[تاریخ]],TArticle[اسنپ])</f>
        <v>0</v>
      </c>
      <c r="L1991" s="164">
        <f>-SUMIF(TArticle[تاریخ],TDays[[#This Row],[تاریخ]],TArticle[پرداخت بدهی])</f>
        <v>0</v>
      </c>
      <c r="M1991" s="164">
        <f>SUMIF(TArticle[تاریخ],TDays[[#This Row],[تاریخ]],TArticle[افزایش بدهی])</f>
        <v>0</v>
      </c>
      <c r="N1991" s="164">
        <f>-SUMIF(TArticle[تاریخ],TDays[[#This Row],[تاریخ]],TArticle[افزایش سرمایه])</f>
        <v>0</v>
      </c>
      <c r="O1991" s="164">
        <f>SUMIF(TArticle[تاریخ],TDays[[#This Row],[تاریخ]],TArticle[تعداد تراکنش انجام شده])</f>
        <v>0</v>
      </c>
      <c r="P1991" s="164">
        <f>INT(((TDays[[#This Row],[ماه]]-1)*31+TDays[[#This Row],[روز]]+1)/7)+1</f>
        <v>24</v>
      </c>
      <c r="Q1991" s="164">
        <f>SUMIF(TArticle[تاریخ],TDays[[#This Row],[تاریخ]],TArticle[تراکنش برنامه ریزی شده])</f>
        <v>0</v>
      </c>
    </row>
    <row r="1992" spans="1:17" x14ac:dyDescent="0.25">
      <c r="A1992" s="3" t="s">
        <v>2608</v>
      </c>
      <c r="B1992" s="164" t="str">
        <f>RIGHT(TDays[[#This Row],[تاریخ]],2)</f>
        <v>11</v>
      </c>
      <c r="C1992" s="164" t="str">
        <f>RIGHT(LEFT(TDays[[#This Row],[تاریخ]],7),2)</f>
        <v>06</v>
      </c>
      <c r="D1992" s="164" t="str">
        <f>LEFT(TDays[[#This Row],[تاریخ]],4)</f>
        <v>1406</v>
      </c>
      <c r="E1992" s="164" t="str">
        <f>LEFT(TDays[[#This Row],[تاریخ]],7)</f>
        <v>1406-06</v>
      </c>
      <c r="F1992" s="164">
        <v>4</v>
      </c>
      <c r="G1992" s="165" t="str">
        <f>VLOOKUP(TDays[[#This Row],[کد روز هفته]],TDaysOfTheWeek[],2,FALSE)</f>
        <v>چهارشنبه</v>
      </c>
      <c r="H1992" s="165">
        <f>IFERROR(IF(E1991&lt;&gt;E1992,1,INT(H1991)+IF(TDays[[#This Row],[کد روز هفته]]=0,1,0)),1)</f>
        <v>2</v>
      </c>
      <c r="I1992" s="164">
        <f>-SUMIF(TArticle[تاریخ],TDays[[#This Row],[تاریخ]],TArticle[هزینه])</f>
        <v>0</v>
      </c>
      <c r="J1992" s="164">
        <f>SUMIF(TArticle[تاریخ],TDays[[#This Row],[تاریخ]],TArticle[درآمد تتا])</f>
        <v>0</v>
      </c>
      <c r="K1992" s="164">
        <f>SUMIF(TArticle[تاریخ],TDays[[#This Row],[تاریخ]],TArticle[اسنپ])</f>
        <v>0</v>
      </c>
      <c r="L1992" s="164">
        <f>-SUMIF(TArticle[تاریخ],TDays[[#This Row],[تاریخ]],TArticle[پرداخت بدهی])</f>
        <v>0</v>
      </c>
      <c r="M1992" s="164">
        <f>SUMIF(TArticle[تاریخ],TDays[[#This Row],[تاریخ]],TArticle[افزایش بدهی])</f>
        <v>0</v>
      </c>
      <c r="N1992" s="164">
        <f>-SUMIF(TArticle[تاریخ],TDays[[#This Row],[تاریخ]],TArticle[افزایش سرمایه])</f>
        <v>0</v>
      </c>
      <c r="O1992" s="164">
        <f>SUMIF(TArticle[تاریخ],TDays[[#This Row],[تاریخ]],TArticle[تعداد تراکنش انجام شده])</f>
        <v>0</v>
      </c>
      <c r="P1992" s="164">
        <f>INT(((TDays[[#This Row],[ماه]]-1)*31+TDays[[#This Row],[روز]]+1)/7)+1</f>
        <v>24</v>
      </c>
      <c r="Q1992" s="164">
        <f>SUMIF(TArticle[تاریخ],TDays[[#This Row],[تاریخ]],TArticle[تراکنش برنامه ریزی شده])</f>
        <v>0</v>
      </c>
    </row>
    <row r="1993" spans="1:17" x14ac:dyDescent="0.25">
      <c r="A1993" s="3" t="s">
        <v>2609</v>
      </c>
      <c r="B1993" s="164" t="str">
        <f>RIGHT(TDays[[#This Row],[تاریخ]],2)</f>
        <v>12</v>
      </c>
      <c r="C1993" s="164" t="str">
        <f>RIGHT(LEFT(TDays[[#This Row],[تاریخ]],7),2)</f>
        <v>06</v>
      </c>
      <c r="D1993" s="164" t="str">
        <f>LEFT(TDays[[#This Row],[تاریخ]],4)</f>
        <v>1406</v>
      </c>
      <c r="E1993" s="164" t="str">
        <f>LEFT(TDays[[#This Row],[تاریخ]],7)</f>
        <v>1406-06</v>
      </c>
      <c r="F1993">
        <v>5</v>
      </c>
      <c r="G1993" s="165" t="str">
        <f>VLOOKUP(TDays[[#This Row],[کد روز هفته]],TDaysOfTheWeek[],2,FALSE)</f>
        <v>پنجشنبه</v>
      </c>
      <c r="H1993" s="165">
        <f>IFERROR(IF(E1992&lt;&gt;E1993,1,INT(H1992)+IF(TDays[[#This Row],[کد روز هفته]]=0,1,0)),1)</f>
        <v>2</v>
      </c>
      <c r="I1993" s="164">
        <f>-SUMIF(TArticle[تاریخ],TDays[[#This Row],[تاریخ]],TArticle[هزینه])</f>
        <v>0</v>
      </c>
      <c r="J1993" s="164">
        <f>SUMIF(TArticle[تاریخ],TDays[[#This Row],[تاریخ]],TArticle[درآمد تتا])</f>
        <v>0</v>
      </c>
      <c r="K1993" s="164">
        <f>SUMIF(TArticle[تاریخ],TDays[[#This Row],[تاریخ]],TArticle[اسنپ])</f>
        <v>0</v>
      </c>
      <c r="L1993" s="164">
        <f>-SUMIF(TArticle[تاریخ],TDays[[#This Row],[تاریخ]],TArticle[پرداخت بدهی])</f>
        <v>0</v>
      </c>
      <c r="M1993" s="164">
        <f>SUMIF(TArticle[تاریخ],TDays[[#This Row],[تاریخ]],TArticle[افزایش بدهی])</f>
        <v>0</v>
      </c>
      <c r="N1993" s="164">
        <f>-SUMIF(TArticle[تاریخ],TDays[[#This Row],[تاریخ]],TArticle[افزایش سرمایه])</f>
        <v>0</v>
      </c>
      <c r="O1993" s="164">
        <f>SUMIF(TArticle[تاریخ],TDays[[#This Row],[تاریخ]],TArticle[تعداد تراکنش انجام شده])</f>
        <v>0</v>
      </c>
      <c r="P1993" s="164">
        <f>INT(((TDays[[#This Row],[ماه]]-1)*31+TDays[[#This Row],[روز]]+1)/7)+1</f>
        <v>25</v>
      </c>
      <c r="Q1993" s="164">
        <f>SUMIF(TArticle[تاریخ],TDays[[#This Row],[تاریخ]],TArticle[تراکنش برنامه ریزی شده])</f>
        <v>0</v>
      </c>
    </row>
    <row r="1994" spans="1:17" x14ac:dyDescent="0.25">
      <c r="A1994" s="3" t="s">
        <v>2610</v>
      </c>
      <c r="B1994" s="164" t="str">
        <f>RIGHT(TDays[[#This Row],[تاریخ]],2)</f>
        <v>13</v>
      </c>
      <c r="C1994" s="164" t="str">
        <f>RIGHT(LEFT(TDays[[#This Row],[تاریخ]],7),2)</f>
        <v>06</v>
      </c>
      <c r="D1994" s="164" t="str">
        <f>LEFT(TDays[[#This Row],[تاریخ]],4)</f>
        <v>1406</v>
      </c>
      <c r="E1994" s="164" t="str">
        <f>LEFT(TDays[[#This Row],[تاریخ]],7)</f>
        <v>1406-06</v>
      </c>
      <c r="F1994">
        <v>6</v>
      </c>
      <c r="G1994" s="165" t="str">
        <f>VLOOKUP(TDays[[#This Row],[کد روز هفته]],TDaysOfTheWeek[],2,FALSE)</f>
        <v>جمعه</v>
      </c>
      <c r="H1994" s="165">
        <f>IFERROR(IF(E1993&lt;&gt;E1994,1,INT(H1993)+IF(TDays[[#This Row],[کد روز هفته]]=0,1,0)),1)</f>
        <v>2</v>
      </c>
      <c r="I1994" s="164">
        <f>-SUMIF(TArticle[تاریخ],TDays[[#This Row],[تاریخ]],TArticle[هزینه])</f>
        <v>0</v>
      </c>
      <c r="J1994" s="164">
        <f>SUMIF(TArticle[تاریخ],TDays[[#This Row],[تاریخ]],TArticle[درآمد تتا])</f>
        <v>0</v>
      </c>
      <c r="K1994" s="164">
        <f>SUMIF(TArticle[تاریخ],TDays[[#This Row],[تاریخ]],TArticle[اسنپ])</f>
        <v>0</v>
      </c>
      <c r="L1994" s="164">
        <f>-SUMIF(TArticle[تاریخ],TDays[[#This Row],[تاریخ]],TArticle[پرداخت بدهی])</f>
        <v>0</v>
      </c>
      <c r="M1994" s="164">
        <f>SUMIF(TArticle[تاریخ],TDays[[#This Row],[تاریخ]],TArticle[افزایش بدهی])</f>
        <v>0</v>
      </c>
      <c r="N1994" s="164">
        <f>-SUMIF(TArticle[تاریخ],TDays[[#This Row],[تاریخ]],TArticle[افزایش سرمایه])</f>
        <v>0</v>
      </c>
      <c r="O1994" s="164">
        <f>SUMIF(TArticle[تاریخ],TDays[[#This Row],[تاریخ]],TArticle[تعداد تراکنش انجام شده])</f>
        <v>0</v>
      </c>
      <c r="P1994" s="164">
        <f>INT(((TDays[[#This Row],[ماه]]-1)*31+TDays[[#This Row],[روز]]+1)/7)+1</f>
        <v>25</v>
      </c>
      <c r="Q1994" s="164">
        <f>SUMIF(TArticle[تاریخ],TDays[[#This Row],[تاریخ]],TArticle[تراکنش برنامه ریزی شده])</f>
        <v>0</v>
      </c>
    </row>
    <row r="1995" spans="1:17" x14ac:dyDescent="0.25">
      <c r="A1995" s="3" t="s">
        <v>2611</v>
      </c>
      <c r="B1995" s="164" t="str">
        <f>RIGHT(TDays[[#This Row],[تاریخ]],2)</f>
        <v>14</v>
      </c>
      <c r="C1995" s="164" t="str">
        <f>RIGHT(LEFT(TDays[[#This Row],[تاریخ]],7),2)</f>
        <v>06</v>
      </c>
      <c r="D1995" s="164" t="str">
        <f>LEFT(TDays[[#This Row],[تاریخ]],4)</f>
        <v>1406</v>
      </c>
      <c r="E1995" s="164" t="str">
        <f>LEFT(TDays[[#This Row],[تاریخ]],7)</f>
        <v>1406-06</v>
      </c>
      <c r="F1995">
        <v>0</v>
      </c>
      <c r="G1995" s="165" t="str">
        <f>VLOOKUP(TDays[[#This Row],[کد روز هفته]],TDaysOfTheWeek[],2,FALSE)</f>
        <v>شنبه</v>
      </c>
      <c r="H1995" s="165">
        <f>IFERROR(IF(E1994&lt;&gt;E1995,1,INT(H1994)+IF(TDays[[#This Row],[کد روز هفته]]=0,1,0)),1)</f>
        <v>3</v>
      </c>
      <c r="I1995" s="164">
        <f>-SUMIF(TArticle[تاریخ],TDays[[#This Row],[تاریخ]],TArticle[هزینه])</f>
        <v>0</v>
      </c>
      <c r="J1995" s="164">
        <f>SUMIF(TArticle[تاریخ],TDays[[#This Row],[تاریخ]],TArticle[درآمد تتا])</f>
        <v>0</v>
      </c>
      <c r="K1995" s="164">
        <f>SUMIF(TArticle[تاریخ],TDays[[#This Row],[تاریخ]],TArticle[اسنپ])</f>
        <v>0</v>
      </c>
      <c r="L1995" s="164">
        <f>-SUMIF(TArticle[تاریخ],TDays[[#This Row],[تاریخ]],TArticle[پرداخت بدهی])</f>
        <v>0</v>
      </c>
      <c r="M1995" s="164">
        <f>SUMIF(TArticle[تاریخ],TDays[[#This Row],[تاریخ]],TArticle[افزایش بدهی])</f>
        <v>0</v>
      </c>
      <c r="N1995" s="164">
        <f>-SUMIF(TArticle[تاریخ],TDays[[#This Row],[تاریخ]],TArticle[افزایش سرمایه])</f>
        <v>0</v>
      </c>
      <c r="O1995" s="164">
        <f>SUMIF(TArticle[تاریخ],TDays[[#This Row],[تاریخ]],TArticle[تعداد تراکنش انجام شده])</f>
        <v>0</v>
      </c>
      <c r="P1995" s="164">
        <f>INT(((TDays[[#This Row],[ماه]]-1)*31+TDays[[#This Row],[روز]]+1)/7)+1</f>
        <v>25</v>
      </c>
      <c r="Q1995" s="164">
        <f>SUMIF(TArticle[تاریخ],TDays[[#This Row],[تاریخ]],TArticle[تراکنش برنامه ریزی شده])</f>
        <v>0</v>
      </c>
    </row>
    <row r="1996" spans="1:17" x14ac:dyDescent="0.25">
      <c r="A1996" s="3" t="s">
        <v>2612</v>
      </c>
      <c r="B1996" s="164" t="str">
        <f>RIGHT(TDays[[#This Row],[تاریخ]],2)</f>
        <v>15</v>
      </c>
      <c r="C1996" s="164" t="str">
        <f>RIGHT(LEFT(TDays[[#This Row],[تاریخ]],7),2)</f>
        <v>06</v>
      </c>
      <c r="D1996" s="164" t="str">
        <f>LEFT(TDays[[#This Row],[تاریخ]],4)</f>
        <v>1406</v>
      </c>
      <c r="E1996" s="164" t="str">
        <f>LEFT(TDays[[#This Row],[تاریخ]],7)</f>
        <v>1406-06</v>
      </c>
      <c r="F1996">
        <v>1</v>
      </c>
      <c r="G1996" s="165" t="str">
        <f>VLOOKUP(TDays[[#This Row],[کد روز هفته]],TDaysOfTheWeek[],2,FALSE)</f>
        <v>یکشنبه</v>
      </c>
      <c r="H1996" s="165">
        <f>IFERROR(IF(E1995&lt;&gt;E1996,1,INT(H1995)+IF(TDays[[#This Row],[کد روز هفته]]=0,1,0)),1)</f>
        <v>3</v>
      </c>
      <c r="I1996" s="164">
        <f>-SUMIF(TArticle[تاریخ],TDays[[#This Row],[تاریخ]],TArticle[هزینه])</f>
        <v>0</v>
      </c>
      <c r="J1996" s="164">
        <f>SUMIF(TArticle[تاریخ],TDays[[#This Row],[تاریخ]],TArticle[درآمد تتا])</f>
        <v>0</v>
      </c>
      <c r="K1996" s="164">
        <f>SUMIF(TArticle[تاریخ],TDays[[#This Row],[تاریخ]],TArticle[اسنپ])</f>
        <v>0</v>
      </c>
      <c r="L1996" s="164">
        <f>-SUMIF(TArticle[تاریخ],TDays[[#This Row],[تاریخ]],TArticle[پرداخت بدهی])</f>
        <v>0</v>
      </c>
      <c r="M1996" s="164">
        <f>SUMIF(TArticle[تاریخ],TDays[[#This Row],[تاریخ]],TArticle[افزایش بدهی])</f>
        <v>0</v>
      </c>
      <c r="N1996" s="164">
        <f>-SUMIF(TArticle[تاریخ],TDays[[#This Row],[تاریخ]],TArticle[افزایش سرمایه])</f>
        <v>0</v>
      </c>
      <c r="O1996" s="164">
        <f>SUMIF(TArticle[تاریخ],TDays[[#This Row],[تاریخ]],TArticle[تعداد تراکنش انجام شده])</f>
        <v>0</v>
      </c>
      <c r="P1996" s="164">
        <f>INT(((TDays[[#This Row],[ماه]]-1)*31+TDays[[#This Row],[روز]]+1)/7)+1</f>
        <v>25</v>
      </c>
      <c r="Q1996" s="164">
        <f>SUMIF(TArticle[تاریخ],TDays[[#This Row],[تاریخ]],TArticle[تراکنش برنامه ریزی شده])</f>
        <v>0</v>
      </c>
    </row>
    <row r="1997" spans="1:17" x14ac:dyDescent="0.25">
      <c r="A1997" s="3" t="s">
        <v>2613</v>
      </c>
      <c r="B1997" s="164" t="str">
        <f>RIGHT(TDays[[#This Row],[تاریخ]],2)</f>
        <v>16</v>
      </c>
      <c r="C1997" s="164" t="str">
        <f>RIGHT(LEFT(TDays[[#This Row],[تاریخ]],7),2)</f>
        <v>06</v>
      </c>
      <c r="D1997" s="164" t="str">
        <f>LEFT(TDays[[#This Row],[تاریخ]],4)</f>
        <v>1406</v>
      </c>
      <c r="E1997" s="164" t="str">
        <f>LEFT(TDays[[#This Row],[تاریخ]],7)</f>
        <v>1406-06</v>
      </c>
      <c r="F1997">
        <v>2</v>
      </c>
      <c r="G1997" s="165" t="str">
        <f>VLOOKUP(TDays[[#This Row],[کد روز هفته]],TDaysOfTheWeek[],2,FALSE)</f>
        <v>دوشنبه</v>
      </c>
      <c r="H1997" s="165">
        <f>IFERROR(IF(E1996&lt;&gt;E1997,1,INT(H1996)+IF(TDays[[#This Row],[کد روز هفته]]=0,1,0)),1)</f>
        <v>3</v>
      </c>
      <c r="I1997" s="164">
        <f>-SUMIF(TArticle[تاریخ],TDays[[#This Row],[تاریخ]],TArticle[هزینه])</f>
        <v>0</v>
      </c>
      <c r="J1997" s="164">
        <f>SUMIF(TArticle[تاریخ],TDays[[#This Row],[تاریخ]],TArticle[درآمد تتا])</f>
        <v>0</v>
      </c>
      <c r="K1997" s="164">
        <f>SUMIF(TArticle[تاریخ],TDays[[#This Row],[تاریخ]],TArticle[اسنپ])</f>
        <v>0</v>
      </c>
      <c r="L1997" s="164">
        <f>-SUMIF(TArticle[تاریخ],TDays[[#This Row],[تاریخ]],TArticle[پرداخت بدهی])</f>
        <v>0</v>
      </c>
      <c r="M1997" s="164">
        <f>SUMIF(TArticle[تاریخ],TDays[[#This Row],[تاریخ]],TArticle[افزایش بدهی])</f>
        <v>0</v>
      </c>
      <c r="N1997" s="164">
        <f>-SUMIF(TArticle[تاریخ],TDays[[#This Row],[تاریخ]],TArticle[افزایش سرمایه])</f>
        <v>0</v>
      </c>
      <c r="O1997" s="164">
        <f>SUMIF(TArticle[تاریخ],TDays[[#This Row],[تاریخ]],TArticle[تعداد تراکنش انجام شده])</f>
        <v>0</v>
      </c>
      <c r="P1997" s="164">
        <f>INT(((TDays[[#This Row],[ماه]]-1)*31+TDays[[#This Row],[روز]]+1)/7)+1</f>
        <v>25</v>
      </c>
      <c r="Q1997" s="164">
        <f>SUMIF(TArticle[تاریخ],TDays[[#This Row],[تاریخ]],TArticle[تراکنش برنامه ریزی شده])</f>
        <v>0</v>
      </c>
    </row>
    <row r="1998" spans="1:17" x14ac:dyDescent="0.25">
      <c r="A1998" s="3" t="s">
        <v>2614</v>
      </c>
      <c r="B1998" s="164" t="str">
        <f>RIGHT(TDays[[#This Row],[تاریخ]],2)</f>
        <v>17</v>
      </c>
      <c r="C1998" s="164" t="str">
        <f>RIGHT(LEFT(TDays[[#This Row],[تاریخ]],7),2)</f>
        <v>06</v>
      </c>
      <c r="D1998" s="164" t="str">
        <f>LEFT(TDays[[#This Row],[تاریخ]],4)</f>
        <v>1406</v>
      </c>
      <c r="E1998" s="164" t="str">
        <f>LEFT(TDays[[#This Row],[تاریخ]],7)</f>
        <v>1406-06</v>
      </c>
      <c r="F1998">
        <v>3</v>
      </c>
      <c r="G1998" s="165" t="str">
        <f>VLOOKUP(TDays[[#This Row],[کد روز هفته]],TDaysOfTheWeek[],2,FALSE)</f>
        <v>سه شنبه</v>
      </c>
      <c r="H1998" s="165">
        <f>IFERROR(IF(E1997&lt;&gt;E1998,1,INT(H1997)+IF(TDays[[#This Row],[کد روز هفته]]=0,1,0)),1)</f>
        <v>3</v>
      </c>
      <c r="I1998" s="164">
        <f>-SUMIF(TArticle[تاریخ],TDays[[#This Row],[تاریخ]],TArticle[هزینه])</f>
        <v>0</v>
      </c>
      <c r="J1998" s="164">
        <f>SUMIF(TArticle[تاریخ],TDays[[#This Row],[تاریخ]],TArticle[درآمد تتا])</f>
        <v>0</v>
      </c>
      <c r="K1998" s="164">
        <f>SUMIF(TArticle[تاریخ],TDays[[#This Row],[تاریخ]],TArticle[اسنپ])</f>
        <v>0</v>
      </c>
      <c r="L1998" s="164">
        <f>-SUMIF(TArticle[تاریخ],TDays[[#This Row],[تاریخ]],TArticle[پرداخت بدهی])</f>
        <v>0</v>
      </c>
      <c r="M1998" s="164">
        <f>SUMIF(TArticle[تاریخ],TDays[[#This Row],[تاریخ]],TArticle[افزایش بدهی])</f>
        <v>0</v>
      </c>
      <c r="N1998" s="164">
        <f>-SUMIF(TArticle[تاریخ],TDays[[#This Row],[تاریخ]],TArticle[افزایش سرمایه])</f>
        <v>0</v>
      </c>
      <c r="O1998" s="164">
        <f>SUMIF(TArticle[تاریخ],TDays[[#This Row],[تاریخ]],TArticle[تعداد تراکنش انجام شده])</f>
        <v>0</v>
      </c>
      <c r="P1998" s="164">
        <f>INT(((TDays[[#This Row],[ماه]]-1)*31+TDays[[#This Row],[روز]]+1)/7)+1</f>
        <v>25</v>
      </c>
      <c r="Q1998" s="164">
        <f>SUMIF(TArticle[تاریخ],TDays[[#This Row],[تاریخ]],TArticle[تراکنش برنامه ریزی شده])</f>
        <v>0</v>
      </c>
    </row>
    <row r="1999" spans="1:17" x14ac:dyDescent="0.25">
      <c r="A1999" s="3" t="s">
        <v>2615</v>
      </c>
      <c r="B1999" s="164" t="str">
        <f>RIGHT(TDays[[#This Row],[تاریخ]],2)</f>
        <v>18</v>
      </c>
      <c r="C1999" s="164" t="str">
        <f>RIGHT(LEFT(TDays[[#This Row],[تاریخ]],7),2)</f>
        <v>06</v>
      </c>
      <c r="D1999" s="164" t="str">
        <f>LEFT(TDays[[#This Row],[تاریخ]],4)</f>
        <v>1406</v>
      </c>
      <c r="E1999" s="164" t="str">
        <f>LEFT(TDays[[#This Row],[تاریخ]],7)</f>
        <v>1406-06</v>
      </c>
      <c r="F1999">
        <v>4</v>
      </c>
      <c r="G1999" s="165" t="str">
        <f>VLOOKUP(TDays[[#This Row],[کد روز هفته]],TDaysOfTheWeek[],2,FALSE)</f>
        <v>چهارشنبه</v>
      </c>
      <c r="H1999" s="165">
        <f>IFERROR(IF(E1998&lt;&gt;E1999,1,INT(H1998)+IF(TDays[[#This Row],[کد روز هفته]]=0,1,0)),1)</f>
        <v>3</v>
      </c>
      <c r="I1999" s="164">
        <f>-SUMIF(TArticle[تاریخ],TDays[[#This Row],[تاریخ]],TArticle[هزینه])</f>
        <v>0</v>
      </c>
      <c r="J1999" s="164">
        <f>SUMIF(TArticle[تاریخ],TDays[[#This Row],[تاریخ]],TArticle[درآمد تتا])</f>
        <v>0</v>
      </c>
      <c r="K1999" s="164">
        <f>SUMIF(TArticle[تاریخ],TDays[[#This Row],[تاریخ]],TArticle[اسنپ])</f>
        <v>0</v>
      </c>
      <c r="L1999" s="164">
        <f>-SUMIF(TArticle[تاریخ],TDays[[#This Row],[تاریخ]],TArticle[پرداخت بدهی])</f>
        <v>0</v>
      </c>
      <c r="M1999" s="164">
        <f>SUMIF(TArticle[تاریخ],TDays[[#This Row],[تاریخ]],TArticle[افزایش بدهی])</f>
        <v>0</v>
      </c>
      <c r="N1999" s="164">
        <f>-SUMIF(TArticle[تاریخ],TDays[[#This Row],[تاریخ]],TArticle[افزایش سرمایه])</f>
        <v>0</v>
      </c>
      <c r="O1999" s="164">
        <f>SUMIF(TArticle[تاریخ],TDays[[#This Row],[تاریخ]],TArticle[تعداد تراکنش انجام شده])</f>
        <v>0</v>
      </c>
      <c r="P1999" s="164">
        <f>INT(((TDays[[#This Row],[ماه]]-1)*31+TDays[[#This Row],[روز]]+1)/7)+1</f>
        <v>25</v>
      </c>
      <c r="Q1999" s="164">
        <f>SUMIF(TArticle[تاریخ],TDays[[#This Row],[تاریخ]],TArticle[تراکنش برنامه ریزی شده])</f>
        <v>0</v>
      </c>
    </row>
    <row r="2000" spans="1:17" x14ac:dyDescent="0.25">
      <c r="A2000" s="3" t="s">
        <v>2616</v>
      </c>
      <c r="B2000" s="164" t="str">
        <f>RIGHT(TDays[[#This Row],[تاریخ]],2)</f>
        <v>19</v>
      </c>
      <c r="C2000" s="164" t="str">
        <f>RIGHT(LEFT(TDays[[#This Row],[تاریخ]],7),2)</f>
        <v>06</v>
      </c>
      <c r="D2000" s="164" t="str">
        <f>LEFT(TDays[[#This Row],[تاریخ]],4)</f>
        <v>1406</v>
      </c>
      <c r="E2000" s="164" t="str">
        <f>LEFT(TDays[[#This Row],[تاریخ]],7)</f>
        <v>1406-06</v>
      </c>
      <c r="F2000">
        <v>5</v>
      </c>
      <c r="G2000" s="165" t="str">
        <f>VLOOKUP(TDays[[#This Row],[کد روز هفته]],TDaysOfTheWeek[],2,FALSE)</f>
        <v>پنجشنبه</v>
      </c>
      <c r="H2000" s="165">
        <f>IFERROR(IF(E1999&lt;&gt;E2000,1,INT(H1999)+IF(TDays[[#This Row],[کد روز هفته]]=0,1,0)),1)</f>
        <v>3</v>
      </c>
      <c r="I2000" s="164">
        <f>-SUMIF(TArticle[تاریخ],TDays[[#This Row],[تاریخ]],TArticle[هزینه])</f>
        <v>0</v>
      </c>
      <c r="J2000" s="164">
        <f>SUMIF(TArticle[تاریخ],TDays[[#This Row],[تاریخ]],TArticle[درآمد تتا])</f>
        <v>0</v>
      </c>
      <c r="K2000" s="164">
        <f>SUMIF(TArticle[تاریخ],TDays[[#This Row],[تاریخ]],TArticle[اسنپ])</f>
        <v>0</v>
      </c>
      <c r="L2000" s="164">
        <f>-SUMIF(TArticle[تاریخ],TDays[[#This Row],[تاریخ]],TArticle[پرداخت بدهی])</f>
        <v>0</v>
      </c>
      <c r="M2000" s="164">
        <f>SUMIF(TArticle[تاریخ],TDays[[#This Row],[تاریخ]],TArticle[افزایش بدهی])</f>
        <v>0</v>
      </c>
      <c r="N2000" s="164">
        <f>-SUMIF(TArticle[تاریخ],TDays[[#This Row],[تاریخ]],TArticle[افزایش سرمایه])</f>
        <v>0</v>
      </c>
      <c r="O2000" s="164">
        <f>SUMIF(TArticle[تاریخ],TDays[[#This Row],[تاریخ]],TArticle[تعداد تراکنش انجام شده])</f>
        <v>0</v>
      </c>
      <c r="P2000" s="164">
        <f>INT(((TDays[[#This Row],[ماه]]-1)*31+TDays[[#This Row],[روز]]+1)/7)+1</f>
        <v>26</v>
      </c>
      <c r="Q2000" s="164">
        <f>SUMIF(TArticle[تاریخ],TDays[[#This Row],[تاریخ]],TArticle[تراکنش برنامه ریزی شده])</f>
        <v>0</v>
      </c>
    </row>
    <row r="2001" spans="1:17" x14ac:dyDescent="0.25">
      <c r="A2001" s="3" t="s">
        <v>2617</v>
      </c>
      <c r="B2001" s="164" t="str">
        <f>RIGHT(TDays[[#This Row],[تاریخ]],2)</f>
        <v>20</v>
      </c>
      <c r="C2001" s="164" t="str">
        <f>RIGHT(LEFT(TDays[[#This Row],[تاریخ]],7),2)</f>
        <v>06</v>
      </c>
      <c r="D2001" s="164" t="str">
        <f>LEFT(TDays[[#This Row],[تاریخ]],4)</f>
        <v>1406</v>
      </c>
      <c r="E2001" s="164" t="str">
        <f>LEFT(TDays[[#This Row],[تاریخ]],7)</f>
        <v>1406-06</v>
      </c>
      <c r="F2001">
        <v>6</v>
      </c>
      <c r="G2001" s="165" t="str">
        <f>VLOOKUP(TDays[[#This Row],[کد روز هفته]],TDaysOfTheWeek[],2,FALSE)</f>
        <v>جمعه</v>
      </c>
      <c r="H2001" s="165">
        <f>IFERROR(IF(E2000&lt;&gt;E2001,1,INT(H2000)+IF(TDays[[#This Row],[کد روز هفته]]=0,1,0)),1)</f>
        <v>3</v>
      </c>
      <c r="I2001" s="164">
        <f>-SUMIF(TArticle[تاریخ],TDays[[#This Row],[تاریخ]],TArticle[هزینه])</f>
        <v>0</v>
      </c>
      <c r="J2001" s="164">
        <f>SUMIF(TArticle[تاریخ],TDays[[#This Row],[تاریخ]],TArticle[درآمد تتا])</f>
        <v>0</v>
      </c>
      <c r="K2001" s="164">
        <f>SUMIF(TArticle[تاریخ],TDays[[#This Row],[تاریخ]],TArticle[اسنپ])</f>
        <v>0</v>
      </c>
      <c r="L2001" s="164">
        <f>-SUMIF(TArticle[تاریخ],TDays[[#This Row],[تاریخ]],TArticle[پرداخت بدهی])</f>
        <v>0</v>
      </c>
      <c r="M2001" s="164">
        <f>SUMIF(TArticle[تاریخ],TDays[[#This Row],[تاریخ]],TArticle[افزایش بدهی])</f>
        <v>0</v>
      </c>
      <c r="N2001" s="164">
        <f>-SUMIF(TArticle[تاریخ],TDays[[#This Row],[تاریخ]],TArticle[افزایش سرمایه])</f>
        <v>0</v>
      </c>
      <c r="O2001" s="164">
        <f>SUMIF(TArticle[تاریخ],TDays[[#This Row],[تاریخ]],TArticle[تعداد تراکنش انجام شده])</f>
        <v>0</v>
      </c>
      <c r="P2001" s="164">
        <f>INT(((TDays[[#This Row],[ماه]]-1)*31+TDays[[#This Row],[روز]]+1)/7)+1</f>
        <v>26</v>
      </c>
      <c r="Q2001" s="164">
        <f>SUMIF(TArticle[تاریخ],TDays[[#This Row],[تاریخ]],TArticle[تراکنش برنامه ریزی شده])</f>
        <v>0</v>
      </c>
    </row>
    <row r="2002" spans="1:17" x14ac:dyDescent="0.25">
      <c r="A2002" s="3" t="s">
        <v>2618</v>
      </c>
      <c r="B2002" s="164" t="str">
        <f>RIGHT(TDays[[#This Row],[تاریخ]],2)</f>
        <v>21</v>
      </c>
      <c r="C2002" s="164" t="str">
        <f>RIGHT(LEFT(TDays[[#This Row],[تاریخ]],7),2)</f>
        <v>06</v>
      </c>
      <c r="D2002" s="164" t="str">
        <f>LEFT(TDays[[#This Row],[تاریخ]],4)</f>
        <v>1406</v>
      </c>
      <c r="E2002" s="164" t="str">
        <f>LEFT(TDays[[#This Row],[تاریخ]],7)</f>
        <v>1406-06</v>
      </c>
      <c r="F2002">
        <v>0</v>
      </c>
      <c r="G2002" s="165" t="str">
        <f>VLOOKUP(TDays[[#This Row],[کد روز هفته]],TDaysOfTheWeek[],2,FALSE)</f>
        <v>شنبه</v>
      </c>
      <c r="H2002" s="165">
        <f>IFERROR(IF(E2001&lt;&gt;E2002,1,INT(H2001)+IF(TDays[[#This Row],[کد روز هفته]]=0,1,0)),1)</f>
        <v>4</v>
      </c>
      <c r="I2002" s="164">
        <f>-SUMIF(TArticle[تاریخ],TDays[[#This Row],[تاریخ]],TArticle[هزینه])</f>
        <v>0</v>
      </c>
      <c r="J2002" s="164">
        <f>SUMIF(TArticle[تاریخ],TDays[[#This Row],[تاریخ]],TArticle[درآمد تتا])</f>
        <v>0</v>
      </c>
      <c r="K2002" s="164">
        <f>SUMIF(TArticle[تاریخ],TDays[[#This Row],[تاریخ]],TArticle[اسنپ])</f>
        <v>0</v>
      </c>
      <c r="L2002" s="164">
        <f>-SUMIF(TArticle[تاریخ],TDays[[#This Row],[تاریخ]],TArticle[پرداخت بدهی])</f>
        <v>0</v>
      </c>
      <c r="M2002" s="164">
        <f>SUMIF(TArticle[تاریخ],TDays[[#This Row],[تاریخ]],TArticle[افزایش بدهی])</f>
        <v>0</v>
      </c>
      <c r="N2002" s="164">
        <f>-SUMIF(TArticle[تاریخ],TDays[[#This Row],[تاریخ]],TArticle[افزایش سرمایه])</f>
        <v>0</v>
      </c>
      <c r="O2002" s="164">
        <f>SUMIF(TArticle[تاریخ],TDays[[#This Row],[تاریخ]],TArticle[تعداد تراکنش انجام شده])</f>
        <v>0</v>
      </c>
      <c r="P2002" s="164">
        <f>INT(((TDays[[#This Row],[ماه]]-1)*31+TDays[[#This Row],[روز]]+1)/7)+1</f>
        <v>26</v>
      </c>
      <c r="Q2002" s="164">
        <f>SUMIF(TArticle[تاریخ],TDays[[#This Row],[تاریخ]],TArticle[تراکنش برنامه ریزی شده])</f>
        <v>0</v>
      </c>
    </row>
    <row r="2003" spans="1:17" x14ac:dyDescent="0.25">
      <c r="A2003" s="3" t="s">
        <v>2619</v>
      </c>
      <c r="B2003" s="164" t="str">
        <f>RIGHT(TDays[[#This Row],[تاریخ]],2)</f>
        <v>22</v>
      </c>
      <c r="C2003" s="164" t="str">
        <f>RIGHT(LEFT(TDays[[#This Row],[تاریخ]],7),2)</f>
        <v>06</v>
      </c>
      <c r="D2003" s="164" t="str">
        <f>LEFT(TDays[[#This Row],[تاریخ]],4)</f>
        <v>1406</v>
      </c>
      <c r="E2003" s="164" t="str">
        <f>LEFT(TDays[[#This Row],[تاریخ]],7)</f>
        <v>1406-06</v>
      </c>
      <c r="F2003">
        <v>1</v>
      </c>
      <c r="G2003" s="165" t="str">
        <f>VLOOKUP(TDays[[#This Row],[کد روز هفته]],TDaysOfTheWeek[],2,FALSE)</f>
        <v>یکشنبه</v>
      </c>
      <c r="H2003" s="165">
        <f>IFERROR(IF(E2002&lt;&gt;E2003,1,INT(H2002)+IF(TDays[[#This Row],[کد روز هفته]]=0,1,0)),1)</f>
        <v>4</v>
      </c>
      <c r="I2003" s="164">
        <f>-SUMIF(TArticle[تاریخ],TDays[[#This Row],[تاریخ]],TArticle[هزینه])</f>
        <v>0</v>
      </c>
      <c r="J2003" s="164">
        <f>SUMIF(TArticle[تاریخ],TDays[[#This Row],[تاریخ]],TArticle[درآمد تتا])</f>
        <v>0</v>
      </c>
      <c r="K2003" s="164">
        <f>SUMIF(TArticle[تاریخ],TDays[[#This Row],[تاریخ]],TArticle[اسنپ])</f>
        <v>0</v>
      </c>
      <c r="L2003" s="164">
        <f>-SUMIF(TArticle[تاریخ],TDays[[#This Row],[تاریخ]],TArticle[پرداخت بدهی])</f>
        <v>0</v>
      </c>
      <c r="M2003" s="164">
        <f>SUMIF(TArticle[تاریخ],TDays[[#This Row],[تاریخ]],TArticle[افزایش بدهی])</f>
        <v>0</v>
      </c>
      <c r="N2003" s="164">
        <f>-SUMIF(TArticle[تاریخ],TDays[[#This Row],[تاریخ]],TArticle[افزایش سرمایه])</f>
        <v>0</v>
      </c>
      <c r="O2003" s="164">
        <f>SUMIF(TArticle[تاریخ],TDays[[#This Row],[تاریخ]],TArticle[تعداد تراکنش انجام شده])</f>
        <v>0</v>
      </c>
      <c r="P2003" s="164">
        <f>INT(((TDays[[#This Row],[ماه]]-1)*31+TDays[[#This Row],[روز]]+1)/7)+1</f>
        <v>26</v>
      </c>
      <c r="Q2003" s="164">
        <f>SUMIF(TArticle[تاریخ],TDays[[#This Row],[تاریخ]],TArticle[تراکنش برنامه ریزی شده])</f>
        <v>0</v>
      </c>
    </row>
    <row r="2004" spans="1:17" x14ac:dyDescent="0.25">
      <c r="A2004" s="3" t="s">
        <v>2620</v>
      </c>
      <c r="B2004" s="164" t="str">
        <f>RIGHT(TDays[[#This Row],[تاریخ]],2)</f>
        <v>23</v>
      </c>
      <c r="C2004" s="164" t="str">
        <f>RIGHT(LEFT(TDays[[#This Row],[تاریخ]],7),2)</f>
        <v>06</v>
      </c>
      <c r="D2004" s="164" t="str">
        <f>LEFT(TDays[[#This Row],[تاریخ]],4)</f>
        <v>1406</v>
      </c>
      <c r="E2004" s="164" t="str">
        <f>LEFT(TDays[[#This Row],[تاریخ]],7)</f>
        <v>1406-06</v>
      </c>
      <c r="F2004">
        <v>2</v>
      </c>
      <c r="G2004" s="165" t="str">
        <f>VLOOKUP(TDays[[#This Row],[کد روز هفته]],TDaysOfTheWeek[],2,FALSE)</f>
        <v>دوشنبه</v>
      </c>
      <c r="H2004" s="165">
        <f>IFERROR(IF(E2003&lt;&gt;E2004,1,INT(H2003)+IF(TDays[[#This Row],[کد روز هفته]]=0,1,0)),1)</f>
        <v>4</v>
      </c>
      <c r="I2004" s="164">
        <f>-SUMIF(TArticle[تاریخ],TDays[[#This Row],[تاریخ]],TArticle[هزینه])</f>
        <v>0</v>
      </c>
      <c r="J2004" s="164">
        <f>SUMIF(TArticle[تاریخ],TDays[[#This Row],[تاریخ]],TArticle[درآمد تتا])</f>
        <v>0</v>
      </c>
      <c r="K2004" s="164">
        <f>SUMIF(TArticle[تاریخ],TDays[[#This Row],[تاریخ]],TArticle[اسنپ])</f>
        <v>0</v>
      </c>
      <c r="L2004" s="164">
        <f>-SUMIF(TArticle[تاریخ],TDays[[#This Row],[تاریخ]],TArticle[پرداخت بدهی])</f>
        <v>0</v>
      </c>
      <c r="M2004" s="164">
        <f>SUMIF(TArticle[تاریخ],TDays[[#This Row],[تاریخ]],TArticle[افزایش بدهی])</f>
        <v>0</v>
      </c>
      <c r="N2004" s="164">
        <f>-SUMIF(TArticle[تاریخ],TDays[[#This Row],[تاریخ]],TArticle[افزایش سرمایه])</f>
        <v>0</v>
      </c>
      <c r="O2004" s="164">
        <f>SUMIF(TArticle[تاریخ],TDays[[#This Row],[تاریخ]],TArticle[تعداد تراکنش انجام شده])</f>
        <v>0</v>
      </c>
      <c r="P2004" s="164">
        <f>INT(((TDays[[#This Row],[ماه]]-1)*31+TDays[[#This Row],[روز]]+1)/7)+1</f>
        <v>26</v>
      </c>
      <c r="Q2004" s="164">
        <f>SUMIF(TArticle[تاریخ],TDays[[#This Row],[تاریخ]],TArticle[تراکنش برنامه ریزی شده])</f>
        <v>0</v>
      </c>
    </row>
    <row r="2005" spans="1:17" x14ac:dyDescent="0.25">
      <c r="A2005" s="3" t="s">
        <v>2621</v>
      </c>
      <c r="B2005" s="164" t="str">
        <f>RIGHT(TDays[[#This Row],[تاریخ]],2)</f>
        <v>24</v>
      </c>
      <c r="C2005" s="164" t="str">
        <f>RIGHT(LEFT(TDays[[#This Row],[تاریخ]],7),2)</f>
        <v>06</v>
      </c>
      <c r="D2005" s="164" t="str">
        <f>LEFT(TDays[[#This Row],[تاریخ]],4)</f>
        <v>1406</v>
      </c>
      <c r="E2005" s="164" t="str">
        <f>LEFT(TDays[[#This Row],[تاریخ]],7)</f>
        <v>1406-06</v>
      </c>
      <c r="F2005">
        <v>3</v>
      </c>
      <c r="G2005" s="165" t="str">
        <f>VLOOKUP(TDays[[#This Row],[کد روز هفته]],TDaysOfTheWeek[],2,FALSE)</f>
        <v>سه شنبه</v>
      </c>
      <c r="H2005" s="165">
        <f>IFERROR(IF(E2004&lt;&gt;E2005,1,INT(H2004)+IF(TDays[[#This Row],[کد روز هفته]]=0,1,0)),1)</f>
        <v>4</v>
      </c>
      <c r="I2005" s="164">
        <f>-SUMIF(TArticle[تاریخ],TDays[[#This Row],[تاریخ]],TArticle[هزینه])</f>
        <v>0</v>
      </c>
      <c r="J2005" s="164">
        <f>SUMIF(TArticle[تاریخ],TDays[[#This Row],[تاریخ]],TArticle[درآمد تتا])</f>
        <v>0</v>
      </c>
      <c r="K2005" s="164">
        <f>SUMIF(TArticle[تاریخ],TDays[[#This Row],[تاریخ]],TArticle[اسنپ])</f>
        <v>0</v>
      </c>
      <c r="L2005" s="164">
        <f>-SUMIF(TArticle[تاریخ],TDays[[#This Row],[تاریخ]],TArticle[پرداخت بدهی])</f>
        <v>0</v>
      </c>
      <c r="M2005" s="164">
        <f>SUMIF(TArticle[تاریخ],TDays[[#This Row],[تاریخ]],TArticle[افزایش بدهی])</f>
        <v>0</v>
      </c>
      <c r="N2005" s="164">
        <f>-SUMIF(TArticle[تاریخ],TDays[[#This Row],[تاریخ]],TArticle[افزایش سرمایه])</f>
        <v>0</v>
      </c>
      <c r="O2005" s="164">
        <f>SUMIF(TArticle[تاریخ],TDays[[#This Row],[تاریخ]],TArticle[تعداد تراکنش انجام شده])</f>
        <v>0</v>
      </c>
      <c r="P2005" s="164">
        <f>INT(((TDays[[#This Row],[ماه]]-1)*31+TDays[[#This Row],[روز]]+1)/7)+1</f>
        <v>26</v>
      </c>
      <c r="Q2005" s="164">
        <f>SUMIF(TArticle[تاریخ],TDays[[#This Row],[تاریخ]],TArticle[تراکنش برنامه ریزی شده])</f>
        <v>0</v>
      </c>
    </row>
    <row r="2006" spans="1:17" x14ac:dyDescent="0.25">
      <c r="A2006" s="3" t="s">
        <v>2622</v>
      </c>
      <c r="B2006" s="164" t="str">
        <f>RIGHT(TDays[[#This Row],[تاریخ]],2)</f>
        <v>25</v>
      </c>
      <c r="C2006" s="164" t="str">
        <f>RIGHT(LEFT(TDays[[#This Row],[تاریخ]],7),2)</f>
        <v>06</v>
      </c>
      <c r="D2006" s="164" t="str">
        <f>LEFT(TDays[[#This Row],[تاریخ]],4)</f>
        <v>1406</v>
      </c>
      <c r="E2006" s="164" t="str">
        <f>LEFT(TDays[[#This Row],[تاریخ]],7)</f>
        <v>1406-06</v>
      </c>
      <c r="F2006">
        <v>4</v>
      </c>
      <c r="G2006" s="165" t="str">
        <f>VLOOKUP(TDays[[#This Row],[کد روز هفته]],TDaysOfTheWeek[],2,FALSE)</f>
        <v>چهارشنبه</v>
      </c>
      <c r="H2006" s="165">
        <f>IFERROR(IF(E2005&lt;&gt;E2006,1,INT(H2005)+IF(TDays[[#This Row],[کد روز هفته]]=0,1,0)),1)</f>
        <v>4</v>
      </c>
      <c r="I2006" s="164">
        <f>-SUMIF(TArticle[تاریخ],TDays[[#This Row],[تاریخ]],TArticle[هزینه])</f>
        <v>0</v>
      </c>
      <c r="J2006" s="164">
        <f>SUMIF(TArticle[تاریخ],TDays[[#This Row],[تاریخ]],TArticle[درآمد تتا])</f>
        <v>0</v>
      </c>
      <c r="K2006" s="164">
        <f>SUMIF(TArticle[تاریخ],TDays[[#This Row],[تاریخ]],TArticle[اسنپ])</f>
        <v>0</v>
      </c>
      <c r="L2006" s="164">
        <f>-SUMIF(TArticle[تاریخ],TDays[[#This Row],[تاریخ]],TArticle[پرداخت بدهی])</f>
        <v>0</v>
      </c>
      <c r="M2006" s="164">
        <f>SUMIF(TArticle[تاریخ],TDays[[#This Row],[تاریخ]],TArticle[افزایش بدهی])</f>
        <v>0</v>
      </c>
      <c r="N2006" s="164">
        <f>-SUMIF(TArticle[تاریخ],TDays[[#This Row],[تاریخ]],TArticle[افزایش سرمایه])</f>
        <v>0</v>
      </c>
      <c r="O2006" s="164">
        <f>SUMIF(TArticle[تاریخ],TDays[[#This Row],[تاریخ]],TArticle[تعداد تراکنش انجام شده])</f>
        <v>0</v>
      </c>
      <c r="P2006" s="164">
        <f>INT(((TDays[[#This Row],[ماه]]-1)*31+TDays[[#This Row],[روز]]+1)/7)+1</f>
        <v>26</v>
      </c>
      <c r="Q2006" s="164">
        <f>SUMIF(TArticle[تاریخ],TDays[[#This Row],[تاریخ]],TArticle[تراکنش برنامه ریزی شده])</f>
        <v>0</v>
      </c>
    </row>
    <row r="2007" spans="1:17" x14ac:dyDescent="0.25">
      <c r="A2007" s="3" t="s">
        <v>2623</v>
      </c>
      <c r="B2007" s="164" t="str">
        <f>RIGHT(TDays[[#This Row],[تاریخ]],2)</f>
        <v>26</v>
      </c>
      <c r="C2007" s="164" t="str">
        <f>RIGHT(LEFT(TDays[[#This Row],[تاریخ]],7),2)</f>
        <v>06</v>
      </c>
      <c r="D2007" s="164" t="str">
        <f>LEFT(TDays[[#This Row],[تاریخ]],4)</f>
        <v>1406</v>
      </c>
      <c r="E2007" s="164" t="str">
        <f>LEFT(TDays[[#This Row],[تاریخ]],7)</f>
        <v>1406-06</v>
      </c>
      <c r="F2007">
        <v>5</v>
      </c>
      <c r="G2007" s="165" t="str">
        <f>VLOOKUP(TDays[[#This Row],[کد روز هفته]],TDaysOfTheWeek[],2,FALSE)</f>
        <v>پنجشنبه</v>
      </c>
      <c r="H2007" s="165">
        <f>IFERROR(IF(E2006&lt;&gt;E2007,1,INT(H2006)+IF(TDays[[#This Row],[کد روز هفته]]=0,1,0)),1)</f>
        <v>4</v>
      </c>
      <c r="I2007" s="164">
        <f>-SUMIF(TArticle[تاریخ],TDays[[#This Row],[تاریخ]],TArticle[هزینه])</f>
        <v>0</v>
      </c>
      <c r="J2007" s="164">
        <f>SUMIF(TArticle[تاریخ],TDays[[#This Row],[تاریخ]],TArticle[درآمد تتا])</f>
        <v>0</v>
      </c>
      <c r="K2007" s="164">
        <f>SUMIF(TArticle[تاریخ],TDays[[#This Row],[تاریخ]],TArticle[اسنپ])</f>
        <v>0</v>
      </c>
      <c r="L2007" s="164">
        <f>-SUMIF(TArticle[تاریخ],TDays[[#This Row],[تاریخ]],TArticle[پرداخت بدهی])</f>
        <v>0</v>
      </c>
      <c r="M2007" s="164">
        <f>SUMIF(TArticle[تاریخ],TDays[[#This Row],[تاریخ]],TArticle[افزایش بدهی])</f>
        <v>0</v>
      </c>
      <c r="N2007" s="164">
        <f>-SUMIF(TArticle[تاریخ],TDays[[#This Row],[تاریخ]],TArticle[افزایش سرمایه])</f>
        <v>0</v>
      </c>
      <c r="O2007" s="164">
        <f>SUMIF(TArticle[تاریخ],TDays[[#This Row],[تاریخ]],TArticle[تعداد تراکنش انجام شده])</f>
        <v>0</v>
      </c>
      <c r="P2007" s="164">
        <f>INT(((TDays[[#This Row],[ماه]]-1)*31+TDays[[#This Row],[روز]]+1)/7)+1</f>
        <v>27</v>
      </c>
      <c r="Q2007" s="164">
        <f>SUMIF(TArticle[تاریخ],TDays[[#This Row],[تاریخ]],TArticle[تراکنش برنامه ریزی شده])</f>
        <v>0</v>
      </c>
    </row>
    <row r="2008" spans="1:17" x14ac:dyDescent="0.25">
      <c r="A2008" s="3" t="s">
        <v>2624</v>
      </c>
      <c r="B2008" s="164" t="str">
        <f>RIGHT(TDays[[#This Row],[تاریخ]],2)</f>
        <v>27</v>
      </c>
      <c r="C2008" s="164" t="str">
        <f>RIGHT(LEFT(TDays[[#This Row],[تاریخ]],7),2)</f>
        <v>06</v>
      </c>
      <c r="D2008" s="164" t="str">
        <f>LEFT(TDays[[#This Row],[تاریخ]],4)</f>
        <v>1406</v>
      </c>
      <c r="E2008" s="164" t="str">
        <f>LEFT(TDays[[#This Row],[تاریخ]],7)</f>
        <v>1406-06</v>
      </c>
      <c r="F2008">
        <v>6</v>
      </c>
      <c r="G2008" s="165" t="str">
        <f>VLOOKUP(TDays[[#This Row],[کد روز هفته]],TDaysOfTheWeek[],2,FALSE)</f>
        <v>جمعه</v>
      </c>
      <c r="H2008" s="165">
        <f>IFERROR(IF(E2007&lt;&gt;E2008,1,INT(H2007)+IF(TDays[[#This Row],[کد روز هفته]]=0,1,0)),1)</f>
        <v>4</v>
      </c>
      <c r="I2008" s="164">
        <f>-SUMIF(TArticle[تاریخ],TDays[[#This Row],[تاریخ]],TArticle[هزینه])</f>
        <v>0</v>
      </c>
      <c r="J2008" s="164">
        <f>SUMIF(TArticle[تاریخ],TDays[[#This Row],[تاریخ]],TArticle[درآمد تتا])</f>
        <v>0</v>
      </c>
      <c r="K2008" s="164">
        <f>SUMIF(TArticle[تاریخ],TDays[[#This Row],[تاریخ]],TArticle[اسنپ])</f>
        <v>0</v>
      </c>
      <c r="L2008" s="164">
        <f>-SUMIF(TArticle[تاریخ],TDays[[#This Row],[تاریخ]],TArticle[پرداخت بدهی])</f>
        <v>0</v>
      </c>
      <c r="M2008" s="164">
        <f>SUMIF(TArticle[تاریخ],TDays[[#This Row],[تاریخ]],TArticle[افزایش بدهی])</f>
        <v>0</v>
      </c>
      <c r="N2008" s="164">
        <f>-SUMIF(TArticle[تاریخ],TDays[[#This Row],[تاریخ]],TArticle[افزایش سرمایه])</f>
        <v>0</v>
      </c>
      <c r="O2008" s="164">
        <f>SUMIF(TArticle[تاریخ],TDays[[#This Row],[تاریخ]],TArticle[تعداد تراکنش انجام شده])</f>
        <v>0</v>
      </c>
      <c r="P2008" s="164">
        <f>INT(((TDays[[#This Row],[ماه]]-1)*31+TDays[[#This Row],[روز]]+1)/7)+1</f>
        <v>27</v>
      </c>
      <c r="Q2008" s="164">
        <f>SUMIF(TArticle[تاریخ],TDays[[#This Row],[تاریخ]],TArticle[تراکنش برنامه ریزی شده])</f>
        <v>0</v>
      </c>
    </row>
    <row r="2009" spans="1:17" x14ac:dyDescent="0.25">
      <c r="A2009" s="3" t="s">
        <v>2625</v>
      </c>
      <c r="B2009" s="164" t="str">
        <f>RIGHT(TDays[[#This Row],[تاریخ]],2)</f>
        <v>28</v>
      </c>
      <c r="C2009" s="164" t="str">
        <f>RIGHT(LEFT(TDays[[#This Row],[تاریخ]],7),2)</f>
        <v>06</v>
      </c>
      <c r="D2009" s="164" t="str">
        <f>LEFT(TDays[[#This Row],[تاریخ]],4)</f>
        <v>1406</v>
      </c>
      <c r="E2009" s="164" t="str">
        <f>LEFT(TDays[[#This Row],[تاریخ]],7)</f>
        <v>1406-06</v>
      </c>
      <c r="F2009">
        <v>0</v>
      </c>
      <c r="G2009" s="165" t="str">
        <f>VLOOKUP(TDays[[#This Row],[کد روز هفته]],TDaysOfTheWeek[],2,FALSE)</f>
        <v>شنبه</v>
      </c>
      <c r="H2009" s="165">
        <f>IFERROR(IF(E2008&lt;&gt;E2009,1,INT(H2008)+IF(TDays[[#This Row],[کد روز هفته]]=0,1,0)),1)</f>
        <v>5</v>
      </c>
      <c r="I2009" s="164">
        <f>-SUMIF(TArticle[تاریخ],TDays[[#This Row],[تاریخ]],TArticle[هزینه])</f>
        <v>0</v>
      </c>
      <c r="J2009" s="164">
        <f>SUMIF(TArticle[تاریخ],TDays[[#This Row],[تاریخ]],TArticle[درآمد تتا])</f>
        <v>0</v>
      </c>
      <c r="K2009" s="164">
        <f>SUMIF(TArticle[تاریخ],TDays[[#This Row],[تاریخ]],TArticle[اسنپ])</f>
        <v>0</v>
      </c>
      <c r="L2009" s="164">
        <f>-SUMIF(TArticle[تاریخ],TDays[[#This Row],[تاریخ]],TArticle[پرداخت بدهی])</f>
        <v>0</v>
      </c>
      <c r="M2009" s="164">
        <f>SUMIF(TArticle[تاریخ],TDays[[#This Row],[تاریخ]],TArticle[افزایش بدهی])</f>
        <v>0</v>
      </c>
      <c r="N2009" s="164">
        <f>-SUMIF(TArticle[تاریخ],TDays[[#This Row],[تاریخ]],TArticle[افزایش سرمایه])</f>
        <v>0</v>
      </c>
      <c r="O2009" s="164">
        <f>SUMIF(TArticle[تاریخ],TDays[[#This Row],[تاریخ]],TArticle[تعداد تراکنش انجام شده])</f>
        <v>0</v>
      </c>
      <c r="P2009" s="164">
        <f>INT(((TDays[[#This Row],[ماه]]-1)*31+TDays[[#This Row],[روز]]+1)/7)+1</f>
        <v>27</v>
      </c>
      <c r="Q2009" s="164">
        <f>SUMIF(TArticle[تاریخ],TDays[[#This Row],[تاریخ]],TArticle[تراکنش برنامه ریزی شده])</f>
        <v>0</v>
      </c>
    </row>
    <row r="2010" spans="1:17" x14ac:dyDescent="0.25">
      <c r="A2010" s="3" t="s">
        <v>2626</v>
      </c>
      <c r="B2010" s="164" t="str">
        <f>RIGHT(TDays[[#This Row],[تاریخ]],2)</f>
        <v>29</v>
      </c>
      <c r="C2010" s="164" t="str">
        <f>RIGHT(LEFT(TDays[[#This Row],[تاریخ]],7),2)</f>
        <v>06</v>
      </c>
      <c r="D2010" s="164" t="str">
        <f>LEFT(TDays[[#This Row],[تاریخ]],4)</f>
        <v>1406</v>
      </c>
      <c r="E2010" s="164" t="str">
        <f>LEFT(TDays[[#This Row],[تاریخ]],7)</f>
        <v>1406-06</v>
      </c>
      <c r="F2010">
        <v>1</v>
      </c>
      <c r="G2010" s="165" t="str">
        <f>VLOOKUP(TDays[[#This Row],[کد روز هفته]],TDaysOfTheWeek[],2,FALSE)</f>
        <v>یکشنبه</v>
      </c>
      <c r="H2010" s="165">
        <f>IFERROR(IF(E2009&lt;&gt;E2010,1,INT(H2009)+IF(TDays[[#This Row],[کد روز هفته]]=0,1,0)),1)</f>
        <v>5</v>
      </c>
      <c r="I2010" s="164">
        <f>-SUMIF(TArticle[تاریخ],TDays[[#This Row],[تاریخ]],TArticle[هزینه])</f>
        <v>0</v>
      </c>
      <c r="J2010" s="164">
        <f>SUMIF(TArticle[تاریخ],TDays[[#This Row],[تاریخ]],TArticle[درآمد تتا])</f>
        <v>0</v>
      </c>
      <c r="K2010" s="164">
        <f>SUMIF(TArticle[تاریخ],TDays[[#This Row],[تاریخ]],TArticle[اسنپ])</f>
        <v>0</v>
      </c>
      <c r="L2010" s="164">
        <f>-SUMIF(TArticle[تاریخ],TDays[[#This Row],[تاریخ]],TArticle[پرداخت بدهی])</f>
        <v>0</v>
      </c>
      <c r="M2010" s="164">
        <f>SUMIF(TArticle[تاریخ],TDays[[#This Row],[تاریخ]],TArticle[افزایش بدهی])</f>
        <v>0</v>
      </c>
      <c r="N2010" s="164">
        <f>-SUMIF(TArticle[تاریخ],TDays[[#This Row],[تاریخ]],TArticle[افزایش سرمایه])</f>
        <v>0</v>
      </c>
      <c r="O2010" s="164">
        <f>SUMIF(TArticle[تاریخ],TDays[[#This Row],[تاریخ]],TArticle[تعداد تراکنش انجام شده])</f>
        <v>0</v>
      </c>
      <c r="P2010" s="164">
        <f>INT(((TDays[[#This Row],[ماه]]-1)*31+TDays[[#This Row],[روز]]+1)/7)+1</f>
        <v>27</v>
      </c>
      <c r="Q2010" s="164">
        <f>SUMIF(TArticle[تاریخ],TDays[[#This Row],[تاریخ]],TArticle[تراکنش برنامه ریزی شده])</f>
        <v>0</v>
      </c>
    </row>
    <row r="2011" spans="1:17" x14ac:dyDescent="0.25">
      <c r="A2011" s="3" t="s">
        <v>2627</v>
      </c>
      <c r="B2011" s="164" t="str">
        <f>RIGHT(TDays[[#This Row],[تاریخ]],2)</f>
        <v>30</v>
      </c>
      <c r="C2011" s="164" t="str">
        <f>RIGHT(LEFT(TDays[[#This Row],[تاریخ]],7),2)</f>
        <v>06</v>
      </c>
      <c r="D2011" s="164" t="str">
        <f>LEFT(TDays[[#This Row],[تاریخ]],4)</f>
        <v>1406</v>
      </c>
      <c r="E2011" s="164" t="str">
        <f>LEFT(TDays[[#This Row],[تاریخ]],7)</f>
        <v>1406-06</v>
      </c>
      <c r="F2011">
        <v>2</v>
      </c>
      <c r="G2011" s="165" t="str">
        <f>VLOOKUP(TDays[[#This Row],[کد روز هفته]],TDaysOfTheWeek[],2,FALSE)</f>
        <v>دوشنبه</v>
      </c>
      <c r="H2011" s="165">
        <f>IFERROR(IF(E2010&lt;&gt;E2011,1,INT(H2010)+IF(TDays[[#This Row],[کد روز هفته]]=0,1,0)),1)</f>
        <v>5</v>
      </c>
      <c r="I2011" s="164">
        <f>-SUMIF(TArticle[تاریخ],TDays[[#This Row],[تاریخ]],TArticle[هزینه])</f>
        <v>0</v>
      </c>
      <c r="J2011" s="164">
        <f>SUMIF(TArticle[تاریخ],TDays[[#This Row],[تاریخ]],TArticle[درآمد تتا])</f>
        <v>0</v>
      </c>
      <c r="K2011" s="164">
        <f>SUMIF(TArticle[تاریخ],TDays[[#This Row],[تاریخ]],TArticle[اسنپ])</f>
        <v>0</v>
      </c>
      <c r="L2011" s="164">
        <f>-SUMIF(TArticle[تاریخ],TDays[[#This Row],[تاریخ]],TArticle[پرداخت بدهی])</f>
        <v>0</v>
      </c>
      <c r="M2011" s="164">
        <f>SUMIF(TArticle[تاریخ],TDays[[#This Row],[تاریخ]],TArticle[افزایش بدهی])</f>
        <v>0</v>
      </c>
      <c r="N2011" s="164">
        <f>-SUMIF(TArticle[تاریخ],TDays[[#This Row],[تاریخ]],TArticle[افزایش سرمایه])</f>
        <v>0</v>
      </c>
      <c r="O2011" s="164">
        <f>SUMIF(TArticle[تاریخ],TDays[[#This Row],[تاریخ]],TArticle[تعداد تراکنش انجام شده])</f>
        <v>0</v>
      </c>
      <c r="P2011" s="164">
        <f>INT(((TDays[[#This Row],[ماه]]-1)*31+TDays[[#This Row],[روز]]+1)/7)+1</f>
        <v>27</v>
      </c>
      <c r="Q2011" s="164">
        <f>SUMIF(TArticle[تاریخ],TDays[[#This Row],[تاریخ]],TArticle[تراکنش برنامه ریزی شده])</f>
        <v>0</v>
      </c>
    </row>
    <row r="2012" spans="1:17" x14ac:dyDescent="0.25">
      <c r="A2012" s="3" t="s">
        <v>2628</v>
      </c>
      <c r="B2012" s="164" t="str">
        <f>RIGHT(TDays[[#This Row],[تاریخ]],2)</f>
        <v>31</v>
      </c>
      <c r="C2012" s="164" t="str">
        <f>RIGHT(LEFT(TDays[[#This Row],[تاریخ]],7),2)</f>
        <v>06</v>
      </c>
      <c r="D2012" s="164" t="str">
        <f>LEFT(TDays[[#This Row],[تاریخ]],4)</f>
        <v>1406</v>
      </c>
      <c r="E2012" s="164" t="str">
        <f>LEFT(TDays[[#This Row],[تاریخ]],7)</f>
        <v>1406-06</v>
      </c>
      <c r="F2012">
        <v>3</v>
      </c>
      <c r="G2012" s="165" t="str">
        <f>VLOOKUP(TDays[[#This Row],[کد روز هفته]],TDaysOfTheWeek[],2,FALSE)</f>
        <v>سه شنبه</v>
      </c>
      <c r="H2012" s="165">
        <f>IFERROR(IF(E2011&lt;&gt;E2012,1,INT(H2011)+IF(TDays[[#This Row],[کد روز هفته]]=0,1,0)),1)</f>
        <v>5</v>
      </c>
      <c r="I2012" s="164">
        <f>-SUMIF(TArticle[تاریخ],TDays[[#This Row],[تاریخ]],TArticle[هزینه])</f>
        <v>0</v>
      </c>
      <c r="J2012" s="164">
        <f>SUMIF(TArticle[تاریخ],TDays[[#This Row],[تاریخ]],TArticle[درآمد تتا])</f>
        <v>0</v>
      </c>
      <c r="K2012" s="164">
        <f>SUMIF(TArticle[تاریخ],TDays[[#This Row],[تاریخ]],TArticle[اسنپ])</f>
        <v>0</v>
      </c>
      <c r="L2012" s="164">
        <f>-SUMIF(TArticle[تاریخ],TDays[[#This Row],[تاریخ]],TArticle[پرداخت بدهی])</f>
        <v>0</v>
      </c>
      <c r="M2012" s="164">
        <f>SUMIF(TArticle[تاریخ],TDays[[#This Row],[تاریخ]],TArticle[افزایش بدهی])</f>
        <v>0</v>
      </c>
      <c r="N2012" s="164">
        <f>-SUMIF(TArticle[تاریخ],TDays[[#This Row],[تاریخ]],TArticle[افزایش سرمایه])</f>
        <v>0</v>
      </c>
      <c r="O2012" s="164">
        <f>SUMIF(TArticle[تاریخ],TDays[[#This Row],[تاریخ]],TArticle[تعداد تراکنش انجام شده])</f>
        <v>0</v>
      </c>
      <c r="P2012" s="164">
        <f>INT(((TDays[[#This Row],[ماه]]-1)*31+TDays[[#This Row],[روز]]+1)/7)+1</f>
        <v>27</v>
      </c>
      <c r="Q2012" s="164">
        <f>SUMIF(TArticle[تاریخ],TDays[[#This Row],[تاریخ]],TArticle[تراکنش برنامه ریزی شده])</f>
        <v>0</v>
      </c>
    </row>
    <row r="2013" spans="1:17" x14ac:dyDescent="0.25">
      <c r="A2013" s="3" t="s">
        <v>2629</v>
      </c>
      <c r="B2013" s="164" t="str">
        <f>RIGHT(TDays[[#This Row],[تاریخ]],2)</f>
        <v>01</v>
      </c>
      <c r="C2013" s="164" t="str">
        <f>RIGHT(LEFT(TDays[[#This Row],[تاریخ]],7),2)</f>
        <v>07</v>
      </c>
      <c r="D2013" s="164" t="str">
        <f>LEFT(TDays[[#This Row],[تاریخ]],4)</f>
        <v>1406</v>
      </c>
      <c r="E2013" s="164" t="str">
        <f>LEFT(TDays[[#This Row],[تاریخ]],7)</f>
        <v>1406-07</v>
      </c>
      <c r="F2013">
        <v>4</v>
      </c>
      <c r="G2013" s="165" t="str">
        <f>VLOOKUP(TDays[[#This Row],[کد روز هفته]],TDaysOfTheWeek[],2,FALSE)</f>
        <v>چهارشنبه</v>
      </c>
      <c r="H2013" s="165">
        <f>IFERROR(IF(E2012&lt;&gt;E2013,1,INT(H2012)+IF(TDays[[#This Row],[کد روز هفته]]=0,1,0)),1)</f>
        <v>1</v>
      </c>
      <c r="I2013" s="164">
        <f>-SUMIF(TArticle[تاریخ],TDays[[#This Row],[تاریخ]],TArticle[هزینه])</f>
        <v>0</v>
      </c>
      <c r="J2013" s="164">
        <f>SUMIF(TArticle[تاریخ],TDays[[#This Row],[تاریخ]],TArticle[درآمد تتا])</f>
        <v>0</v>
      </c>
      <c r="K2013" s="164">
        <f>SUMIF(TArticle[تاریخ],TDays[[#This Row],[تاریخ]],TArticle[اسنپ])</f>
        <v>0</v>
      </c>
      <c r="L2013" s="164">
        <f>-SUMIF(TArticle[تاریخ],TDays[[#This Row],[تاریخ]],TArticle[پرداخت بدهی])</f>
        <v>0</v>
      </c>
      <c r="M2013" s="164">
        <f>SUMIF(TArticle[تاریخ],TDays[[#This Row],[تاریخ]],TArticle[افزایش بدهی])</f>
        <v>0</v>
      </c>
      <c r="N2013" s="164">
        <f>-SUMIF(TArticle[تاریخ],TDays[[#This Row],[تاریخ]],TArticle[افزایش سرمایه])</f>
        <v>0</v>
      </c>
      <c r="O2013" s="164">
        <f>SUMIF(TArticle[تاریخ],TDays[[#This Row],[تاریخ]],TArticle[تعداد تراکنش انجام شده])</f>
        <v>0</v>
      </c>
      <c r="P2013" s="164">
        <f>INT(((TDays[[#This Row],[ماه]]-1)*31+TDays[[#This Row],[روز]]+1)/7)+1</f>
        <v>27</v>
      </c>
      <c r="Q2013" s="164">
        <f>SUMIF(TArticle[تاریخ],TDays[[#This Row],[تاریخ]],TArticle[تراکنش برنامه ریزی شده])</f>
        <v>0</v>
      </c>
    </row>
    <row r="2014" spans="1:17" x14ac:dyDescent="0.25">
      <c r="A2014" s="3" t="s">
        <v>2630</v>
      </c>
      <c r="B2014" s="164" t="str">
        <f>RIGHT(TDays[[#This Row],[تاریخ]],2)</f>
        <v>02</v>
      </c>
      <c r="C2014" s="164" t="str">
        <f>RIGHT(LEFT(TDays[[#This Row],[تاریخ]],7),2)</f>
        <v>07</v>
      </c>
      <c r="D2014" s="164" t="str">
        <f>LEFT(TDays[[#This Row],[تاریخ]],4)</f>
        <v>1406</v>
      </c>
      <c r="E2014" s="164" t="str">
        <f>LEFT(TDays[[#This Row],[تاریخ]],7)</f>
        <v>1406-07</v>
      </c>
      <c r="F2014">
        <v>5</v>
      </c>
      <c r="G2014" s="165" t="str">
        <f>VLOOKUP(TDays[[#This Row],[کد روز هفته]],TDaysOfTheWeek[],2,FALSE)</f>
        <v>پنجشنبه</v>
      </c>
      <c r="H2014" s="165">
        <f>IFERROR(IF(E2013&lt;&gt;E2014,1,INT(H2013)+IF(TDays[[#This Row],[کد روز هفته]]=0,1,0)),1)</f>
        <v>1</v>
      </c>
      <c r="I2014" s="164">
        <f>-SUMIF(TArticle[تاریخ],TDays[[#This Row],[تاریخ]],TArticle[هزینه])</f>
        <v>0</v>
      </c>
      <c r="J2014" s="164">
        <f>SUMIF(TArticle[تاریخ],TDays[[#This Row],[تاریخ]],TArticle[درآمد تتا])</f>
        <v>0</v>
      </c>
      <c r="K2014" s="164">
        <f>SUMIF(TArticle[تاریخ],TDays[[#This Row],[تاریخ]],TArticle[اسنپ])</f>
        <v>0</v>
      </c>
      <c r="L2014" s="164">
        <f>-SUMIF(TArticle[تاریخ],TDays[[#This Row],[تاریخ]],TArticle[پرداخت بدهی])</f>
        <v>0</v>
      </c>
      <c r="M2014" s="164">
        <f>SUMIF(TArticle[تاریخ],TDays[[#This Row],[تاریخ]],TArticle[افزایش بدهی])</f>
        <v>0</v>
      </c>
      <c r="N2014" s="164">
        <f>-SUMIF(TArticle[تاریخ],TDays[[#This Row],[تاریخ]],TArticle[افزایش سرمایه])</f>
        <v>0</v>
      </c>
      <c r="O2014" s="164">
        <f>SUMIF(TArticle[تاریخ],TDays[[#This Row],[تاریخ]],TArticle[تعداد تراکنش انجام شده])</f>
        <v>0</v>
      </c>
      <c r="P2014" s="164">
        <f>INT(((TDays[[#This Row],[ماه]]-1)*31+TDays[[#This Row],[روز]]+1)/7)+1</f>
        <v>28</v>
      </c>
      <c r="Q2014" s="164">
        <f>SUMIF(TArticle[تاریخ],TDays[[#This Row],[تاریخ]],TArticle[تراکنش برنامه ریزی شده])</f>
        <v>0</v>
      </c>
    </row>
    <row r="2015" spans="1:17" x14ac:dyDescent="0.25">
      <c r="A2015" s="3" t="s">
        <v>2631</v>
      </c>
      <c r="B2015" s="164" t="str">
        <f>RIGHT(TDays[[#This Row],[تاریخ]],2)</f>
        <v>03</v>
      </c>
      <c r="C2015" s="164" t="str">
        <f>RIGHT(LEFT(TDays[[#This Row],[تاریخ]],7),2)</f>
        <v>07</v>
      </c>
      <c r="D2015" s="164" t="str">
        <f>LEFT(TDays[[#This Row],[تاریخ]],4)</f>
        <v>1406</v>
      </c>
      <c r="E2015" s="164" t="str">
        <f>LEFT(TDays[[#This Row],[تاریخ]],7)</f>
        <v>1406-07</v>
      </c>
      <c r="F2015">
        <v>6</v>
      </c>
      <c r="G2015" s="165" t="str">
        <f>VLOOKUP(TDays[[#This Row],[کد روز هفته]],TDaysOfTheWeek[],2,FALSE)</f>
        <v>جمعه</v>
      </c>
      <c r="H2015" s="165">
        <f>IFERROR(IF(E2014&lt;&gt;E2015,1,INT(H2014)+IF(TDays[[#This Row],[کد روز هفته]]=0,1,0)),1)</f>
        <v>1</v>
      </c>
      <c r="I2015" s="164">
        <f>-SUMIF(TArticle[تاریخ],TDays[[#This Row],[تاریخ]],TArticle[هزینه])</f>
        <v>0</v>
      </c>
      <c r="J2015" s="164">
        <f>SUMIF(TArticle[تاریخ],TDays[[#This Row],[تاریخ]],TArticle[درآمد تتا])</f>
        <v>0</v>
      </c>
      <c r="K2015" s="164">
        <f>SUMIF(TArticle[تاریخ],TDays[[#This Row],[تاریخ]],TArticle[اسنپ])</f>
        <v>0</v>
      </c>
      <c r="L2015" s="164">
        <f>-SUMIF(TArticle[تاریخ],TDays[[#This Row],[تاریخ]],TArticle[پرداخت بدهی])</f>
        <v>0</v>
      </c>
      <c r="M2015" s="164">
        <f>SUMIF(TArticle[تاریخ],TDays[[#This Row],[تاریخ]],TArticle[افزایش بدهی])</f>
        <v>0</v>
      </c>
      <c r="N2015" s="164">
        <f>-SUMIF(TArticle[تاریخ],TDays[[#This Row],[تاریخ]],TArticle[افزایش سرمایه])</f>
        <v>0</v>
      </c>
      <c r="O2015" s="164">
        <f>SUMIF(TArticle[تاریخ],TDays[[#This Row],[تاریخ]],TArticle[تعداد تراکنش انجام شده])</f>
        <v>0</v>
      </c>
      <c r="P2015" s="164">
        <f>INT(((TDays[[#This Row],[ماه]]-1)*31+TDays[[#This Row],[روز]]+1)/7)+1</f>
        <v>28</v>
      </c>
      <c r="Q2015" s="164">
        <f>SUMIF(TArticle[تاریخ],TDays[[#This Row],[تاریخ]],TArticle[تراکنش برنامه ریزی شده])</f>
        <v>1</v>
      </c>
    </row>
    <row r="2016" spans="1:17" x14ac:dyDescent="0.25">
      <c r="A2016" s="3" t="s">
        <v>2632</v>
      </c>
      <c r="B2016" s="164" t="str">
        <f>RIGHT(TDays[[#This Row],[تاریخ]],2)</f>
        <v>04</v>
      </c>
      <c r="C2016" s="164" t="str">
        <f>RIGHT(LEFT(TDays[[#This Row],[تاریخ]],7),2)</f>
        <v>07</v>
      </c>
      <c r="D2016" s="164" t="str">
        <f>LEFT(TDays[[#This Row],[تاریخ]],4)</f>
        <v>1406</v>
      </c>
      <c r="E2016" s="164" t="str">
        <f>LEFT(TDays[[#This Row],[تاریخ]],7)</f>
        <v>1406-07</v>
      </c>
      <c r="F2016">
        <v>0</v>
      </c>
      <c r="G2016" s="165" t="str">
        <f>VLOOKUP(TDays[[#This Row],[کد روز هفته]],TDaysOfTheWeek[],2,FALSE)</f>
        <v>شنبه</v>
      </c>
      <c r="H2016" s="165">
        <f>IFERROR(IF(E2015&lt;&gt;E2016,1,INT(H2015)+IF(TDays[[#This Row],[کد روز هفته]]=0,1,0)),1)</f>
        <v>2</v>
      </c>
      <c r="I2016" s="164">
        <f>-SUMIF(TArticle[تاریخ],TDays[[#This Row],[تاریخ]],TArticle[هزینه])</f>
        <v>0</v>
      </c>
      <c r="J2016" s="164">
        <f>SUMIF(TArticle[تاریخ],TDays[[#This Row],[تاریخ]],TArticle[درآمد تتا])</f>
        <v>0</v>
      </c>
      <c r="K2016" s="164">
        <f>SUMIF(TArticle[تاریخ],TDays[[#This Row],[تاریخ]],TArticle[اسنپ])</f>
        <v>0</v>
      </c>
      <c r="L2016" s="164">
        <f>-SUMIF(TArticle[تاریخ],TDays[[#This Row],[تاریخ]],TArticle[پرداخت بدهی])</f>
        <v>0</v>
      </c>
      <c r="M2016" s="164">
        <f>SUMIF(TArticle[تاریخ],TDays[[#This Row],[تاریخ]],TArticle[افزایش بدهی])</f>
        <v>0</v>
      </c>
      <c r="N2016" s="164">
        <f>-SUMIF(TArticle[تاریخ],TDays[[#This Row],[تاریخ]],TArticle[افزایش سرمایه])</f>
        <v>0</v>
      </c>
      <c r="O2016" s="164">
        <f>SUMIF(TArticle[تاریخ],TDays[[#This Row],[تاریخ]],TArticle[تعداد تراکنش انجام شده])</f>
        <v>0</v>
      </c>
      <c r="P2016" s="164">
        <f>INT(((TDays[[#This Row],[ماه]]-1)*31+TDays[[#This Row],[روز]]+1)/7)+1</f>
        <v>28</v>
      </c>
      <c r="Q2016" s="164">
        <f>SUMIF(TArticle[تاریخ],TDays[[#This Row],[تاریخ]],TArticle[تراکنش برنامه ریزی شده])</f>
        <v>0</v>
      </c>
    </row>
    <row r="2017" spans="1:17" x14ac:dyDescent="0.25">
      <c r="A2017" s="3" t="s">
        <v>2633</v>
      </c>
      <c r="B2017" s="164" t="str">
        <f>RIGHT(TDays[[#This Row],[تاریخ]],2)</f>
        <v>05</v>
      </c>
      <c r="C2017" s="164" t="str">
        <f>RIGHT(LEFT(TDays[[#This Row],[تاریخ]],7),2)</f>
        <v>07</v>
      </c>
      <c r="D2017" s="164" t="str">
        <f>LEFT(TDays[[#This Row],[تاریخ]],4)</f>
        <v>1406</v>
      </c>
      <c r="E2017" s="164" t="str">
        <f>LEFT(TDays[[#This Row],[تاریخ]],7)</f>
        <v>1406-07</v>
      </c>
      <c r="F2017">
        <v>1</v>
      </c>
      <c r="G2017" s="165" t="str">
        <f>VLOOKUP(TDays[[#This Row],[کد روز هفته]],TDaysOfTheWeek[],2,FALSE)</f>
        <v>یکشنبه</v>
      </c>
      <c r="H2017" s="165">
        <f>IFERROR(IF(E2016&lt;&gt;E2017,1,INT(H2016)+IF(TDays[[#This Row],[کد روز هفته]]=0,1,0)),1)</f>
        <v>2</v>
      </c>
      <c r="I2017" s="164">
        <f>-SUMIF(TArticle[تاریخ],TDays[[#This Row],[تاریخ]],TArticle[هزینه])</f>
        <v>0</v>
      </c>
      <c r="J2017" s="164">
        <f>SUMIF(TArticle[تاریخ],TDays[[#This Row],[تاریخ]],TArticle[درآمد تتا])</f>
        <v>0</v>
      </c>
      <c r="K2017" s="164">
        <f>SUMIF(TArticle[تاریخ],TDays[[#This Row],[تاریخ]],TArticle[اسنپ])</f>
        <v>0</v>
      </c>
      <c r="L2017" s="164">
        <f>-SUMIF(TArticle[تاریخ],TDays[[#This Row],[تاریخ]],TArticle[پرداخت بدهی])</f>
        <v>0</v>
      </c>
      <c r="M2017" s="164">
        <f>SUMIF(TArticle[تاریخ],TDays[[#This Row],[تاریخ]],TArticle[افزایش بدهی])</f>
        <v>0</v>
      </c>
      <c r="N2017" s="164">
        <f>-SUMIF(TArticle[تاریخ],TDays[[#This Row],[تاریخ]],TArticle[افزایش سرمایه])</f>
        <v>0</v>
      </c>
      <c r="O2017" s="164">
        <f>SUMIF(TArticle[تاریخ],TDays[[#This Row],[تاریخ]],TArticle[تعداد تراکنش انجام شده])</f>
        <v>0</v>
      </c>
      <c r="P2017" s="164">
        <f>INT(((TDays[[#This Row],[ماه]]-1)*31+TDays[[#This Row],[روز]]+1)/7)+1</f>
        <v>28</v>
      </c>
      <c r="Q2017" s="164">
        <f>SUMIF(TArticle[تاریخ],TDays[[#This Row],[تاریخ]],TArticle[تراکنش برنامه ریزی شده])</f>
        <v>0</v>
      </c>
    </row>
    <row r="2018" spans="1:17" x14ac:dyDescent="0.25">
      <c r="A2018" s="3" t="s">
        <v>2634</v>
      </c>
      <c r="B2018" s="164" t="str">
        <f>RIGHT(TDays[[#This Row],[تاریخ]],2)</f>
        <v>06</v>
      </c>
      <c r="C2018" s="164" t="str">
        <f>RIGHT(LEFT(TDays[[#This Row],[تاریخ]],7),2)</f>
        <v>07</v>
      </c>
      <c r="D2018" s="164" t="str">
        <f>LEFT(TDays[[#This Row],[تاریخ]],4)</f>
        <v>1406</v>
      </c>
      <c r="E2018" s="164" t="str">
        <f>LEFT(TDays[[#This Row],[تاریخ]],7)</f>
        <v>1406-07</v>
      </c>
      <c r="F2018">
        <v>2</v>
      </c>
      <c r="G2018" s="165" t="str">
        <f>VLOOKUP(TDays[[#This Row],[کد روز هفته]],TDaysOfTheWeek[],2,FALSE)</f>
        <v>دوشنبه</v>
      </c>
      <c r="H2018" s="165">
        <f>IFERROR(IF(E2017&lt;&gt;E2018,1,INT(H2017)+IF(TDays[[#This Row],[کد روز هفته]]=0,1,0)),1)</f>
        <v>2</v>
      </c>
      <c r="I2018" s="164">
        <f>-SUMIF(TArticle[تاریخ],TDays[[#This Row],[تاریخ]],TArticle[هزینه])</f>
        <v>0</v>
      </c>
      <c r="J2018" s="164">
        <f>SUMIF(TArticle[تاریخ],TDays[[#This Row],[تاریخ]],TArticle[درآمد تتا])</f>
        <v>0</v>
      </c>
      <c r="K2018" s="164">
        <f>SUMIF(TArticle[تاریخ],TDays[[#This Row],[تاریخ]],TArticle[اسنپ])</f>
        <v>0</v>
      </c>
      <c r="L2018" s="164">
        <f>-SUMIF(TArticle[تاریخ],TDays[[#This Row],[تاریخ]],TArticle[پرداخت بدهی])</f>
        <v>0</v>
      </c>
      <c r="M2018" s="164">
        <f>SUMIF(TArticle[تاریخ],TDays[[#This Row],[تاریخ]],TArticle[افزایش بدهی])</f>
        <v>0</v>
      </c>
      <c r="N2018" s="164">
        <f>-SUMIF(TArticle[تاریخ],TDays[[#This Row],[تاریخ]],TArticle[افزایش سرمایه])</f>
        <v>0</v>
      </c>
      <c r="O2018" s="164">
        <f>SUMIF(TArticle[تاریخ],TDays[[#This Row],[تاریخ]],TArticle[تعداد تراکنش انجام شده])</f>
        <v>0</v>
      </c>
      <c r="P2018" s="164">
        <f>INT(((TDays[[#This Row],[ماه]]-1)*31+TDays[[#This Row],[روز]]+1)/7)+1</f>
        <v>28</v>
      </c>
      <c r="Q2018" s="164">
        <f>SUMIF(TArticle[تاریخ],TDays[[#This Row],[تاریخ]],TArticle[تراکنش برنامه ریزی شده])</f>
        <v>0</v>
      </c>
    </row>
    <row r="2019" spans="1:17" x14ac:dyDescent="0.25">
      <c r="A2019" s="3" t="s">
        <v>2635</v>
      </c>
      <c r="B2019" s="164" t="str">
        <f>RIGHT(TDays[[#This Row],[تاریخ]],2)</f>
        <v>07</v>
      </c>
      <c r="C2019" s="164" t="str">
        <f>RIGHT(LEFT(TDays[[#This Row],[تاریخ]],7),2)</f>
        <v>07</v>
      </c>
      <c r="D2019" s="164" t="str">
        <f>LEFT(TDays[[#This Row],[تاریخ]],4)</f>
        <v>1406</v>
      </c>
      <c r="E2019" s="164" t="str">
        <f>LEFT(TDays[[#This Row],[تاریخ]],7)</f>
        <v>1406-07</v>
      </c>
      <c r="F2019" s="164">
        <v>3</v>
      </c>
      <c r="G2019" s="165" t="str">
        <f>VLOOKUP(TDays[[#This Row],[کد روز هفته]],TDaysOfTheWeek[],2,FALSE)</f>
        <v>سه شنبه</v>
      </c>
      <c r="H2019" s="165">
        <f>IFERROR(IF(E2018&lt;&gt;E2019,1,INT(H2018)+IF(TDays[[#This Row],[کد روز هفته]]=0,1,0)),1)</f>
        <v>2</v>
      </c>
      <c r="I2019" s="164">
        <f>-SUMIF(TArticle[تاریخ],TDays[[#This Row],[تاریخ]],TArticle[هزینه])</f>
        <v>0</v>
      </c>
      <c r="J2019" s="164">
        <f>SUMIF(TArticle[تاریخ],TDays[[#This Row],[تاریخ]],TArticle[درآمد تتا])</f>
        <v>0</v>
      </c>
      <c r="K2019" s="164">
        <f>SUMIF(TArticle[تاریخ],TDays[[#This Row],[تاریخ]],TArticle[اسنپ])</f>
        <v>0</v>
      </c>
      <c r="L2019" s="164">
        <f>-SUMIF(TArticle[تاریخ],TDays[[#This Row],[تاریخ]],TArticle[پرداخت بدهی])</f>
        <v>0</v>
      </c>
      <c r="M2019" s="164">
        <f>SUMIF(TArticle[تاریخ],TDays[[#This Row],[تاریخ]],TArticle[افزایش بدهی])</f>
        <v>0</v>
      </c>
      <c r="N2019" s="164">
        <f>-SUMIF(TArticle[تاریخ],TDays[[#This Row],[تاریخ]],TArticle[افزایش سرمایه])</f>
        <v>0</v>
      </c>
      <c r="O2019" s="164">
        <f>SUMIF(TArticle[تاریخ],TDays[[#This Row],[تاریخ]],TArticle[تعداد تراکنش انجام شده])</f>
        <v>0</v>
      </c>
      <c r="P2019" s="164">
        <f>INT(((TDays[[#This Row],[ماه]]-1)*31+TDays[[#This Row],[روز]]+1)/7)+1</f>
        <v>28</v>
      </c>
      <c r="Q2019" s="164">
        <f>SUMIF(TArticle[تاریخ],TDays[[#This Row],[تاریخ]],TArticle[تراکنش برنامه ریزی شده])</f>
        <v>0</v>
      </c>
    </row>
    <row r="2020" spans="1:17" x14ac:dyDescent="0.25">
      <c r="A2020" s="3" t="s">
        <v>2636</v>
      </c>
      <c r="B2020" s="164" t="str">
        <f>RIGHT(TDays[[#This Row],[تاریخ]],2)</f>
        <v>08</v>
      </c>
      <c r="C2020" s="164" t="str">
        <f>RIGHT(LEFT(TDays[[#This Row],[تاریخ]],7),2)</f>
        <v>07</v>
      </c>
      <c r="D2020" s="164" t="str">
        <f>LEFT(TDays[[#This Row],[تاریخ]],4)</f>
        <v>1406</v>
      </c>
      <c r="E2020" s="164" t="str">
        <f>LEFT(TDays[[#This Row],[تاریخ]],7)</f>
        <v>1406-07</v>
      </c>
      <c r="F2020" s="164">
        <v>4</v>
      </c>
      <c r="G2020" s="165" t="str">
        <f>VLOOKUP(TDays[[#This Row],[کد روز هفته]],TDaysOfTheWeek[],2,FALSE)</f>
        <v>چهارشنبه</v>
      </c>
      <c r="H2020" s="165">
        <f>IFERROR(IF(E2019&lt;&gt;E2020,1,INT(H2019)+IF(TDays[[#This Row],[کد روز هفته]]=0,1,0)),1)</f>
        <v>2</v>
      </c>
      <c r="I2020" s="164">
        <f>-SUMIF(TArticle[تاریخ],TDays[[#This Row],[تاریخ]],TArticle[هزینه])</f>
        <v>0</v>
      </c>
      <c r="J2020" s="164">
        <f>SUMIF(TArticle[تاریخ],TDays[[#This Row],[تاریخ]],TArticle[درآمد تتا])</f>
        <v>0</v>
      </c>
      <c r="K2020" s="164">
        <f>SUMIF(TArticle[تاریخ],TDays[[#This Row],[تاریخ]],TArticle[اسنپ])</f>
        <v>0</v>
      </c>
      <c r="L2020" s="164">
        <f>-SUMIF(TArticle[تاریخ],TDays[[#This Row],[تاریخ]],TArticle[پرداخت بدهی])</f>
        <v>0</v>
      </c>
      <c r="M2020" s="164">
        <f>SUMIF(TArticle[تاریخ],TDays[[#This Row],[تاریخ]],TArticle[افزایش بدهی])</f>
        <v>0</v>
      </c>
      <c r="N2020" s="164">
        <f>-SUMIF(TArticle[تاریخ],TDays[[#This Row],[تاریخ]],TArticle[افزایش سرمایه])</f>
        <v>0</v>
      </c>
      <c r="O2020" s="164">
        <f>SUMIF(TArticle[تاریخ],TDays[[#This Row],[تاریخ]],TArticle[تعداد تراکنش انجام شده])</f>
        <v>0</v>
      </c>
      <c r="P2020" s="164">
        <f>INT(((TDays[[#This Row],[ماه]]-1)*31+TDays[[#This Row],[روز]]+1)/7)+1</f>
        <v>28</v>
      </c>
      <c r="Q2020" s="164">
        <f>SUMIF(TArticle[تاریخ],TDays[[#This Row],[تاریخ]],TArticle[تراکنش برنامه ریزی شده])</f>
        <v>0</v>
      </c>
    </row>
    <row r="2021" spans="1:17" x14ac:dyDescent="0.25">
      <c r="A2021" s="3" t="s">
        <v>2637</v>
      </c>
      <c r="B2021" s="164" t="str">
        <f>RIGHT(TDays[[#This Row],[تاریخ]],2)</f>
        <v>09</v>
      </c>
      <c r="C2021" s="164" t="str">
        <f>RIGHT(LEFT(TDays[[#This Row],[تاریخ]],7),2)</f>
        <v>07</v>
      </c>
      <c r="D2021" s="164" t="str">
        <f>LEFT(TDays[[#This Row],[تاریخ]],4)</f>
        <v>1406</v>
      </c>
      <c r="E2021" s="164" t="str">
        <f>LEFT(TDays[[#This Row],[تاریخ]],7)</f>
        <v>1406-07</v>
      </c>
      <c r="F2021">
        <v>5</v>
      </c>
      <c r="G2021" s="165" t="str">
        <f>VLOOKUP(TDays[[#This Row],[کد روز هفته]],TDaysOfTheWeek[],2,FALSE)</f>
        <v>پنجشنبه</v>
      </c>
      <c r="H2021" s="165">
        <f>IFERROR(IF(E2020&lt;&gt;E2021,1,INT(H2020)+IF(TDays[[#This Row],[کد روز هفته]]=0,1,0)),1)</f>
        <v>2</v>
      </c>
      <c r="I2021" s="164">
        <f>-SUMIF(TArticle[تاریخ],TDays[[#This Row],[تاریخ]],TArticle[هزینه])</f>
        <v>0</v>
      </c>
      <c r="J2021" s="164">
        <f>SUMIF(TArticle[تاریخ],TDays[[#This Row],[تاریخ]],TArticle[درآمد تتا])</f>
        <v>0</v>
      </c>
      <c r="K2021" s="164">
        <f>SUMIF(TArticle[تاریخ],TDays[[#This Row],[تاریخ]],TArticle[اسنپ])</f>
        <v>0</v>
      </c>
      <c r="L2021" s="164">
        <f>-SUMIF(TArticle[تاریخ],TDays[[#This Row],[تاریخ]],TArticle[پرداخت بدهی])</f>
        <v>0</v>
      </c>
      <c r="M2021" s="164">
        <f>SUMIF(TArticle[تاریخ],TDays[[#This Row],[تاریخ]],TArticle[افزایش بدهی])</f>
        <v>0</v>
      </c>
      <c r="N2021" s="164">
        <f>-SUMIF(TArticle[تاریخ],TDays[[#This Row],[تاریخ]],TArticle[افزایش سرمایه])</f>
        <v>0</v>
      </c>
      <c r="O2021" s="164">
        <f>SUMIF(TArticle[تاریخ],TDays[[#This Row],[تاریخ]],TArticle[تعداد تراکنش انجام شده])</f>
        <v>0</v>
      </c>
      <c r="P2021" s="164">
        <f>INT(((TDays[[#This Row],[ماه]]-1)*31+TDays[[#This Row],[روز]]+1)/7)+1</f>
        <v>29</v>
      </c>
      <c r="Q2021" s="164">
        <f>SUMIF(TArticle[تاریخ],TDays[[#This Row],[تاریخ]],TArticle[تراکنش برنامه ریزی شده])</f>
        <v>0</v>
      </c>
    </row>
    <row r="2022" spans="1:17" x14ac:dyDescent="0.25">
      <c r="A2022" s="3" t="s">
        <v>2638</v>
      </c>
      <c r="B2022" s="164" t="str">
        <f>RIGHT(TDays[[#This Row],[تاریخ]],2)</f>
        <v>10</v>
      </c>
      <c r="C2022" s="164" t="str">
        <f>RIGHT(LEFT(TDays[[#This Row],[تاریخ]],7),2)</f>
        <v>07</v>
      </c>
      <c r="D2022" s="164" t="str">
        <f>LEFT(TDays[[#This Row],[تاریخ]],4)</f>
        <v>1406</v>
      </c>
      <c r="E2022" s="164" t="str">
        <f>LEFT(TDays[[#This Row],[تاریخ]],7)</f>
        <v>1406-07</v>
      </c>
      <c r="F2022">
        <v>6</v>
      </c>
      <c r="G2022" s="165" t="str">
        <f>VLOOKUP(TDays[[#This Row],[کد روز هفته]],TDaysOfTheWeek[],2,FALSE)</f>
        <v>جمعه</v>
      </c>
      <c r="H2022" s="165">
        <f>IFERROR(IF(E2021&lt;&gt;E2022,1,INT(H2021)+IF(TDays[[#This Row],[کد روز هفته]]=0,1,0)),1)</f>
        <v>2</v>
      </c>
      <c r="I2022" s="164">
        <f>-SUMIF(TArticle[تاریخ],TDays[[#This Row],[تاریخ]],TArticle[هزینه])</f>
        <v>0</v>
      </c>
      <c r="J2022" s="164">
        <f>SUMIF(TArticle[تاریخ],TDays[[#This Row],[تاریخ]],TArticle[درآمد تتا])</f>
        <v>0</v>
      </c>
      <c r="K2022" s="164">
        <f>SUMIF(TArticle[تاریخ],TDays[[#This Row],[تاریخ]],TArticle[اسنپ])</f>
        <v>0</v>
      </c>
      <c r="L2022" s="164">
        <f>-SUMIF(TArticle[تاریخ],TDays[[#This Row],[تاریخ]],TArticle[پرداخت بدهی])</f>
        <v>0</v>
      </c>
      <c r="M2022" s="164">
        <f>SUMIF(TArticle[تاریخ],TDays[[#This Row],[تاریخ]],TArticle[افزایش بدهی])</f>
        <v>0</v>
      </c>
      <c r="N2022" s="164">
        <f>-SUMIF(TArticle[تاریخ],TDays[[#This Row],[تاریخ]],TArticle[افزایش سرمایه])</f>
        <v>0</v>
      </c>
      <c r="O2022" s="164">
        <f>SUMIF(TArticle[تاریخ],TDays[[#This Row],[تاریخ]],TArticle[تعداد تراکنش انجام شده])</f>
        <v>0</v>
      </c>
      <c r="P2022" s="164">
        <f>INT(((TDays[[#This Row],[ماه]]-1)*31+TDays[[#This Row],[روز]]+1)/7)+1</f>
        <v>29</v>
      </c>
      <c r="Q2022" s="164">
        <f>SUMIF(TArticle[تاریخ],TDays[[#This Row],[تاریخ]],TArticle[تراکنش برنامه ریزی شده])</f>
        <v>0</v>
      </c>
    </row>
    <row r="2023" spans="1:17" x14ac:dyDescent="0.25">
      <c r="A2023" s="3" t="s">
        <v>2639</v>
      </c>
      <c r="B2023" s="164" t="str">
        <f>RIGHT(TDays[[#This Row],[تاریخ]],2)</f>
        <v>11</v>
      </c>
      <c r="C2023" s="164" t="str">
        <f>RIGHT(LEFT(TDays[[#This Row],[تاریخ]],7),2)</f>
        <v>07</v>
      </c>
      <c r="D2023" s="164" t="str">
        <f>LEFT(TDays[[#This Row],[تاریخ]],4)</f>
        <v>1406</v>
      </c>
      <c r="E2023" s="164" t="str">
        <f>LEFT(TDays[[#This Row],[تاریخ]],7)</f>
        <v>1406-07</v>
      </c>
      <c r="F2023">
        <v>0</v>
      </c>
      <c r="G2023" s="165" t="str">
        <f>VLOOKUP(TDays[[#This Row],[کد روز هفته]],TDaysOfTheWeek[],2,FALSE)</f>
        <v>شنبه</v>
      </c>
      <c r="H2023" s="165">
        <f>IFERROR(IF(E2022&lt;&gt;E2023,1,INT(H2022)+IF(TDays[[#This Row],[کد روز هفته]]=0,1,0)),1)</f>
        <v>3</v>
      </c>
      <c r="I2023" s="164">
        <f>-SUMIF(TArticle[تاریخ],TDays[[#This Row],[تاریخ]],TArticle[هزینه])</f>
        <v>0</v>
      </c>
      <c r="J2023" s="164">
        <f>SUMIF(TArticle[تاریخ],TDays[[#This Row],[تاریخ]],TArticle[درآمد تتا])</f>
        <v>0</v>
      </c>
      <c r="K2023" s="164">
        <f>SUMIF(TArticle[تاریخ],TDays[[#This Row],[تاریخ]],TArticle[اسنپ])</f>
        <v>0</v>
      </c>
      <c r="L2023" s="164">
        <f>-SUMIF(TArticle[تاریخ],TDays[[#This Row],[تاریخ]],TArticle[پرداخت بدهی])</f>
        <v>0</v>
      </c>
      <c r="M2023" s="164">
        <f>SUMIF(TArticle[تاریخ],TDays[[#This Row],[تاریخ]],TArticle[افزایش بدهی])</f>
        <v>0</v>
      </c>
      <c r="N2023" s="164">
        <f>-SUMIF(TArticle[تاریخ],TDays[[#This Row],[تاریخ]],TArticle[افزایش سرمایه])</f>
        <v>0</v>
      </c>
      <c r="O2023" s="164">
        <f>SUMIF(TArticle[تاریخ],TDays[[#This Row],[تاریخ]],TArticle[تعداد تراکنش انجام شده])</f>
        <v>0</v>
      </c>
      <c r="P2023" s="164">
        <f>INT(((TDays[[#This Row],[ماه]]-1)*31+TDays[[#This Row],[روز]]+1)/7)+1</f>
        <v>29</v>
      </c>
      <c r="Q2023" s="164">
        <f>SUMIF(TArticle[تاریخ],TDays[[#This Row],[تاریخ]],TArticle[تراکنش برنامه ریزی شده])</f>
        <v>0</v>
      </c>
    </row>
    <row r="2024" spans="1:17" x14ac:dyDescent="0.25">
      <c r="A2024" s="3" t="s">
        <v>2640</v>
      </c>
      <c r="B2024" s="164" t="str">
        <f>RIGHT(TDays[[#This Row],[تاریخ]],2)</f>
        <v>12</v>
      </c>
      <c r="C2024" s="164" t="str">
        <f>RIGHT(LEFT(TDays[[#This Row],[تاریخ]],7),2)</f>
        <v>07</v>
      </c>
      <c r="D2024" s="164" t="str">
        <f>LEFT(TDays[[#This Row],[تاریخ]],4)</f>
        <v>1406</v>
      </c>
      <c r="E2024" s="164" t="str">
        <f>LEFT(TDays[[#This Row],[تاریخ]],7)</f>
        <v>1406-07</v>
      </c>
      <c r="F2024">
        <v>1</v>
      </c>
      <c r="G2024" s="165" t="str">
        <f>VLOOKUP(TDays[[#This Row],[کد روز هفته]],TDaysOfTheWeek[],2,FALSE)</f>
        <v>یکشنبه</v>
      </c>
      <c r="H2024" s="165">
        <f>IFERROR(IF(E2023&lt;&gt;E2024,1,INT(H2023)+IF(TDays[[#This Row],[کد روز هفته]]=0,1,0)),1)</f>
        <v>3</v>
      </c>
      <c r="I2024" s="164">
        <f>-SUMIF(TArticle[تاریخ],TDays[[#This Row],[تاریخ]],TArticle[هزینه])</f>
        <v>0</v>
      </c>
      <c r="J2024" s="164">
        <f>SUMIF(TArticle[تاریخ],TDays[[#This Row],[تاریخ]],TArticle[درآمد تتا])</f>
        <v>0</v>
      </c>
      <c r="K2024" s="164">
        <f>SUMIF(TArticle[تاریخ],TDays[[#This Row],[تاریخ]],TArticle[اسنپ])</f>
        <v>0</v>
      </c>
      <c r="L2024" s="164">
        <f>-SUMIF(TArticle[تاریخ],TDays[[#This Row],[تاریخ]],TArticle[پرداخت بدهی])</f>
        <v>0</v>
      </c>
      <c r="M2024" s="164">
        <f>SUMIF(TArticle[تاریخ],TDays[[#This Row],[تاریخ]],TArticle[افزایش بدهی])</f>
        <v>0</v>
      </c>
      <c r="N2024" s="164">
        <f>-SUMIF(TArticle[تاریخ],TDays[[#This Row],[تاریخ]],TArticle[افزایش سرمایه])</f>
        <v>0</v>
      </c>
      <c r="O2024" s="164">
        <f>SUMIF(TArticle[تاریخ],TDays[[#This Row],[تاریخ]],TArticle[تعداد تراکنش انجام شده])</f>
        <v>0</v>
      </c>
      <c r="P2024" s="164">
        <f>INT(((TDays[[#This Row],[ماه]]-1)*31+TDays[[#This Row],[روز]]+1)/7)+1</f>
        <v>29</v>
      </c>
      <c r="Q2024" s="164">
        <f>SUMIF(TArticle[تاریخ],TDays[[#This Row],[تاریخ]],TArticle[تراکنش برنامه ریزی شده])</f>
        <v>0</v>
      </c>
    </row>
    <row r="2025" spans="1:17" x14ac:dyDescent="0.25">
      <c r="A2025" s="3" t="s">
        <v>2641</v>
      </c>
      <c r="B2025" s="164" t="str">
        <f>RIGHT(TDays[[#This Row],[تاریخ]],2)</f>
        <v>13</v>
      </c>
      <c r="C2025" s="164" t="str">
        <f>RIGHT(LEFT(TDays[[#This Row],[تاریخ]],7),2)</f>
        <v>07</v>
      </c>
      <c r="D2025" s="164" t="str">
        <f>LEFT(TDays[[#This Row],[تاریخ]],4)</f>
        <v>1406</v>
      </c>
      <c r="E2025" s="164" t="str">
        <f>LEFT(TDays[[#This Row],[تاریخ]],7)</f>
        <v>1406-07</v>
      </c>
      <c r="F2025">
        <v>2</v>
      </c>
      <c r="G2025" s="165" t="str">
        <f>VLOOKUP(TDays[[#This Row],[کد روز هفته]],TDaysOfTheWeek[],2,FALSE)</f>
        <v>دوشنبه</v>
      </c>
      <c r="H2025" s="165">
        <f>IFERROR(IF(E2024&lt;&gt;E2025,1,INT(H2024)+IF(TDays[[#This Row],[کد روز هفته]]=0,1,0)),1)</f>
        <v>3</v>
      </c>
      <c r="I2025" s="164">
        <f>-SUMIF(TArticle[تاریخ],TDays[[#This Row],[تاریخ]],TArticle[هزینه])</f>
        <v>0</v>
      </c>
      <c r="J2025" s="164">
        <f>SUMIF(TArticle[تاریخ],TDays[[#This Row],[تاریخ]],TArticle[درآمد تتا])</f>
        <v>0</v>
      </c>
      <c r="K2025" s="164">
        <f>SUMIF(TArticle[تاریخ],TDays[[#This Row],[تاریخ]],TArticle[اسنپ])</f>
        <v>0</v>
      </c>
      <c r="L2025" s="164">
        <f>-SUMIF(TArticle[تاریخ],TDays[[#This Row],[تاریخ]],TArticle[پرداخت بدهی])</f>
        <v>0</v>
      </c>
      <c r="M2025" s="164">
        <f>SUMIF(TArticle[تاریخ],TDays[[#This Row],[تاریخ]],TArticle[افزایش بدهی])</f>
        <v>0</v>
      </c>
      <c r="N2025" s="164">
        <f>-SUMIF(TArticle[تاریخ],TDays[[#This Row],[تاریخ]],TArticle[افزایش سرمایه])</f>
        <v>0</v>
      </c>
      <c r="O2025" s="164">
        <f>SUMIF(TArticle[تاریخ],TDays[[#This Row],[تاریخ]],TArticle[تعداد تراکنش انجام شده])</f>
        <v>0</v>
      </c>
      <c r="P2025" s="164">
        <f>INT(((TDays[[#This Row],[ماه]]-1)*31+TDays[[#This Row],[روز]]+1)/7)+1</f>
        <v>29</v>
      </c>
      <c r="Q2025" s="164">
        <f>SUMIF(TArticle[تاریخ],TDays[[#This Row],[تاریخ]],TArticle[تراکنش برنامه ریزی شده])</f>
        <v>0</v>
      </c>
    </row>
    <row r="2026" spans="1:17" x14ac:dyDescent="0.25">
      <c r="A2026" s="3" t="s">
        <v>2642</v>
      </c>
      <c r="B2026" s="164" t="str">
        <f>RIGHT(TDays[[#This Row],[تاریخ]],2)</f>
        <v>14</v>
      </c>
      <c r="C2026" s="164" t="str">
        <f>RIGHT(LEFT(TDays[[#This Row],[تاریخ]],7),2)</f>
        <v>07</v>
      </c>
      <c r="D2026" s="164" t="str">
        <f>LEFT(TDays[[#This Row],[تاریخ]],4)</f>
        <v>1406</v>
      </c>
      <c r="E2026" s="164" t="str">
        <f>LEFT(TDays[[#This Row],[تاریخ]],7)</f>
        <v>1406-07</v>
      </c>
      <c r="F2026">
        <v>3</v>
      </c>
      <c r="G2026" s="165" t="str">
        <f>VLOOKUP(TDays[[#This Row],[کد روز هفته]],TDaysOfTheWeek[],2,FALSE)</f>
        <v>سه شنبه</v>
      </c>
      <c r="H2026" s="165">
        <f>IFERROR(IF(E2025&lt;&gt;E2026,1,INT(H2025)+IF(TDays[[#This Row],[کد روز هفته]]=0,1,0)),1)</f>
        <v>3</v>
      </c>
      <c r="I2026" s="164">
        <f>-SUMIF(TArticle[تاریخ],TDays[[#This Row],[تاریخ]],TArticle[هزینه])</f>
        <v>0</v>
      </c>
      <c r="J2026" s="164">
        <f>SUMIF(TArticle[تاریخ],TDays[[#This Row],[تاریخ]],TArticle[درآمد تتا])</f>
        <v>0</v>
      </c>
      <c r="K2026" s="164">
        <f>SUMIF(TArticle[تاریخ],TDays[[#This Row],[تاریخ]],TArticle[اسنپ])</f>
        <v>0</v>
      </c>
      <c r="L2026" s="164">
        <f>-SUMIF(TArticle[تاریخ],TDays[[#This Row],[تاریخ]],TArticle[پرداخت بدهی])</f>
        <v>0</v>
      </c>
      <c r="M2026" s="164">
        <f>SUMIF(TArticle[تاریخ],TDays[[#This Row],[تاریخ]],TArticle[افزایش بدهی])</f>
        <v>0</v>
      </c>
      <c r="N2026" s="164">
        <f>-SUMIF(TArticle[تاریخ],TDays[[#This Row],[تاریخ]],TArticle[افزایش سرمایه])</f>
        <v>0</v>
      </c>
      <c r="O2026" s="164">
        <f>SUMIF(TArticle[تاریخ],TDays[[#This Row],[تاریخ]],TArticle[تعداد تراکنش انجام شده])</f>
        <v>0</v>
      </c>
      <c r="P2026" s="164">
        <f>INT(((TDays[[#This Row],[ماه]]-1)*31+TDays[[#This Row],[روز]]+1)/7)+1</f>
        <v>29</v>
      </c>
      <c r="Q2026" s="164">
        <f>SUMIF(TArticle[تاریخ],TDays[[#This Row],[تاریخ]],TArticle[تراکنش برنامه ریزی شده])</f>
        <v>0</v>
      </c>
    </row>
    <row r="2027" spans="1:17" x14ac:dyDescent="0.25">
      <c r="A2027" s="3" t="s">
        <v>2643</v>
      </c>
      <c r="B2027" s="164" t="str">
        <f>RIGHT(TDays[[#This Row],[تاریخ]],2)</f>
        <v>15</v>
      </c>
      <c r="C2027" s="164" t="str">
        <f>RIGHT(LEFT(TDays[[#This Row],[تاریخ]],7),2)</f>
        <v>07</v>
      </c>
      <c r="D2027" s="164" t="str">
        <f>LEFT(TDays[[#This Row],[تاریخ]],4)</f>
        <v>1406</v>
      </c>
      <c r="E2027" s="164" t="str">
        <f>LEFT(TDays[[#This Row],[تاریخ]],7)</f>
        <v>1406-07</v>
      </c>
      <c r="F2027">
        <v>4</v>
      </c>
      <c r="G2027" s="165" t="str">
        <f>VLOOKUP(TDays[[#This Row],[کد روز هفته]],TDaysOfTheWeek[],2,FALSE)</f>
        <v>چهارشنبه</v>
      </c>
      <c r="H2027" s="165">
        <f>IFERROR(IF(E2026&lt;&gt;E2027,1,INT(H2026)+IF(TDays[[#This Row],[کد روز هفته]]=0,1,0)),1)</f>
        <v>3</v>
      </c>
      <c r="I2027" s="164">
        <f>-SUMIF(TArticle[تاریخ],TDays[[#This Row],[تاریخ]],TArticle[هزینه])</f>
        <v>0</v>
      </c>
      <c r="J2027" s="164">
        <f>SUMIF(TArticle[تاریخ],TDays[[#This Row],[تاریخ]],TArticle[درآمد تتا])</f>
        <v>0</v>
      </c>
      <c r="K2027" s="164">
        <f>SUMIF(TArticle[تاریخ],TDays[[#This Row],[تاریخ]],TArticle[اسنپ])</f>
        <v>0</v>
      </c>
      <c r="L2027" s="164">
        <f>-SUMIF(TArticle[تاریخ],TDays[[#This Row],[تاریخ]],TArticle[پرداخت بدهی])</f>
        <v>0</v>
      </c>
      <c r="M2027" s="164">
        <f>SUMIF(TArticle[تاریخ],TDays[[#This Row],[تاریخ]],TArticle[افزایش بدهی])</f>
        <v>0</v>
      </c>
      <c r="N2027" s="164">
        <f>-SUMIF(TArticle[تاریخ],TDays[[#This Row],[تاریخ]],TArticle[افزایش سرمایه])</f>
        <v>0</v>
      </c>
      <c r="O2027" s="164">
        <f>SUMIF(TArticle[تاریخ],TDays[[#This Row],[تاریخ]],TArticle[تعداد تراکنش انجام شده])</f>
        <v>0</v>
      </c>
      <c r="P2027" s="164">
        <f>INT(((TDays[[#This Row],[ماه]]-1)*31+TDays[[#This Row],[روز]]+1)/7)+1</f>
        <v>29</v>
      </c>
      <c r="Q2027" s="164">
        <f>SUMIF(TArticle[تاریخ],TDays[[#This Row],[تاریخ]],TArticle[تراکنش برنامه ریزی شده])</f>
        <v>0</v>
      </c>
    </row>
    <row r="2028" spans="1:17" x14ac:dyDescent="0.25">
      <c r="A2028" s="3" t="s">
        <v>2644</v>
      </c>
      <c r="B2028" s="164" t="str">
        <f>RIGHT(TDays[[#This Row],[تاریخ]],2)</f>
        <v>16</v>
      </c>
      <c r="C2028" s="164" t="str">
        <f>RIGHT(LEFT(TDays[[#This Row],[تاریخ]],7),2)</f>
        <v>07</v>
      </c>
      <c r="D2028" s="164" t="str">
        <f>LEFT(TDays[[#This Row],[تاریخ]],4)</f>
        <v>1406</v>
      </c>
      <c r="E2028" s="164" t="str">
        <f>LEFT(TDays[[#This Row],[تاریخ]],7)</f>
        <v>1406-07</v>
      </c>
      <c r="F2028">
        <v>5</v>
      </c>
      <c r="G2028" s="165" t="str">
        <f>VLOOKUP(TDays[[#This Row],[کد روز هفته]],TDaysOfTheWeek[],2,FALSE)</f>
        <v>پنجشنبه</v>
      </c>
      <c r="H2028" s="165">
        <f>IFERROR(IF(E2027&lt;&gt;E2028,1,INT(H2027)+IF(TDays[[#This Row],[کد روز هفته]]=0,1,0)),1)</f>
        <v>3</v>
      </c>
      <c r="I2028" s="164">
        <f>-SUMIF(TArticle[تاریخ],TDays[[#This Row],[تاریخ]],TArticle[هزینه])</f>
        <v>0</v>
      </c>
      <c r="J2028" s="164">
        <f>SUMIF(TArticle[تاریخ],TDays[[#This Row],[تاریخ]],TArticle[درآمد تتا])</f>
        <v>0</v>
      </c>
      <c r="K2028" s="164">
        <f>SUMIF(TArticle[تاریخ],TDays[[#This Row],[تاریخ]],TArticle[اسنپ])</f>
        <v>0</v>
      </c>
      <c r="L2028" s="164">
        <f>-SUMIF(TArticle[تاریخ],TDays[[#This Row],[تاریخ]],TArticle[پرداخت بدهی])</f>
        <v>0</v>
      </c>
      <c r="M2028" s="164">
        <f>SUMIF(TArticle[تاریخ],TDays[[#This Row],[تاریخ]],TArticle[افزایش بدهی])</f>
        <v>0</v>
      </c>
      <c r="N2028" s="164">
        <f>-SUMIF(TArticle[تاریخ],TDays[[#This Row],[تاریخ]],TArticle[افزایش سرمایه])</f>
        <v>0</v>
      </c>
      <c r="O2028" s="164">
        <f>SUMIF(TArticle[تاریخ],TDays[[#This Row],[تاریخ]],TArticle[تعداد تراکنش انجام شده])</f>
        <v>0</v>
      </c>
      <c r="P2028" s="164">
        <f>INT(((TDays[[#This Row],[ماه]]-1)*31+TDays[[#This Row],[روز]]+1)/7)+1</f>
        <v>30</v>
      </c>
      <c r="Q2028" s="164">
        <f>SUMIF(TArticle[تاریخ],TDays[[#This Row],[تاریخ]],TArticle[تراکنش برنامه ریزی شده])</f>
        <v>0</v>
      </c>
    </row>
    <row r="2029" spans="1:17" x14ac:dyDescent="0.25">
      <c r="A2029" s="3" t="s">
        <v>2645</v>
      </c>
      <c r="B2029" s="164" t="str">
        <f>RIGHT(TDays[[#This Row],[تاریخ]],2)</f>
        <v>17</v>
      </c>
      <c r="C2029" s="164" t="str">
        <f>RIGHT(LEFT(TDays[[#This Row],[تاریخ]],7),2)</f>
        <v>07</v>
      </c>
      <c r="D2029" s="164" t="str">
        <f>LEFT(TDays[[#This Row],[تاریخ]],4)</f>
        <v>1406</v>
      </c>
      <c r="E2029" s="164" t="str">
        <f>LEFT(TDays[[#This Row],[تاریخ]],7)</f>
        <v>1406-07</v>
      </c>
      <c r="F2029">
        <v>6</v>
      </c>
      <c r="G2029" s="165" t="str">
        <f>VLOOKUP(TDays[[#This Row],[کد روز هفته]],TDaysOfTheWeek[],2,FALSE)</f>
        <v>جمعه</v>
      </c>
      <c r="H2029" s="165">
        <f>IFERROR(IF(E2028&lt;&gt;E2029,1,INT(H2028)+IF(TDays[[#This Row],[کد روز هفته]]=0,1,0)),1)</f>
        <v>3</v>
      </c>
      <c r="I2029" s="164">
        <f>-SUMIF(TArticle[تاریخ],TDays[[#This Row],[تاریخ]],TArticle[هزینه])</f>
        <v>0</v>
      </c>
      <c r="J2029" s="164">
        <f>SUMIF(TArticle[تاریخ],TDays[[#This Row],[تاریخ]],TArticle[درآمد تتا])</f>
        <v>0</v>
      </c>
      <c r="K2029" s="164">
        <f>SUMIF(TArticle[تاریخ],TDays[[#This Row],[تاریخ]],TArticle[اسنپ])</f>
        <v>0</v>
      </c>
      <c r="L2029" s="164">
        <f>-SUMIF(TArticle[تاریخ],TDays[[#This Row],[تاریخ]],TArticle[پرداخت بدهی])</f>
        <v>0</v>
      </c>
      <c r="M2029" s="164">
        <f>SUMIF(TArticle[تاریخ],TDays[[#This Row],[تاریخ]],TArticle[افزایش بدهی])</f>
        <v>0</v>
      </c>
      <c r="N2029" s="164">
        <f>-SUMIF(TArticle[تاریخ],TDays[[#This Row],[تاریخ]],TArticle[افزایش سرمایه])</f>
        <v>0</v>
      </c>
      <c r="O2029" s="164">
        <f>SUMIF(TArticle[تاریخ],TDays[[#This Row],[تاریخ]],TArticle[تعداد تراکنش انجام شده])</f>
        <v>0</v>
      </c>
      <c r="P2029" s="164">
        <f>INT(((TDays[[#This Row],[ماه]]-1)*31+TDays[[#This Row],[روز]]+1)/7)+1</f>
        <v>30</v>
      </c>
      <c r="Q2029" s="164">
        <f>SUMIF(TArticle[تاریخ],TDays[[#This Row],[تاریخ]],TArticle[تراکنش برنامه ریزی شده])</f>
        <v>0</v>
      </c>
    </row>
    <row r="2030" spans="1:17" x14ac:dyDescent="0.25">
      <c r="A2030" s="3" t="s">
        <v>2646</v>
      </c>
      <c r="B2030" s="164" t="str">
        <f>RIGHT(TDays[[#This Row],[تاریخ]],2)</f>
        <v>18</v>
      </c>
      <c r="C2030" s="164" t="str">
        <f>RIGHT(LEFT(TDays[[#This Row],[تاریخ]],7),2)</f>
        <v>07</v>
      </c>
      <c r="D2030" s="164" t="str">
        <f>LEFT(TDays[[#This Row],[تاریخ]],4)</f>
        <v>1406</v>
      </c>
      <c r="E2030" s="164" t="str">
        <f>LEFT(TDays[[#This Row],[تاریخ]],7)</f>
        <v>1406-07</v>
      </c>
      <c r="F2030">
        <v>0</v>
      </c>
      <c r="G2030" s="165" t="str">
        <f>VLOOKUP(TDays[[#This Row],[کد روز هفته]],TDaysOfTheWeek[],2,FALSE)</f>
        <v>شنبه</v>
      </c>
      <c r="H2030" s="165">
        <f>IFERROR(IF(E2029&lt;&gt;E2030,1,INT(H2029)+IF(TDays[[#This Row],[کد روز هفته]]=0,1,0)),1)</f>
        <v>4</v>
      </c>
      <c r="I2030" s="164">
        <f>-SUMIF(TArticle[تاریخ],TDays[[#This Row],[تاریخ]],TArticle[هزینه])</f>
        <v>0</v>
      </c>
      <c r="J2030" s="164">
        <f>SUMIF(TArticle[تاریخ],TDays[[#This Row],[تاریخ]],TArticle[درآمد تتا])</f>
        <v>0</v>
      </c>
      <c r="K2030" s="164">
        <f>SUMIF(TArticle[تاریخ],TDays[[#This Row],[تاریخ]],TArticle[اسنپ])</f>
        <v>0</v>
      </c>
      <c r="L2030" s="164">
        <f>-SUMIF(TArticle[تاریخ],TDays[[#This Row],[تاریخ]],TArticle[پرداخت بدهی])</f>
        <v>0</v>
      </c>
      <c r="M2030" s="164">
        <f>SUMIF(TArticle[تاریخ],TDays[[#This Row],[تاریخ]],TArticle[افزایش بدهی])</f>
        <v>0</v>
      </c>
      <c r="N2030" s="164">
        <f>-SUMIF(TArticle[تاریخ],TDays[[#This Row],[تاریخ]],TArticle[افزایش سرمایه])</f>
        <v>0</v>
      </c>
      <c r="O2030" s="164">
        <f>SUMIF(TArticle[تاریخ],TDays[[#This Row],[تاریخ]],TArticle[تعداد تراکنش انجام شده])</f>
        <v>0</v>
      </c>
      <c r="P2030" s="164">
        <f>INT(((TDays[[#This Row],[ماه]]-1)*31+TDays[[#This Row],[روز]]+1)/7)+1</f>
        <v>30</v>
      </c>
      <c r="Q2030" s="164">
        <f>SUMIF(TArticle[تاریخ],TDays[[#This Row],[تاریخ]],TArticle[تراکنش برنامه ریزی شده])</f>
        <v>0</v>
      </c>
    </row>
    <row r="2031" spans="1:17" x14ac:dyDescent="0.25">
      <c r="A2031" s="3" t="s">
        <v>2647</v>
      </c>
      <c r="B2031" s="164" t="str">
        <f>RIGHT(TDays[[#This Row],[تاریخ]],2)</f>
        <v>19</v>
      </c>
      <c r="C2031" s="164" t="str">
        <f>RIGHT(LEFT(TDays[[#This Row],[تاریخ]],7),2)</f>
        <v>07</v>
      </c>
      <c r="D2031" s="164" t="str">
        <f>LEFT(TDays[[#This Row],[تاریخ]],4)</f>
        <v>1406</v>
      </c>
      <c r="E2031" s="164" t="str">
        <f>LEFT(TDays[[#This Row],[تاریخ]],7)</f>
        <v>1406-07</v>
      </c>
      <c r="F2031">
        <v>1</v>
      </c>
      <c r="G2031" s="165" t="str">
        <f>VLOOKUP(TDays[[#This Row],[کد روز هفته]],TDaysOfTheWeek[],2,FALSE)</f>
        <v>یکشنبه</v>
      </c>
      <c r="H2031" s="165">
        <f>IFERROR(IF(E2030&lt;&gt;E2031,1,INT(H2030)+IF(TDays[[#This Row],[کد روز هفته]]=0,1,0)),1)</f>
        <v>4</v>
      </c>
      <c r="I2031" s="164">
        <f>-SUMIF(TArticle[تاریخ],TDays[[#This Row],[تاریخ]],TArticle[هزینه])</f>
        <v>0</v>
      </c>
      <c r="J2031" s="164">
        <f>SUMIF(TArticle[تاریخ],TDays[[#This Row],[تاریخ]],TArticle[درآمد تتا])</f>
        <v>0</v>
      </c>
      <c r="K2031" s="164">
        <f>SUMIF(TArticle[تاریخ],TDays[[#This Row],[تاریخ]],TArticle[اسنپ])</f>
        <v>0</v>
      </c>
      <c r="L2031" s="164">
        <f>-SUMIF(TArticle[تاریخ],TDays[[#This Row],[تاریخ]],TArticle[پرداخت بدهی])</f>
        <v>0</v>
      </c>
      <c r="M2031" s="164">
        <f>SUMIF(TArticle[تاریخ],TDays[[#This Row],[تاریخ]],TArticle[افزایش بدهی])</f>
        <v>0</v>
      </c>
      <c r="N2031" s="164">
        <f>-SUMIF(TArticle[تاریخ],TDays[[#This Row],[تاریخ]],TArticle[افزایش سرمایه])</f>
        <v>0</v>
      </c>
      <c r="O2031" s="164">
        <f>SUMIF(TArticle[تاریخ],TDays[[#This Row],[تاریخ]],TArticle[تعداد تراکنش انجام شده])</f>
        <v>0</v>
      </c>
      <c r="P2031" s="164">
        <f>INT(((TDays[[#This Row],[ماه]]-1)*31+TDays[[#This Row],[روز]]+1)/7)+1</f>
        <v>30</v>
      </c>
      <c r="Q2031" s="164">
        <f>SUMIF(TArticle[تاریخ],TDays[[#This Row],[تاریخ]],TArticle[تراکنش برنامه ریزی شده])</f>
        <v>0</v>
      </c>
    </row>
    <row r="2032" spans="1:17" x14ac:dyDescent="0.25">
      <c r="A2032" s="3" t="s">
        <v>2648</v>
      </c>
      <c r="B2032" s="164" t="str">
        <f>RIGHT(TDays[[#This Row],[تاریخ]],2)</f>
        <v>20</v>
      </c>
      <c r="C2032" s="164" t="str">
        <f>RIGHT(LEFT(TDays[[#This Row],[تاریخ]],7),2)</f>
        <v>07</v>
      </c>
      <c r="D2032" s="164" t="str">
        <f>LEFT(TDays[[#This Row],[تاریخ]],4)</f>
        <v>1406</v>
      </c>
      <c r="E2032" s="164" t="str">
        <f>LEFT(TDays[[#This Row],[تاریخ]],7)</f>
        <v>1406-07</v>
      </c>
      <c r="F2032">
        <v>2</v>
      </c>
      <c r="G2032" s="165" t="str">
        <f>VLOOKUP(TDays[[#This Row],[کد روز هفته]],TDaysOfTheWeek[],2,FALSE)</f>
        <v>دوشنبه</v>
      </c>
      <c r="H2032" s="165">
        <f>IFERROR(IF(E2031&lt;&gt;E2032,1,INT(H2031)+IF(TDays[[#This Row],[کد روز هفته]]=0,1,0)),1)</f>
        <v>4</v>
      </c>
      <c r="I2032" s="164">
        <f>-SUMIF(TArticle[تاریخ],TDays[[#This Row],[تاریخ]],TArticle[هزینه])</f>
        <v>0</v>
      </c>
      <c r="J2032" s="164">
        <f>SUMIF(TArticle[تاریخ],TDays[[#This Row],[تاریخ]],TArticle[درآمد تتا])</f>
        <v>0</v>
      </c>
      <c r="K2032" s="164">
        <f>SUMIF(TArticle[تاریخ],TDays[[#This Row],[تاریخ]],TArticle[اسنپ])</f>
        <v>0</v>
      </c>
      <c r="L2032" s="164">
        <f>-SUMIF(TArticle[تاریخ],TDays[[#This Row],[تاریخ]],TArticle[پرداخت بدهی])</f>
        <v>0</v>
      </c>
      <c r="M2032" s="164">
        <f>SUMIF(TArticle[تاریخ],TDays[[#This Row],[تاریخ]],TArticle[افزایش بدهی])</f>
        <v>0</v>
      </c>
      <c r="N2032" s="164">
        <f>-SUMIF(TArticle[تاریخ],TDays[[#This Row],[تاریخ]],TArticle[افزایش سرمایه])</f>
        <v>0</v>
      </c>
      <c r="O2032" s="164">
        <f>SUMIF(TArticle[تاریخ],TDays[[#This Row],[تاریخ]],TArticle[تعداد تراکنش انجام شده])</f>
        <v>0</v>
      </c>
      <c r="P2032" s="164">
        <f>INT(((TDays[[#This Row],[ماه]]-1)*31+TDays[[#This Row],[روز]]+1)/7)+1</f>
        <v>30</v>
      </c>
      <c r="Q2032" s="164">
        <f>SUMIF(TArticle[تاریخ],TDays[[#This Row],[تاریخ]],TArticle[تراکنش برنامه ریزی شده])</f>
        <v>0</v>
      </c>
    </row>
    <row r="2033" spans="1:17" x14ac:dyDescent="0.25">
      <c r="A2033" s="3" t="s">
        <v>2649</v>
      </c>
      <c r="B2033" s="164" t="str">
        <f>RIGHT(TDays[[#This Row],[تاریخ]],2)</f>
        <v>21</v>
      </c>
      <c r="C2033" s="164" t="str">
        <f>RIGHT(LEFT(TDays[[#This Row],[تاریخ]],7),2)</f>
        <v>07</v>
      </c>
      <c r="D2033" s="164" t="str">
        <f>LEFT(TDays[[#This Row],[تاریخ]],4)</f>
        <v>1406</v>
      </c>
      <c r="E2033" s="164" t="str">
        <f>LEFT(TDays[[#This Row],[تاریخ]],7)</f>
        <v>1406-07</v>
      </c>
      <c r="F2033">
        <v>3</v>
      </c>
      <c r="G2033" s="165" t="str">
        <f>VLOOKUP(TDays[[#This Row],[کد روز هفته]],TDaysOfTheWeek[],2,FALSE)</f>
        <v>سه شنبه</v>
      </c>
      <c r="H2033" s="165">
        <f>IFERROR(IF(E2032&lt;&gt;E2033,1,INT(H2032)+IF(TDays[[#This Row],[کد روز هفته]]=0,1,0)),1)</f>
        <v>4</v>
      </c>
      <c r="I2033" s="164">
        <f>-SUMIF(TArticle[تاریخ],TDays[[#This Row],[تاریخ]],TArticle[هزینه])</f>
        <v>0</v>
      </c>
      <c r="J2033" s="164">
        <f>SUMIF(TArticle[تاریخ],TDays[[#This Row],[تاریخ]],TArticle[درآمد تتا])</f>
        <v>0</v>
      </c>
      <c r="K2033" s="164">
        <f>SUMIF(TArticle[تاریخ],TDays[[#This Row],[تاریخ]],TArticle[اسنپ])</f>
        <v>0</v>
      </c>
      <c r="L2033" s="164">
        <f>-SUMIF(TArticle[تاریخ],TDays[[#This Row],[تاریخ]],TArticle[پرداخت بدهی])</f>
        <v>0</v>
      </c>
      <c r="M2033" s="164">
        <f>SUMIF(TArticle[تاریخ],TDays[[#This Row],[تاریخ]],TArticle[افزایش بدهی])</f>
        <v>0</v>
      </c>
      <c r="N2033" s="164">
        <f>-SUMIF(TArticle[تاریخ],TDays[[#This Row],[تاریخ]],TArticle[افزایش سرمایه])</f>
        <v>0</v>
      </c>
      <c r="O2033" s="164">
        <f>SUMIF(TArticle[تاریخ],TDays[[#This Row],[تاریخ]],TArticle[تعداد تراکنش انجام شده])</f>
        <v>0</v>
      </c>
      <c r="P2033" s="164">
        <f>INT(((TDays[[#This Row],[ماه]]-1)*31+TDays[[#This Row],[روز]]+1)/7)+1</f>
        <v>30</v>
      </c>
      <c r="Q2033" s="164">
        <f>SUMIF(TArticle[تاریخ],TDays[[#This Row],[تاریخ]],TArticle[تراکنش برنامه ریزی شده])</f>
        <v>0</v>
      </c>
    </row>
    <row r="2034" spans="1:17" x14ac:dyDescent="0.25">
      <c r="A2034" s="3" t="s">
        <v>2650</v>
      </c>
      <c r="B2034" s="164" t="str">
        <f>RIGHT(TDays[[#This Row],[تاریخ]],2)</f>
        <v>22</v>
      </c>
      <c r="C2034" s="164" t="str">
        <f>RIGHT(LEFT(TDays[[#This Row],[تاریخ]],7),2)</f>
        <v>07</v>
      </c>
      <c r="D2034" s="164" t="str">
        <f>LEFT(TDays[[#This Row],[تاریخ]],4)</f>
        <v>1406</v>
      </c>
      <c r="E2034" s="164" t="str">
        <f>LEFT(TDays[[#This Row],[تاریخ]],7)</f>
        <v>1406-07</v>
      </c>
      <c r="F2034">
        <v>4</v>
      </c>
      <c r="G2034" s="165" t="str">
        <f>VLOOKUP(TDays[[#This Row],[کد روز هفته]],TDaysOfTheWeek[],2,FALSE)</f>
        <v>چهارشنبه</v>
      </c>
      <c r="H2034" s="165">
        <f>IFERROR(IF(E2033&lt;&gt;E2034,1,INT(H2033)+IF(TDays[[#This Row],[کد روز هفته]]=0,1,0)),1)</f>
        <v>4</v>
      </c>
      <c r="I2034" s="164">
        <f>-SUMIF(TArticle[تاریخ],TDays[[#This Row],[تاریخ]],TArticle[هزینه])</f>
        <v>0</v>
      </c>
      <c r="J2034" s="164">
        <f>SUMIF(TArticle[تاریخ],TDays[[#This Row],[تاریخ]],TArticle[درآمد تتا])</f>
        <v>0</v>
      </c>
      <c r="K2034" s="164">
        <f>SUMIF(TArticle[تاریخ],TDays[[#This Row],[تاریخ]],TArticle[اسنپ])</f>
        <v>0</v>
      </c>
      <c r="L2034" s="164">
        <f>-SUMIF(TArticle[تاریخ],TDays[[#This Row],[تاریخ]],TArticle[پرداخت بدهی])</f>
        <v>0</v>
      </c>
      <c r="M2034" s="164">
        <f>SUMIF(TArticle[تاریخ],TDays[[#This Row],[تاریخ]],TArticle[افزایش بدهی])</f>
        <v>0</v>
      </c>
      <c r="N2034" s="164">
        <f>-SUMIF(TArticle[تاریخ],TDays[[#This Row],[تاریخ]],TArticle[افزایش سرمایه])</f>
        <v>0</v>
      </c>
      <c r="O2034" s="164">
        <f>SUMIF(TArticle[تاریخ],TDays[[#This Row],[تاریخ]],TArticle[تعداد تراکنش انجام شده])</f>
        <v>0</v>
      </c>
      <c r="P2034" s="164">
        <f>INT(((TDays[[#This Row],[ماه]]-1)*31+TDays[[#This Row],[روز]]+1)/7)+1</f>
        <v>30</v>
      </c>
      <c r="Q2034" s="164">
        <f>SUMIF(TArticle[تاریخ],TDays[[#This Row],[تاریخ]],TArticle[تراکنش برنامه ریزی شده])</f>
        <v>0</v>
      </c>
    </row>
    <row r="2035" spans="1:17" x14ac:dyDescent="0.25">
      <c r="A2035" s="3" t="s">
        <v>2651</v>
      </c>
      <c r="B2035" s="164" t="str">
        <f>RIGHT(TDays[[#This Row],[تاریخ]],2)</f>
        <v>23</v>
      </c>
      <c r="C2035" s="164" t="str">
        <f>RIGHT(LEFT(TDays[[#This Row],[تاریخ]],7),2)</f>
        <v>07</v>
      </c>
      <c r="D2035" s="164" t="str">
        <f>LEFT(TDays[[#This Row],[تاریخ]],4)</f>
        <v>1406</v>
      </c>
      <c r="E2035" s="164" t="str">
        <f>LEFT(TDays[[#This Row],[تاریخ]],7)</f>
        <v>1406-07</v>
      </c>
      <c r="F2035">
        <v>5</v>
      </c>
      <c r="G2035" s="165" t="str">
        <f>VLOOKUP(TDays[[#This Row],[کد روز هفته]],TDaysOfTheWeek[],2,FALSE)</f>
        <v>پنجشنبه</v>
      </c>
      <c r="H2035" s="165">
        <f>IFERROR(IF(E2034&lt;&gt;E2035,1,INT(H2034)+IF(TDays[[#This Row],[کد روز هفته]]=0,1,0)),1)</f>
        <v>4</v>
      </c>
      <c r="I2035" s="164">
        <f>-SUMIF(TArticle[تاریخ],TDays[[#This Row],[تاریخ]],TArticle[هزینه])</f>
        <v>0</v>
      </c>
      <c r="J2035" s="164">
        <f>SUMIF(TArticle[تاریخ],TDays[[#This Row],[تاریخ]],TArticle[درآمد تتا])</f>
        <v>0</v>
      </c>
      <c r="K2035" s="164">
        <f>SUMIF(TArticle[تاریخ],TDays[[#This Row],[تاریخ]],TArticle[اسنپ])</f>
        <v>0</v>
      </c>
      <c r="L2035" s="164">
        <f>-SUMIF(TArticle[تاریخ],TDays[[#This Row],[تاریخ]],TArticle[پرداخت بدهی])</f>
        <v>0</v>
      </c>
      <c r="M2035" s="164">
        <f>SUMIF(TArticle[تاریخ],TDays[[#This Row],[تاریخ]],TArticle[افزایش بدهی])</f>
        <v>0</v>
      </c>
      <c r="N2035" s="164">
        <f>-SUMIF(TArticle[تاریخ],TDays[[#This Row],[تاریخ]],TArticle[افزایش سرمایه])</f>
        <v>0</v>
      </c>
      <c r="O2035" s="164">
        <f>SUMIF(TArticle[تاریخ],TDays[[#This Row],[تاریخ]],TArticle[تعداد تراکنش انجام شده])</f>
        <v>0</v>
      </c>
      <c r="P2035" s="164">
        <f>INT(((TDays[[#This Row],[ماه]]-1)*31+TDays[[#This Row],[روز]]+1)/7)+1</f>
        <v>31</v>
      </c>
      <c r="Q2035" s="164">
        <f>SUMIF(TArticle[تاریخ],TDays[[#This Row],[تاریخ]],TArticle[تراکنش برنامه ریزی شده])</f>
        <v>0</v>
      </c>
    </row>
    <row r="2036" spans="1:17" x14ac:dyDescent="0.25">
      <c r="A2036" s="3" t="s">
        <v>2652</v>
      </c>
      <c r="B2036" s="164" t="str">
        <f>RIGHT(TDays[[#This Row],[تاریخ]],2)</f>
        <v>24</v>
      </c>
      <c r="C2036" s="164" t="str">
        <f>RIGHT(LEFT(TDays[[#This Row],[تاریخ]],7),2)</f>
        <v>07</v>
      </c>
      <c r="D2036" s="164" t="str">
        <f>LEFT(TDays[[#This Row],[تاریخ]],4)</f>
        <v>1406</v>
      </c>
      <c r="E2036" s="164" t="str">
        <f>LEFT(TDays[[#This Row],[تاریخ]],7)</f>
        <v>1406-07</v>
      </c>
      <c r="F2036">
        <v>6</v>
      </c>
      <c r="G2036" s="165" t="str">
        <f>VLOOKUP(TDays[[#This Row],[کد روز هفته]],TDaysOfTheWeek[],2,FALSE)</f>
        <v>جمعه</v>
      </c>
      <c r="H2036" s="165">
        <f>IFERROR(IF(E2035&lt;&gt;E2036,1,INT(H2035)+IF(TDays[[#This Row],[کد روز هفته]]=0,1,0)),1)</f>
        <v>4</v>
      </c>
      <c r="I2036" s="164">
        <f>-SUMIF(TArticle[تاریخ],TDays[[#This Row],[تاریخ]],TArticle[هزینه])</f>
        <v>0</v>
      </c>
      <c r="J2036" s="164">
        <f>SUMIF(TArticle[تاریخ],TDays[[#This Row],[تاریخ]],TArticle[درآمد تتا])</f>
        <v>0</v>
      </c>
      <c r="K2036" s="164">
        <f>SUMIF(TArticle[تاریخ],TDays[[#This Row],[تاریخ]],TArticle[اسنپ])</f>
        <v>0</v>
      </c>
      <c r="L2036" s="164">
        <f>-SUMIF(TArticle[تاریخ],TDays[[#This Row],[تاریخ]],TArticle[پرداخت بدهی])</f>
        <v>0</v>
      </c>
      <c r="M2036" s="164">
        <f>SUMIF(TArticle[تاریخ],TDays[[#This Row],[تاریخ]],TArticle[افزایش بدهی])</f>
        <v>0</v>
      </c>
      <c r="N2036" s="164">
        <f>-SUMIF(TArticle[تاریخ],TDays[[#This Row],[تاریخ]],TArticle[افزایش سرمایه])</f>
        <v>0</v>
      </c>
      <c r="O2036" s="164">
        <f>SUMIF(TArticle[تاریخ],TDays[[#This Row],[تاریخ]],TArticle[تعداد تراکنش انجام شده])</f>
        <v>0</v>
      </c>
      <c r="P2036" s="164">
        <f>INT(((TDays[[#This Row],[ماه]]-1)*31+TDays[[#This Row],[روز]]+1)/7)+1</f>
        <v>31</v>
      </c>
      <c r="Q2036" s="164">
        <f>SUMIF(TArticle[تاریخ],TDays[[#This Row],[تاریخ]],TArticle[تراکنش برنامه ریزی شده])</f>
        <v>0</v>
      </c>
    </row>
    <row r="2037" spans="1:17" x14ac:dyDescent="0.25">
      <c r="A2037" s="3" t="s">
        <v>2653</v>
      </c>
      <c r="B2037" s="164" t="str">
        <f>RIGHT(TDays[[#This Row],[تاریخ]],2)</f>
        <v>25</v>
      </c>
      <c r="C2037" s="164" t="str">
        <f>RIGHT(LEFT(TDays[[#This Row],[تاریخ]],7),2)</f>
        <v>07</v>
      </c>
      <c r="D2037" s="164" t="str">
        <f>LEFT(TDays[[#This Row],[تاریخ]],4)</f>
        <v>1406</v>
      </c>
      <c r="E2037" s="164" t="str">
        <f>LEFT(TDays[[#This Row],[تاریخ]],7)</f>
        <v>1406-07</v>
      </c>
      <c r="F2037">
        <v>0</v>
      </c>
      <c r="G2037" s="165" t="str">
        <f>VLOOKUP(TDays[[#This Row],[کد روز هفته]],TDaysOfTheWeek[],2,FALSE)</f>
        <v>شنبه</v>
      </c>
      <c r="H2037" s="165">
        <f>IFERROR(IF(E2036&lt;&gt;E2037,1,INT(H2036)+IF(TDays[[#This Row],[کد روز هفته]]=0,1,0)),1)</f>
        <v>5</v>
      </c>
      <c r="I2037" s="164">
        <f>-SUMIF(TArticle[تاریخ],TDays[[#This Row],[تاریخ]],TArticle[هزینه])</f>
        <v>0</v>
      </c>
      <c r="J2037" s="164">
        <f>SUMIF(TArticle[تاریخ],TDays[[#This Row],[تاریخ]],TArticle[درآمد تتا])</f>
        <v>0</v>
      </c>
      <c r="K2037" s="164">
        <f>SUMIF(TArticle[تاریخ],TDays[[#This Row],[تاریخ]],TArticle[اسنپ])</f>
        <v>0</v>
      </c>
      <c r="L2037" s="164">
        <f>-SUMIF(TArticle[تاریخ],TDays[[#This Row],[تاریخ]],TArticle[پرداخت بدهی])</f>
        <v>0</v>
      </c>
      <c r="M2037" s="164">
        <f>SUMIF(TArticle[تاریخ],TDays[[#This Row],[تاریخ]],TArticle[افزایش بدهی])</f>
        <v>0</v>
      </c>
      <c r="N2037" s="164">
        <f>-SUMIF(TArticle[تاریخ],TDays[[#This Row],[تاریخ]],TArticle[افزایش سرمایه])</f>
        <v>0</v>
      </c>
      <c r="O2037" s="164">
        <f>SUMIF(TArticle[تاریخ],TDays[[#This Row],[تاریخ]],TArticle[تعداد تراکنش انجام شده])</f>
        <v>0</v>
      </c>
      <c r="P2037" s="164">
        <f>INT(((TDays[[#This Row],[ماه]]-1)*31+TDays[[#This Row],[روز]]+1)/7)+1</f>
        <v>31</v>
      </c>
      <c r="Q2037" s="164">
        <f>SUMIF(TArticle[تاریخ],TDays[[#This Row],[تاریخ]],TArticle[تراکنش برنامه ریزی شده])</f>
        <v>0</v>
      </c>
    </row>
    <row r="2038" spans="1:17" x14ac:dyDescent="0.25">
      <c r="A2038" s="3" t="s">
        <v>2654</v>
      </c>
      <c r="B2038" s="164" t="str">
        <f>RIGHT(TDays[[#This Row],[تاریخ]],2)</f>
        <v>26</v>
      </c>
      <c r="C2038" s="164" t="str">
        <f>RIGHT(LEFT(TDays[[#This Row],[تاریخ]],7),2)</f>
        <v>07</v>
      </c>
      <c r="D2038" s="164" t="str">
        <f>LEFT(TDays[[#This Row],[تاریخ]],4)</f>
        <v>1406</v>
      </c>
      <c r="E2038" s="164" t="str">
        <f>LEFT(TDays[[#This Row],[تاریخ]],7)</f>
        <v>1406-07</v>
      </c>
      <c r="F2038">
        <v>1</v>
      </c>
      <c r="G2038" s="165" t="str">
        <f>VLOOKUP(TDays[[#This Row],[کد روز هفته]],TDaysOfTheWeek[],2,FALSE)</f>
        <v>یکشنبه</v>
      </c>
      <c r="H2038" s="165">
        <f>IFERROR(IF(E2037&lt;&gt;E2038,1,INT(H2037)+IF(TDays[[#This Row],[کد روز هفته]]=0,1,0)),1)</f>
        <v>5</v>
      </c>
      <c r="I2038" s="164">
        <f>-SUMIF(TArticle[تاریخ],TDays[[#This Row],[تاریخ]],TArticle[هزینه])</f>
        <v>0</v>
      </c>
      <c r="J2038" s="164">
        <f>SUMIF(TArticle[تاریخ],TDays[[#This Row],[تاریخ]],TArticle[درآمد تتا])</f>
        <v>0</v>
      </c>
      <c r="K2038" s="164">
        <f>SUMIF(TArticle[تاریخ],TDays[[#This Row],[تاریخ]],TArticle[اسنپ])</f>
        <v>0</v>
      </c>
      <c r="L2038" s="164">
        <f>-SUMIF(TArticle[تاریخ],TDays[[#This Row],[تاریخ]],TArticle[پرداخت بدهی])</f>
        <v>0</v>
      </c>
      <c r="M2038" s="164">
        <f>SUMIF(TArticle[تاریخ],TDays[[#This Row],[تاریخ]],TArticle[افزایش بدهی])</f>
        <v>0</v>
      </c>
      <c r="N2038" s="164">
        <f>-SUMIF(TArticle[تاریخ],TDays[[#This Row],[تاریخ]],TArticle[افزایش سرمایه])</f>
        <v>0</v>
      </c>
      <c r="O2038" s="164">
        <f>SUMIF(TArticle[تاریخ],TDays[[#This Row],[تاریخ]],TArticle[تعداد تراکنش انجام شده])</f>
        <v>0</v>
      </c>
      <c r="P2038" s="164">
        <f>INT(((TDays[[#This Row],[ماه]]-1)*31+TDays[[#This Row],[روز]]+1)/7)+1</f>
        <v>31</v>
      </c>
      <c r="Q2038" s="164">
        <f>SUMIF(TArticle[تاریخ],TDays[[#This Row],[تاریخ]],TArticle[تراکنش برنامه ریزی شده])</f>
        <v>0</v>
      </c>
    </row>
    <row r="2039" spans="1:17" x14ac:dyDescent="0.25">
      <c r="A2039" s="3" t="s">
        <v>2655</v>
      </c>
      <c r="B2039" s="164" t="str">
        <f>RIGHT(TDays[[#This Row],[تاریخ]],2)</f>
        <v>27</v>
      </c>
      <c r="C2039" s="164" t="str">
        <f>RIGHT(LEFT(TDays[[#This Row],[تاریخ]],7),2)</f>
        <v>07</v>
      </c>
      <c r="D2039" s="164" t="str">
        <f>LEFT(TDays[[#This Row],[تاریخ]],4)</f>
        <v>1406</v>
      </c>
      <c r="E2039" s="164" t="str">
        <f>LEFT(TDays[[#This Row],[تاریخ]],7)</f>
        <v>1406-07</v>
      </c>
      <c r="F2039">
        <v>2</v>
      </c>
      <c r="G2039" s="165" t="str">
        <f>VLOOKUP(TDays[[#This Row],[کد روز هفته]],TDaysOfTheWeek[],2,FALSE)</f>
        <v>دوشنبه</v>
      </c>
      <c r="H2039" s="165">
        <f>IFERROR(IF(E2038&lt;&gt;E2039,1,INT(H2038)+IF(TDays[[#This Row],[کد روز هفته]]=0,1,0)),1)</f>
        <v>5</v>
      </c>
      <c r="I2039" s="164">
        <f>-SUMIF(TArticle[تاریخ],TDays[[#This Row],[تاریخ]],TArticle[هزینه])</f>
        <v>0</v>
      </c>
      <c r="J2039" s="164">
        <f>SUMIF(TArticle[تاریخ],TDays[[#This Row],[تاریخ]],TArticle[درآمد تتا])</f>
        <v>0</v>
      </c>
      <c r="K2039" s="164">
        <f>SUMIF(TArticle[تاریخ],TDays[[#This Row],[تاریخ]],TArticle[اسنپ])</f>
        <v>0</v>
      </c>
      <c r="L2039" s="164">
        <f>-SUMIF(TArticle[تاریخ],TDays[[#This Row],[تاریخ]],TArticle[پرداخت بدهی])</f>
        <v>0</v>
      </c>
      <c r="M2039" s="164">
        <f>SUMIF(TArticle[تاریخ],TDays[[#This Row],[تاریخ]],TArticle[افزایش بدهی])</f>
        <v>0</v>
      </c>
      <c r="N2039" s="164">
        <f>-SUMIF(TArticle[تاریخ],TDays[[#This Row],[تاریخ]],TArticle[افزایش سرمایه])</f>
        <v>0</v>
      </c>
      <c r="O2039" s="164">
        <f>SUMIF(TArticle[تاریخ],TDays[[#This Row],[تاریخ]],TArticle[تعداد تراکنش انجام شده])</f>
        <v>0</v>
      </c>
      <c r="P2039" s="164">
        <f>INT(((TDays[[#This Row],[ماه]]-1)*31+TDays[[#This Row],[روز]]+1)/7)+1</f>
        <v>31</v>
      </c>
      <c r="Q2039" s="164">
        <f>SUMIF(TArticle[تاریخ],TDays[[#This Row],[تاریخ]],TArticle[تراکنش برنامه ریزی شده])</f>
        <v>0</v>
      </c>
    </row>
    <row r="2040" spans="1:17" x14ac:dyDescent="0.25">
      <c r="A2040" s="3" t="s">
        <v>2656</v>
      </c>
      <c r="B2040" s="164" t="str">
        <f>RIGHT(TDays[[#This Row],[تاریخ]],2)</f>
        <v>28</v>
      </c>
      <c r="C2040" s="164" t="str">
        <f>RIGHT(LEFT(TDays[[#This Row],[تاریخ]],7),2)</f>
        <v>07</v>
      </c>
      <c r="D2040" s="164" t="str">
        <f>LEFT(TDays[[#This Row],[تاریخ]],4)</f>
        <v>1406</v>
      </c>
      <c r="E2040" s="164" t="str">
        <f>LEFT(TDays[[#This Row],[تاریخ]],7)</f>
        <v>1406-07</v>
      </c>
      <c r="F2040">
        <v>3</v>
      </c>
      <c r="G2040" s="165" t="str">
        <f>VLOOKUP(TDays[[#This Row],[کد روز هفته]],TDaysOfTheWeek[],2,FALSE)</f>
        <v>سه شنبه</v>
      </c>
      <c r="H2040" s="165">
        <f>IFERROR(IF(E2039&lt;&gt;E2040,1,INT(H2039)+IF(TDays[[#This Row],[کد روز هفته]]=0,1,0)),1)</f>
        <v>5</v>
      </c>
      <c r="I2040" s="164">
        <f>-SUMIF(TArticle[تاریخ],TDays[[#This Row],[تاریخ]],TArticle[هزینه])</f>
        <v>0</v>
      </c>
      <c r="J2040" s="164">
        <f>SUMIF(TArticle[تاریخ],TDays[[#This Row],[تاریخ]],TArticle[درآمد تتا])</f>
        <v>0</v>
      </c>
      <c r="K2040" s="164">
        <f>SUMIF(TArticle[تاریخ],TDays[[#This Row],[تاریخ]],TArticle[اسنپ])</f>
        <v>0</v>
      </c>
      <c r="L2040" s="164">
        <f>-SUMIF(TArticle[تاریخ],TDays[[#This Row],[تاریخ]],TArticle[پرداخت بدهی])</f>
        <v>0</v>
      </c>
      <c r="M2040" s="164">
        <f>SUMIF(TArticle[تاریخ],TDays[[#This Row],[تاریخ]],TArticle[افزایش بدهی])</f>
        <v>0</v>
      </c>
      <c r="N2040" s="164">
        <f>-SUMIF(TArticle[تاریخ],TDays[[#This Row],[تاریخ]],TArticle[افزایش سرمایه])</f>
        <v>0</v>
      </c>
      <c r="O2040" s="164">
        <f>SUMIF(TArticle[تاریخ],TDays[[#This Row],[تاریخ]],TArticle[تعداد تراکنش انجام شده])</f>
        <v>0</v>
      </c>
      <c r="P2040" s="164">
        <f>INT(((TDays[[#This Row],[ماه]]-1)*31+TDays[[#This Row],[روز]]+1)/7)+1</f>
        <v>31</v>
      </c>
      <c r="Q2040" s="164">
        <f>SUMIF(TArticle[تاریخ],TDays[[#This Row],[تاریخ]],TArticle[تراکنش برنامه ریزی شده])</f>
        <v>0</v>
      </c>
    </row>
    <row r="2041" spans="1:17" x14ac:dyDescent="0.25">
      <c r="A2041" s="3" t="s">
        <v>2657</v>
      </c>
      <c r="B2041" s="164" t="str">
        <f>RIGHT(TDays[[#This Row],[تاریخ]],2)</f>
        <v>29</v>
      </c>
      <c r="C2041" s="164" t="str">
        <f>RIGHT(LEFT(TDays[[#This Row],[تاریخ]],7),2)</f>
        <v>07</v>
      </c>
      <c r="D2041" s="164" t="str">
        <f>LEFT(TDays[[#This Row],[تاریخ]],4)</f>
        <v>1406</v>
      </c>
      <c r="E2041" s="164" t="str">
        <f>LEFT(TDays[[#This Row],[تاریخ]],7)</f>
        <v>1406-07</v>
      </c>
      <c r="F2041">
        <v>4</v>
      </c>
      <c r="G2041" s="165" t="str">
        <f>VLOOKUP(TDays[[#This Row],[کد روز هفته]],TDaysOfTheWeek[],2,FALSE)</f>
        <v>چهارشنبه</v>
      </c>
      <c r="H2041" s="165">
        <f>IFERROR(IF(E2040&lt;&gt;E2041,1,INT(H2040)+IF(TDays[[#This Row],[کد روز هفته]]=0,1,0)),1)</f>
        <v>5</v>
      </c>
      <c r="I2041" s="164">
        <f>-SUMIF(TArticle[تاریخ],TDays[[#This Row],[تاریخ]],TArticle[هزینه])</f>
        <v>0</v>
      </c>
      <c r="J2041" s="164">
        <f>SUMIF(TArticle[تاریخ],TDays[[#This Row],[تاریخ]],TArticle[درآمد تتا])</f>
        <v>0</v>
      </c>
      <c r="K2041" s="164">
        <f>SUMIF(TArticle[تاریخ],TDays[[#This Row],[تاریخ]],TArticle[اسنپ])</f>
        <v>0</v>
      </c>
      <c r="L2041" s="164">
        <f>-SUMIF(TArticle[تاریخ],TDays[[#This Row],[تاریخ]],TArticle[پرداخت بدهی])</f>
        <v>0</v>
      </c>
      <c r="M2041" s="164">
        <f>SUMIF(TArticle[تاریخ],TDays[[#This Row],[تاریخ]],TArticle[افزایش بدهی])</f>
        <v>0</v>
      </c>
      <c r="N2041" s="164">
        <f>-SUMIF(TArticle[تاریخ],TDays[[#This Row],[تاریخ]],TArticle[افزایش سرمایه])</f>
        <v>0</v>
      </c>
      <c r="O2041" s="164">
        <f>SUMIF(TArticle[تاریخ],TDays[[#This Row],[تاریخ]],TArticle[تعداد تراکنش انجام شده])</f>
        <v>0</v>
      </c>
      <c r="P2041" s="164">
        <f>INT(((TDays[[#This Row],[ماه]]-1)*31+TDays[[#This Row],[روز]]+1)/7)+1</f>
        <v>31</v>
      </c>
      <c r="Q2041" s="164">
        <f>SUMIF(TArticle[تاریخ],TDays[[#This Row],[تاریخ]],TArticle[تراکنش برنامه ریزی شده])</f>
        <v>0</v>
      </c>
    </row>
    <row r="2042" spans="1:17" x14ac:dyDescent="0.25">
      <c r="A2042" s="3" t="s">
        <v>2658</v>
      </c>
      <c r="B2042" s="164" t="str">
        <f>RIGHT(TDays[[#This Row],[تاریخ]],2)</f>
        <v>30</v>
      </c>
      <c r="C2042" s="164" t="str">
        <f>RIGHT(LEFT(TDays[[#This Row],[تاریخ]],7),2)</f>
        <v>07</v>
      </c>
      <c r="D2042" s="164" t="str">
        <f>LEFT(TDays[[#This Row],[تاریخ]],4)</f>
        <v>1406</v>
      </c>
      <c r="E2042" s="164" t="str">
        <f>LEFT(TDays[[#This Row],[تاریخ]],7)</f>
        <v>1406-07</v>
      </c>
      <c r="F2042">
        <v>5</v>
      </c>
      <c r="G2042" s="165" t="str">
        <f>VLOOKUP(TDays[[#This Row],[کد روز هفته]],TDaysOfTheWeek[],2,FALSE)</f>
        <v>پنجشنبه</v>
      </c>
      <c r="H2042" s="165">
        <f>IFERROR(IF(E2041&lt;&gt;E2042,1,INT(H2041)+IF(TDays[[#This Row],[کد روز هفته]]=0,1,0)),1)</f>
        <v>5</v>
      </c>
      <c r="I2042" s="164">
        <f>-SUMIF(TArticle[تاریخ],TDays[[#This Row],[تاریخ]],TArticle[هزینه])</f>
        <v>0</v>
      </c>
      <c r="J2042" s="164">
        <f>SUMIF(TArticle[تاریخ],TDays[[#This Row],[تاریخ]],TArticle[درآمد تتا])</f>
        <v>0</v>
      </c>
      <c r="K2042" s="164">
        <f>SUMIF(TArticle[تاریخ],TDays[[#This Row],[تاریخ]],TArticle[اسنپ])</f>
        <v>0</v>
      </c>
      <c r="L2042" s="164">
        <f>-SUMIF(TArticle[تاریخ],TDays[[#This Row],[تاریخ]],TArticle[پرداخت بدهی])</f>
        <v>0</v>
      </c>
      <c r="M2042" s="164">
        <f>SUMIF(TArticle[تاریخ],TDays[[#This Row],[تاریخ]],TArticle[افزایش بدهی])</f>
        <v>0</v>
      </c>
      <c r="N2042" s="164">
        <f>-SUMIF(TArticle[تاریخ],TDays[[#This Row],[تاریخ]],TArticle[افزایش سرمایه])</f>
        <v>0</v>
      </c>
      <c r="O2042" s="164">
        <f>SUMIF(TArticle[تاریخ],TDays[[#This Row],[تاریخ]],TArticle[تعداد تراکنش انجام شده])</f>
        <v>0</v>
      </c>
      <c r="P2042" s="164">
        <f>INT(((TDays[[#This Row],[ماه]]-1)*31+TDays[[#This Row],[روز]]+1)/7)+1</f>
        <v>32</v>
      </c>
      <c r="Q2042" s="164">
        <f>SUMIF(TArticle[تاریخ],TDays[[#This Row],[تاریخ]],TArticle[تراکنش برنامه ریزی شده])</f>
        <v>0</v>
      </c>
    </row>
    <row r="2043" spans="1:17" x14ac:dyDescent="0.25">
      <c r="A2043" s="3" t="s">
        <v>2659</v>
      </c>
      <c r="B2043" s="164" t="str">
        <f>RIGHT(TDays[[#This Row],[تاریخ]],2)</f>
        <v>01</v>
      </c>
      <c r="C2043" s="164" t="str">
        <f>RIGHT(LEFT(TDays[[#This Row],[تاریخ]],7),2)</f>
        <v>08</v>
      </c>
      <c r="D2043" s="164" t="str">
        <f>LEFT(TDays[[#This Row],[تاریخ]],4)</f>
        <v>1406</v>
      </c>
      <c r="E2043" s="164" t="str">
        <f>LEFT(TDays[[#This Row],[تاریخ]],7)</f>
        <v>1406-08</v>
      </c>
      <c r="F2043">
        <v>6</v>
      </c>
      <c r="G2043" s="165" t="str">
        <f>VLOOKUP(TDays[[#This Row],[کد روز هفته]],TDaysOfTheWeek[],2,FALSE)</f>
        <v>جمعه</v>
      </c>
      <c r="H2043" s="165">
        <f>IFERROR(IF(E2042&lt;&gt;E2043,1,INT(H2042)+IF(TDays[[#This Row],[کد روز هفته]]=0,1,0)),1)</f>
        <v>1</v>
      </c>
      <c r="I2043" s="164">
        <f>-SUMIF(TArticle[تاریخ],TDays[[#This Row],[تاریخ]],TArticle[هزینه])</f>
        <v>0</v>
      </c>
      <c r="J2043" s="164">
        <f>SUMIF(TArticle[تاریخ],TDays[[#This Row],[تاریخ]],TArticle[درآمد تتا])</f>
        <v>0</v>
      </c>
      <c r="K2043" s="164">
        <f>SUMIF(TArticle[تاریخ],TDays[[#This Row],[تاریخ]],TArticle[اسنپ])</f>
        <v>0</v>
      </c>
      <c r="L2043" s="164">
        <f>-SUMIF(TArticle[تاریخ],TDays[[#This Row],[تاریخ]],TArticle[پرداخت بدهی])</f>
        <v>0</v>
      </c>
      <c r="M2043" s="164">
        <f>SUMIF(TArticle[تاریخ],TDays[[#This Row],[تاریخ]],TArticle[افزایش بدهی])</f>
        <v>0</v>
      </c>
      <c r="N2043" s="164">
        <f>-SUMIF(TArticle[تاریخ],TDays[[#This Row],[تاریخ]],TArticle[افزایش سرمایه])</f>
        <v>0</v>
      </c>
      <c r="O2043" s="164">
        <f>SUMIF(TArticle[تاریخ],TDays[[#This Row],[تاریخ]],TArticle[تعداد تراکنش انجام شده])</f>
        <v>0</v>
      </c>
      <c r="P2043" s="164">
        <f>INT(((TDays[[#This Row],[ماه]]-1)*31+TDays[[#This Row],[روز]]+1)/7)+1</f>
        <v>32</v>
      </c>
      <c r="Q2043" s="164">
        <f>SUMIF(TArticle[تاریخ],TDays[[#This Row],[تاریخ]],TArticle[تراکنش برنامه ریزی شده])</f>
        <v>0</v>
      </c>
    </row>
    <row r="2044" spans="1:17" x14ac:dyDescent="0.25">
      <c r="A2044" s="3" t="s">
        <v>2660</v>
      </c>
      <c r="B2044" s="164" t="str">
        <f>RIGHT(TDays[[#This Row],[تاریخ]],2)</f>
        <v>02</v>
      </c>
      <c r="C2044" s="164" t="str">
        <f>RIGHT(LEFT(TDays[[#This Row],[تاریخ]],7),2)</f>
        <v>08</v>
      </c>
      <c r="D2044" s="164" t="str">
        <f>LEFT(TDays[[#This Row],[تاریخ]],4)</f>
        <v>1406</v>
      </c>
      <c r="E2044" s="164" t="str">
        <f>LEFT(TDays[[#This Row],[تاریخ]],7)</f>
        <v>1406-08</v>
      </c>
      <c r="F2044">
        <v>0</v>
      </c>
      <c r="G2044" s="165" t="str">
        <f>VLOOKUP(TDays[[#This Row],[کد روز هفته]],TDaysOfTheWeek[],2,FALSE)</f>
        <v>شنبه</v>
      </c>
      <c r="H2044" s="165">
        <f>IFERROR(IF(E2043&lt;&gt;E2044,1,INT(H2043)+IF(TDays[[#This Row],[کد روز هفته]]=0,1,0)),1)</f>
        <v>2</v>
      </c>
      <c r="I2044" s="164">
        <f>-SUMIF(TArticle[تاریخ],TDays[[#This Row],[تاریخ]],TArticle[هزینه])</f>
        <v>0</v>
      </c>
      <c r="J2044" s="164">
        <f>SUMIF(TArticle[تاریخ],TDays[[#This Row],[تاریخ]],TArticle[درآمد تتا])</f>
        <v>0</v>
      </c>
      <c r="K2044" s="164">
        <f>SUMIF(TArticle[تاریخ],TDays[[#This Row],[تاریخ]],TArticle[اسنپ])</f>
        <v>0</v>
      </c>
      <c r="L2044" s="164">
        <f>-SUMIF(TArticle[تاریخ],TDays[[#This Row],[تاریخ]],TArticle[پرداخت بدهی])</f>
        <v>0</v>
      </c>
      <c r="M2044" s="164">
        <f>SUMIF(TArticle[تاریخ],TDays[[#This Row],[تاریخ]],TArticle[افزایش بدهی])</f>
        <v>0</v>
      </c>
      <c r="N2044" s="164">
        <f>-SUMIF(TArticle[تاریخ],TDays[[#This Row],[تاریخ]],TArticle[افزایش سرمایه])</f>
        <v>0</v>
      </c>
      <c r="O2044" s="164">
        <f>SUMIF(TArticle[تاریخ],TDays[[#This Row],[تاریخ]],TArticle[تعداد تراکنش انجام شده])</f>
        <v>0</v>
      </c>
      <c r="P2044" s="164">
        <f>INT(((TDays[[#This Row],[ماه]]-1)*31+TDays[[#This Row],[روز]]+1)/7)+1</f>
        <v>32</v>
      </c>
      <c r="Q2044" s="164">
        <f>SUMIF(TArticle[تاریخ],TDays[[#This Row],[تاریخ]],TArticle[تراکنش برنامه ریزی شده])</f>
        <v>0</v>
      </c>
    </row>
    <row r="2045" spans="1:17" x14ac:dyDescent="0.25">
      <c r="A2045" s="3" t="s">
        <v>2661</v>
      </c>
      <c r="B2045" s="164" t="str">
        <f>RIGHT(TDays[[#This Row],[تاریخ]],2)</f>
        <v>03</v>
      </c>
      <c r="C2045" s="164" t="str">
        <f>RIGHT(LEFT(TDays[[#This Row],[تاریخ]],7),2)</f>
        <v>08</v>
      </c>
      <c r="D2045" s="164" t="str">
        <f>LEFT(TDays[[#This Row],[تاریخ]],4)</f>
        <v>1406</v>
      </c>
      <c r="E2045" s="164" t="str">
        <f>LEFT(TDays[[#This Row],[تاریخ]],7)</f>
        <v>1406-08</v>
      </c>
      <c r="F2045">
        <v>1</v>
      </c>
      <c r="G2045" s="165" t="str">
        <f>VLOOKUP(TDays[[#This Row],[کد روز هفته]],TDaysOfTheWeek[],2,FALSE)</f>
        <v>یکشنبه</v>
      </c>
      <c r="H2045" s="165">
        <f>IFERROR(IF(E2044&lt;&gt;E2045,1,INT(H2044)+IF(TDays[[#This Row],[کد روز هفته]]=0,1,0)),1)</f>
        <v>2</v>
      </c>
      <c r="I2045" s="164">
        <f>-SUMIF(TArticle[تاریخ],TDays[[#This Row],[تاریخ]],TArticle[هزینه])</f>
        <v>0</v>
      </c>
      <c r="J2045" s="164">
        <f>SUMIF(TArticle[تاریخ],TDays[[#This Row],[تاریخ]],TArticle[درآمد تتا])</f>
        <v>0</v>
      </c>
      <c r="K2045" s="164">
        <f>SUMIF(TArticle[تاریخ],TDays[[#This Row],[تاریخ]],TArticle[اسنپ])</f>
        <v>0</v>
      </c>
      <c r="L2045" s="164">
        <f>-SUMIF(TArticle[تاریخ],TDays[[#This Row],[تاریخ]],TArticle[پرداخت بدهی])</f>
        <v>0</v>
      </c>
      <c r="M2045" s="164">
        <f>SUMIF(TArticle[تاریخ],TDays[[#This Row],[تاریخ]],TArticle[افزایش بدهی])</f>
        <v>0</v>
      </c>
      <c r="N2045" s="164">
        <f>-SUMIF(TArticle[تاریخ],TDays[[#This Row],[تاریخ]],TArticle[افزایش سرمایه])</f>
        <v>0</v>
      </c>
      <c r="O2045" s="164">
        <f>SUMIF(TArticle[تاریخ],TDays[[#This Row],[تاریخ]],TArticle[تعداد تراکنش انجام شده])</f>
        <v>0</v>
      </c>
      <c r="P2045" s="164">
        <f>INT(((TDays[[#This Row],[ماه]]-1)*31+TDays[[#This Row],[روز]]+1)/7)+1</f>
        <v>32</v>
      </c>
      <c r="Q2045" s="164">
        <f>SUMIF(TArticle[تاریخ],TDays[[#This Row],[تاریخ]],TArticle[تراکنش برنامه ریزی شده])</f>
        <v>1</v>
      </c>
    </row>
    <row r="2046" spans="1:17" x14ac:dyDescent="0.25">
      <c r="A2046" s="3" t="s">
        <v>2662</v>
      </c>
      <c r="B2046" s="164" t="str">
        <f>RIGHT(TDays[[#This Row],[تاریخ]],2)</f>
        <v>04</v>
      </c>
      <c r="C2046" s="164" t="str">
        <f>RIGHT(LEFT(TDays[[#This Row],[تاریخ]],7),2)</f>
        <v>08</v>
      </c>
      <c r="D2046" s="164" t="str">
        <f>LEFT(TDays[[#This Row],[تاریخ]],4)</f>
        <v>1406</v>
      </c>
      <c r="E2046" s="164" t="str">
        <f>LEFT(TDays[[#This Row],[تاریخ]],7)</f>
        <v>1406-08</v>
      </c>
      <c r="F2046">
        <v>2</v>
      </c>
      <c r="G2046" s="165" t="str">
        <f>VLOOKUP(TDays[[#This Row],[کد روز هفته]],TDaysOfTheWeek[],2,FALSE)</f>
        <v>دوشنبه</v>
      </c>
      <c r="H2046" s="165">
        <f>IFERROR(IF(E2045&lt;&gt;E2046,1,INT(H2045)+IF(TDays[[#This Row],[کد روز هفته]]=0,1,0)),1)</f>
        <v>2</v>
      </c>
      <c r="I2046" s="164">
        <f>-SUMIF(TArticle[تاریخ],TDays[[#This Row],[تاریخ]],TArticle[هزینه])</f>
        <v>0</v>
      </c>
      <c r="J2046" s="164">
        <f>SUMIF(TArticle[تاریخ],TDays[[#This Row],[تاریخ]],TArticle[درآمد تتا])</f>
        <v>0</v>
      </c>
      <c r="K2046" s="164">
        <f>SUMIF(TArticle[تاریخ],TDays[[#This Row],[تاریخ]],TArticle[اسنپ])</f>
        <v>0</v>
      </c>
      <c r="L2046" s="164">
        <f>-SUMIF(TArticle[تاریخ],TDays[[#This Row],[تاریخ]],TArticle[پرداخت بدهی])</f>
        <v>0</v>
      </c>
      <c r="M2046" s="164">
        <f>SUMIF(TArticle[تاریخ],TDays[[#This Row],[تاریخ]],TArticle[افزایش بدهی])</f>
        <v>0</v>
      </c>
      <c r="N2046" s="164">
        <f>-SUMIF(TArticle[تاریخ],TDays[[#This Row],[تاریخ]],TArticle[افزایش سرمایه])</f>
        <v>0</v>
      </c>
      <c r="O2046" s="164">
        <f>SUMIF(TArticle[تاریخ],TDays[[#This Row],[تاریخ]],TArticle[تعداد تراکنش انجام شده])</f>
        <v>0</v>
      </c>
      <c r="P2046" s="164">
        <f>INT(((TDays[[#This Row],[ماه]]-1)*31+TDays[[#This Row],[روز]]+1)/7)+1</f>
        <v>32</v>
      </c>
      <c r="Q2046" s="164">
        <f>SUMIF(TArticle[تاریخ],TDays[[#This Row],[تاریخ]],TArticle[تراکنش برنامه ریزی شده])</f>
        <v>0</v>
      </c>
    </row>
    <row r="2047" spans="1:17" x14ac:dyDescent="0.25">
      <c r="A2047" s="3" t="s">
        <v>2663</v>
      </c>
      <c r="B2047" s="164" t="str">
        <f>RIGHT(TDays[[#This Row],[تاریخ]],2)</f>
        <v>05</v>
      </c>
      <c r="C2047" s="164" t="str">
        <f>RIGHT(LEFT(TDays[[#This Row],[تاریخ]],7),2)</f>
        <v>08</v>
      </c>
      <c r="D2047" s="164" t="str">
        <f>LEFT(TDays[[#This Row],[تاریخ]],4)</f>
        <v>1406</v>
      </c>
      <c r="E2047" s="164" t="str">
        <f>LEFT(TDays[[#This Row],[تاریخ]],7)</f>
        <v>1406-08</v>
      </c>
      <c r="F2047" s="164">
        <v>3</v>
      </c>
      <c r="G2047" s="165" t="str">
        <f>VLOOKUP(TDays[[#This Row],[کد روز هفته]],TDaysOfTheWeek[],2,FALSE)</f>
        <v>سه شنبه</v>
      </c>
      <c r="H2047" s="165">
        <f>IFERROR(IF(E2046&lt;&gt;E2047,1,INT(H2046)+IF(TDays[[#This Row],[کد روز هفته]]=0,1,0)),1)</f>
        <v>2</v>
      </c>
      <c r="I2047" s="164">
        <f>-SUMIF(TArticle[تاریخ],TDays[[#This Row],[تاریخ]],TArticle[هزینه])</f>
        <v>0</v>
      </c>
      <c r="J2047" s="164">
        <f>SUMIF(TArticle[تاریخ],TDays[[#This Row],[تاریخ]],TArticle[درآمد تتا])</f>
        <v>0</v>
      </c>
      <c r="K2047" s="164">
        <f>SUMIF(TArticle[تاریخ],TDays[[#This Row],[تاریخ]],TArticle[اسنپ])</f>
        <v>0</v>
      </c>
      <c r="L2047" s="164">
        <f>-SUMIF(TArticle[تاریخ],TDays[[#This Row],[تاریخ]],TArticle[پرداخت بدهی])</f>
        <v>0</v>
      </c>
      <c r="M2047" s="164">
        <f>SUMIF(TArticle[تاریخ],TDays[[#This Row],[تاریخ]],TArticle[افزایش بدهی])</f>
        <v>0</v>
      </c>
      <c r="N2047" s="164">
        <f>-SUMIF(TArticle[تاریخ],TDays[[#This Row],[تاریخ]],TArticle[افزایش سرمایه])</f>
        <v>0</v>
      </c>
      <c r="O2047" s="164">
        <f>SUMIF(TArticle[تاریخ],TDays[[#This Row],[تاریخ]],TArticle[تعداد تراکنش انجام شده])</f>
        <v>0</v>
      </c>
      <c r="P2047" s="164">
        <f>INT(((TDays[[#This Row],[ماه]]-1)*31+TDays[[#This Row],[روز]]+1)/7)+1</f>
        <v>32</v>
      </c>
      <c r="Q2047" s="164">
        <f>SUMIF(TArticle[تاریخ],TDays[[#This Row],[تاریخ]],TArticle[تراکنش برنامه ریزی شده])</f>
        <v>0</v>
      </c>
    </row>
    <row r="2048" spans="1:17" x14ac:dyDescent="0.25">
      <c r="A2048" s="3" t="s">
        <v>2664</v>
      </c>
      <c r="B2048" s="164" t="str">
        <f>RIGHT(TDays[[#This Row],[تاریخ]],2)</f>
        <v>06</v>
      </c>
      <c r="C2048" s="164" t="str">
        <f>RIGHT(LEFT(TDays[[#This Row],[تاریخ]],7),2)</f>
        <v>08</v>
      </c>
      <c r="D2048" s="164" t="str">
        <f>LEFT(TDays[[#This Row],[تاریخ]],4)</f>
        <v>1406</v>
      </c>
      <c r="E2048" s="164" t="str">
        <f>LEFT(TDays[[#This Row],[تاریخ]],7)</f>
        <v>1406-08</v>
      </c>
      <c r="F2048" s="164">
        <v>4</v>
      </c>
      <c r="G2048" s="165" t="str">
        <f>VLOOKUP(TDays[[#This Row],[کد روز هفته]],TDaysOfTheWeek[],2,FALSE)</f>
        <v>چهارشنبه</v>
      </c>
      <c r="H2048" s="165">
        <f>IFERROR(IF(E2047&lt;&gt;E2048,1,INT(H2047)+IF(TDays[[#This Row],[کد روز هفته]]=0,1,0)),1)</f>
        <v>2</v>
      </c>
      <c r="I2048" s="164">
        <f>-SUMIF(TArticle[تاریخ],TDays[[#This Row],[تاریخ]],TArticle[هزینه])</f>
        <v>0</v>
      </c>
      <c r="J2048" s="164">
        <f>SUMIF(TArticle[تاریخ],TDays[[#This Row],[تاریخ]],TArticle[درآمد تتا])</f>
        <v>0</v>
      </c>
      <c r="K2048" s="164">
        <f>SUMIF(TArticle[تاریخ],TDays[[#This Row],[تاریخ]],TArticle[اسنپ])</f>
        <v>0</v>
      </c>
      <c r="L2048" s="164">
        <f>-SUMIF(TArticle[تاریخ],TDays[[#This Row],[تاریخ]],TArticle[پرداخت بدهی])</f>
        <v>0</v>
      </c>
      <c r="M2048" s="164">
        <f>SUMIF(TArticle[تاریخ],TDays[[#This Row],[تاریخ]],TArticle[افزایش بدهی])</f>
        <v>0</v>
      </c>
      <c r="N2048" s="164">
        <f>-SUMIF(TArticle[تاریخ],TDays[[#This Row],[تاریخ]],TArticle[افزایش سرمایه])</f>
        <v>0</v>
      </c>
      <c r="O2048" s="164">
        <f>SUMIF(TArticle[تاریخ],TDays[[#This Row],[تاریخ]],TArticle[تعداد تراکنش انجام شده])</f>
        <v>0</v>
      </c>
      <c r="P2048" s="164">
        <f>INT(((TDays[[#This Row],[ماه]]-1)*31+TDays[[#This Row],[روز]]+1)/7)+1</f>
        <v>33</v>
      </c>
      <c r="Q2048" s="164">
        <f>SUMIF(TArticle[تاریخ],TDays[[#This Row],[تاریخ]],TArticle[تراکنش برنامه ریزی شده])</f>
        <v>0</v>
      </c>
    </row>
    <row r="2049" spans="1:17" x14ac:dyDescent="0.25">
      <c r="A2049" s="3" t="s">
        <v>2665</v>
      </c>
      <c r="B2049" s="164" t="str">
        <f>RIGHT(TDays[[#This Row],[تاریخ]],2)</f>
        <v>07</v>
      </c>
      <c r="C2049" s="164" t="str">
        <f>RIGHT(LEFT(TDays[[#This Row],[تاریخ]],7),2)</f>
        <v>08</v>
      </c>
      <c r="D2049" s="164" t="str">
        <f>LEFT(TDays[[#This Row],[تاریخ]],4)</f>
        <v>1406</v>
      </c>
      <c r="E2049" s="164" t="str">
        <f>LEFT(TDays[[#This Row],[تاریخ]],7)</f>
        <v>1406-08</v>
      </c>
      <c r="F2049">
        <v>5</v>
      </c>
      <c r="G2049" s="165" t="str">
        <f>VLOOKUP(TDays[[#This Row],[کد روز هفته]],TDaysOfTheWeek[],2,FALSE)</f>
        <v>پنجشنبه</v>
      </c>
      <c r="H2049" s="165">
        <f>IFERROR(IF(E2048&lt;&gt;E2049,1,INT(H2048)+IF(TDays[[#This Row],[کد روز هفته]]=0,1,0)),1)</f>
        <v>2</v>
      </c>
      <c r="I2049" s="164">
        <f>-SUMIF(TArticle[تاریخ],TDays[[#This Row],[تاریخ]],TArticle[هزینه])</f>
        <v>0</v>
      </c>
      <c r="J2049" s="164">
        <f>SUMIF(TArticle[تاریخ],TDays[[#This Row],[تاریخ]],TArticle[درآمد تتا])</f>
        <v>0</v>
      </c>
      <c r="K2049" s="164">
        <f>SUMIF(TArticle[تاریخ],TDays[[#This Row],[تاریخ]],TArticle[اسنپ])</f>
        <v>0</v>
      </c>
      <c r="L2049" s="164">
        <f>-SUMIF(TArticle[تاریخ],TDays[[#This Row],[تاریخ]],TArticle[پرداخت بدهی])</f>
        <v>0</v>
      </c>
      <c r="M2049" s="164">
        <f>SUMIF(TArticle[تاریخ],TDays[[#This Row],[تاریخ]],TArticle[افزایش بدهی])</f>
        <v>0</v>
      </c>
      <c r="N2049" s="164">
        <f>-SUMIF(TArticle[تاریخ],TDays[[#This Row],[تاریخ]],TArticle[افزایش سرمایه])</f>
        <v>0</v>
      </c>
      <c r="O2049" s="164">
        <f>SUMIF(TArticle[تاریخ],TDays[[#This Row],[تاریخ]],TArticle[تعداد تراکنش انجام شده])</f>
        <v>0</v>
      </c>
      <c r="P2049" s="164">
        <f>INT(((TDays[[#This Row],[ماه]]-1)*31+TDays[[#This Row],[روز]]+1)/7)+1</f>
        <v>33</v>
      </c>
      <c r="Q2049" s="164">
        <f>SUMIF(TArticle[تاریخ],TDays[[#This Row],[تاریخ]],TArticle[تراکنش برنامه ریزی شده])</f>
        <v>0</v>
      </c>
    </row>
    <row r="2050" spans="1:17" x14ac:dyDescent="0.25">
      <c r="A2050" s="3" t="s">
        <v>2666</v>
      </c>
      <c r="B2050" s="164" t="str">
        <f>RIGHT(TDays[[#This Row],[تاریخ]],2)</f>
        <v>08</v>
      </c>
      <c r="C2050" s="164" t="str">
        <f>RIGHT(LEFT(TDays[[#This Row],[تاریخ]],7),2)</f>
        <v>08</v>
      </c>
      <c r="D2050" s="164" t="str">
        <f>LEFT(TDays[[#This Row],[تاریخ]],4)</f>
        <v>1406</v>
      </c>
      <c r="E2050" s="164" t="str">
        <f>LEFT(TDays[[#This Row],[تاریخ]],7)</f>
        <v>1406-08</v>
      </c>
      <c r="F2050">
        <v>6</v>
      </c>
      <c r="G2050" s="165" t="str">
        <f>VLOOKUP(TDays[[#This Row],[کد روز هفته]],TDaysOfTheWeek[],2,FALSE)</f>
        <v>جمعه</v>
      </c>
      <c r="H2050" s="165">
        <f>IFERROR(IF(E2049&lt;&gt;E2050,1,INT(H2049)+IF(TDays[[#This Row],[کد روز هفته]]=0,1,0)),1)</f>
        <v>2</v>
      </c>
      <c r="I2050" s="164">
        <f>-SUMIF(TArticle[تاریخ],TDays[[#This Row],[تاریخ]],TArticle[هزینه])</f>
        <v>0</v>
      </c>
      <c r="J2050" s="164">
        <f>SUMIF(TArticle[تاریخ],TDays[[#This Row],[تاریخ]],TArticle[درآمد تتا])</f>
        <v>0</v>
      </c>
      <c r="K2050" s="164">
        <f>SUMIF(TArticle[تاریخ],TDays[[#This Row],[تاریخ]],TArticle[اسنپ])</f>
        <v>0</v>
      </c>
      <c r="L2050" s="164">
        <f>-SUMIF(TArticle[تاریخ],TDays[[#This Row],[تاریخ]],TArticle[پرداخت بدهی])</f>
        <v>0</v>
      </c>
      <c r="M2050" s="164">
        <f>SUMIF(TArticle[تاریخ],TDays[[#This Row],[تاریخ]],TArticle[افزایش بدهی])</f>
        <v>0</v>
      </c>
      <c r="N2050" s="164">
        <f>-SUMIF(TArticle[تاریخ],TDays[[#This Row],[تاریخ]],TArticle[افزایش سرمایه])</f>
        <v>0</v>
      </c>
      <c r="O2050" s="164">
        <f>SUMIF(TArticle[تاریخ],TDays[[#This Row],[تاریخ]],TArticle[تعداد تراکنش انجام شده])</f>
        <v>0</v>
      </c>
      <c r="P2050" s="164">
        <f>INT(((TDays[[#This Row],[ماه]]-1)*31+TDays[[#This Row],[روز]]+1)/7)+1</f>
        <v>33</v>
      </c>
      <c r="Q2050" s="164">
        <f>SUMIF(TArticle[تاریخ],TDays[[#This Row],[تاریخ]],TArticle[تراکنش برنامه ریزی شده])</f>
        <v>0</v>
      </c>
    </row>
    <row r="2051" spans="1:17" x14ac:dyDescent="0.25">
      <c r="A2051" s="3" t="s">
        <v>2667</v>
      </c>
      <c r="B2051" s="164" t="str">
        <f>RIGHT(TDays[[#This Row],[تاریخ]],2)</f>
        <v>09</v>
      </c>
      <c r="C2051" s="164" t="str">
        <f>RIGHT(LEFT(TDays[[#This Row],[تاریخ]],7),2)</f>
        <v>08</v>
      </c>
      <c r="D2051" s="164" t="str">
        <f>LEFT(TDays[[#This Row],[تاریخ]],4)</f>
        <v>1406</v>
      </c>
      <c r="E2051" s="164" t="str">
        <f>LEFT(TDays[[#This Row],[تاریخ]],7)</f>
        <v>1406-08</v>
      </c>
      <c r="F2051">
        <v>0</v>
      </c>
      <c r="G2051" s="165" t="str">
        <f>VLOOKUP(TDays[[#This Row],[کد روز هفته]],TDaysOfTheWeek[],2,FALSE)</f>
        <v>شنبه</v>
      </c>
      <c r="H2051" s="165">
        <f>IFERROR(IF(E2050&lt;&gt;E2051,1,INT(H2050)+IF(TDays[[#This Row],[کد روز هفته]]=0,1,0)),1)</f>
        <v>3</v>
      </c>
      <c r="I2051" s="164">
        <f>-SUMIF(TArticle[تاریخ],TDays[[#This Row],[تاریخ]],TArticle[هزینه])</f>
        <v>0</v>
      </c>
      <c r="J2051" s="164">
        <f>SUMIF(TArticle[تاریخ],TDays[[#This Row],[تاریخ]],TArticle[درآمد تتا])</f>
        <v>0</v>
      </c>
      <c r="K2051" s="164">
        <f>SUMIF(TArticle[تاریخ],TDays[[#This Row],[تاریخ]],TArticle[اسنپ])</f>
        <v>0</v>
      </c>
      <c r="L2051" s="164">
        <f>-SUMIF(TArticle[تاریخ],TDays[[#This Row],[تاریخ]],TArticle[پرداخت بدهی])</f>
        <v>0</v>
      </c>
      <c r="M2051" s="164">
        <f>SUMIF(TArticle[تاریخ],TDays[[#This Row],[تاریخ]],TArticle[افزایش بدهی])</f>
        <v>0</v>
      </c>
      <c r="N2051" s="164">
        <f>-SUMIF(TArticle[تاریخ],TDays[[#This Row],[تاریخ]],TArticle[افزایش سرمایه])</f>
        <v>0</v>
      </c>
      <c r="O2051" s="164">
        <f>SUMIF(TArticle[تاریخ],TDays[[#This Row],[تاریخ]],TArticle[تعداد تراکنش انجام شده])</f>
        <v>0</v>
      </c>
      <c r="P2051" s="164">
        <f>INT(((TDays[[#This Row],[ماه]]-1)*31+TDays[[#This Row],[روز]]+1)/7)+1</f>
        <v>33</v>
      </c>
      <c r="Q2051" s="164">
        <f>SUMIF(TArticle[تاریخ],TDays[[#This Row],[تاریخ]],TArticle[تراکنش برنامه ریزی شده])</f>
        <v>0</v>
      </c>
    </row>
    <row r="2052" spans="1:17" x14ac:dyDescent="0.25">
      <c r="A2052" s="3" t="s">
        <v>2668</v>
      </c>
      <c r="B2052" s="164" t="str">
        <f>RIGHT(TDays[[#This Row],[تاریخ]],2)</f>
        <v>10</v>
      </c>
      <c r="C2052" s="164" t="str">
        <f>RIGHT(LEFT(TDays[[#This Row],[تاریخ]],7),2)</f>
        <v>08</v>
      </c>
      <c r="D2052" s="164" t="str">
        <f>LEFT(TDays[[#This Row],[تاریخ]],4)</f>
        <v>1406</v>
      </c>
      <c r="E2052" s="164" t="str">
        <f>LEFT(TDays[[#This Row],[تاریخ]],7)</f>
        <v>1406-08</v>
      </c>
      <c r="F2052">
        <v>1</v>
      </c>
      <c r="G2052" s="165" t="str">
        <f>VLOOKUP(TDays[[#This Row],[کد روز هفته]],TDaysOfTheWeek[],2,FALSE)</f>
        <v>یکشنبه</v>
      </c>
      <c r="H2052" s="165">
        <f>IFERROR(IF(E2051&lt;&gt;E2052,1,INT(H2051)+IF(TDays[[#This Row],[کد روز هفته]]=0,1,0)),1)</f>
        <v>3</v>
      </c>
      <c r="I2052" s="164">
        <f>-SUMIF(TArticle[تاریخ],TDays[[#This Row],[تاریخ]],TArticle[هزینه])</f>
        <v>0</v>
      </c>
      <c r="J2052" s="164">
        <f>SUMIF(TArticle[تاریخ],TDays[[#This Row],[تاریخ]],TArticle[درآمد تتا])</f>
        <v>0</v>
      </c>
      <c r="K2052" s="164">
        <f>SUMIF(TArticle[تاریخ],TDays[[#This Row],[تاریخ]],TArticle[اسنپ])</f>
        <v>0</v>
      </c>
      <c r="L2052" s="164">
        <f>-SUMIF(TArticle[تاریخ],TDays[[#This Row],[تاریخ]],TArticle[پرداخت بدهی])</f>
        <v>0</v>
      </c>
      <c r="M2052" s="164">
        <f>SUMIF(TArticle[تاریخ],TDays[[#This Row],[تاریخ]],TArticle[افزایش بدهی])</f>
        <v>0</v>
      </c>
      <c r="N2052" s="164">
        <f>-SUMIF(TArticle[تاریخ],TDays[[#This Row],[تاریخ]],TArticle[افزایش سرمایه])</f>
        <v>0</v>
      </c>
      <c r="O2052" s="164">
        <f>SUMIF(TArticle[تاریخ],TDays[[#This Row],[تاریخ]],TArticle[تعداد تراکنش انجام شده])</f>
        <v>0</v>
      </c>
      <c r="P2052" s="164">
        <f>INT(((TDays[[#This Row],[ماه]]-1)*31+TDays[[#This Row],[روز]]+1)/7)+1</f>
        <v>33</v>
      </c>
      <c r="Q2052" s="164">
        <f>SUMIF(TArticle[تاریخ],TDays[[#This Row],[تاریخ]],TArticle[تراکنش برنامه ریزی شده])</f>
        <v>0</v>
      </c>
    </row>
    <row r="2053" spans="1:17" x14ac:dyDescent="0.25">
      <c r="A2053" s="3" t="s">
        <v>2669</v>
      </c>
      <c r="B2053" s="164" t="str">
        <f>RIGHT(TDays[[#This Row],[تاریخ]],2)</f>
        <v>11</v>
      </c>
      <c r="C2053" s="164" t="str">
        <f>RIGHT(LEFT(TDays[[#This Row],[تاریخ]],7),2)</f>
        <v>08</v>
      </c>
      <c r="D2053" s="164" t="str">
        <f>LEFT(TDays[[#This Row],[تاریخ]],4)</f>
        <v>1406</v>
      </c>
      <c r="E2053" s="164" t="str">
        <f>LEFT(TDays[[#This Row],[تاریخ]],7)</f>
        <v>1406-08</v>
      </c>
      <c r="F2053">
        <v>2</v>
      </c>
      <c r="G2053" s="165" t="str">
        <f>VLOOKUP(TDays[[#This Row],[کد روز هفته]],TDaysOfTheWeek[],2,FALSE)</f>
        <v>دوشنبه</v>
      </c>
      <c r="H2053" s="165">
        <f>IFERROR(IF(E2052&lt;&gt;E2053,1,INT(H2052)+IF(TDays[[#This Row],[کد روز هفته]]=0,1,0)),1)</f>
        <v>3</v>
      </c>
      <c r="I2053" s="164">
        <f>-SUMIF(TArticle[تاریخ],TDays[[#This Row],[تاریخ]],TArticle[هزینه])</f>
        <v>0</v>
      </c>
      <c r="J2053" s="164">
        <f>SUMIF(TArticle[تاریخ],TDays[[#This Row],[تاریخ]],TArticle[درآمد تتا])</f>
        <v>0</v>
      </c>
      <c r="K2053" s="164">
        <f>SUMIF(TArticle[تاریخ],TDays[[#This Row],[تاریخ]],TArticle[اسنپ])</f>
        <v>0</v>
      </c>
      <c r="L2053" s="164">
        <f>-SUMIF(TArticle[تاریخ],TDays[[#This Row],[تاریخ]],TArticle[پرداخت بدهی])</f>
        <v>0</v>
      </c>
      <c r="M2053" s="164">
        <f>SUMIF(TArticle[تاریخ],TDays[[#This Row],[تاریخ]],TArticle[افزایش بدهی])</f>
        <v>0</v>
      </c>
      <c r="N2053" s="164">
        <f>-SUMIF(TArticle[تاریخ],TDays[[#This Row],[تاریخ]],TArticle[افزایش سرمایه])</f>
        <v>0</v>
      </c>
      <c r="O2053" s="164">
        <f>SUMIF(TArticle[تاریخ],TDays[[#This Row],[تاریخ]],TArticle[تعداد تراکنش انجام شده])</f>
        <v>0</v>
      </c>
      <c r="P2053" s="164">
        <f>INT(((TDays[[#This Row],[ماه]]-1)*31+TDays[[#This Row],[روز]]+1)/7)+1</f>
        <v>33</v>
      </c>
      <c r="Q2053" s="164">
        <f>SUMIF(TArticle[تاریخ],TDays[[#This Row],[تاریخ]],TArticle[تراکنش برنامه ریزی شده])</f>
        <v>0</v>
      </c>
    </row>
    <row r="2054" spans="1:17" x14ac:dyDescent="0.25">
      <c r="A2054" s="3" t="s">
        <v>2670</v>
      </c>
      <c r="B2054" s="164" t="str">
        <f>RIGHT(TDays[[#This Row],[تاریخ]],2)</f>
        <v>12</v>
      </c>
      <c r="C2054" s="164" t="str">
        <f>RIGHT(LEFT(TDays[[#This Row],[تاریخ]],7),2)</f>
        <v>08</v>
      </c>
      <c r="D2054" s="164" t="str">
        <f>LEFT(TDays[[#This Row],[تاریخ]],4)</f>
        <v>1406</v>
      </c>
      <c r="E2054" s="164" t="str">
        <f>LEFT(TDays[[#This Row],[تاریخ]],7)</f>
        <v>1406-08</v>
      </c>
      <c r="F2054">
        <v>3</v>
      </c>
      <c r="G2054" s="165" t="str">
        <f>VLOOKUP(TDays[[#This Row],[کد روز هفته]],TDaysOfTheWeek[],2,FALSE)</f>
        <v>سه شنبه</v>
      </c>
      <c r="H2054" s="165">
        <f>IFERROR(IF(E2053&lt;&gt;E2054,1,INT(H2053)+IF(TDays[[#This Row],[کد روز هفته]]=0,1,0)),1)</f>
        <v>3</v>
      </c>
      <c r="I2054" s="164">
        <f>-SUMIF(TArticle[تاریخ],TDays[[#This Row],[تاریخ]],TArticle[هزینه])</f>
        <v>0</v>
      </c>
      <c r="J2054" s="164">
        <f>SUMIF(TArticle[تاریخ],TDays[[#This Row],[تاریخ]],TArticle[درآمد تتا])</f>
        <v>0</v>
      </c>
      <c r="K2054" s="164">
        <f>SUMIF(TArticle[تاریخ],TDays[[#This Row],[تاریخ]],TArticle[اسنپ])</f>
        <v>0</v>
      </c>
      <c r="L2054" s="164">
        <f>-SUMIF(TArticle[تاریخ],TDays[[#This Row],[تاریخ]],TArticle[پرداخت بدهی])</f>
        <v>0</v>
      </c>
      <c r="M2054" s="164">
        <f>SUMIF(TArticle[تاریخ],TDays[[#This Row],[تاریخ]],TArticle[افزایش بدهی])</f>
        <v>0</v>
      </c>
      <c r="N2054" s="164">
        <f>-SUMIF(TArticle[تاریخ],TDays[[#This Row],[تاریخ]],TArticle[افزایش سرمایه])</f>
        <v>0</v>
      </c>
      <c r="O2054" s="164">
        <f>SUMIF(TArticle[تاریخ],TDays[[#This Row],[تاریخ]],TArticle[تعداد تراکنش انجام شده])</f>
        <v>0</v>
      </c>
      <c r="P2054" s="164">
        <f>INT(((TDays[[#This Row],[ماه]]-1)*31+TDays[[#This Row],[روز]]+1)/7)+1</f>
        <v>33</v>
      </c>
      <c r="Q2054" s="164">
        <f>SUMIF(TArticle[تاریخ],TDays[[#This Row],[تاریخ]],TArticle[تراکنش برنامه ریزی شده])</f>
        <v>0</v>
      </c>
    </row>
    <row r="2055" spans="1:17" x14ac:dyDescent="0.25">
      <c r="A2055" s="3" t="s">
        <v>2671</v>
      </c>
      <c r="B2055" s="164" t="str">
        <f>RIGHT(TDays[[#This Row],[تاریخ]],2)</f>
        <v>13</v>
      </c>
      <c r="C2055" s="164" t="str">
        <f>RIGHT(LEFT(TDays[[#This Row],[تاریخ]],7),2)</f>
        <v>08</v>
      </c>
      <c r="D2055" s="164" t="str">
        <f>LEFT(TDays[[#This Row],[تاریخ]],4)</f>
        <v>1406</v>
      </c>
      <c r="E2055" s="164" t="str">
        <f>LEFT(TDays[[#This Row],[تاریخ]],7)</f>
        <v>1406-08</v>
      </c>
      <c r="F2055">
        <v>4</v>
      </c>
      <c r="G2055" s="165" t="str">
        <f>VLOOKUP(TDays[[#This Row],[کد روز هفته]],TDaysOfTheWeek[],2,FALSE)</f>
        <v>چهارشنبه</v>
      </c>
      <c r="H2055" s="165">
        <f>IFERROR(IF(E2054&lt;&gt;E2055,1,INT(H2054)+IF(TDays[[#This Row],[کد روز هفته]]=0,1,0)),1)</f>
        <v>3</v>
      </c>
      <c r="I2055" s="164">
        <f>-SUMIF(TArticle[تاریخ],TDays[[#This Row],[تاریخ]],TArticle[هزینه])</f>
        <v>0</v>
      </c>
      <c r="J2055" s="164">
        <f>SUMIF(TArticle[تاریخ],TDays[[#This Row],[تاریخ]],TArticle[درآمد تتا])</f>
        <v>0</v>
      </c>
      <c r="K2055" s="164">
        <f>SUMIF(TArticle[تاریخ],TDays[[#This Row],[تاریخ]],TArticle[اسنپ])</f>
        <v>0</v>
      </c>
      <c r="L2055" s="164">
        <f>-SUMIF(TArticle[تاریخ],TDays[[#This Row],[تاریخ]],TArticle[پرداخت بدهی])</f>
        <v>0</v>
      </c>
      <c r="M2055" s="164">
        <f>SUMIF(TArticle[تاریخ],TDays[[#This Row],[تاریخ]],TArticle[افزایش بدهی])</f>
        <v>0</v>
      </c>
      <c r="N2055" s="164">
        <f>-SUMIF(TArticle[تاریخ],TDays[[#This Row],[تاریخ]],TArticle[افزایش سرمایه])</f>
        <v>0</v>
      </c>
      <c r="O2055" s="164">
        <f>SUMIF(TArticle[تاریخ],TDays[[#This Row],[تاریخ]],TArticle[تعداد تراکنش انجام شده])</f>
        <v>0</v>
      </c>
      <c r="P2055" s="164">
        <f>INT(((TDays[[#This Row],[ماه]]-1)*31+TDays[[#This Row],[روز]]+1)/7)+1</f>
        <v>34</v>
      </c>
      <c r="Q2055" s="164">
        <f>SUMIF(TArticle[تاریخ],TDays[[#This Row],[تاریخ]],TArticle[تراکنش برنامه ریزی شده])</f>
        <v>0</v>
      </c>
    </row>
    <row r="2056" spans="1:17" x14ac:dyDescent="0.25">
      <c r="A2056" s="3" t="s">
        <v>2672</v>
      </c>
      <c r="B2056" s="164" t="str">
        <f>RIGHT(TDays[[#This Row],[تاریخ]],2)</f>
        <v>14</v>
      </c>
      <c r="C2056" s="164" t="str">
        <f>RIGHT(LEFT(TDays[[#This Row],[تاریخ]],7),2)</f>
        <v>08</v>
      </c>
      <c r="D2056" s="164" t="str">
        <f>LEFT(TDays[[#This Row],[تاریخ]],4)</f>
        <v>1406</v>
      </c>
      <c r="E2056" s="164" t="str">
        <f>LEFT(TDays[[#This Row],[تاریخ]],7)</f>
        <v>1406-08</v>
      </c>
      <c r="F2056">
        <v>5</v>
      </c>
      <c r="G2056" s="165" t="str">
        <f>VLOOKUP(TDays[[#This Row],[کد روز هفته]],TDaysOfTheWeek[],2,FALSE)</f>
        <v>پنجشنبه</v>
      </c>
      <c r="H2056" s="165">
        <f>IFERROR(IF(E2055&lt;&gt;E2056,1,INT(H2055)+IF(TDays[[#This Row],[کد روز هفته]]=0,1,0)),1)</f>
        <v>3</v>
      </c>
      <c r="I2056" s="164">
        <f>-SUMIF(TArticle[تاریخ],TDays[[#This Row],[تاریخ]],TArticle[هزینه])</f>
        <v>0</v>
      </c>
      <c r="J2056" s="164">
        <f>SUMIF(TArticle[تاریخ],TDays[[#This Row],[تاریخ]],TArticle[درآمد تتا])</f>
        <v>0</v>
      </c>
      <c r="K2056" s="164">
        <f>SUMIF(TArticle[تاریخ],TDays[[#This Row],[تاریخ]],TArticle[اسنپ])</f>
        <v>0</v>
      </c>
      <c r="L2056" s="164">
        <f>-SUMIF(TArticle[تاریخ],TDays[[#This Row],[تاریخ]],TArticle[پرداخت بدهی])</f>
        <v>0</v>
      </c>
      <c r="M2056" s="164">
        <f>SUMIF(TArticle[تاریخ],TDays[[#This Row],[تاریخ]],TArticle[افزایش بدهی])</f>
        <v>0</v>
      </c>
      <c r="N2056" s="164">
        <f>-SUMIF(TArticle[تاریخ],TDays[[#This Row],[تاریخ]],TArticle[افزایش سرمایه])</f>
        <v>0</v>
      </c>
      <c r="O2056" s="164">
        <f>SUMIF(TArticle[تاریخ],TDays[[#This Row],[تاریخ]],TArticle[تعداد تراکنش انجام شده])</f>
        <v>0</v>
      </c>
      <c r="P2056" s="164">
        <f>INT(((TDays[[#This Row],[ماه]]-1)*31+TDays[[#This Row],[روز]]+1)/7)+1</f>
        <v>34</v>
      </c>
      <c r="Q2056" s="164">
        <f>SUMIF(TArticle[تاریخ],TDays[[#This Row],[تاریخ]],TArticle[تراکنش برنامه ریزی شده])</f>
        <v>0</v>
      </c>
    </row>
    <row r="2057" spans="1:17" x14ac:dyDescent="0.25">
      <c r="A2057" s="3" t="s">
        <v>2673</v>
      </c>
      <c r="B2057" s="164" t="str">
        <f>RIGHT(TDays[[#This Row],[تاریخ]],2)</f>
        <v>15</v>
      </c>
      <c r="C2057" s="164" t="str">
        <f>RIGHT(LEFT(TDays[[#This Row],[تاریخ]],7),2)</f>
        <v>08</v>
      </c>
      <c r="D2057" s="164" t="str">
        <f>LEFT(TDays[[#This Row],[تاریخ]],4)</f>
        <v>1406</v>
      </c>
      <c r="E2057" s="164" t="str">
        <f>LEFT(TDays[[#This Row],[تاریخ]],7)</f>
        <v>1406-08</v>
      </c>
      <c r="F2057">
        <v>6</v>
      </c>
      <c r="G2057" s="165" t="str">
        <f>VLOOKUP(TDays[[#This Row],[کد روز هفته]],TDaysOfTheWeek[],2,FALSE)</f>
        <v>جمعه</v>
      </c>
      <c r="H2057" s="165">
        <f>IFERROR(IF(E2056&lt;&gt;E2057,1,INT(H2056)+IF(TDays[[#This Row],[کد روز هفته]]=0,1,0)),1)</f>
        <v>3</v>
      </c>
      <c r="I2057" s="164">
        <f>-SUMIF(TArticle[تاریخ],TDays[[#This Row],[تاریخ]],TArticle[هزینه])</f>
        <v>0</v>
      </c>
      <c r="J2057" s="164">
        <f>SUMIF(TArticle[تاریخ],TDays[[#This Row],[تاریخ]],TArticle[درآمد تتا])</f>
        <v>0</v>
      </c>
      <c r="K2057" s="164">
        <f>SUMIF(TArticle[تاریخ],TDays[[#This Row],[تاریخ]],TArticle[اسنپ])</f>
        <v>0</v>
      </c>
      <c r="L2057" s="164">
        <f>-SUMIF(TArticle[تاریخ],TDays[[#This Row],[تاریخ]],TArticle[پرداخت بدهی])</f>
        <v>0</v>
      </c>
      <c r="M2057" s="164">
        <f>SUMIF(TArticle[تاریخ],TDays[[#This Row],[تاریخ]],TArticle[افزایش بدهی])</f>
        <v>0</v>
      </c>
      <c r="N2057" s="164">
        <f>-SUMIF(TArticle[تاریخ],TDays[[#This Row],[تاریخ]],TArticle[افزایش سرمایه])</f>
        <v>0</v>
      </c>
      <c r="O2057" s="164">
        <f>SUMIF(TArticle[تاریخ],TDays[[#This Row],[تاریخ]],TArticle[تعداد تراکنش انجام شده])</f>
        <v>0</v>
      </c>
      <c r="P2057" s="164">
        <f>INT(((TDays[[#This Row],[ماه]]-1)*31+TDays[[#This Row],[روز]]+1)/7)+1</f>
        <v>34</v>
      </c>
      <c r="Q2057" s="164">
        <f>SUMIF(TArticle[تاریخ],TDays[[#This Row],[تاریخ]],TArticle[تراکنش برنامه ریزی شده])</f>
        <v>0</v>
      </c>
    </row>
    <row r="2058" spans="1:17" x14ac:dyDescent="0.25">
      <c r="A2058" s="3" t="s">
        <v>2674</v>
      </c>
      <c r="B2058" s="164" t="str">
        <f>RIGHT(TDays[[#This Row],[تاریخ]],2)</f>
        <v>16</v>
      </c>
      <c r="C2058" s="164" t="str">
        <f>RIGHT(LEFT(TDays[[#This Row],[تاریخ]],7),2)</f>
        <v>08</v>
      </c>
      <c r="D2058" s="164" t="str">
        <f>LEFT(TDays[[#This Row],[تاریخ]],4)</f>
        <v>1406</v>
      </c>
      <c r="E2058" s="164" t="str">
        <f>LEFT(TDays[[#This Row],[تاریخ]],7)</f>
        <v>1406-08</v>
      </c>
      <c r="F2058">
        <v>0</v>
      </c>
      <c r="G2058" s="165" t="str">
        <f>VLOOKUP(TDays[[#This Row],[کد روز هفته]],TDaysOfTheWeek[],2,FALSE)</f>
        <v>شنبه</v>
      </c>
      <c r="H2058" s="165">
        <f>IFERROR(IF(E2057&lt;&gt;E2058,1,INT(H2057)+IF(TDays[[#This Row],[کد روز هفته]]=0,1,0)),1)</f>
        <v>4</v>
      </c>
      <c r="I2058" s="164">
        <f>-SUMIF(TArticle[تاریخ],TDays[[#This Row],[تاریخ]],TArticle[هزینه])</f>
        <v>0</v>
      </c>
      <c r="J2058" s="164">
        <f>SUMIF(TArticle[تاریخ],TDays[[#This Row],[تاریخ]],TArticle[درآمد تتا])</f>
        <v>0</v>
      </c>
      <c r="K2058" s="164">
        <f>SUMIF(TArticle[تاریخ],TDays[[#This Row],[تاریخ]],TArticle[اسنپ])</f>
        <v>0</v>
      </c>
      <c r="L2058" s="164">
        <f>-SUMIF(TArticle[تاریخ],TDays[[#This Row],[تاریخ]],TArticle[پرداخت بدهی])</f>
        <v>0</v>
      </c>
      <c r="M2058" s="164">
        <f>SUMIF(TArticle[تاریخ],TDays[[#This Row],[تاریخ]],TArticle[افزایش بدهی])</f>
        <v>0</v>
      </c>
      <c r="N2058" s="164">
        <f>-SUMIF(TArticle[تاریخ],TDays[[#This Row],[تاریخ]],TArticle[افزایش سرمایه])</f>
        <v>0</v>
      </c>
      <c r="O2058" s="164">
        <f>SUMIF(TArticle[تاریخ],TDays[[#This Row],[تاریخ]],TArticle[تعداد تراکنش انجام شده])</f>
        <v>0</v>
      </c>
      <c r="P2058" s="164">
        <f>INT(((TDays[[#This Row],[ماه]]-1)*31+TDays[[#This Row],[روز]]+1)/7)+1</f>
        <v>34</v>
      </c>
      <c r="Q2058" s="164">
        <f>SUMIF(TArticle[تاریخ],TDays[[#This Row],[تاریخ]],TArticle[تراکنش برنامه ریزی شده])</f>
        <v>0</v>
      </c>
    </row>
    <row r="2059" spans="1:17" x14ac:dyDescent="0.25">
      <c r="A2059" s="3" t="s">
        <v>2675</v>
      </c>
      <c r="B2059" s="164" t="str">
        <f>RIGHT(TDays[[#This Row],[تاریخ]],2)</f>
        <v>17</v>
      </c>
      <c r="C2059" s="164" t="str">
        <f>RIGHT(LEFT(TDays[[#This Row],[تاریخ]],7),2)</f>
        <v>08</v>
      </c>
      <c r="D2059" s="164" t="str">
        <f>LEFT(TDays[[#This Row],[تاریخ]],4)</f>
        <v>1406</v>
      </c>
      <c r="E2059" s="164" t="str">
        <f>LEFT(TDays[[#This Row],[تاریخ]],7)</f>
        <v>1406-08</v>
      </c>
      <c r="F2059">
        <v>1</v>
      </c>
      <c r="G2059" s="165" t="str">
        <f>VLOOKUP(TDays[[#This Row],[کد روز هفته]],TDaysOfTheWeek[],2,FALSE)</f>
        <v>یکشنبه</v>
      </c>
      <c r="H2059" s="165">
        <f>IFERROR(IF(E2058&lt;&gt;E2059,1,INT(H2058)+IF(TDays[[#This Row],[کد روز هفته]]=0,1,0)),1)</f>
        <v>4</v>
      </c>
      <c r="I2059" s="164">
        <f>-SUMIF(TArticle[تاریخ],TDays[[#This Row],[تاریخ]],TArticle[هزینه])</f>
        <v>0</v>
      </c>
      <c r="J2059" s="164">
        <f>SUMIF(TArticle[تاریخ],TDays[[#This Row],[تاریخ]],TArticle[درآمد تتا])</f>
        <v>0</v>
      </c>
      <c r="K2059" s="164">
        <f>SUMIF(TArticle[تاریخ],TDays[[#This Row],[تاریخ]],TArticle[اسنپ])</f>
        <v>0</v>
      </c>
      <c r="L2059" s="164">
        <f>-SUMIF(TArticle[تاریخ],TDays[[#This Row],[تاریخ]],TArticle[پرداخت بدهی])</f>
        <v>0</v>
      </c>
      <c r="M2059" s="164">
        <f>SUMIF(TArticle[تاریخ],TDays[[#This Row],[تاریخ]],TArticle[افزایش بدهی])</f>
        <v>0</v>
      </c>
      <c r="N2059" s="164">
        <f>-SUMIF(TArticle[تاریخ],TDays[[#This Row],[تاریخ]],TArticle[افزایش سرمایه])</f>
        <v>0</v>
      </c>
      <c r="O2059" s="164">
        <f>SUMIF(TArticle[تاریخ],TDays[[#This Row],[تاریخ]],TArticle[تعداد تراکنش انجام شده])</f>
        <v>0</v>
      </c>
      <c r="P2059" s="164">
        <f>INT(((TDays[[#This Row],[ماه]]-1)*31+TDays[[#This Row],[روز]]+1)/7)+1</f>
        <v>34</v>
      </c>
      <c r="Q2059" s="164">
        <f>SUMIF(TArticle[تاریخ],TDays[[#This Row],[تاریخ]],TArticle[تراکنش برنامه ریزی شده])</f>
        <v>0</v>
      </c>
    </row>
    <row r="2060" spans="1:17" x14ac:dyDescent="0.25">
      <c r="A2060" s="3" t="s">
        <v>2676</v>
      </c>
      <c r="B2060" s="164" t="str">
        <f>RIGHT(TDays[[#This Row],[تاریخ]],2)</f>
        <v>18</v>
      </c>
      <c r="C2060" s="164" t="str">
        <f>RIGHT(LEFT(TDays[[#This Row],[تاریخ]],7),2)</f>
        <v>08</v>
      </c>
      <c r="D2060" s="164" t="str">
        <f>LEFT(TDays[[#This Row],[تاریخ]],4)</f>
        <v>1406</v>
      </c>
      <c r="E2060" s="164" t="str">
        <f>LEFT(TDays[[#This Row],[تاریخ]],7)</f>
        <v>1406-08</v>
      </c>
      <c r="F2060">
        <v>2</v>
      </c>
      <c r="G2060" s="165" t="str">
        <f>VLOOKUP(TDays[[#This Row],[کد روز هفته]],TDaysOfTheWeek[],2,FALSE)</f>
        <v>دوشنبه</v>
      </c>
      <c r="H2060" s="165">
        <f>IFERROR(IF(E2059&lt;&gt;E2060,1,INT(H2059)+IF(TDays[[#This Row],[کد روز هفته]]=0,1,0)),1)</f>
        <v>4</v>
      </c>
      <c r="I2060" s="164">
        <f>-SUMIF(TArticle[تاریخ],TDays[[#This Row],[تاریخ]],TArticle[هزینه])</f>
        <v>0</v>
      </c>
      <c r="J2060" s="164">
        <f>SUMIF(TArticle[تاریخ],TDays[[#This Row],[تاریخ]],TArticle[درآمد تتا])</f>
        <v>0</v>
      </c>
      <c r="K2060" s="164">
        <f>SUMIF(TArticle[تاریخ],TDays[[#This Row],[تاریخ]],TArticle[اسنپ])</f>
        <v>0</v>
      </c>
      <c r="L2060" s="164">
        <f>-SUMIF(TArticle[تاریخ],TDays[[#This Row],[تاریخ]],TArticle[پرداخت بدهی])</f>
        <v>0</v>
      </c>
      <c r="M2060" s="164">
        <f>SUMIF(TArticle[تاریخ],TDays[[#This Row],[تاریخ]],TArticle[افزایش بدهی])</f>
        <v>0</v>
      </c>
      <c r="N2060" s="164">
        <f>-SUMIF(TArticle[تاریخ],TDays[[#This Row],[تاریخ]],TArticle[افزایش سرمایه])</f>
        <v>0</v>
      </c>
      <c r="O2060" s="164">
        <f>SUMIF(TArticle[تاریخ],TDays[[#This Row],[تاریخ]],TArticle[تعداد تراکنش انجام شده])</f>
        <v>0</v>
      </c>
      <c r="P2060" s="164">
        <f>INT(((TDays[[#This Row],[ماه]]-1)*31+TDays[[#This Row],[روز]]+1)/7)+1</f>
        <v>34</v>
      </c>
      <c r="Q2060" s="164">
        <f>SUMIF(TArticle[تاریخ],TDays[[#This Row],[تاریخ]],TArticle[تراکنش برنامه ریزی شده])</f>
        <v>0</v>
      </c>
    </row>
    <row r="2061" spans="1:17" x14ac:dyDescent="0.25">
      <c r="A2061" s="3" t="s">
        <v>2677</v>
      </c>
      <c r="B2061" s="164" t="str">
        <f>RIGHT(TDays[[#This Row],[تاریخ]],2)</f>
        <v>19</v>
      </c>
      <c r="C2061" s="164" t="str">
        <f>RIGHT(LEFT(TDays[[#This Row],[تاریخ]],7),2)</f>
        <v>08</v>
      </c>
      <c r="D2061" s="164" t="str">
        <f>LEFT(TDays[[#This Row],[تاریخ]],4)</f>
        <v>1406</v>
      </c>
      <c r="E2061" s="164" t="str">
        <f>LEFT(TDays[[#This Row],[تاریخ]],7)</f>
        <v>1406-08</v>
      </c>
      <c r="F2061">
        <v>3</v>
      </c>
      <c r="G2061" s="165" t="str">
        <f>VLOOKUP(TDays[[#This Row],[کد روز هفته]],TDaysOfTheWeek[],2,FALSE)</f>
        <v>سه شنبه</v>
      </c>
      <c r="H2061" s="165">
        <f>IFERROR(IF(E2060&lt;&gt;E2061,1,INT(H2060)+IF(TDays[[#This Row],[کد روز هفته]]=0,1,0)),1)</f>
        <v>4</v>
      </c>
      <c r="I2061" s="164">
        <f>-SUMIF(TArticle[تاریخ],TDays[[#This Row],[تاریخ]],TArticle[هزینه])</f>
        <v>0</v>
      </c>
      <c r="J2061" s="164">
        <f>SUMIF(TArticle[تاریخ],TDays[[#This Row],[تاریخ]],TArticle[درآمد تتا])</f>
        <v>0</v>
      </c>
      <c r="K2061" s="164">
        <f>SUMIF(TArticle[تاریخ],TDays[[#This Row],[تاریخ]],TArticle[اسنپ])</f>
        <v>0</v>
      </c>
      <c r="L2061" s="164">
        <f>-SUMIF(TArticle[تاریخ],TDays[[#This Row],[تاریخ]],TArticle[پرداخت بدهی])</f>
        <v>0</v>
      </c>
      <c r="M2061" s="164">
        <f>SUMIF(TArticle[تاریخ],TDays[[#This Row],[تاریخ]],TArticle[افزایش بدهی])</f>
        <v>0</v>
      </c>
      <c r="N2061" s="164">
        <f>-SUMIF(TArticle[تاریخ],TDays[[#This Row],[تاریخ]],TArticle[افزایش سرمایه])</f>
        <v>0</v>
      </c>
      <c r="O2061" s="164">
        <f>SUMIF(TArticle[تاریخ],TDays[[#This Row],[تاریخ]],TArticle[تعداد تراکنش انجام شده])</f>
        <v>0</v>
      </c>
      <c r="P2061" s="164">
        <f>INT(((TDays[[#This Row],[ماه]]-1)*31+TDays[[#This Row],[روز]]+1)/7)+1</f>
        <v>34</v>
      </c>
      <c r="Q2061" s="164">
        <f>SUMIF(TArticle[تاریخ],TDays[[#This Row],[تاریخ]],TArticle[تراکنش برنامه ریزی شده])</f>
        <v>0</v>
      </c>
    </row>
    <row r="2062" spans="1:17" x14ac:dyDescent="0.25">
      <c r="A2062" s="3" t="s">
        <v>2678</v>
      </c>
      <c r="B2062" s="164" t="str">
        <f>RIGHT(TDays[[#This Row],[تاریخ]],2)</f>
        <v>20</v>
      </c>
      <c r="C2062" s="164" t="str">
        <f>RIGHT(LEFT(TDays[[#This Row],[تاریخ]],7),2)</f>
        <v>08</v>
      </c>
      <c r="D2062" s="164" t="str">
        <f>LEFT(TDays[[#This Row],[تاریخ]],4)</f>
        <v>1406</v>
      </c>
      <c r="E2062" s="164" t="str">
        <f>LEFT(TDays[[#This Row],[تاریخ]],7)</f>
        <v>1406-08</v>
      </c>
      <c r="F2062">
        <v>4</v>
      </c>
      <c r="G2062" s="165" t="str">
        <f>VLOOKUP(TDays[[#This Row],[کد روز هفته]],TDaysOfTheWeek[],2,FALSE)</f>
        <v>چهارشنبه</v>
      </c>
      <c r="H2062" s="165">
        <f>IFERROR(IF(E2061&lt;&gt;E2062,1,INT(H2061)+IF(TDays[[#This Row],[کد روز هفته]]=0,1,0)),1)</f>
        <v>4</v>
      </c>
      <c r="I2062" s="164">
        <f>-SUMIF(TArticle[تاریخ],TDays[[#This Row],[تاریخ]],TArticle[هزینه])</f>
        <v>0</v>
      </c>
      <c r="J2062" s="164">
        <f>SUMIF(TArticle[تاریخ],TDays[[#This Row],[تاریخ]],TArticle[درآمد تتا])</f>
        <v>0</v>
      </c>
      <c r="K2062" s="164">
        <f>SUMIF(TArticle[تاریخ],TDays[[#This Row],[تاریخ]],TArticle[اسنپ])</f>
        <v>0</v>
      </c>
      <c r="L2062" s="164">
        <f>-SUMIF(TArticle[تاریخ],TDays[[#This Row],[تاریخ]],TArticle[پرداخت بدهی])</f>
        <v>0</v>
      </c>
      <c r="M2062" s="164">
        <f>SUMIF(TArticle[تاریخ],TDays[[#This Row],[تاریخ]],TArticle[افزایش بدهی])</f>
        <v>0</v>
      </c>
      <c r="N2062" s="164">
        <f>-SUMIF(TArticle[تاریخ],TDays[[#This Row],[تاریخ]],TArticle[افزایش سرمایه])</f>
        <v>0</v>
      </c>
      <c r="O2062" s="164">
        <f>SUMIF(TArticle[تاریخ],TDays[[#This Row],[تاریخ]],TArticle[تعداد تراکنش انجام شده])</f>
        <v>0</v>
      </c>
      <c r="P2062" s="164">
        <f>INT(((TDays[[#This Row],[ماه]]-1)*31+TDays[[#This Row],[روز]]+1)/7)+1</f>
        <v>35</v>
      </c>
      <c r="Q2062" s="164">
        <f>SUMIF(TArticle[تاریخ],TDays[[#This Row],[تاریخ]],TArticle[تراکنش برنامه ریزی شده])</f>
        <v>0</v>
      </c>
    </row>
    <row r="2063" spans="1:17" x14ac:dyDescent="0.25">
      <c r="A2063" s="3" t="s">
        <v>2679</v>
      </c>
      <c r="B2063" s="164" t="str">
        <f>RIGHT(TDays[[#This Row],[تاریخ]],2)</f>
        <v>21</v>
      </c>
      <c r="C2063" s="164" t="str">
        <f>RIGHT(LEFT(TDays[[#This Row],[تاریخ]],7),2)</f>
        <v>08</v>
      </c>
      <c r="D2063" s="164" t="str">
        <f>LEFT(TDays[[#This Row],[تاریخ]],4)</f>
        <v>1406</v>
      </c>
      <c r="E2063" s="164" t="str">
        <f>LEFT(TDays[[#This Row],[تاریخ]],7)</f>
        <v>1406-08</v>
      </c>
      <c r="F2063">
        <v>5</v>
      </c>
      <c r="G2063" s="165" t="str">
        <f>VLOOKUP(TDays[[#This Row],[کد روز هفته]],TDaysOfTheWeek[],2,FALSE)</f>
        <v>پنجشنبه</v>
      </c>
      <c r="H2063" s="165">
        <f>IFERROR(IF(E2062&lt;&gt;E2063,1,INT(H2062)+IF(TDays[[#This Row],[کد روز هفته]]=0,1,0)),1)</f>
        <v>4</v>
      </c>
      <c r="I2063" s="164">
        <f>-SUMIF(TArticle[تاریخ],TDays[[#This Row],[تاریخ]],TArticle[هزینه])</f>
        <v>0</v>
      </c>
      <c r="J2063" s="164">
        <f>SUMIF(TArticle[تاریخ],TDays[[#This Row],[تاریخ]],TArticle[درآمد تتا])</f>
        <v>0</v>
      </c>
      <c r="K2063" s="164">
        <f>SUMIF(TArticle[تاریخ],TDays[[#This Row],[تاریخ]],TArticle[اسنپ])</f>
        <v>0</v>
      </c>
      <c r="L2063" s="164">
        <f>-SUMIF(TArticle[تاریخ],TDays[[#This Row],[تاریخ]],TArticle[پرداخت بدهی])</f>
        <v>0</v>
      </c>
      <c r="M2063" s="164">
        <f>SUMIF(TArticle[تاریخ],TDays[[#This Row],[تاریخ]],TArticle[افزایش بدهی])</f>
        <v>0</v>
      </c>
      <c r="N2063" s="164">
        <f>-SUMIF(TArticle[تاریخ],TDays[[#This Row],[تاریخ]],TArticle[افزایش سرمایه])</f>
        <v>0</v>
      </c>
      <c r="O2063" s="164">
        <f>SUMIF(TArticle[تاریخ],TDays[[#This Row],[تاریخ]],TArticle[تعداد تراکنش انجام شده])</f>
        <v>0</v>
      </c>
      <c r="P2063" s="164">
        <f>INT(((TDays[[#This Row],[ماه]]-1)*31+TDays[[#This Row],[روز]]+1)/7)+1</f>
        <v>35</v>
      </c>
      <c r="Q2063" s="164">
        <f>SUMIF(TArticle[تاریخ],TDays[[#This Row],[تاریخ]],TArticle[تراکنش برنامه ریزی شده])</f>
        <v>0</v>
      </c>
    </row>
    <row r="2064" spans="1:17" x14ac:dyDescent="0.25">
      <c r="A2064" s="3" t="s">
        <v>2680</v>
      </c>
      <c r="B2064" s="164" t="str">
        <f>RIGHT(TDays[[#This Row],[تاریخ]],2)</f>
        <v>22</v>
      </c>
      <c r="C2064" s="164" t="str">
        <f>RIGHT(LEFT(TDays[[#This Row],[تاریخ]],7),2)</f>
        <v>08</v>
      </c>
      <c r="D2064" s="164" t="str">
        <f>LEFT(TDays[[#This Row],[تاریخ]],4)</f>
        <v>1406</v>
      </c>
      <c r="E2064" s="164" t="str">
        <f>LEFT(TDays[[#This Row],[تاریخ]],7)</f>
        <v>1406-08</v>
      </c>
      <c r="F2064">
        <v>6</v>
      </c>
      <c r="G2064" s="165" t="str">
        <f>VLOOKUP(TDays[[#This Row],[کد روز هفته]],TDaysOfTheWeek[],2,FALSE)</f>
        <v>جمعه</v>
      </c>
      <c r="H2064" s="165">
        <f>IFERROR(IF(E2063&lt;&gt;E2064,1,INT(H2063)+IF(TDays[[#This Row],[کد روز هفته]]=0,1,0)),1)</f>
        <v>4</v>
      </c>
      <c r="I2064" s="164">
        <f>-SUMIF(TArticle[تاریخ],TDays[[#This Row],[تاریخ]],TArticle[هزینه])</f>
        <v>0</v>
      </c>
      <c r="J2064" s="164">
        <f>SUMIF(TArticle[تاریخ],TDays[[#This Row],[تاریخ]],TArticle[درآمد تتا])</f>
        <v>0</v>
      </c>
      <c r="K2064" s="164">
        <f>SUMIF(TArticle[تاریخ],TDays[[#This Row],[تاریخ]],TArticle[اسنپ])</f>
        <v>0</v>
      </c>
      <c r="L2064" s="164">
        <f>-SUMIF(TArticle[تاریخ],TDays[[#This Row],[تاریخ]],TArticle[پرداخت بدهی])</f>
        <v>0</v>
      </c>
      <c r="M2064" s="164">
        <f>SUMIF(TArticle[تاریخ],TDays[[#This Row],[تاریخ]],TArticle[افزایش بدهی])</f>
        <v>0</v>
      </c>
      <c r="N2064" s="164">
        <f>-SUMIF(TArticle[تاریخ],TDays[[#This Row],[تاریخ]],TArticle[افزایش سرمایه])</f>
        <v>0</v>
      </c>
      <c r="O2064" s="164">
        <f>SUMIF(TArticle[تاریخ],TDays[[#This Row],[تاریخ]],TArticle[تعداد تراکنش انجام شده])</f>
        <v>0</v>
      </c>
      <c r="P2064" s="164">
        <f>INT(((TDays[[#This Row],[ماه]]-1)*31+TDays[[#This Row],[روز]]+1)/7)+1</f>
        <v>35</v>
      </c>
      <c r="Q2064" s="164">
        <f>SUMIF(TArticle[تاریخ],TDays[[#This Row],[تاریخ]],TArticle[تراکنش برنامه ریزی شده])</f>
        <v>0</v>
      </c>
    </row>
    <row r="2065" spans="1:17" x14ac:dyDescent="0.25">
      <c r="A2065" s="3" t="s">
        <v>2681</v>
      </c>
      <c r="B2065" s="164" t="str">
        <f>RIGHT(TDays[[#This Row],[تاریخ]],2)</f>
        <v>23</v>
      </c>
      <c r="C2065" s="164" t="str">
        <f>RIGHT(LEFT(TDays[[#This Row],[تاریخ]],7),2)</f>
        <v>08</v>
      </c>
      <c r="D2065" s="164" t="str">
        <f>LEFT(TDays[[#This Row],[تاریخ]],4)</f>
        <v>1406</v>
      </c>
      <c r="E2065" s="164" t="str">
        <f>LEFT(TDays[[#This Row],[تاریخ]],7)</f>
        <v>1406-08</v>
      </c>
      <c r="F2065">
        <v>0</v>
      </c>
      <c r="G2065" s="165" t="str">
        <f>VLOOKUP(TDays[[#This Row],[کد روز هفته]],TDaysOfTheWeek[],2,FALSE)</f>
        <v>شنبه</v>
      </c>
      <c r="H2065" s="165">
        <f>IFERROR(IF(E2064&lt;&gt;E2065,1,INT(H2064)+IF(TDays[[#This Row],[کد روز هفته]]=0,1,0)),1)</f>
        <v>5</v>
      </c>
      <c r="I2065" s="164">
        <f>-SUMIF(TArticle[تاریخ],TDays[[#This Row],[تاریخ]],TArticle[هزینه])</f>
        <v>0</v>
      </c>
      <c r="J2065" s="164">
        <f>SUMIF(TArticle[تاریخ],TDays[[#This Row],[تاریخ]],TArticle[درآمد تتا])</f>
        <v>0</v>
      </c>
      <c r="K2065" s="164">
        <f>SUMIF(TArticle[تاریخ],TDays[[#This Row],[تاریخ]],TArticle[اسنپ])</f>
        <v>0</v>
      </c>
      <c r="L2065" s="164">
        <f>-SUMIF(TArticle[تاریخ],TDays[[#This Row],[تاریخ]],TArticle[پرداخت بدهی])</f>
        <v>0</v>
      </c>
      <c r="M2065" s="164">
        <f>SUMIF(TArticle[تاریخ],TDays[[#This Row],[تاریخ]],TArticle[افزایش بدهی])</f>
        <v>0</v>
      </c>
      <c r="N2065" s="164">
        <f>-SUMIF(TArticle[تاریخ],TDays[[#This Row],[تاریخ]],TArticle[افزایش سرمایه])</f>
        <v>0</v>
      </c>
      <c r="O2065" s="164">
        <f>SUMIF(TArticle[تاریخ],TDays[[#This Row],[تاریخ]],TArticle[تعداد تراکنش انجام شده])</f>
        <v>0</v>
      </c>
      <c r="P2065" s="164">
        <f>INT(((TDays[[#This Row],[ماه]]-1)*31+TDays[[#This Row],[روز]]+1)/7)+1</f>
        <v>35</v>
      </c>
      <c r="Q2065" s="164">
        <f>SUMIF(TArticle[تاریخ],TDays[[#This Row],[تاریخ]],TArticle[تراکنش برنامه ریزی شده])</f>
        <v>0</v>
      </c>
    </row>
    <row r="2066" spans="1:17" x14ac:dyDescent="0.25">
      <c r="A2066" s="3" t="s">
        <v>2682</v>
      </c>
      <c r="B2066" s="164" t="str">
        <f>RIGHT(TDays[[#This Row],[تاریخ]],2)</f>
        <v>24</v>
      </c>
      <c r="C2066" s="164" t="str">
        <f>RIGHT(LEFT(TDays[[#This Row],[تاریخ]],7),2)</f>
        <v>08</v>
      </c>
      <c r="D2066" s="164" t="str">
        <f>LEFT(TDays[[#This Row],[تاریخ]],4)</f>
        <v>1406</v>
      </c>
      <c r="E2066" s="164" t="str">
        <f>LEFT(TDays[[#This Row],[تاریخ]],7)</f>
        <v>1406-08</v>
      </c>
      <c r="F2066">
        <v>1</v>
      </c>
      <c r="G2066" s="165" t="str">
        <f>VLOOKUP(TDays[[#This Row],[کد روز هفته]],TDaysOfTheWeek[],2,FALSE)</f>
        <v>یکشنبه</v>
      </c>
      <c r="H2066" s="165">
        <f>IFERROR(IF(E2065&lt;&gt;E2066,1,INT(H2065)+IF(TDays[[#This Row],[کد روز هفته]]=0,1,0)),1)</f>
        <v>5</v>
      </c>
      <c r="I2066" s="164">
        <f>-SUMIF(TArticle[تاریخ],TDays[[#This Row],[تاریخ]],TArticle[هزینه])</f>
        <v>0</v>
      </c>
      <c r="J2066" s="164">
        <f>SUMIF(TArticle[تاریخ],TDays[[#This Row],[تاریخ]],TArticle[درآمد تتا])</f>
        <v>0</v>
      </c>
      <c r="K2066" s="164">
        <f>SUMIF(TArticle[تاریخ],TDays[[#This Row],[تاریخ]],TArticle[اسنپ])</f>
        <v>0</v>
      </c>
      <c r="L2066" s="164">
        <f>-SUMIF(TArticle[تاریخ],TDays[[#This Row],[تاریخ]],TArticle[پرداخت بدهی])</f>
        <v>0</v>
      </c>
      <c r="M2066" s="164">
        <f>SUMIF(TArticle[تاریخ],TDays[[#This Row],[تاریخ]],TArticle[افزایش بدهی])</f>
        <v>0</v>
      </c>
      <c r="N2066" s="164">
        <f>-SUMIF(TArticle[تاریخ],TDays[[#This Row],[تاریخ]],TArticle[افزایش سرمایه])</f>
        <v>0</v>
      </c>
      <c r="O2066" s="164">
        <f>SUMIF(TArticle[تاریخ],TDays[[#This Row],[تاریخ]],TArticle[تعداد تراکنش انجام شده])</f>
        <v>0</v>
      </c>
      <c r="P2066" s="164">
        <f>INT(((TDays[[#This Row],[ماه]]-1)*31+TDays[[#This Row],[روز]]+1)/7)+1</f>
        <v>35</v>
      </c>
      <c r="Q2066" s="164">
        <f>SUMIF(TArticle[تاریخ],TDays[[#This Row],[تاریخ]],TArticle[تراکنش برنامه ریزی شده])</f>
        <v>0</v>
      </c>
    </row>
    <row r="2067" spans="1:17" x14ac:dyDescent="0.25">
      <c r="A2067" s="3" t="s">
        <v>2683</v>
      </c>
      <c r="B2067" s="164" t="str">
        <f>RIGHT(TDays[[#This Row],[تاریخ]],2)</f>
        <v>25</v>
      </c>
      <c r="C2067" s="164" t="str">
        <f>RIGHT(LEFT(TDays[[#This Row],[تاریخ]],7),2)</f>
        <v>08</v>
      </c>
      <c r="D2067" s="164" t="str">
        <f>LEFT(TDays[[#This Row],[تاریخ]],4)</f>
        <v>1406</v>
      </c>
      <c r="E2067" s="164" t="str">
        <f>LEFT(TDays[[#This Row],[تاریخ]],7)</f>
        <v>1406-08</v>
      </c>
      <c r="F2067">
        <v>2</v>
      </c>
      <c r="G2067" s="165" t="str">
        <f>VLOOKUP(TDays[[#This Row],[کد روز هفته]],TDaysOfTheWeek[],2,FALSE)</f>
        <v>دوشنبه</v>
      </c>
      <c r="H2067" s="165">
        <f>IFERROR(IF(E2066&lt;&gt;E2067,1,INT(H2066)+IF(TDays[[#This Row],[کد روز هفته]]=0,1,0)),1)</f>
        <v>5</v>
      </c>
      <c r="I2067" s="164">
        <f>-SUMIF(TArticle[تاریخ],TDays[[#This Row],[تاریخ]],TArticle[هزینه])</f>
        <v>0</v>
      </c>
      <c r="J2067" s="164">
        <f>SUMIF(TArticle[تاریخ],TDays[[#This Row],[تاریخ]],TArticle[درآمد تتا])</f>
        <v>0</v>
      </c>
      <c r="K2067" s="164">
        <f>SUMIF(TArticle[تاریخ],TDays[[#This Row],[تاریخ]],TArticle[اسنپ])</f>
        <v>0</v>
      </c>
      <c r="L2067" s="164">
        <f>-SUMIF(TArticle[تاریخ],TDays[[#This Row],[تاریخ]],TArticle[پرداخت بدهی])</f>
        <v>0</v>
      </c>
      <c r="M2067" s="164">
        <f>SUMIF(TArticle[تاریخ],TDays[[#This Row],[تاریخ]],TArticle[افزایش بدهی])</f>
        <v>0</v>
      </c>
      <c r="N2067" s="164">
        <f>-SUMIF(TArticle[تاریخ],TDays[[#This Row],[تاریخ]],TArticle[افزایش سرمایه])</f>
        <v>0</v>
      </c>
      <c r="O2067" s="164">
        <f>SUMIF(TArticle[تاریخ],TDays[[#This Row],[تاریخ]],TArticle[تعداد تراکنش انجام شده])</f>
        <v>0</v>
      </c>
      <c r="P2067" s="164">
        <f>INT(((TDays[[#This Row],[ماه]]-1)*31+TDays[[#This Row],[روز]]+1)/7)+1</f>
        <v>35</v>
      </c>
      <c r="Q2067" s="164">
        <f>SUMIF(TArticle[تاریخ],TDays[[#This Row],[تاریخ]],TArticle[تراکنش برنامه ریزی شده])</f>
        <v>0</v>
      </c>
    </row>
    <row r="2068" spans="1:17" x14ac:dyDescent="0.25">
      <c r="A2068" s="3" t="s">
        <v>2684</v>
      </c>
      <c r="B2068" s="164" t="str">
        <f>RIGHT(TDays[[#This Row],[تاریخ]],2)</f>
        <v>26</v>
      </c>
      <c r="C2068" s="164" t="str">
        <f>RIGHT(LEFT(TDays[[#This Row],[تاریخ]],7),2)</f>
        <v>08</v>
      </c>
      <c r="D2068" s="164" t="str">
        <f>LEFT(TDays[[#This Row],[تاریخ]],4)</f>
        <v>1406</v>
      </c>
      <c r="E2068" s="164" t="str">
        <f>LEFT(TDays[[#This Row],[تاریخ]],7)</f>
        <v>1406-08</v>
      </c>
      <c r="F2068">
        <v>3</v>
      </c>
      <c r="G2068" s="165" t="str">
        <f>VLOOKUP(TDays[[#This Row],[کد روز هفته]],TDaysOfTheWeek[],2,FALSE)</f>
        <v>سه شنبه</v>
      </c>
      <c r="H2068" s="165">
        <f>IFERROR(IF(E2067&lt;&gt;E2068,1,INT(H2067)+IF(TDays[[#This Row],[کد روز هفته]]=0,1,0)),1)</f>
        <v>5</v>
      </c>
      <c r="I2068" s="164">
        <f>-SUMIF(TArticle[تاریخ],TDays[[#This Row],[تاریخ]],TArticle[هزینه])</f>
        <v>0</v>
      </c>
      <c r="J2068" s="164">
        <f>SUMIF(TArticle[تاریخ],TDays[[#This Row],[تاریخ]],TArticle[درآمد تتا])</f>
        <v>0</v>
      </c>
      <c r="K2068" s="164">
        <f>SUMIF(TArticle[تاریخ],TDays[[#This Row],[تاریخ]],TArticle[اسنپ])</f>
        <v>0</v>
      </c>
      <c r="L2068" s="164">
        <f>-SUMIF(TArticle[تاریخ],TDays[[#This Row],[تاریخ]],TArticle[پرداخت بدهی])</f>
        <v>0</v>
      </c>
      <c r="M2068" s="164">
        <f>SUMIF(TArticle[تاریخ],TDays[[#This Row],[تاریخ]],TArticle[افزایش بدهی])</f>
        <v>0</v>
      </c>
      <c r="N2068" s="164">
        <f>-SUMIF(TArticle[تاریخ],TDays[[#This Row],[تاریخ]],TArticle[افزایش سرمایه])</f>
        <v>0</v>
      </c>
      <c r="O2068" s="164">
        <f>SUMIF(TArticle[تاریخ],TDays[[#This Row],[تاریخ]],TArticle[تعداد تراکنش انجام شده])</f>
        <v>0</v>
      </c>
      <c r="P2068" s="164">
        <f>INT(((TDays[[#This Row],[ماه]]-1)*31+TDays[[#This Row],[روز]]+1)/7)+1</f>
        <v>35</v>
      </c>
      <c r="Q2068" s="164">
        <f>SUMIF(TArticle[تاریخ],TDays[[#This Row],[تاریخ]],TArticle[تراکنش برنامه ریزی شده])</f>
        <v>0</v>
      </c>
    </row>
    <row r="2069" spans="1:17" x14ac:dyDescent="0.25">
      <c r="A2069" s="3" t="s">
        <v>2685</v>
      </c>
      <c r="B2069" s="164" t="str">
        <f>RIGHT(TDays[[#This Row],[تاریخ]],2)</f>
        <v>27</v>
      </c>
      <c r="C2069" s="164" t="str">
        <f>RIGHT(LEFT(TDays[[#This Row],[تاریخ]],7),2)</f>
        <v>08</v>
      </c>
      <c r="D2069" s="164" t="str">
        <f>LEFT(TDays[[#This Row],[تاریخ]],4)</f>
        <v>1406</v>
      </c>
      <c r="E2069" s="164" t="str">
        <f>LEFT(TDays[[#This Row],[تاریخ]],7)</f>
        <v>1406-08</v>
      </c>
      <c r="F2069">
        <v>4</v>
      </c>
      <c r="G2069" s="165" t="str">
        <f>VLOOKUP(TDays[[#This Row],[کد روز هفته]],TDaysOfTheWeek[],2,FALSE)</f>
        <v>چهارشنبه</v>
      </c>
      <c r="H2069" s="165">
        <f>IFERROR(IF(E2068&lt;&gt;E2069,1,INT(H2068)+IF(TDays[[#This Row],[کد روز هفته]]=0,1,0)),1)</f>
        <v>5</v>
      </c>
      <c r="I2069" s="164">
        <f>-SUMIF(TArticle[تاریخ],TDays[[#This Row],[تاریخ]],TArticle[هزینه])</f>
        <v>0</v>
      </c>
      <c r="J2069" s="164">
        <f>SUMIF(TArticle[تاریخ],TDays[[#This Row],[تاریخ]],TArticle[درآمد تتا])</f>
        <v>0</v>
      </c>
      <c r="K2069" s="164">
        <f>SUMIF(TArticle[تاریخ],TDays[[#This Row],[تاریخ]],TArticle[اسنپ])</f>
        <v>0</v>
      </c>
      <c r="L2069" s="164">
        <f>-SUMIF(TArticle[تاریخ],TDays[[#This Row],[تاریخ]],TArticle[پرداخت بدهی])</f>
        <v>0</v>
      </c>
      <c r="M2069" s="164">
        <f>SUMIF(TArticle[تاریخ],TDays[[#This Row],[تاریخ]],TArticle[افزایش بدهی])</f>
        <v>0</v>
      </c>
      <c r="N2069" s="164">
        <f>-SUMIF(TArticle[تاریخ],TDays[[#This Row],[تاریخ]],TArticle[افزایش سرمایه])</f>
        <v>0</v>
      </c>
      <c r="O2069" s="164">
        <f>SUMIF(TArticle[تاریخ],TDays[[#This Row],[تاریخ]],TArticle[تعداد تراکنش انجام شده])</f>
        <v>0</v>
      </c>
      <c r="P2069" s="164">
        <f>INT(((TDays[[#This Row],[ماه]]-1)*31+TDays[[#This Row],[روز]]+1)/7)+1</f>
        <v>36</v>
      </c>
      <c r="Q2069" s="164">
        <f>SUMIF(TArticle[تاریخ],TDays[[#This Row],[تاریخ]],TArticle[تراکنش برنامه ریزی شده])</f>
        <v>0</v>
      </c>
    </row>
    <row r="2070" spans="1:17" x14ac:dyDescent="0.25">
      <c r="A2070" s="3" t="s">
        <v>2686</v>
      </c>
      <c r="B2070" s="164" t="str">
        <f>RIGHT(TDays[[#This Row],[تاریخ]],2)</f>
        <v>28</v>
      </c>
      <c r="C2070" s="164" t="str">
        <f>RIGHT(LEFT(TDays[[#This Row],[تاریخ]],7),2)</f>
        <v>08</v>
      </c>
      <c r="D2070" s="164" t="str">
        <f>LEFT(TDays[[#This Row],[تاریخ]],4)</f>
        <v>1406</v>
      </c>
      <c r="E2070" s="164" t="str">
        <f>LEFT(TDays[[#This Row],[تاریخ]],7)</f>
        <v>1406-08</v>
      </c>
      <c r="F2070">
        <v>5</v>
      </c>
      <c r="G2070" s="165" t="str">
        <f>VLOOKUP(TDays[[#This Row],[کد روز هفته]],TDaysOfTheWeek[],2,FALSE)</f>
        <v>پنجشنبه</v>
      </c>
      <c r="H2070" s="165">
        <f>IFERROR(IF(E2069&lt;&gt;E2070,1,INT(H2069)+IF(TDays[[#This Row],[کد روز هفته]]=0,1,0)),1)</f>
        <v>5</v>
      </c>
      <c r="I2070" s="164">
        <f>-SUMIF(TArticle[تاریخ],TDays[[#This Row],[تاریخ]],TArticle[هزینه])</f>
        <v>0</v>
      </c>
      <c r="J2070" s="164">
        <f>SUMIF(TArticle[تاریخ],TDays[[#This Row],[تاریخ]],TArticle[درآمد تتا])</f>
        <v>0</v>
      </c>
      <c r="K2070" s="164">
        <f>SUMIF(TArticle[تاریخ],TDays[[#This Row],[تاریخ]],TArticle[اسنپ])</f>
        <v>0</v>
      </c>
      <c r="L2070" s="164">
        <f>-SUMIF(TArticle[تاریخ],TDays[[#This Row],[تاریخ]],TArticle[پرداخت بدهی])</f>
        <v>0</v>
      </c>
      <c r="M2070" s="164">
        <f>SUMIF(TArticle[تاریخ],TDays[[#This Row],[تاریخ]],TArticle[افزایش بدهی])</f>
        <v>0</v>
      </c>
      <c r="N2070" s="164">
        <f>-SUMIF(TArticle[تاریخ],TDays[[#This Row],[تاریخ]],TArticle[افزایش سرمایه])</f>
        <v>0</v>
      </c>
      <c r="O2070" s="164">
        <f>SUMIF(TArticle[تاریخ],TDays[[#This Row],[تاریخ]],TArticle[تعداد تراکنش انجام شده])</f>
        <v>0</v>
      </c>
      <c r="P2070" s="164">
        <f>INT(((TDays[[#This Row],[ماه]]-1)*31+TDays[[#This Row],[روز]]+1)/7)+1</f>
        <v>36</v>
      </c>
      <c r="Q2070" s="164">
        <f>SUMIF(TArticle[تاریخ],TDays[[#This Row],[تاریخ]],TArticle[تراکنش برنامه ریزی شده])</f>
        <v>0</v>
      </c>
    </row>
    <row r="2071" spans="1:17" x14ac:dyDescent="0.25">
      <c r="A2071" s="3" t="s">
        <v>2687</v>
      </c>
      <c r="B2071" s="164" t="str">
        <f>RIGHT(TDays[[#This Row],[تاریخ]],2)</f>
        <v>29</v>
      </c>
      <c r="C2071" s="164" t="str">
        <f>RIGHT(LEFT(TDays[[#This Row],[تاریخ]],7),2)</f>
        <v>08</v>
      </c>
      <c r="D2071" s="164" t="str">
        <f>LEFT(TDays[[#This Row],[تاریخ]],4)</f>
        <v>1406</v>
      </c>
      <c r="E2071" s="164" t="str">
        <f>LEFT(TDays[[#This Row],[تاریخ]],7)</f>
        <v>1406-08</v>
      </c>
      <c r="F2071">
        <v>6</v>
      </c>
      <c r="G2071" s="165" t="str">
        <f>VLOOKUP(TDays[[#This Row],[کد روز هفته]],TDaysOfTheWeek[],2,FALSE)</f>
        <v>جمعه</v>
      </c>
      <c r="H2071" s="165">
        <f>IFERROR(IF(E2070&lt;&gt;E2071,1,INT(H2070)+IF(TDays[[#This Row],[کد روز هفته]]=0,1,0)),1)</f>
        <v>5</v>
      </c>
      <c r="I2071" s="164">
        <f>-SUMIF(TArticle[تاریخ],TDays[[#This Row],[تاریخ]],TArticle[هزینه])</f>
        <v>0</v>
      </c>
      <c r="J2071" s="164">
        <f>SUMIF(TArticle[تاریخ],TDays[[#This Row],[تاریخ]],TArticle[درآمد تتا])</f>
        <v>0</v>
      </c>
      <c r="K2071" s="164">
        <f>SUMIF(TArticle[تاریخ],TDays[[#This Row],[تاریخ]],TArticle[اسنپ])</f>
        <v>0</v>
      </c>
      <c r="L2071" s="164">
        <f>-SUMIF(TArticle[تاریخ],TDays[[#This Row],[تاریخ]],TArticle[پرداخت بدهی])</f>
        <v>0</v>
      </c>
      <c r="M2071" s="164">
        <f>SUMIF(TArticle[تاریخ],TDays[[#This Row],[تاریخ]],TArticle[افزایش بدهی])</f>
        <v>0</v>
      </c>
      <c r="N2071" s="164">
        <f>-SUMIF(TArticle[تاریخ],TDays[[#This Row],[تاریخ]],TArticle[افزایش سرمایه])</f>
        <v>0</v>
      </c>
      <c r="O2071" s="164">
        <f>SUMIF(TArticle[تاریخ],TDays[[#This Row],[تاریخ]],TArticle[تعداد تراکنش انجام شده])</f>
        <v>0</v>
      </c>
      <c r="P2071" s="164">
        <f>INT(((TDays[[#This Row],[ماه]]-1)*31+TDays[[#This Row],[روز]]+1)/7)+1</f>
        <v>36</v>
      </c>
      <c r="Q2071" s="164">
        <f>SUMIF(TArticle[تاریخ],TDays[[#This Row],[تاریخ]],TArticle[تراکنش برنامه ریزی شده])</f>
        <v>0</v>
      </c>
    </row>
    <row r="2072" spans="1:17" x14ac:dyDescent="0.25">
      <c r="A2072" s="3" t="s">
        <v>2688</v>
      </c>
      <c r="B2072" s="164" t="str">
        <f>RIGHT(TDays[[#This Row],[تاریخ]],2)</f>
        <v>30</v>
      </c>
      <c r="C2072" s="164" t="str">
        <f>RIGHT(LEFT(TDays[[#This Row],[تاریخ]],7),2)</f>
        <v>08</v>
      </c>
      <c r="D2072" s="164" t="str">
        <f>LEFT(TDays[[#This Row],[تاریخ]],4)</f>
        <v>1406</v>
      </c>
      <c r="E2072" s="164" t="str">
        <f>LEFT(TDays[[#This Row],[تاریخ]],7)</f>
        <v>1406-08</v>
      </c>
      <c r="F2072">
        <v>0</v>
      </c>
      <c r="G2072" s="165" t="str">
        <f>VLOOKUP(TDays[[#This Row],[کد روز هفته]],TDaysOfTheWeek[],2,FALSE)</f>
        <v>شنبه</v>
      </c>
      <c r="H2072" s="165">
        <f>IFERROR(IF(E2071&lt;&gt;E2072,1,INT(H2071)+IF(TDays[[#This Row],[کد روز هفته]]=0,1,0)),1)</f>
        <v>6</v>
      </c>
      <c r="I2072" s="164">
        <f>-SUMIF(TArticle[تاریخ],TDays[[#This Row],[تاریخ]],TArticle[هزینه])</f>
        <v>0</v>
      </c>
      <c r="J2072" s="164">
        <f>SUMIF(TArticle[تاریخ],TDays[[#This Row],[تاریخ]],TArticle[درآمد تتا])</f>
        <v>0</v>
      </c>
      <c r="K2072" s="164">
        <f>SUMIF(TArticle[تاریخ],TDays[[#This Row],[تاریخ]],TArticle[اسنپ])</f>
        <v>0</v>
      </c>
      <c r="L2072" s="164">
        <f>-SUMIF(TArticle[تاریخ],TDays[[#This Row],[تاریخ]],TArticle[پرداخت بدهی])</f>
        <v>0</v>
      </c>
      <c r="M2072" s="164">
        <f>SUMIF(TArticle[تاریخ],TDays[[#This Row],[تاریخ]],TArticle[افزایش بدهی])</f>
        <v>0</v>
      </c>
      <c r="N2072" s="164">
        <f>-SUMIF(TArticle[تاریخ],TDays[[#This Row],[تاریخ]],TArticle[افزایش سرمایه])</f>
        <v>0</v>
      </c>
      <c r="O2072" s="164">
        <f>SUMIF(TArticle[تاریخ],TDays[[#This Row],[تاریخ]],TArticle[تعداد تراکنش انجام شده])</f>
        <v>0</v>
      </c>
      <c r="P2072" s="164">
        <f>INT(((TDays[[#This Row],[ماه]]-1)*31+TDays[[#This Row],[روز]]+1)/7)+1</f>
        <v>36</v>
      </c>
      <c r="Q2072" s="164">
        <f>SUMIF(TArticle[تاریخ],TDays[[#This Row],[تاریخ]],TArticle[تراکنش برنامه ریزی شده])</f>
        <v>0</v>
      </c>
    </row>
    <row r="2073" spans="1:17" x14ac:dyDescent="0.25">
      <c r="A2073" s="3" t="s">
        <v>2689</v>
      </c>
      <c r="B2073" s="164" t="str">
        <f>RIGHT(TDays[[#This Row],[تاریخ]],2)</f>
        <v>01</v>
      </c>
      <c r="C2073" s="164" t="str">
        <f>RIGHT(LEFT(TDays[[#This Row],[تاریخ]],7),2)</f>
        <v>09</v>
      </c>
      <c r="D2073" s="164" t="str">
        <f>LEFT(TDays[[#This Row],[تاریخ]],4)</f>
        <v>1406</v>
      </c>
      <c r="E2073" s="164" t="str">
        <f>LEFT(TDays[[#This Row],[تاریخ]],7)</f>
        <v>1406-09</v>
      </c>
      <c r="F2073">
        <v>1</v>
      </c>
      <c r="G2073" s="165" t="str">
        <f>VLOOKUP(TDays[[#This Row],[کد روز هفته]],TDaysOfTheWeek[],2,FALSE)</f>
        <v>یکشنبه</v>
      </c>
      <c r="H2073" s="165">
        <f>IFERROR(IF(E2072&lt;&gt;E2073,1,INT(H2072)+IF(TDays[[#This Row],[کد روز هفته]]=0,1,0)),1)</f>
        <v>1</v>
      </c>
      <c r="I2073" s="164">
        <f>-SUMIF(TArticle[تاریخ],TDays[[#This Row],[تاریخ]],TArticle[هزینه])</f>
        <v>0</v>
      </c>
      <c r="J2073" s="164">
        <f>SUMIF(TArticle[تاریخ],TDays[[#This Row],[تاریخ]],TArticle[درآمد تتا])</f>
        <v>0</v>
      </c>
      <c r="K2073" s="164">
        <f>SUMIF(TArticle[تاریخ],TDays[[#This Row],[تاریخ]],TArticle[اسنپ])</f>
        <v>0</v>
      </c>
      <c r="L2073" s="164">
        <f>-SUMIF(TArticle[تاریخ],TDays[[#This Row],[تاریخ]],TArticle[پرداخت بدهی])</f>
        <v>0</v>
      </c>
      <c r="M2073" s="164">
        <f>SUMIF(TArticle[تاریخ],TDays[[#This Row],[تاریخ]],TArticle[افزایش بدهی])</f>
        <v>0</v>
      </c>
      <c r="N2073" s="164">
        <f>-SUMIF(TArticle[تاریخ],TDays[[#This Row],[تاریخ]],TArticle[افزایش سرمایه])</f>
        <v>0</v>
      </c>
      <c r="O2073" s="164">
        <f>SUMIF(TArticle[تاریخ],TDays[[#This Row],[تاریخ]],TArticle[تعداد تراکنش انجام شده])</f>
        <v>0</v>
      </c>
      <c r="P2073" s="164">
        <f>INT(((TDays[[#This Row],[ماه]]-1)*31+TDays[[#This Row],[روز]]+1)/7)+1</f>
        <v>36</v>
      </c>
      <c r="Q2073" s="164">
        <f>SUMIF(TArticle[تاریخ],TDays[[#This Row],[تاریخ]],TArticle[تراکنش برنامه ریزی شده])</f>
        <v>0</v>
      </c>
    </row>
    <row r="2074" spans="1:17" x14ac:dyDescent="0.25">
      <c r="A2074" s="3" t="s">
        <v>2690</v>
      </c>
      <c r="B2074" s="164" t="str">
        <f>RIGHT(TDays[[#This Row],[تاریخ]],2)</f>
        <v>02</v>
      </c>
      <c r="C2074" s="164" t="str">
        <f>RIGHT(LEFT(TDays[[#This Row],[تاریخ]],7),2)</f>
        <v>09</v>
      </c>
      <c r="D2074" s="164" t="str">
        <f>LEFT(TDays[[#This Row],[تاریخ]],4)</f>
        <v>1406</v>
      </c>
      <c r="E2074" s="164" t="str">
        <f>LEFT(TDays[[#This Row],[تاریخ]],7)</f>
        <v>1406-09</v>
      </c>
      <c r="F2074">
        <v>2</v>
      </c>
      <c r="G2074" s="165" t="str">
        <f>VLOOKUP(TDays[[#This Row],[کد روز هفته]],TDaysOfTheWeek[],2,FALSE)</f>
        <v>دوشنبه</v>
      </c>
      <c r="H2074" s="165">
        <f>IFERROR(IF(E2073&lt;&gt;E2074,1,INT(H2073)+IF(TDays[[#This Row],[کد روز هفته]]=0,1,0)),1)</f>
        <v>1</v>
      </c>
      <c r="I2074" s="164">
        <f>-SUMIF(TArticle[تاریخ],TDays[[#This Row],[تاریخ]],TArticle[هزینه])</f>
        <v>0</v>
      </c>
      <c r="J2074" s="164">
        <f>SUMIF(TArticle[تاریخ],TDays[[#This Row],[تاریخ]],TArticle[درآمد تتا])</f>
        <v>0</v>
      </c>
      <c r="K2074" s="164">
        <f>SUMIF(TArticle[تاریخ],TDays[[#This Row],[تاریخ]],TArticle[اسنپ])</f>
        <v>0</v>
      </c>
      <c r="L2074" s="164">
        <f>-SUMIF(TArticle[تاریخ],TDays[[#This Row],[تاریخ]],TArticle[پرداخت بدهی])</f>
        <v>0</v>
      </c>
      <c r="M2074" s="164">
        <f>SUMIF(TArticle[تاریخ],TDays[[#This Row],[تاریخ]],TArticle[افزایش بدهی])</f>
        <v>0</v>
      </c>
      <c r="N2074" s="164">
        <f>-SUMIF(TArticle[تاریخ],TDays[[#This Row],[تاریخ]],TArticle[افزایش سرمایه])</f>
        <v>0</v>
      </c>
      <c r="O2074" s="164">
        <f>SUMIF(TArticle[تاریخ],TDays[[#This Row],[تاریخ]],TArticle[تعداد تراکنش انجام شده])</f>
        <v>0</v>
      </c>
      <c r="P2074" s="164">
        <f>INT(((TDays[[#This Row],[ماه]]-1)*31+TDays[[#This Row],[روز]]+1)/7)+1</f>
        <v>36</v>
      </c>
      <c r="Q2074" s="164">
        <f>SUMIF(TArticle[تاریخ],TDays[[#This Row],[تاریخ]],TArticle[تراکنش برنامه ریزی شده])</f>
        <v>0</v>
      </c>
    </row>
    <row r="2075" spans="1:17" x14ac:dyDescent="0.25">
      <c r="A2075" s="3" t="s">
        <v>2691</v>
      </c>
      <c r="B2075" s="164" t="str">
        <f>RIGHT(TDays[[#This Row],[تاریخ]],2)</f>
        <v>03</v>
      </c>
      <c r="C2075" s="164" t="str">
        <f>RIGHT(LEFT(TDays[[#This Row],[تاریخ]],7),2)</f>
        <v>09</v>
      </c>
      <c r="D2075" s="164" t="str">
        <f>LEFT(TDays[[#This Row],[تاریخ]],4)</f>
        <v>1406</v>
      </c>
      <c r="E2075" s="164" t="str">
        <f>LEFT(TDays[[#This Row],[تاریخ]],7)</f>
        <v>1406-09</v>
      </c>
      <c r="F2075" s="164">
        <v>3</v>
      </c>
      <c r="G2075" s="165" t="str">
        <f>VLOOKUP(TDays[[#This Row],[کد روز هفته]],TDaysOfTheWeek[],2,FALSE)</f>
        <v>سه شنبه</v>
      </c>
      <c r="H2075" s="165">
        <f>IFERROR(IF(E2074&lt;&gt;E2075,1,INT(H2074)+IF(TDays[[#This Row],[کد روز هفته]]=0,1,0)),1)</f>
        <v>1</v>
      </c>
      <c r="I2075" s="164">
        <f>-SUMIF(TArticle[تاریخ],TDays[[#This Row],[تاریخ]],TArticle[هزینه])</f>
        <v>0</v>
      </c>
      <c r="J2075" s="164">
        <f>SUMIF(TArticle[تاریخ],TDays[[#This Row],[تاریخ]],TArticle[درآمد تتا])</f>
        <v>0</v>
      </c>
      <c r="K2075" s="164">
        <f>SUMIF(TArticle[تاریخ],TDays[[#This Row],[تاریخ]],TArticle[اسنپ])</f>
        <v>0</v>
      </c>
      <c r="L2075" s="164">
        <f>-SUMIF(TArticle[تاریخ],TDays[[#This Row],[تاریخ]],TArticle[پرداخت بدهی])</f>
        <v>0</v>
      </c>
      <c r="M2075" s="164">
        <f>SUMIF(TArticle[تاریخ],TDays[[#This Row],[تاریخ]],TArticle[افزایش بدهی])</f>
        <v>0</v>
      </c>
      <c r="N2075" s="164">
        <f>-SUMIF(TArticle[تاریخ],TDays[[#This Row],[تاریخ]],TArticle[افزایش سرمایه])</f>
        <v>0</v>
      </c>
      <c r="O2075" s="164">
        <f>SUMIF(TArticle[تاریخ],TDays[[#This Row],[تاریخ]],TArticle[تعداد تراکنش انجام شده])</f>
        <v>0</v>
      </c>
      <c r="P2075" s="164">
        <f>INT(((TDays[[#This Row],[ماه]]-1)*31+TDays[[#This Row],[روز]]+1)/7)+1</f>
        <v>37</v>
      </c>
      <c r="Q2075" s="164">
        <f>SUMIF(TArticle[تاریخ],TDays[[#This Row],[تاریخ]],TArticle[تراکنش برنامه ریزی شده])</f>
        <v>1</v>
      </c>
    </row>
    <row r="2076" spans="1:17" x14ac:dyDescent="0.25">
      <c r="A2076" s="3" t="s">
        <v>2692</v>
      </c>
      <c r="B2076" s="164" t="str">
        <f>RIGHT(TDays[[#This Row],[تاریخ]],2)</f>
        <v>04</v>
      </c>
      <c r="C2076" s="164" t="str">
        <f>RIGHT(LEFT(TDays[[#This Row],[تاریخ]],7),2)</f>
        <v>09</v>
      </c>
      <c r="D2076" s="164" t="str">
        <f>LEFT(TDays[[#This Row],[تاریخ]],4)</f>
        <v>1406</v>
      </c>
      <c r="E2076" s="164" t="str">
        <f>LEFT(TDays[[#This Row],[تاریخ]],7)</f>
        <v>1406-09</v>
      </c>
      <c r="F2076" s="164">
        <v>4</v>
      </c>
      <c r="G2076" s="165" t="str">
        <f>VLOOKUP(TDays[[#This Row],[کد روز هفته]],TDaysOfTheWeek[],2,FALSE)</f>
        <v>چهارشنبه</v>
      </c>
      <c r="H2076" s="165">
        <f>IFERROR(IF(E2075&lt;&gt;E2076,1,INT(H2075)+IF(TDays[[#This Row],[کد روز هفته]]=0,1,0)),1)</f>
        <v>1</v>
      </c>
      <c r="I2076" s="164">
        <f>-SUMIF(TArticle[تاریخ],TDays[[#This Row],[تاریخ]],TArticle[هزینه])</f>
        <v>0</v>
      </c>
      <c r="J2076" s="164">
        <f>SUMIF(TArticle[تاریخ],TDays[[#This Row],[تاریخ]],TArticle[درآمد تتا])</f>
        <v>0</v>
      </c>
      <c r="K2076" s="164">
        <f>SUMIF(TArticle[تاریخ],TDays[[#This Row],[تاریخ]],TArticle[اسنپ])</f>
        <v>0</v>
      </c>
      <c r="L2076" s="164">
        <f>-SUMIF(TArticle[تاریخ],TDays[[#This Row],[تاریخ]],TArticle[پرداخت بدهی])</f>
        <v>0</v>
      </c>
      <c r="M2076" s="164">
        <f>SUMIF(TArticle[تاریخ],TDays[[#This Row],[تاریخ]],TArticle[افزایش بدهی])</f>
        <v>0</v>
      </c>
      <c r="N2076" s="164">
        <f>-SUMIF(TArticle[تاریخ],TDays[[#This Row],[تاریخ]],TArticle[افزایش سرمایه])</f>
        <v>0</v>
      </c>
      <c r="O2076" s="164">
        <f>SUMIF(TArticle[تاریخ],TDays[[#This Row],[تاریخ]],TArticle[تعداد تراکنش انجام شده])</f>
        <v>0</v>
      </c>
      <c r="P2076" s="164">
        <f>INT(((TDays[[#This Row],[ماه]]-1)*31+TDays[[#This Row],[روز]]+1)/7)+1</f>
        <v>37</v>
      </c>
      <c r="Q2076" s="164">
        <f>SUMIF(TArticle[تاریخ],TDays[[#This Row],[تاریخ]],TArticle[تراکنش برنامه ریزی شده])</f>
        <v>0</v>
      </c>
    </row>
    <row r="2077" spans="1:17" x14ac:dyDescent="0.25">
      <c r="A2077" s="3" t="s">
        <v>2693</v>
      </c>
      <c r="B2077" s="164" t="str">
        <f>RIGHT(TDays[[#This Row],[تاریخ]],2)</f>
        <v>05</v>
      </c>
      <c r="C2077" s="164" t="str">
        <f>RIGHT(LEFT(TDays[[#This Row],[تاریخ]],7),2)</f>
        <v>09</v>
      </c>
      <c r="D2077" s="164" t="str">
        <f>LEFT(TDays[[#This Row],[تاریخ]],4)</f>
        <v>1406</v>
      </c>
      <c r="E2077" s="164" t="str">
        <f>LEFT(TDays[[#This Row],[تاریخ]],7)</f>
        <v>1406-09</v>
      </c>
      <c r="F2077">
        <v>5</v>
      </c>
      <c r="G2077" s="165" t="str">
        <f>VLOOKUP(TDays[[#This Row],[کد روز هفته]],TDaysOfTheWeek[],2,FALSE)</f>
        <v>پنجشنبه</v>
      </c>
      <c r="H2077" s="165">
        <f>IFERROR(IF(E2076&lt;&gt;E2077,1,INT(H2076)+IF(TDays[[#This Row],[کد روز هفته]]=0,1,0)),1)</f>
        <v>1</v>
      </c>
      <c r="I2077" s="164">
        <f>-SUMIF(TArticle[تاریخ],TDays[[#This Row],[تاریخ]],TArticle[هزینه])</f>
        <v>0</v>
      </c>
      <c r="J2077" s="164">
        <f>SUMIF(TArticle[تاریخ],TDays[[#This Row],[تاریخ]],TArticle[درآمد تتا])</f>
        <v>0</v>
      </c>
      <c r="K2077" s="164">
        <f>SUMIF(TArticle[تاریخ],TDays[[#This Row],[تاریخ]],TArticle[اسنپ])</f>
        <v>0</v>
      </c>
      <c r="L2077" s="164">
        <f>-SUMIF(TArticle[تاریخ],TDays[[#This Row],[تاریخ]],TArticle[پرداخت بدهی])</f>
        <v>0</v>
      </c>
      <c r="M2077" s="164">
        <f>SUMIF(TArticle[تاریخ],TDays[[#This Row],[تاریخ]],TArticle[افزایش بدهی])</f>
        <v>0</v>
      </c>
      <c r="N2077" s="164">
        <f>-SUMIF(TArticle[تاریخ],TDays[[#This Row],[تاریخ]],TArticle[افزایش سرمایه])</f>
        <v>0</v>
      </c>
      <c r="O2077" s="164">
        <f>SUMIF(TArticle[تاریخ],TDays[[#This Row],[تاریخ]],TArticle[تعداد تراکنش انجام شده])</f>
        <v>0</v>
      </c>
      <c r="P2077" s="164">
        <f>INT(((TDays[[#This Row],[ماه]]-1)*31+TDays[[#This Row],[روز]]+1)/7)+1</f>
        <v>37</v>
      </c>
      <c r="Q2077" s="164">
        <f>SUMIF(TArticle[تاریخ],TDays[[#This Row],[تاریخ]],TArticle[تراکنش برنامه ریزی شده])</f>
        <v>0</v>
      </c>
    </row>
    <row r="2078" spans="1:17" x14ac:dyDescent="0.25">
      <c r="A2078" s="3" t="s">
        <v>2694</v>
      </c>
      <c r="B2078" s="164" t="str">
        <f>RIGHT(TDays[[#This Row],[تاریخ]],2)</f>
        <v>06</v>
      </c>
      <c r="C2078" s="164" t="str">
        <f>RIGHT(LEFT(TDays[[#This Row],[تاریخ]],7),2)</f>
        <v>09</v>
      </c>
      <c r="D2078" s="164" t="str">
        <f>LEFT(TDays[[#This Row],[تاریخ]],4)</f>
        <v>1406</v>
      </c>
      <c r="E2078" s="164" t="str">
        <f>LEFT(TDays[[#This Row],[تاریخ]],7)</f>
        <v>1406-09</v>
      </c>
      <c r="F2078">
        <v>6</v>
      </c>
      <c r="G2078" s="165" t="str">
        <f>VLOOKUP(TDays[[#This Row],[کد روز هفته]],TDaysOfTheWeek[],2,FALSE)</f>
        <v>جمعه</v>
      </c>
      <c r="H2078" s="165">
        <f>IFERROR(IF(E2077&lt;&gt;E2078,1,INT(H2077)+IF(TDays[[#This Row],[کد روز هفته]]=0,1,0)),1)</f>
        <v>1</v>
      </c>
      <c r="I2078" s="164">
        <f>-SUMIF(TArticle[تاریخ],TDays[[#This Row],[تاریخ]],TArticle[هزینه])</f>
        <v>0</v>
      </c>
      <c r="J2078" s="164">
        <f>SUMIF(TArticle[تاریخ],TDays[[#This Row],[تاریخ]],TArticle[درآمد تتا])</f>
        <v>0</v>
      </c>
      <c r="K2078" s="164">
        <f>SUMIF(TArticle[تاریخ],TDays[[#This Row],[تاریخ]],TArticle[اسنپ])</f>
        <v>0</v>
      </c>
      <c r="L2078" s="164">
        <f>-SUMIF(TArticle[تاریخ],TDays[[#This Row],[تاریخ]],TArticle[پرداخت بدهی])</f>
        <v>0</v>
      </c>
      <c r="M2078" s="164">
        <f>SUMIF(TArticle[تاریخ],TDays[[#This Row],[تاریخ]],TArticle[افزایش بدهی])</f>
        <v>0</v>
      </c>
      <c r="N2078" s="164">
        <f>-SUMIF(TArticle[تاریخ],TDays[[#This Row],[تاریخ]],TArticle[افزایش سرمایه])</f>
        <v>0</v>
      </c>
      <c r="O2078" s="164">
        <f>SUMIF(TArticle[تاریخ],TDays[[#This Row],[تاریخ]],TArticle[تعداد تراکنش انجام شده])</f>
        <v>0</v>
      </c>
      <c r="P2078" s="164">
        <f>INT(((TDays[[#This Row],[ماه]]-1)*31+TDays[[#This Row],[روز]]+1)/7)+1</f>
        <v>37</v>
      </c>
      <c r="Q2078" s="164">
        <f>SUMIF(TArticle[تاریخ],TDays[[#This Row],[تاریخ]],TArticle[تراکنش برنامه ریزی شده])</f>
        <v>0</v>
      </c>
    </row>
    <row r="2079" spans="1:17" x14ac:dyDescent="0.25">
      <c r="A2079" s="3" t="s">
        <v>2695</v>
      </c>
      <c r="B2079" s="164" t="str">
        <f>RIGHT(TDays[[#This Row],[تاریخ]],2)</f>
        <v>07</v>
      </c>
      <c r="C2079" s="164" t="str">
        <f>RIGHT(LEFT(TDays[[#This Row],[تاریخ]],7),2)</f>
        <v>09</v>
      </c>
      <c r="D2079" s="164" t="str">
        <f>LEFT(TDays[[#This Row],[تاریخ]],4)</f>
        <v>1406</v>
      </c>
      <c r="E2079" s="164" t="str">
        <f>LEFT(TDays[[#This Row],[تاریخ]],7)</f>
        <v>1406-09</v>
      </c>
      <c r="F2079">
        <v>0</v>
      </c>
      <c r="G2079" s="165" t="str">
        <f>VLOOKUP(TDays[[#This Row],[کد روز هفته]],TDaysOfTheWeek[],2,FALSE)</f>
        <v>شنبه</v>
      </c>
      <c r="H2079" s="165">
        <f>IFERROR(IF(E2078&lt;&gt;E2079,1,INT(H2078)+IF(TDays[[#This Row],[کد روز هفته]]=0,1,0)),1)</f>
        <v>2</v>
      </c>
      <c r="I2079" s="164">
        <f>-SUMIF(TArticle[تاریخ],TDays[[#This Row],[تاریخ]],TArticle[هزینه])</f>
        <v>0</v>
      </c>
      <c r="J2079" s="164">
        <f>SUMIF(TArticle[تاریخ],TDays[[#This Row],[تاریخ]],TArticle[درآمد تتا])</f>
        <v>0</v>
      </c>
      <c r="K2079" s="164">
        <f>SUMIF(TArticle[تاریخ],TDays[[#This Row],[تاریخ]],TArticle[اسنپ])</f>
        <v>0</v>
      </c>
      <c r="L2079" s="164">
        <f>-SUMIF(TArticle[تاریخ],TDays[[#This Row],[تاریخ]],TArticle[پرداخت بدهی])</f>
        <v>0</v>
      </c>
      <c r="M2079" s="164">
        <f>SUMIF(TArticle[تاریخ],TDays[[#This Row],[تاریخ]],TArticle[افزایش بدهی])</f>
        <v>0</v>
      </c>
      <c r="N2079" s="164">
        <f>-SUMIF(TArticle[تاریخ],TDays[[#This Row],[تاریخ]],TArticle[افزایش سرمایه])</f>
        <v>0</v>
      </c>
      <c r="O2079" s="164">
        <f>SUMIF(TArticle[تاریخ],TDays[[#This Row],[تاریخ]],TArticle[تعداد تراکنش انجام شده])</f>
        <v>0</v>
      </c>
      <c r="P2079" s="164">
        <f>INT(((TDays[[#This Row],[ماه]]-1)*31+TDays[[#This Row],[روز]]+1)/7)+1</f>
        <v>37</v>
      </c>
      <c r="Q2079" s="164">
        <f>SUMIF(TArticle[تاریخ],TDays[[#This Row],[تاریخ]],TArticle[تراکنش برنامه ریزی شده])</f>
        <v>0</v>
      </c>
    </row>
    <row r="2080" spans="1:17" x14ac:dyDescent="0.25">
      <c r="A2080" s="3" t="s">
        <v>2696</v>
      </c>
      <c r="B2080" s="164" t="str">
        <f>RIGHT(TDays[[#This Row],[تاریخ]],2)</f>
        <v>08</v>
      </c>
      <c r="C2080" s="164" t="str">
        <f>RIGHT(LEFT(TDays[[#This Row],[تاریخ]],7),2)</f>
        <v>09</v>
      </c>
      <c r="D2080" s="164" t="str">
        <f>LEFT(TDays[[#This Row],[تاریخ]],4)</f>
        <v>1406</v>
      </c>
      <c r="E2080" s="164" t="str">
        <f>LEFT(TDays[[#This Row],[تاریخ]],7)</f>
        <v>1406-09</v>
      </c>
      <c r="F2080">
        <v>1</v>
      </c>
      <c r="G2080" s="165" t="str">
        <f>VLOOKUP(TDays[[#This Row],[کد روز هفته]],TDaysOfTheWeek[],2,FALSE)</f>
        <v>یکشنبه</v>
      </c>
      <c r="H2080" s="165">
        <f>IFERROR(IF(E2079&lt;&gt;E2080,1,INT(H2079)+IF(TDays[[#This Row],[کد روز هفته]]=0,1,0)),1)</f>
        <v>2</v>
      </c>
      <c r="I2080" s="164">
        <f>-SUMIF(TArticle[تاریخ],TDays[[#This Row],[تاریخ]],TArticle[هزینه])</f>
        <v>0</v>
      </c>
      <c r="J2080" s="164">
        <f>SUMIF(TArticle[تاریخ],TDays[[#This Row],[تاریخ]],TArticle[درآمد تتا])</f>
        <v>0</v>
      </c>
      <c r="K2080" s="164">
        <f>SUMIF(TArticle[تاریخ],TDays[[#This Row],[تاریخ]],TArticle[اسنپ])</f>
        <v>0</v>
      </c>
      <c r="L2080" s="164">
        <f>-SUMIF(TArticle[تاریخ],TDays[[#This Row],[تاریخ]],TArticle[پرداخت بدهی])</f>
        <v>0</v>
      </c>
      <c r="M2080" s="164">
        <f>SUMIF(TArticle[تاریخ],TDays[[#This Row],[تاریخ]],TArticle[افزایش بدهی])</f>
        <v>0</v>
      </c>
      <c r="N2080" s="164">
        <f>-SUMIF(TArticle[تاریخ],TDays[[#This Row],[تاریخ]],TArticle[افزایش سرمایه])</f>
        <v>0</v>
      </c>
      <c r="O2080" s="164">
        <f>SUMIF(TArticle[تاریخ],TDays[[#This Row],[تاریخ]],TArticle[تعداد تراکنش انجام شده])</f>
        <v>0</v>
      </c>
      <c r="P2080" s="164">
        <f>INT(((TDays[[#This Row],[ماه]]-1)*31+TDays[[#This Row],[روز]]+1)/7)+1</f>
        <v>37</v>
      </c>
      <c r="Q2080" s="164">
        <f>SUMIF(TArticle[تاریخ],TDays[[#This Row],[تاریخ]],TArticle[تراکنش برنامه ریزی شده])</f>
        <v>0</v>
      </c>
    </row>
    <row r="2081" spans="1:17" x14ac:dyDescent="0.25">
      <c r="A2081" s="3" t="s">
        <v>2697</v>
      </c>
      <c r="B2081" s="164" t="str">
        <f>RIGHT(TDays[[#This Row],[تاریخ]],2)</f>
        <v>09</v>
      </c>
      <c r="C2081" s="164" t="str">
        <f>RIGHT(LEFT(TDays[[#This Row],[تاریخ]],7),2)</f>
        <v>09</v>
      </c>
      <c r="D2081" s="164" t="str">
        <f>LEFT(TDays[[#This Row],[تاریخ]],4)</f>
        <v>1406</v>
      </c>
      <c r="E2081" s="164" t="str">
        <f>LEFT(TDays[[#This Row],[تاریخ]],7)</f>
        <v>1406-09</v>
      </c>
      <c r="F2081">
        <v>2</v>
      </c>
      <c r="G2081" s="165" t="str">
        <f>VLOOKUP(TDays[[#This Row],[کد روز هفته]],TDaysOfTheWeek[],2,FALSE)</f>
        <v>دوشنبه</v>
      </c>
      <c r="H2081" s="165">
        <f>IFERROR(IF(E2080&lt;&gt;E2081,1,INT(H2080)+IF(TDays[[#This Row],[کد روز هفته]]=0,1,0)),1)</f>
        <v>2</v>
      </c>
      <c r="I2081" s="164">
        <f>-SUMIF(TArticle[تاریخ],TDays[[#This Row],[تاریخ]],TArticle[هزینه])</f>
        <v>0</v>
      </c>
      <c r="J2081" s="164">
        <f>SUMIF(TArticle[تاریخ],TDays[[#This Row],[تاریخ]],TArticle[درآمد تتا])</f>
        <v>0</v>
      </c>
      <c r="K2081" s="164">
        <f>SUMIF(TArticle[تاریخ],TDays[[#This Row],[تاریخ]],TArticle[اسنپ])</f>
        <v>0</v>
      </c>
      <c r="L2081" s="164">
        <f>-SUMIF(TArticle[تاریخ],TDays[[#This Row],[تاریخ]],TArticle[پرداخت بدهی])</f>
        <v>0</v>
      </c>
      <c r="M2081" s="164">
        <f>SUMIF(TArticle[تاریخ],TDays[[#This Row],[تاریخ]],TArticle[افزایش بدهی])</f>
        <v>0</v>
      </c>
      <c r="N2081" s="164">
        <f>-SUMIF(TArticle[تاریخ],TDays[[#This Row],[تاریخ]],TArticle[افزایش سرمایه])</f>
        <v>0</v>
      </c>
      <c r="O2081" s="164">
        <f>SUMIF(TArticle[تاریخ],TDays[[#This Row],[تاریخ]],TArticle[تعداد تراکنش انجام شده])</f>
        <v>0</v>
      </c>
      <c r="P2081" s="164">
        <f>INT(((TDays[[#This Row],[ماه]]-1)*31+TDays[[#This Row],[روز]]+1)/7)+1</f>
        <v>37</v>
      </c>
      <c r="Q2081" s="164">
        <f>SUMIF(TArticle[تاریخ],TDays[[#This Row],[تاریخ]],TArticle[تراکنش برنامه ریزی شده])</f>
        <v>0</v>
      </c>
    </row>
    <row r="2082" spans="1:17" x14ac:dyDescent="0.25">
      <c r="A2082" s="3" t="s">
        <v>2698</v>
      </c>
      <c r="B2082" s="164" t="str">
        <f>RIGHT(TDays[[#This Row],[تاریخ]],2)</f>
        <v>10</v>
      </c>
      <c r="C2082" s="164" t="str">
        <f>RIGHT(LEFT(TDays[[#This Row],[تاریخ]],7),2)</f>
        <v>09</v>
      </c>
      <c r="D2082" s="164" t="str">
        <f>LEFT(TDays[[#This Row],[تاریخ]],4)</f>
        <v>1406</v>
      </c>
      <c r="E2082" s="164" t="str">
        <f>LEFT(TDays[[#This Row],[تاریخ]],7)</f>
        <v>1406-09</v>
      </c>
      <c r="F2082">
        <v>3</v>
      </c>
      <c r="G2082" s="165" t="str">
        <f>VLOOKUP(TDays[[#This Row],[کد روز هفته]],TDaysOfTheWeek[],2,FALSE)</f>
        <v>سه شنبه</v>
      </c>
      <c r="H2082" s="165">
        <f>IFERROR(IF(E2081&lt;&gt;E2082,1,INT(H2081)+IF(TDays[[#This Row],[کد روز هفته]]=0,1,0)),1)</f>
        <v>2</v>
      </c>
      <c r="I2082" s="164">
        <f>-SUMIF(TArticle[تاریخ],TDays[[#This Row],[تاریخ]],TArticle[هزینه])</f>
        <v>0</v>
      </c>
      <c r="J2082" s="164">
        <f>SUMIF(TArticle[تاریخ],TDays[[#This Row],[تاریخ]],TArticle[درآمد تتا])</f>
        <v>0</v>
      </c>
      <c r="K2082" s="164">
        <f>SUMIF(TArticle[تاریخ],TDays[[#This Row],[تاریخ]],TArticle[اسنپ])</f>
        <v>0</v>
      </c>
      <c r="L2082" s="164">
        <f>-SUMIF(TArticle[تاریخ],TDays[[#This Row],[تاریخ]],TArticle[پرداخت بدهی])</f>
        <v>0</v>
      </c>
      <c r="M2082" s="164">
        <f>SUMIF(TArticle[تاریخ],TDays[[#This Row],[تاریخ]],TArticle[افزایش بدهی])</f>
        <v>0</v>
      </c>
      <c r="N2082" s="164">
        <f>-SUMIF(TArticle[تاریخ],TDays[[#This Row],[تاریخ]],TArticle[افزایش سرمایه])</f>
        <v>0</v>
      </c>
      <c r="O2082" s="164">
        <f>SUMIF(TArticle[تاریخ],TDays[[#This Row],[تاریخ]],TArticle[تعداد تراکنش انجام شده])</f>
        <v>0</v>
      </c>
      <c r="P2082" s="164">
        <f>INT(((TDays[[#This Row],[ماه]]-1)*31+TDays[[#This Row],[روز]]+1)/7)+1</f>
        <v>38</v>
      </c>
      <c r="Q2082" s="164">
        <f>SUMIF(TArticle[تاریخ],TDays[[#This Row],[تاریخ]],TArticle[تراکنش برنامه ریزی شده])</f>
        <v>0</v>
      </c>
    </row>
    <row r="2083" spans="1:17" x14ac:dyDescent="0.25">
      <c r="A2083" s="3" t="s">
        <v>2699</v>
      </c>
      <c r="B2083" s="164" t="str">
        <f>RIGHT(TDays[[#This Row],[تاریخ]],2)</f>
        <v>11</v>
      </c>
      <c r="C2083" s="164" t="str">
        <f>RIGHT(LEFT(TDays[[#This Row],[تاریخ]],7),2)</f>
        <v>09</v>
      </c>
      <c r="D2083" s="164" t="str">
        <f>LEFT(TDays[[#This Row],[تاریخ]],4)</f>
        <v>1406</v>
      </c>
      <c r="E2083" s="164" t="str">
        <f>LEFT(TDays[[#This Row],[تاریخ]],7)</f>
        <v>1406-09</v>
      </c>
      <c r="F2083">
        <v>4</v>
      </c>
      <c r="G2083" s="165" t="str">
        <f>VLOOKUP(TDays[[#This Row],[کد روز هفته]],TDaysOfTheWeek[],2,FALSE)</f>
        <v>چهارشنبه</v>
      </c>
      <c r="H2083" s="165">
        <f>IFERROR(IF(E2082&lt;&gt;E2083,1,INT(H2082)+IF(TDays[[#This Row],[کد روز هفته]]=0,1,0)),1)</f>
        <v>2</v>
      </c>
      <c r="I2083" s="164">
        <f>-SUMIF(TArticle[تاریخ],TDays[[#This Row],[تاریخ]],TArticle[هزینه])</f>
        <v>0</v>
      </c>
      <c r="J2083" s="164">
        <f>SUMIF(TArticle[تاریخ],TDays[[#This Row],[تاریخ]],TArticle[درآمد تتا])</f>
        <v>0</v>
      </c>
      <c r="K2083" s="164">
        <f>SUMIF(TArticle[تاریخ],TDays[[#This Row],[تاریخ]],TArticle[اسنپ])</f>
        <v>0</v>
      </c>
      <c r="L2083" s="164">
        <f>-SUMIF(TArticle[تاریخ],TDays[[#This Row],[تاریخ]],TArticle[پرداخت بدهی])</f>
        <v>0</v>
      </c>
      <c r="M2083" s="164">
        <f>SUMIF(TArticle[تاریخ],TDays[[#This Row],[تاریخ]],TArticle[افزایش بدهی])</f>
        <v>0</v>
      </c>
      <c r="N2083" s="164">
        <f>-SUMIF(TArticle[تاریخ],TDays[[#This Row],[تاریخ]],TArticle[افزایش سرمایه])</f>
        <v>0</v>
      </c>
      <c r="O2083" s="164">
        <f>SUMIF(TArticle[تاریخ],TDays[[#This Row],[تاریخ]],TArticle[تعداد تراکنش انجام شده])</f>
        <v>0</v>
      </c>
      <c r="P2083" s="164">
        <f>INT(((TDays[[#This Row],[ماه]]-1)*31+TDays[[#This Row],[روز]]+1)/7)+1</f>
        <v>38</v>
      </c>
      <c r="Q2083" s="164">
        <f>SUMIF(TArticle[تاریخ],TDays[[#This Row],[تاریخ]],TArticle[تراکنش برنامه ریزی شده])</f>
        <v>0</v>
      </c>
    </row>
    <row r="2084" spans="1:17" x14ac:dyDescent="0.25">
      <c r="A2084" s="3" t="s">
        <v>2700</v>
      </c>
      <c r="B2084" s="164" t="str">
        <f>RIGHT(TDays[[#This Row],[تاریخ]],2)</f>
        <v>12</v>
      </c>
      <c r="C2084" s="164" t="str">
        <f>RIGHT(LEFT(TDays[[#This Row],[تاریخ]],7),2)</f>
        <v>09</v>
      </c>
      <c r="D2084" s="164" t="str">
        <f>LEFT(TDays[[#This Row],[تاریخ]],4)</f>
        <v>1406</v>
      </c>
      <c r="E2084" s="164" t="str">
        <f>LEFT(TDays[[#This Row],[تاریخ]],7)</f>
        <v>1406-09</v>
      </c>
      <c r="F2084">
        <v>5</v>
      </c>
      <c r="G2084" s="165" t="str">
        <f>VLOOKUP(TDays[[#This Row],[کد روز هفته]],TDaysOfTheWeek[],2,FALSE)</f>
        <v>پنجشنبه</v>
      </c>
      <c r="H2084" s="165">
        <f>IFERROR(IF(E2083&lt;&gt;E2084,1,INT(H2083)+IF(TDays[[#This Row],[کد روز هفته]]=0,1,0)),1)</f>
        <v>2</v>
      </c>
      <c r="I2084" s="164">
        <f>-SUMIF(TArticle[تاریخ],TDays[[#This Row],[تاریخ]],TArticle[هزینه])</f>
        <v>0</v>
      </c>
      <c r="J2084" s="164">
        <f>SUMIF(TArticle[تاریخ],TDays[[#This Row],[تاریخ]],TArticle[درآمد تتا])</f>
        <v>0</v>
      </c>
      <c r="K2084" s="164">
        <f>SUMIF(TArticle[تاریخ],TDays[[#This Row],[تاریخ]],TArticle[اسنپ])</f>
        <v>0</v>
      </c>
      <c r="L2084" s="164">
        <f>-SUMIF(TArticle[تاریخ],TDays[[#This Row],[تاریخ]],TArticle[پرداخت بدهی])</f>
        <v>0</v>
      </c>
      <c r="M2084" s="164">
        <f>SUMIF(TArticle[تاریخ],TDays[[#This Row],[تاریخ]],TArticle[افزایش بدهی])</f>
        <v>0</v>
      </c>
      <c r="N2084" s="164">
        <f>-SUMIF(TArticle[تاریخ],TDays[[#This Row],[تاریخ]],TArticle[افزایش سرمایه])</f>
        <v>0</v>
      </c>
      <c r="O2084" s="164">
        <f>SUMIF(TArticle[تاریخ],TDays[[#This Row],[تاریخ]],TArticle[تعداد تراکنش انجام شده])</f>
        <v>0</v>
      </c>
      <c r="P2084" s="164">
        <f>INT(((TDays[[#This Row],[ماه]]-1)*31+TDays[[#This Row],[روز]]+1)/7)+1</f>
        <v>38</v>
      </c>
      <c r="Q2084" s="164">
        <f>SUMIF(TArticle[تاریخ],TDays[[#This Row],[تاریخ]],TArticle[تراکنش برنامه ریزی شده])</f>
        <v>0</v>
      </c>
    </row>
    <row r="2085" spans="1:17" x14ac:dyDescent="0.25">
      <c r="A2085" s="3" t="s">
        <v>2701</v>
      </c>
      <c r="B2085" s="164" t="str">
        <f>RIGHT(TDays[[#This Row],[تاریخ]],2)</f>
        <v>13</v>
      </c>
      <c r="C2085" s="164" t="str">
        <f>RIGHT(LEFT(TDays[[#This Row],[تاریخ]],7),2)</f>
        <v>09</v>
      </c>
      <c r="D2085" s="164" t="str">
        <f>LEFT(TDays[[#This Row],[تاریخ]],4)</f>
        <v>1406</v>
      </c>
      <c r="E2085" s="164" t="str">
        <f>LEFT(TDays[[#This Row],[تاریخ]],7)</f>
        <v>1406-09</v>
      </c>
      <c r="F2085">
        <v>6</v>
      </c>
      <c r="G2085" s="165" t="str">
        <f>VLOOKUP(TDays[[#This Row],[کد روز هفته]],TDaysOfTheWeek[],2,FALSE)</f>
        <v>جمعه</v>
      </c>
      <c r="H2085" s="165">
        <f>IFERROR(IF(E2084&lt;&gt;E2085,1,INT(H2084)+IF(TDays[[#This Row],[کد روز هفته]]=0,1,0)),1)</f>
        <v>2</v>
      </c>
      <c r="I2085" s="164">
        <f>-SUMIF(TArticle[تاریخ],TDays[[#This Row],[تاریخ]],TArticle[هزینه])</f>
        <v>0</v>
      </c>
      <c r="J2085" s="164">
        <f>SUMIF(TArticle[تاریخ],TDays[[#This Row],[تاریخ]],TArticle[درآمد تتا])</f>
        <v>0</v>
      </c>
      <c r="K2085" s="164">
        <f>SUMIF(TArticle[تاریخ],TDays[[#This Row],[تاریخ]],TArticle[اسنپ])</f>
        <v>0</v>
      </c>
      <c r="L2085" s="164">
        <f>-SUMIF(TArticle[تاریخ],TDays[[#This Row],[تاریخ]],TArticle[پرداخت بدهی])</f>
        <v>0</v>
      </c>
      <c r="M2085" s="164">
        <f>SUMIF(TArticle[تاریخ],TDays[[#This Row],[تاریخ]],TArticle[افزایش بدهی])</f>
        <v>0</v>
      </c>
      <c r="N2085" s="164">
        <f>-SUMIF(TArticle[تاریخ],TDays[[#This Row],[تاریخ]],TArticle[افزایش سرمایه])</f>
        <v>0</v>
      </c>
      <c r="O2085" s="164">
        <f>SUMIF(TArticle[تاریخ],TDays[[#This Row],[تاریخ]],TArticle[تعداد تراکنش انجام شده])</f>
        <v>0</v>
      </c>
      <c r="P2085" s="164">
        <f>INT(((TDays[[#This Row],[ماه]]-1)*31+TDays[[#This Row],[روز]]+1)/7)+1</f>
        <v>38</v>
      </c>
      <c r="Q2085" s="164">
        <f>SUMIF(TArticle[تاریخ],TDays[[#This Row],[تاریخ]],TArticle[تراکنش برنامه ریزی شده])</f>
        <v>0</v>
      </c>
    </row>
    <row r="2086" spans="1:17" x14ac:dyDescent="0.25">
      <c r="A2086" s="3" t="s">
        <v>2702</v>
      </c>
      <c r="B2086" s="164" t="str">
        <f>RIGHT(TDays[[#This Row],[تاریخ]],2)</f>
        <v>14</v>
      </c>
      <c r="C2086" s="164" t="str">
        <f>RIGHT(LEFT(TDays[[#This Row],[تاریخ]],7),2)</f>
        <v>09</v>
      </c>
      <c r="D2086" s="164" t="str">
        <f>LEFT(TDays[[#This Row],[تاریخ]],4)</f>
        <v>1406</v>
      </c>
      <c r="E2086" s="164" t="str">
        <f>LEFT(TDays[[#This Row],[تاریخ]],7)</f>
        <v>1406-09</v>
      </c>
      <c r="F2086">
        <v>0</v>
      </c>
      <c r="G2086" s="165" t="str">
        <f>VLOOKUP(TDays[[#This Row],[کد روز هفته]],TDaysOfTheWeek[],2,FALSE)</f>
        <v>شنبه</v>
      </c>
      <c r="H2086" s="165">
        <f>IFERROR(IF(E2085&lt;&gt;E2086,1,INT(H2085)+IF(TDays[[#This Row],[کد روز هفته]]=0,1,0)),1)</f>
        <v>3</v>
      </c>
      <c r="I2086" s="164">
        <f>-SUMIF(TArticle[تاریخ],TDays[[#This Row],[تاریخ]],TArticle[هزینه])</f>
        <v>0</v>
      </c>
      <c r="J2086" s="164">
        <f>SUMIF(TArticle[تاریخ],TDays[[#This Row],[تاریخ]],TArticle[درآمد تتا])</f>
        <v>0</v>
      </c>
      <c r="K2086" s="164">
        <f>SUMIF(TArticle[تاریخ],TDays[[#This Row],[تاریخ]],TArticle[اسنپ])</f>
        <v>0</v>
      </c>
      <c r="L2086" s="164">
        <f>-SUMIF(TArticle[تاریخ],TDays[[#This Row],[تاریخ]],TArticle[پرداخت بدهی])</f>
        <v>0</v>
      </c>
      <c r="M2086" s="164">
        <f>SUMIF(TArticle[تاریخ],TDays[[#This Row],[تاریخ]],TArticle[افزایش بدهی])</f>
        <v>0</v>
      </c>
      <c r="N2086" s="164">
        <f>-SUMIF(TArticle[تاریخ],TDays[[#This Row],[تاریخ]],TArticle[افزایش سرمایه])</f>
        <v>0</v>
      </c>
      <c r="O2086" s="164">
        <f>SUMIF(TArticle[تاریخ],TDays[[#This Row],[تاریخ]],TArticle[تعداد تراکنش انجام شده])</f>
        <v>0</v>
      </c>
      <c r="P2086" s="164">
        <f>INT(((TDays[[#This Row],[ماه]]-1)*31+TDays[[#This Row],[روز]]+1)/7)+1</f>
        <v>38</v>
      </c>
      <c r="Q2086" s="164">
        <f>SUMIF(TArticle[تاریخ],TDays[[#This Row],[تاریخ]],TArticle[تراکنش برنامه ریزی شده])</f>
        <v>0</v>
      </c>
    </row>
    <row r="2087" spans="1:17" x14ac:dyDescent="0.25">
      <c r="A2087" s="3" t="s">
        <v>2703</v>
      </c>
      <c r="B2087" s="164" t="str">
        <f>RIGHT(TDays[[#This Row],[تاریخ]],2)</f>
        <v>15</v>
      </c>
      <c r="C2087" s="164" t="str">
        <f>RIGHT(LEFT(TDays[[#This Row],[تاریخ]],7),2)</f>
        <v>09</v>
      </c>
      <c r="D2087" s="164" t="str">
        <f>LEFT(TDays[[#This Row],[تاریخ]],4)</f>
        <v>1406</v>
      </c>
      <c r="E2087" s="164" t="str">
        <f>LEFT(TDays[[#This Row],[تاریخ]],7)</f>
        <v>1406-09</v>
      </c>
      <c r="F2087">
        <v>1</v>
      </c>
      <c r="G2087" s="165" t="str">
        <f>VLOOKUP(TDays[[#This Row],[کد روز هفته]],TDaysOfTheWeek[],2,FALSE)</f>
        <v>یکشنبه</v>
      </c>
      <c r="H2087" s="165">
        <f>IFERROR(IF(E2086&lt;&gt;E2087,1,INT(H2086)+IF(TDays[[#This Row],[کد روز هفته]]=0,1,0)),1)</f>
        <v>3</v>
      </c>
      <c r="I2087" s="164">
        <f>-SUMIF(TArticle[تاریخ],TDays[[#This Row],[تاریخ]],TArticle[هزینه])</f>
        <v>0</v>
      </c>
      <c r="J2087" s="164">
        <f>SUMIF(TArticle[تاریخ],TDays[[#This Row],[تاریخ]],TArticle[درآمد تتا])</f>
        <v>0</v>
      </c>
      <c r="K2087" s="164">
        <f>SUMIF(TArticle[تاریخ],TDays[[#This Row],[تاریخ]],TArticle[اسنپ])</f>
        <v>0</v>
      </c>
      <c r="L2087" s="164">
        <f>-SUMIF(TArticle[تاریخ],TDays[[#This Row],[تاریخ]],TArticle[پرداخت بدهی])</f>
        <v>0</v>
      </c>
      <c r="M2087" s="164">
        <f>SUMIF(TArticle[تاریخ],TDays[[#This Row],[تاریخ]],TArticle[افزایش بدهی])</f>
        <v>0</v>
      </c>
      <c r="N2087" s="164">
        <f>-SUMIF(TArticle[تاریخ],TDays[[#This Row],[تاریخ]],TArticle[افزایش سرمایه])</f>
        <v>0</v>
      </c>
      <c r="O2087" s="164">
        <f>SUMIF(TArticle[تاریخ],TDays[[#This Row],[تاریخ]],TArticle[تعداد تراکنش انجام شده])</f>
        <v>0</v>
      </c>
      <c r="P2087" s="164">
        <f>INT(((TDays[[#This Row],[ماه]]-1)*31+TDays[[#This Row],[روز]]+1)/7)+1</f>
        <v>38</v>
      </c>
      <c r="Q2087" s="164">
        <f>SUMIF(TArticle[تاریخ],TDays[[#This Row],[تاریخ]],TArticle[تراکنش برنامه ریزی شده])</f>
        <v>0</v>
      </c>
    </row>
    <row r="2088" spans="1:17" x14ac:dyDescent="0.25">
      <c r="A2088" s="3" t="s">
        <v>2704</v>
      </c>
      <c r="B2088" s="164" t="str">
        <f>RIGHT(TDays[[#This Row],[تاریخ]],2)</f>
        <v>16</v>
      </c>
      <c r="C2088" s="164" t="str">
        <f>RIGHT(LEFT(TDays[[#This Row],[تاریخ]],7),2)</f>
        <v>09</v>
      </c>
      <c r="D2088" s="164" t="str">
        <f>LEFT(TDays[[#This Row],[تاریخ]],4)</f>
        <v>1406</v>
      </c>
      <c r="E2088" s="164" t="str">
        <f>LEFT(TDays[[#This Row],[تاریخ]],7)</f>
        <v>1406-09</v>
      </c>
      <c r="F2088">
        <v>2</v>
      </c>
      <c r="G2088" s="165" t="str">
        <f>VLOOKUP(TDays[[#This Row],[کد روز هفته]],TDaysOfTheWeek[],2,FALSE)</f>
        <v>دوشنبه</v>
      </c>
      <c r="H2088" s="165">
        <f>IFERROR(IF(E2087&lt;&gt;E2088,1,INT(H2087)+IF(TDays[[#This Row],[کد روز هفته]]=0,1,0)),1)</f>
        <v>3</v>
      </c>
      <c r="I2088" s="164">
        <f>-SUMIF(TArticle[تاریخ],TDays[[#This Row],[تاریخ]],TArticle[هزینه])</f>
        <v>0</v>
      </c>
      <c r="J2088" s="164">
        <f>SUMIF(TArticle[تاریخ],TDays[[#This Row],[تاریخ]],TArticle[درآمد تتا])</f>
        <v>0</v>
      </c>
      <c r="K2088" s="164">
        <f>SUMIF(TArticle[تاریخ],TDays[[#This Row],[تاریخ]],TArticle[اسنپ])</f>
        <v>0</v>
      </c>
      <c r="L2088" s="164">
        <f>-SUMIF(TArticle[تاریخ],TDays[[#This Row],[تاریخ]],TArticle[پرداخت بدهی])</f>
        <v>0</v>
      </c>
      <c r="M2088" s="164">
        <f>SUMIF(TArticle[تاریخ],TDays[[#This Row],[تاریخ]],TArticle[افزایش بدهی])</f>
        <v>0</v>
      </c>
      <c r="N2088" s="164">
        <f>-SUMIF(TArticle[تاریخ],TDays[[#This Row],[تاریخ]],TArticle[افزایش سرمایه])</f>
        <v>0</v>
      </c>
      <c r="O2088" s="164">
        <f>SUMIF(TArticle[تاریخ],TDays[[#This Row],[تاریخ]],TArticle[تعداد تراکنش انجام شده])</f>
        <v>0</v>
      </c>
      <c r="P2088" s="164">
        <f>INT(((TDays[[#This Row],[ماه]]-1)*31+TDays[[#This Row],[روز]]+1)/7)+1</f>
        <v>38</v>
      </c>
      <c r="Q2088" s="164">
        <f>SUMIF(TArticle[تاریخ],TDays[[#This Row],[تاریخ]],TArticle[تراکنش برنامه ریزی شده])</f>
        <v>0</v>
      </c>
    </row>
    <row r="2089" spans="1:17" x14ac:dyDescent="0.25">
      <c r="A2089" s="3" t="s">
        <v>2705</v>
      </c>
      <c r="B2089" s="164" t="str">
        <f>RIGHT(TDays[[#This Row],[تاریخ]],2)</f>
        <v>17</v>
      </c>
      <c r="C2089" s="164" t="str">
        <f>RIGHT(LEFT(TDays[[#This Row],[تاریخ]],7),2)</f>
        <v>09</v>
      </c>
      <c r="D2089" s="164" t="str">
        <f>LEFT(TDays[[#This Row],[تاریخ]],4)</f>
        <v>1406</v>
      </c>
      <c r="E2089" s="164" t="str">
        <f>LEFT(TDays[[#This Row],[تاریخ]],7)</f>
        <v>1406-09</v>
      </c>
      <c r="F2089">
        <v>3</v>
      </c>
      <c r="G2089" s="165" t="str">
        <f>VLOOKUP(TDays[[#This Row],[کد روز هفته]],TDaysOfTheWeek[],2,FALSE)</f>
        <v>سه شنبه</v>
      </c>
      <c r="H2089" s="165">
        <f>IFERROR(IF(E2088&lt;&gt;E2089,1,INT(H2088)+IF(TDays[[#This Row],[کد روز هفته]]=0,1,0)),1)</f>
        <v>3</v>
      </c>
      <c r="I2089" s="164">
        <f>-SUMIF(TArticle[تاریخ],TDays[[#This Row],[تاریخ]],TArticle[هزینه])</f>
        <v>0</v>
      </c>
      <c r="J2089" s="164">
        <f>SUMIF(TArticle[تاریخ],TDays[[#This Row],[تاریخ]],TArticle[درآمد تتا])</f>
        <v>0</v>
      </c>
      <c r="K2089" s="164">
        <f>SUMIF(TArticle[تاریخ],TDays[[#This Row],[تاریخ]],TArticle[اسنپ])</f>
        <v>0</v>
      </c>
      <c r="L2089" s="164">
        <f>-SUMIF(TArticle[تاریخ],TDays[[#This Row],[تاریخ]],TArticle[پرداخت بدهی])</f>
        <v>0</v>
      </c>
      <c r="M2089" s="164">
        <f>SUMIF(TArticle[تاریخ],TDays[[#This Row],[تاریخ]],TArticle[افزایش بدهی])</f>
        <v>0</v>
      </c>
      <c r="N2089" s="164">
        <f>-SUMIF(TArticle[تاریخ],TDays[[#This Row],[تاریخ]],TArticle[افزایش سرمایه])</f>
        <v>0</v>
      </c>
      <c r="O2089" s="164">
        <f>SUMIF(TArticle[تاریخ],TDays[[#This Row],[تاریخ]],TArticle[تعداد تراکنش انجام شده])</f>
        <v>0</v>
      </c>
      <c r="P2089" s="164">
        <f>INT(((TDays[[#This Row],[ماه]]-1)*31+TDays[[#This Row],[روز]]+1)/7)+1</f>
        <v>39</v>
      </c>
      <c r="Q2089" s="164">
        <f>SUMIF(TArticle[تاریخ],TDays[[#This Row],[تاریخ]],TArticle[تراکنش برنامه ریزی شده])</f>
        <v>0</v>
      </c>
    </row>
    <row r="2090" spans="1:17" x14ac:dyDescent="0.25">
      <c r="A2090" s="3" t="s">
        <v>2706</v>
      </c>
      <c r="B2090" s="164" t="str">
        <f>RIGHT(TDays[[#This Row],[تاریخ]],2)</f>
        <v>18</v>
      </c>
      <c r="C2090" s="164" t="str">
        <f>RIGHT(LEFT(TDays[[#This Row],[تاریخ]],7),2)</f>
        <v>09</v>
      </c>
      <c r="D2090" s="164" t="str">
        <f>LEFT(TDays[[#This Row],[تاریخ]],4)</f>
        <v>1406</v>
      </c>
      <c r="E2090" s="164" t="str">
        <f>LEFT(TDays[[#This Row],[تاریخ]],7)</f>
        <v>1406-09</v>
      </c>
      <c r="F2090">
        <v>4</v>
      </c>
      <c r="G2090" s="165" t="str">
        <f>VLOOKUP(TDays[[#This Row],[کد روز هفته]],TDaysOfTheWeek[],2,FALSE)</f>
        <v>چهارشنبه</v>
      </c>
      <c r="H2090" s="165">
        <f>IFERROR(IF(E2089&lt;&gt;E2090,1,INT(H2089)+IF(TDays[[#This Row],[کد روز هفته]]=0,1,0)),1)</f>
        <v>3</v>
      </c>
      <c r="I2090" s="164">
        <f>-SUMIF(TArticle[تاریخ],TDays[[#This Row],[تاریخ]],TArticle[هزینه])</f>
        <v>0</v>
      </c>
      <c r="J2090" s="164">
        <f>SUMIF(TArticle[تاریخ],TDays[[#This Row],[تاریخ]],TArticle[درآمد تتا])</f>
        <v>0</v>
      </c>
      <c r="K2090" s="164">
        <f>SUMIF(TArticle[تاریخ],TDays[[#This Row],[تاریخ]],TArticle[اسنپ])</f>
        <v>0</v>
      </c>
      <c r="L2090" s="164">
        <f>-SUMIF(TArticle[تاریخ],TDays[[#This Row],[تاریخ]],TArticle[پرداخت بدهی])</f>
        <v>0</v>
      </c>
      <c r="M2090" s="164">
        <f>SUMIF(TArticle[تاریخ],TDays[[#This Row],[تاریخ]],TArticle[افزایش بدهی])</f>
        <v>0</v>
      </c>
      <c r="N2090" s="164">
        <f>-SUMIF(TArticle[تاریخ],TDays[[#This Row],[تاریخ]],TArticle[افزایش سرمایه])</f>
        <v>0</v>
      </c>
      <c r="O2090" s="164">
        <f>SUMIF(TArticle[تاریخ],TDays[[#This Row],[تاریخ]],TArticle[تعداد تراکنش انجام شده])</f>
        <v>0</v>
      </c>
      <c r="P2090" s="164">
        <f>INT(((TDays[[#This Row],[ماه]]-1)*31+TDays[[#This Row],[روز]]+1)/7)+1</f>
        <v>39</v>
      </c>
      <c r="Q2090" s="164">
        <f>SUMIF(TArticle[تاریخ],TDays[[#This Row],[تاریخ]],TArticle[تراکنش برنامه ریزی شده])</f>
        <v>0</v>
      </c>
    </row>
    <row r="2091" spans="1:17" x14ac:dyDescent="0.25">
      <c r="A2091" s="3" t="s">
        <v>2707</v>
      </c>
      <c r="B2091" s="164" t="str">
        <f>RIGHT(TDays[[#This Row],[تاریخ]],2)</f>
        <v>19</v>
      </c>
      <c r="C2091" s="164" t="str">
        <f>RIGHT(LEFT(TDays[[#This Row],[تاریخ]],7),2)</f>
        <v>09</v>
      </c>
      <c r="D2091" s="164" t="str">
        <f>LEFT(TDays[[#This Row],[تاریخ]],4)</f>
        <v>1406</v>
      </c>
      <c r="E2091" s="164" t="str">
        <f>LEFT(TDays[[#This Row],[تاریخ]],7)</f>
        <v>1406-09</v>
      </c>
      <c r="F2091">
        <v>5</v>
      </c>
      <c r="G2091" s="165" t="str">
        <f>VLOOKUP(TDays[[#This Row],[کد روز هفته]],TDaysOfTheWeek[],2,FALSE)</f>
        <v>پنجشنبه</v>
      </c>
      <c r="H2091" s="165">
        <f>IFERROR(IF(E2090&lt;&gt;E2091,1,INT(H2090)+IF(TDays[[#This Row],[کد روز هفته]]=0,1,0)),1)</f>
        <v>3</v>
      </c>
      <c r="I2091" s="164">
        <f>-SUMIF(TArticle[تاریخ],TDays[[#This Row],[تاریخ]],TArticle[هزینه])</f>
        <v>0</v>
      </c>
      <c r="J2091" s="164">
        <f>SUMIF(TArticle[تاریخ],TDays[[#This Row],[تاریخ]],TArticle[درآمد تتا])</f>
        <v>0</v>
      </c>
      <c r="K2091" s="164">
        <f>SUMIF(TArticle[تاریخ],TDays[[#This Row],[تاریخ]],TArticle[اسنپ])</f>
        <v>0</v>
      </c>
      <c r="L2091" s="164">
        <f>-SUMIF(TArticle[تاریخ],TDays[[#This Row],[تاریخ]],TArticle[پرداخت بدهی])</f>
        <v>0</v>
      </c>
      <c r="M2091" s="164">
        <f>SUMIF(TArticle[تاریخ],TDays[[#This Row],[تاریخ]],TArticle[افزایش بدهی])</f>
        <v>0</v>
      </c>
      <c r="N2091" s="164">
        <f>-SUMIF(TArticle[تاریخ],TDays[[#This Row],[تاریخ]],TArticle[افزایش سرمایه])</f>
        <v>0</v>
      </c>
      <c r="O2091" s="164">
        <f>SUMIF(TArticle[تاریخ],TDays[[#This Row],[تاریخ]],TArticle[تعداد تراکنش انجام شده])</f>
        <v>0</v>
      </c>
      <c r="P2091" s="164">
        <f>INT(((TDays[[#This Row],[ماه]]-1)*31+TDays[[#This Row],[روز]]+1)/7)+1</f>
        <v>39</v>
      </c>
      <c r="Q2091" s="164">
        <f>SUMIF(TArticle[تاریخ],TDays[[#This Row],[تاریخ]],TArticle[تراکنش برنامه ریزی شده])</f>
        <v>0</v>
      </c>
    </row>
    <row r="2092" spans="1:17" x14ac:dyDescent="0.25">
      <c r="A2092" s="3" t="s">
        <v>2708</v>
      </c>
      <c r="B2092" s="164" t="str">
        <f>RIGHT(TDays[[#This Row],[تاریخ]],2)</f>
        <v>20</v>
      </c>
      <c r="C2092" s="164" t="str">
        <f>RIGHT(LEFT(TDays[[#This Row],[تاریخ]],7),2)</f>
        <v>09</v>
      </c>
      <c r="D2092" s="164" t="str">
        <f>LEFT(TDays[[#This Row],[تاریخ]],4)</f>
        <v>1406</v>
      </c>
      <c r="E2092" s="164" t="str">
        <f>LEFT(TDays[[#This Row],[تاریخ]],7)</f>
        <v>1406-09</v>
      </c>
      <c r="F2092">
        <v>6</v>
      </c>
      <c r="G2092" s="165" t="str">
        <f>VLOOKUP(TDays[[#This Row],[کد روز هفته]],TDaysOfTheWeek[],2,FALSE)</f>
        <v>جمعه</v>
      </c>
      <c r="H2092" s="165">
        <f>IFERROR(IF(E2091&lt;&gt;E2092,1,INT(H2091)+IF(TDays[[#This Row],[کد روز هفته]]=0,1,0)),1)</f>
        <v>3</v>
      </c>
      <c r="I2092" s="164">
        <f>-SUMIF(TArticle[تاریخ],TDays[[#This Row],[تاریخ]],TArticle[هزینه])</f>
        <v>0</v>
      </c>
      <c r="J2092" s="164">
        <f>SUMIF(TArticle[تاریخ],TDays[[#This Row],[تاریخ]],TArticle[درآمد تتا])</f>
        <v>0</v>
      </c>
      <c r="K2092" s="164">
        <f>SUMIF(TArticle[تاریخ],TDays[[#This Row],[تاریخ]],TArticle[اسنپ])</f>
        <v>0</v>
      </c>
      <c r="L2092" s="164">
        <f>-SUMIF(TArticle[تاریخ],TDays[[#This Row],[تاریخ]],TArticle[پرداخت بدهی])</f>
        <v>0</v>
      </c>
      <c r="M2092" s="164">
        <f>SUMIF(TArticle[تاریخ],TDays[[#This Row],[تاریخ]],TArticle[افزایش بدهی])</f>
        <v>0</v>
      </c>
      <c r="N2092" s="164">
        <f>-SUMIF(TArticle[تاریخ],TDays[[#This Row],[تاریخ]],TArticle[افزایش سرمایه])</f>
        <v>0</v>
      </c>
      <c r="O2092" s="164">
        <f>SUMIF(TArticle[تاریخ],TDays[[#This Row],[تاریخ]],TArticle[تعداد تراکنش انجام شده])</f>
        <v>0</v>
      </c>
      <c r="P2092" s="164">
        <f>INT(((TDays[[#This Row],[ماه]]-1)*31+TDays[[#This Row],[روز]]+1)/7)+1</f>
        <v>39</v>
      </c>
      <c r="Q2092" s="164">
        <f>SUMIF(TArticle[تاریخ],TDays[[#This Row],[تاریخ]],TArticle[تراکنش برنامه ریزی شده])</f>
        <v>0</v>
      </c>
    </row>
    <row r="2093" spans="1:17" x14ac:dyDescent="0.25">
      <c r="A2093" s="3" t="s">
        <v>2709</v>
      </c>
      <c r="B2093" s="164" t="str">
        <f>RIGHT(TDays[[#This Row],[تاریخ]],2)</f>
        <v>21</v>
      </c>
      <c r="C2093" s="164" t="str">
        <f>RIGHT(LEFT(TDays[[#This Row],[تاریخ]],7),2)</f>
        <v>09</v>
      </c>
      <c r="D2093" s="164" t="str">
        <f>LEFT(TDays[[#This Row],[تاریخ]],4)</f>
        <v>1406</v>
      </c>
      <c r="E2093" s="164" t="str">
        <f>LEFT(TDays[[#This Row],[تاریخ]],7)</f>
        <v>1406-09</v>
      </c>
      <c r="F2093">
        <v>0</v>
      </c>
      <c r="G2093" s="165" t="str">
        <f>VLOOKUP(TDays[[#This Row],[کد روز هفته]],TDaysOfTheWeek[],2,FALSE)</f>
        <v>شنبه</v>
      </c>
      <c r="H2093" s="165">
        <f>IFERROR(IF(E2092&lt;&gt;E2093,1,INT(H2092)+IF(TDays[[#This Row],[کد روز هفته]]=0,1,0)),1)</f>
        <v>4</v>
      </c>
      <c r="I2093" s="164">
        <f>-SUMIF(TArticle[تاریخ],TDays[[#This Row],[تاریخ]],TArticle[هزینه])</f>
        <v>0</v>
      </c>
      <c r="J2093" s="164">
        <f>SUMIF(TArticle[تاریخ],TDays[[#This Row],[تاریخ]],TArticle[درآمد تتا])</f>
        <v>0</v>
      </c>
      <c r="K2093" s="164">
        <f>SUMIF(TArticle[تاریخ],TDays[[#This Row],[تاریخ]],TArticle[اسنپ])</f>
        <v>0</v>
      </c>
      <c r="L2093" s="164">
        <f>-SUMIF(TArticle[تاریخ],TDays[[#This Row],[تاریخ]],TArticle[پرداخت بدهی])</f>
        <v>0</v>
      </c>
      <c r="M2093" s="164">
        <f>SUMIF(TArticle[تاریخ],TDays[[#This Row],[تاریخ]],TArticle[افزایش بدهی])</f>
        <v>0</v>
      </c>
      <c r="N2093" s="164">
        <f>-SUMIF(TArticle[تاریخ],TDays[[#This Row],[تاریخ]],TArticle[افزایش سرمایه])</f>
        <v>0</v>
      </c>
      <c r="O2093" s="164">
        <f>SUMIF(TArticle[تاریخ],TDays[[#This Row],[تاریخ]],TArticle[تعداد تراکنش انجام شده])</f>
        <v>0</v>
      </c>
      <c r="P2093" s="164">
        <f>INT(((TDays[[#This Row],[ماه]]-1)*31+TDays[[#This Row],[روز]]+1)/7)+1</f>
        <v>39</v>
      </c>
      <c r="Q2093" s="164">
        <f>SUMIF(TArticle[تاریخ],TDays[[#This Row],[تاریخ]],TArticle[تراکنش برنامه ریزی شده])</f>
        <v>0</v>
      </c>
    </row>
    <row r="2094" spans="1:17" x14ac:dyDescent="0.25">
      <c r="A2094" s="3" t="s">
        <v>2710</v>
      </c>
      <c r="B2094" s="164" t="str">
        <f>RIGHT(TDays[[#This Row],[تاریخ]],2)</f>
        <v>22</v>
      </c>
      <c r="C2094" s="164" t="str">
        <f>RIGHT(LEFT(TDays[[#This Row],[تاریخ]],7),2)</f>
        <v>09</v>
      </c>
      <c r="D2094" s="164" t="str">
        <f>LEFT(TDays[[#This Row],[تاریخ]],4)</f>
        <v>1406</v>
      </c>
      <c r="E2094" s="164" t="str">
        <f>LEFT(TDays[[#This Row],[تاریخ]],7)</f>
        <v>1406-09</v>
      </c>
      <c r="F2094">
        <v>1</v>
      </c>
      <c r="G2094" s="165" t="str">
        <f>VLOOKUP(TDays[[#This Row],[کد روز هفته]],TDaysOfTheWeek[],2,FALSE)</f>
        <v>یکشنبه</v>
      </c>
      <c r="H2094" s="165">
        <f>IFERROR(IF(E2093&lt;&gt;E2094,1,INT(H2093)+IF(TDays[[#This Row],[کد روز هفته]]=0,1,0)),1)</f>
        <v>4</v>
      </c>
      <c r="I2094" s="164">
        <f>-SUMIF(TArticle[تاریخ],TDays[[#This Row],[تاریخ]],TArticle[هزینه])</f>
        <v>0</v>
      </c>
      <c r="J2094" s="164">
        <f>SUMIF(TArticle[تاریخ],TDays[[#This Row],[تاریخ]],TArticle[درآمد تتا])</f>
        <v>0</v>
      </c>
      <c r="K2094" s="164">
        <f>SUMIF(TArticle[تاریخ],TDays[[#This Row],[تاریخ]],TArticle[اسنپ])</f>
        <v>0</v>
      </c>
      <c r="L2094" s="164">
        <f>-SUMIF(TArticle[تاریخ],TDays[[#This Row],[تاریخ]],TArticle[پرداخت بدهی])</f>
        <v>0</v>
      </c>
      <c r="M2094" s="164">
        <f>SUMIF(TArticle[تاریخ],TDays[[#This Row],[تاریخ]],TArticle[افزایش بدهی])</f>
        <v>0</v>
      </c>
      <c r="N2094" s="164">
        <f>-SUMIF(TArticle[تاریخ],TDays[[#This Row],[تاریخ]],TArticle[افزایش سرمایه])</f>
        <v>0</v>
      </c>
      <c r="O2094" s="164">
        <f>SUMIF(TArticle[تاریخ],TDays[[#This Row],[تاریخ]],TArticle[تعداد تراکنش انجام شده])</f>
        <v>0</v>
      </c>
      <c r="P2094" s="164">
        <f>INT(((TDays[[#This Row],[ماه]]-1)*31+TDays[[#This Row],[روز]]+1)/7)+1</f>
        <v>39</v>
      </c>
      <c r="Q2094" s="164">
        <f>SUMIF(TArticle[تاریخ],TDays[[#This Row],[تاریخ]],TArticle[تراکنش برنامه ریزی شده])</f>
        <v>0</v>
      </c>
    </row>
    <row r="2095" spans="1:17" x14ac:dyDescent="0.25">
      <c r="A2095" s="3" t="s">
        <v>2711</v>
      </c>
      <c r="B2095" s="164" t="str">
        <f>RIGHT(TDays[[#This Row],[تاریخ]],2)</f>
        <v>23</v>
      </c>
      <c r="C2095" s="164" t="str">
        <f>RIGHT(LEFT(TDays[[#This Row],[تاریخ]],7),2)</f>
        <v>09</v>
      </c>
      <c r="D2095" s="164" t="str">
        <f>LEFT(TDays[[#This Row],[تاریخ]],4)</f>
        <v>1406</v>
      </c>
      <c r="E2095" s="164" t="str">
        <f>LEFT(TDays[[#This Row],[تاریخ]],7)</f>
        <v>1406-09</v>
      </c>
      <c r="F2095">
        <v>2</v>
      </c>
      <c r="G2095" s="165" t="str">
        <f>VLOOKUP(TDays[[#This Row],[کد روز هفته]],TDaysOfTheWeek[],2,FALSE)</f>
        <v>دوشنبه</v>
      </c>
      <c r="H2095" s="165">
        <f>IFERROR(IF(E2094&lt;&gt;E2095,1,INT(H2094)+IF(TDays[[#This Row],[کد روز هفته]]=0,1,0)),1)</f>
        <v>4</v>
      </c>
      <c r="I2095" s="164">
        <f>-SUMIF(TArticle[تاریخ],TDays[[#This Row],[تاریخ]],TArticle[هزینه])</f>
        <v>0</v>
      </c>
      <c r="J2095" s="164">
        <f>SUMIF(TArticle[تاریخ],TDays[[#This Row],[تاریخ]],TArticle[درآمد تتا])</f>
        <v>0</v>
      </c>
      <c r="K2095" s="164">
        <f>SUMIF(TArticle[تاریخ],TDays[[#This Row],[تاریخ]],TArticle[اسنپ])</f>
        <v>0</v>
      </c>
      <c r="L2095" s="164">
        <f>-SUMIF(TArticle[تاریخ],TDays[[#This Row],[تاریخ]],TArticle[پرداخت بدهی])</f>
        <v>0</v>
      </c>
      <c r="M2095" s="164">
        <f>SUMIF(TArticle[تاریخ],TDays[[#This Row],[تاریخ]],TArticle[افزایش بدهی])</f>
        <v>0</v>
      </c>
      <c r="N2095" s="164">
        <f>-SUMIF(TArticle[تاریخ],TDays[[#This Row],[تاریخ]],TArticle[افزایش سرمایه])</f>
        <v>0</v>
      </c>
      <c r="O2095" s="164">
        <f>SUMIF(TArticle[تاریخ],TDays[[#This Row],[تاریخ]],TArticle[تعداد تراکنش انجام شده])</f>
        <v>0</v>
      </c>
      <c r="P2095" s="164">
        <f>INT(((TDays[[#This Row],[ماه]]-1)*31+TDays[[#This Row],[روز]]+1)/7)+1</f>
        <v>39</v>
      </c>
      <c r="Q2095" s="164">
        <f>SUMIF(TArticle[تاریخ],TDays[[#This Row],[تاریخ]],TArticle[تراکنش برنامه ریزی شده])</f>
        <v>0</v>
      </c>
    </row>
    <row r="2096" spans="1:17" x14ac:dyDescent="0.25">
      <c r="A2096" s="3" t="s">
        <v>2712</v>
      </c>
      <c r="B2096" s="164" t="str">
        <f>RIGHT(TDays[[#This Row],[تاریخ]],2)</f>
        <v>24</v>
      </c>
      <c r="C2096" s="164" t="str">
        <f>RIGHT(LEFT(TDays[[#This Row],[تاریخ]],7),2)</f>
        <v>09</v>
      </c>
      <c r="D2096" s="164" t="str">
        <f>LEFT(TDays[[#This Row],[تاریخ]],4)</f>
        <v>1406</v>
      </c>
      <c r="E2096" s="164" t="str">
        <f>LEFT(TDays[[#This Row],[تاریخ]],7)</f>
        <v>1406-09</v>
      </c>
      <c r="F2096">
        <v>3</v>
      </c>
      <c r="G2096" s="165" t="str">
        <f>VLOOKUP(TDays[[#This Row],[کد روز هفته]],TDaysOfTheWeek[],2,FALSE)</f>
        <v>سه شنبه</v>
      </c>
      <c r="H2096" s="165">
        <f>IFERROR(IF(E2095&lt;&gt;E2096,1,INT(H2095)+IF(TDays[[#This Row],[کد روز هفته]]=0,1,0)),1)</f>
        <v>4</v>
      </c>
      <c r="I2096" s="164">
        <f>-SUMIF(TArticle[تاریخ],TDays[[#This Row],[تاریخ]],TArticle[هزینه])</f>
        <v>0</v>
      </c>
      <c r="J2096" s="164">
        <f>SUMIF(TArticle[تاریخ],TDays[[#This Row],[تاریخ]],TArticle[درآمد تتا])</f>
        <v>0</v>
      </c>
      <c r="K2096" s="164">
        <f>SUMIF(TArticle[تاریخ],TDays[[#This Row],[تاریخ]],TArticle[اسنپ])</f>
        <v>0</v>
      </c>
      <c r="L2096" s="164">
        <f>-SUMIF(TArticle[تاریخ],TDays[[#This Row],[تاریخ]],TArticle[پرداخت بدهی])</f>
        <v>0</v>
      </c>
      <c r="M2096" s="164">
        <f>SUMIF(TArticle[تاریخ],TDays[[#This Row],[تاریخ]],TArticle[افزایش بدهی])</f>
        <v>0</v>
      </c>
      <c r="N2096" s="164">
        <f>-SUMIF(TArticle[تاریخ],TDays[[#This Row],[تاریخ]],TArticle[افزایش سرمایه])</f>
        <v>0</v>
      </c>
      <c r="O2096" s="164">
        <f>SUMIF(TArticle[تاریخ],TDays[[#This Row],[تاریخ]],TArticle[تعداد تراکنش انجام شده])</f>
        <v>0</v>
      </c>
      <c r="P2096" s="164">
        <f>INT(((TDays[[#This Row],[ماه]]-1)*31+TDays[[#This Row],[روز]]+1)/7)+1</f>
        <v>40</v>
      </c>
      <c r="Q2096" s="164">
        <f>SUMIF(TArticle[تاریخ],TDays[[#This Row],[تاریخ]],TArticle[تراکنش برنامه ریزی شده])</f>
        <v>0</v>
      </c>
    </row>
    <row r="2097" spans="1:17" x14ac:dyDescent="0.25">
      <c r="A2097" s="3" t="s">
        <v>2713</v>
      </c>
      <c r="B2097" s="164" t="str">
        <f>RIGHT(TDays[[#This Row],[تاریخ]],2)</f>
        <v>25</v>
      </c>
      <c r="C2097" s="164" t="str">
        <f>RIGHT(LEFT(TDays[[#This Row],[تاریخ]],7),2)</f>
        <v>09</v>
      </c>
      <c r="D2097" s="164" t="str">
        <f>LEFT(TDays[[#This Row],[تاریخ]],4)</f>
        <v>1406</v>
      </c>
      <c r="E2097" s="164" t="str">
        <f>LEFT(TDays[[#This Row],[تاریخ]],7)</f>
        <v>1406-09</v>
      </c>
      <c r="F2097">
        <v>4</v>
      </c>
      <c r="G2097" s="165" t="str">
        <f>VLOOKUP(TDays[[#This Row],[کد روز هفته]],TDaysOfTheWeek[],2,FALSE)</f>
        <v>چهارشنبه</v>
      </c>
      <c r="H2097" s="165">
        <f>IFERROR(IF(E2096&lt;&gt;E2097,1,INT(H2096)+IF(TDays[[#This Row],[کد روز هفته]]=0,1,0)),1)</f>
        <v>4</v>
      </c>
      <c r="I2097" s="164">
        <f>-SUMIF(TArticle[تاریخ],TDays[[#This Row],[تاریخ]],TArticle[هزینه])</f>
        <v>0</v>
      </c>
      <c r="J2097" s="164">
        <f>SUMIF(TArticle[تاریخ],TDays[[#This Row],[تاریخ]],TArticle[درآمد تتا])</f>
        <v>0</v>
      </c>
      <c r="K2097" s="164">
        <f>SUMIF(TArticle[تاریخ],TDays[[#This Row],[تاریخ]],TArticle[اسنپ])</f>
        <v>0</v>
      </c>
      <c r="L2097" s="164">
        <f>-SUMIF(TArticle[تاریخ],TDays[[#This Row],[تاریخ]],TArticle[پرداخت بدهی])</f>
        <v>0</v>
      </c>
      <c r="M2097" s="164">
        <f>SUMIF(TArticle[تاریخ],TDays[[#This Row],[تاریخ]],TArticle[افزایش بدهی])</f>
        <v>0</v>
      </c>
      <c r="N2097" s="164">
        <f>-SUMIF(TArticle[تاریخ],TDays[[#This Row],[تاریخ]],TArticle[افزایش سرمایه])</f>
        <v>0</v>
      </c>
      <c r="O2097" s="164">
        <f>SUMIF(TArticle[تاریخ],TDays[[#This Row],[تاریخ]],TArticle[تعداد تراکنش انجام شده])</f>
        <v>0</v>
      </c>
      <c r="P2097" s="164">
        <f>INT(((TDays[[#This Row],[ماه]]-1)*31+TDays[[#This Row],[روز]]+1)/7)+1</f>
        <v>40</v>
      </c>
      <c r="Q2097" s="164">
        <f>SUMIF(TArticle[تاریخ],TDays[[#This Row],[تاریخ]],TArticle[تراکنش برنامه ریزی شده])</f>
        <v>0</v>
      </c>
    </row>
    <row r="2098" spans="1:17" x14ac:dyDescent="0.25">
      <c r="A2098" s="3" t="s">
        <v>2714</v>
      </c>
      <c r="B2098" s="164" t="str">
        <f>RIGHT(TDays[[#This Row],[تاریخ]],2)</f>
        <v>26</v>
      </c>
      <c r="C2098" s="164" t="str">
        <f>RIGHT(LEFT(TDays[[#This Row],[تاریخ]],7),2)</f>
        <v>09</v>
      </c>
      <c r="D2098" s="164" t="str">
        <f>LEFT(TDays[[#This Row],[تاریخ]],4)</f>
        <v>1406</v>
      </c>
      <c r="E2098" s="164" t="str">
        <f>LEFT(TDays[[#This Row],[تاریخ]],7)</f>
        <v>1406-09</v>
      </c>
      <c r="F2098">
        <v>5</v>
      </c>
      <c r="G2098" s="165" t="str">
        <f>VLOOKUP(TDays[[#This Row],[کد روز هفته]],TDaysOfTheWeek[],2,FALSE)</f>
        <v>پنجشنبه</v>
      </c>
      <c r="H2098" s="165">
        <f>IFERROR(IF(E2097&lt;&gt;E2098,1,INT(H2097)+IF(TDays[[#This Row],[کد روز هفته]]=0,1,0)),1)</f>
        <v>4</v>
      </c>
      <c r="I2098" s="164">
        <f>-SUMIF(TArticle[تاریخ],TDays[[#This Row],[تاریخ]],TArticle[هزینه])</f>
        <v>0</v>
      </c>
      <c r="J2098" s="164">
        <f>SUMIF(TArticle[تاریخ],TDays[[#This Row],[تاریخ]],TArticle[درآمد تتا])</f>
        <v>0</v>
      </c>
      <c r="K2098" s="164">
        <f>SUMIF(TArticle[تاریخ],TDays[[#This Row],[تاریخ]],TArticle[اسنپ])</f>
        <v>0</v>
      </c>
      <c r="L2098" s="164">
        <f>-SUMIF(TArticle[تاریخ],TDays[[#This Row],[تاریخ]],TArticle[پرداخت بدهی])</f>
        <v>0</v>
      </c>
      <c r="M2098" s="164">
        <f>SUMIF(TArticle[تاریخ],TDays[[#This Row],[تاریخ]],TArticle[افزایش بدهی])</f>
        <v>0</v>
      </c>
      <c r="N2098" s="164">
        <f>-SUMIF(TArticle[تاریخ],TDays[[#This Row],[تاریخ]],TArticle[افزایش سرمایه])</f>
        <v>0</v>
      </c>
      <c r="O2098" s="164">
        <f>SUMIF(TArticle[تاریخ],TDays[[#This Row],[تاریخ]],TArticle[تعداد تراکنش انجام شده])</f>
        <v>0</v>
      </c>
      <c r="P2098" s="164">
        <f>INT(((TDays[[#This Row],[ماه]]-1)*31+TDays[[#This Row],[روز]]+1)/7)+1</f>
        <v>40</v>
      </c>
      <c r="Q2098" s="164">
        <f>SUMIF(TArticle[تاریخ],TDays[[#This Row],[تاریخ]],TArticle[تراکنش برنامه ریزی شده])</f>
        <v>0</v>
      </c>
    </row>
    <row r="2099" spans="1:17" x14ac:dyDescent="0.25">
      <c r="A2099" s="3" t="s">
        <v>2715</v>
      </c>
      <c r="B2099" s="164" t="str">
        <f>RIGHT(TDays[[#This Row],[تاریخ]],2)</f>
        <v>27</v>
      </c>
      <c r="C2099" s="164" t="str">
        <f>RIGHT(LEFT(TDays[[#This Row],[تاریخ]],7),2)</f>
        <v>09</v>
      </c>
      <c r="D2099" s="164" t="str">
        <f>LEFT(TDays[[#This Row],[تاریخ]],4)</f>
        <v>1406</v>
      </c>
      <c r="E2099" s="164" t="str">
        <f>LEFT(TDays[[#This Row],[تاریخ]],7)</f>
        <v>1406-09</v>
      </c>
      <c r="F2099">
        <v>6</v>
      </c>
      <c r="G2099" s="165" t="str">
        <f>VLOOKUP(TDays[[#This Row],[کد روز هفته]],TDaysOfTheWeek[],2,FALSE)</f>
        <v>جمعه</v>
      </c>
      <c r="H2099" s="165">
        <f>IFERROR(IF(E2098&lt;&gt;E2099,1,INT(H2098)+IF(TDays[[#This Row],[کد روز هفته]]=0,1,0)),1)</f>
        <v>4</v>
      </c>
      <c r="I2099" s="164">
        <f>-SUMIF(TArticle[تاریخ],TDays[[#This Row],[تاریخ]],TArticle[هزینه])</f>
        <v>0</v>
      </c>
      <c r="J2099" s="164">
        <f>SUMIF(TArticle[تاریخ],TDays[[#This Row],[تاریخ]],TArticle[درآمد تتا])</f>
        <v>0</v>
      </c>
      <c r="K2099" s="164">
        <f>SUMIF(TArticle[تاریخ],TDays[[#This Row],[تاریخ]],TArticle[اسنپ])</f>
        <v>0</v>
      </c>
      <c r="L2099" s="164">
        <f>-SUMIF(TArticle[تاریخ],TDays[[#This Row],[تاریخ]],TArticle[پرداخت بدهی])</f>
        <v>0</v>
      </c>
      <c r="M2099" s="164">
        <f>SUMIF(TArticle[تاریخ],TDays[[#This Row],[تاریخ]],TArticle[افزایش بدهی])</f>
        <v>0</v>
      </c>
      <c r="N2099" s="164">
        <f>-SUMIF(TArticle[تاریخ],TDays[[#This Row],[تاریخ]],TArticle[افزایش سرمایه])</f>
        <v>0</v>
      </c>
      <c r="O2099" s="164">
        <f>SUMIF(TArticle[تاریخ],TDays[[#This Row],[تاریخ]],TArticle[تعداد تراکنش انجام شده])</f>
        <v>0</v>
      </c>
      <c r="P2099" s="164">
        <f>INT(((TDays[[#This Row],[ماه]]-1)*31+TDays[[#This Row],[روز]]+1)/7)+1</f>
        <v>40</v>
      </c>
      <c r="Q2099" s="164">
        <f>SUMIF(TArticle[تاریخ],TDays[[#This Row],[تاریخ]],TArticle[تراکنش برنامه ریزی شده])</f>
        <v>0</v>
      </c>
    </row>
    <row r="2100" spans="1:17" x14ac:dyDescent="0.25">
      <c r="A2100" s="3" t="s">
        <v>2716</v>
      </c>
      <c r="B2100" s="164" t="str">
        <f>RIGHT(TDays[[#This Row],[تاریخ]],2)</f>
        <v>28</v>
      </c>
      <c r="C2100" s="164" t="str">
        <f>RIGHT(LEFT(TDays[[#This Row],[تاریخ]],7),2)</f>
        <v>09</v>
      </c>
      <c r="D2100" s="164" t="str">
        <f>LEFT(TDays[[#This Row],[تاریخ]],4)</f>
        <v>1406</v>
      </c>
      <c r="E2100" s="164" t="str">
        <f>LEFT(TDays[[#This Row],[تاریخ]],7)</f>
        <v>1406-09</v>
      </c>
      <c r="F2100">
        <v>0</v>
      </c>
      <c r="G2100" s="165" t="str">
        <f>VLOOKUP(TDays[[#This Row],[کد روز هفته]],TDaysOfTheWeek[],2,FALSE)</f>
        <v>شنبه</v>
      </c>
      <c r="H2100" s="165">
        <f>IFERROR(IF(E2099&lt;&gt;E2100,1,INT(H2099)+IF(TDays[[#This Row],[کد روز هفته]]=0,1,0)),1)</f>
        <v>5</v>
      </c>
      <c r="I2100" s="164">
        <f>-SUMIF(TArticle[تاریخ],TDays[[#This Row],[تاریخ]],TArticle[هزینه])</f>
        <v>0</v>
      </c>
      <c r="J2100" s="164">
        <f>SUMIF(TArticle[تاریخ],TDays[[#This Row],[تاریخ]],TArticle[درآمد تتا])</f>
        <v>0</v>
      </c>
      <c r="K2100" s="164">
        <f>SUMIF(TArticle[تاریخ],TDays[[#This Row],[تاریخ]],TArticle[اسنپ])</f>
        <v>0</v>
      </c>
      <c r="L2100" s="164">
        <f>-SUMIF(TArticle[تاریخ],TDays[[#This Row],[تاریخ]],TArticle[پرداخت بدهی])</f>
        <v>0</v>
      </c>
      <c r="M2100" s="164">
        <f>SUMIF(TArticle[تاریخ],TDays[[#This Row],[تاریخ]],TArticle[افزایش بدهی])</f>
        <v>0</v>
      </c>
      <c r="N2100" s="164">
        <f>-SUMIF(TArticle[تاریخ],TDays[[#This Row],[تاریخ]],TArticle[افزایش سرمایه])</f>
        <v>0</v>
      </c>
      <c r="O2100" s="164">
        <f>SUMIF(TArticle[تاریخ],TDays[[#This Row],[تاریخ]],TArticle[تعداد تراکنش انجام شده])</f>
        <v>0</v>
      </c>
      <c r="P2100" s="164">
        <f>INT(((TDays[[#This Row],[ماه]]-1)*31+TDays[[#This Row],[روز]]+1)/7)+1</f>
        <v>40</v>
      </c>
      <c r="Q2100" s="164">
        <f>SUMIF(TArticle[تاریخ],TDays[[#This Row],[تاریخ]],TArticle[تراکنش برنامه ریزی شده])</f>
        <v>0</v>
      </c>
    </row>
    <row r="2101" spans="1:17" x14ac:dyDescent="0.25">
      <c r="A2101" s="3" t="s">
        <v>2717</v>
      </c>
      <c r="B2101" s="164" t="str">
        <f>RIGHT(TDays[[#This Row],[تاریخ]],2)</f>
        <v>29</v>
      </c>
      <c r="C2101" s="164" t="str">
        <f>RIGHT(LEFT(TDays[[#This Row],[تاریخ]],7),2)</f>
        <v>09</v>
      </c>
      <c r="D2101" s="164" t="str">
        <f>LEFT(TDays[[#This Row],[تاریخ]],4)</f>
        <v>1406</v>
      </c>
      <c r="E2101" s="164" t="str">
        <f>LEFT(TDays[[#This Row],[تاریخ]],7)</f>
        <v>1406-09</v>
      </c>
      <c r="F2101">
        <v>1</v>
      </c>
      <c r="G2101" s="165" t="str">
        <f>VLOOKUP(TDays[[#This Row],[کد روز هفته]],TDaysOfTheWeek[],2,FALSE)</f>
        <v>یکشنبه</v>
      </c>
      <c r="H2101" s="165">
        <f>IFERROR(IF(E2100&lt;&gt;E2101,1,INT(H2100)+IF(TDays[[#This Row],[کد روز هفته]]=0,1,0)),1)</f>
        <v>5</v>
      </c>
      <c r="I2101" s="164">
        <f>-SUMIF(TArticle[تاریخ],TDays[[#This Row],[تاریخ]],TArticle[هزینه])</f>
        <v>0</v>
      </c>
      <c r="J2101" s="164">
        <f>SUMIF(TArticle[تاریخ],TDays[[#This Row],[تاریخ]],TArticle[درآمد تتا])</f>
        <v>0</v>
      </c>
      <c r="K2101" s="164">
        <f>SUMIF(TArticle[تاریخ],TDays[[#This Row],[تاریخ]],TArticle[اسنپ])</f>
        <v>0</v>
      </c>
      <c r="L2101" s="164">
        <f>-SUMIF(TArticle[تاریخ],TDays[[#This Row],[تاریخ]],TArticle[پرداخت بدهی])</f>
        <v>0</v>
      </c>
      <c r="M2101" s="164">
        <f>SUMIF(TArticle[تاریخ],TDays[[#This Row],[تاریخ]],TArticle[افزایش بدهی])</f>
        <v>0</v>
      </c>
      <c r="N2101" s="164">
        <f>-SUMIF(TArticle[تاریخ],TDays[[#This Row],[تاریخ]],TArticle[افزایش سرمایه])</f>
        <v>0</v>
      </c>
      <c r="O2101" s="164">
        <f>SUMIF(TArticle[تاریخ],TDays[[#This Row],[تاریخ]],TArticle[تعداد تراکنش انجام شده])</f>
        <v>0</v>
      </c>
      <c r="P2101" s="164">
        <f>INT(((TDays[[#This Row],[ماه]]-1)*31+TDays[[#This Row],[روز]]+1)/7)+1</f>
        <v>40</v>
      </c>
      <c r="Q2101" s="164">
        <f>SUMIF(TArticle[تاریخ],TDays[[#This Row],[تاریخ]],TArticle[تراکنش برنامه ریزی شده])</f>
        <v>0</v>
      </c>
    </row>
    <row r="2102" spans="1:17" x14ac:dyDescent="0.25">
      <c r="A2102" s="3" t="s">
        <v>2718</v>
      </c>
      <c r="B2102" s="164" t="str">
        <f>RIGHT(TDays[[#This Row],[تاریخ]],2)</f>
        <v>30</v>
      </c>
      <c r="C2102" s="164" t="str">
        <f>RIGHT(LEFT(TDays[[#This Row],[تاریخ]],7),2)</f>
        <v>09</v>
      </c>
      <c r="D2102" s="164" t="str">
        <f>LEFT(TDays[[#This Row],[تاریخ]],4)</f>
        <v>1406</v>
      </c>
      <c r="E2102" s="164" t="str">
        <f>LEFT(TDays[[#This Row],[تاریخ]],7)</f>
        <v>1406-09</v>
      </c>
      <c r="F2102">
        <v>2</v>
      </c>
      <c r="G2102" s="165" t="str">
        <f>VLOOKUP(TDays[[#This Row],[کد روز هفته]],TDaysOfTheWeek[],2,FALSE)</f>
        <v>دوشنبه</v>
      </c>
      <c r="H2102" s="165">
        <f>IFERROR(IF(E2101&lt;&gt;E2102,1,INT(H2101)+IF(TDays[[#This Row],[کد روز هفته]]=0,1,0)),1)</f>
        <v>5</v>
      </c>
      <c r="I2102" s="164">
        <f>-SUMIF(TArticle[تاریخ],TDays[[#This Row],[تاریخ]],TArticle[هزینه])</f>
        <v>0</v>
      </c>
      <c r="J2102" s="164">
        <f>SUMIF(TArticle[تاریخ],TDays[[#This Row],[تاریخ]],TArticle[درآمد تتا])</f>
        <v>0</v>
      </c>
      <c r="K2102" s="164">
        <f>SUMIF(TArticle[تاریخ],TDays[[#This Row],[تاریخ]],TArticle[اسنپ])</f>
        <v>0</v>
      </c>
      <c r="L2102" s="164">
        <f>-SUMIF(TArticle[تاریخ],TDays[[#This Row],[تاریخ]],TArticle[پرداخت بدهی])</f>
        <v>0</v>
      </c>
      <c r="M2102" s="164">
        <f>SUMIF(TArticle[تاریخ],TDays[[#This Row],[تاریخ]],TArticle[افزایش بدهی])</f>
        <v>0</v>
      </c>
      <c r="N2102" s="164">
        <f>-SUMIF(TArticle[تاریخ],TDays[[#This Row],[تاریخ]],TArticle[افزایش سرمایه])</f>
        <v>0</v>
      </c>
      <c r="O2102" s="164">
        <f>SUMIF(TArticle[تاریخ],TDays[[#This Row],[تاریخ]],TArticle[تعداد تراکنش انجام شده])</f>
        <v>0</v>
      </c>
      <c r="P2102" s="164">
        <f>INT(((TDays[[#This Row],[ماه]]-1)*31+TDays[[#This Row],[روز]]+1)/7)+1</f>
        <v>40</v>
      </c>
      <c r="Q2102" s="164">
        <f>SUMIF(TArticle[تاریخ],TDays[[#This Row],[تاریخ]],TArticle[تراکنش برنامه ریزی شده])</f>
        <v>0</v>
      </c>
    </row>
    <row r="2103" spans="1:17" x14ac:dyDescent="0.25">
      <c r="A2103" s="3" t="s">
        <v>2719</v>
      </c>
      <c r="B2103" s="164" t="str">
        <f>RIGHT(TDays[[#This Row],[تاریخ]],2)</f>
        <v>01</v>
      </c>
      <c r="C2103" s="164" t="str">
        <f>RIGHT(LEFT(TDays[[#This Row],[تاریخ]],7),2)</f>
        <v>10</v>
      </c>
      <c r="D2103" s="164" t="str">
        <f>LEFT(TDays[[#This Row],[تاریخ]],4)</f>
        <v>1406</v>
      </c>
      <c r="E2103" s="164" t="str">
        <f>LEFT(TDays[[#This Row],[تاریخ]],7)</f>
        <v>1406-10</v>
      </c>
      <c r="F2103" s="164">
        <v>3</v>
      </c>
      <c r="G2103" s="165" t="str">
        <f>VLOOKUP(TDays[[#This Row],[کد روز هفته]],TDaysOfTheWeek[],2,FALSE)</f>
        <v>سه شنبه</v>
      </c>
      <c r="H2103" s="165">
        <f>IFERROR(IF(E2102&lt;&gt;E2103,1,INT(H2102)+IF(TDays[[#This Row],[کد روز هفته]]=0,1,0)),1)</f>
        <v>1</v>
      </c>
      <c r="I2103" s="164">
        <f>-SUMIF(TArticle[تاریخ],TDays[[#This Row],[تاریخ]],TArticle[هزینه])</f>
        <v>0</v>
      </c>
      <c r="J2103" s="164">
        <f>SUMIF(TArticle[تاریخ],TDays[[#This Row],[تاریخ]],TArticle[درآمد تتا])</f>
        <v>0</v>
      </c>
      <c r="K2103" s="164">
        <f>SUMIF(TArticle[تاریخ],TDays[[#This Row],[تاریخ]],TArticle[اسنپ])</f>
        <v>0</v>
      </c>
      <c r="L2103" s="164">
        <f>-SUMIF(TArticle[تاریخ],TDays[[#This Row],[تاریخ]],TArticle[پرداخت بدهی])</f>
        <v>0</v>
      </c>
      <c r="M2103" s="164">
        <f>SUMIF(TArticle[تاریخ],TDays[[#This Row],[تاریخ]],TArticle[افزایش بدهی])</f>
        <v>0</v>
      </c>
      <c r="N2103" s="164">
        <f>-SUMIF(TArticle[تاریخ],TDays[[#This Row],[تاریخ]],TArticle[افزایش سرمایه])</f>
        <v>0</v>
      </c>
      <c r="O2103" s="164">
        <f>SUMIF(TArticle[تاریخ],TDays[[#This Row],[تاریخ]],TArticle[تعداد تراکنش انجام شده])</f>
        <v>0</v>
      </c>
      <c r="P2103" s="164">
        <f>INT(((TDays[[#This Row],[ماه]]-1)*31+TDays[[#This Row],[روز]]+1)/7)+1</f>
        <v>41</v>
      </c>
      <c r="Q2103" s="164">
        <f>SUMIF(TArticle[تاریخ],TDays[[#This Row],[تاریخ]],TArticle[تراکنش برنامه ریزی شده])</f>
        <v>0</v>
      </c>
    </row>
    <row r="2104" spans="1:17" x14ac:dyDescent="0.25">
      <c r="A2104" s="3" t="s">
        <v>2720</v>
      </c>
      <c r="B2104" s="164" t="str">
        <f>RIGHT(TDays[[#This Row],[تاریخ]],2)</f>
        <v>02</v>
      </c>
      <c r="C2104" s="164" t="str">
        <f>RIGHT(LEFT(TDays[[#This Row],[تاریخ]],7),2)</f>
        <v>10</v>
      </c>
      <c r="D2104" s="164" t="str">
        <f>LEFT(TDays[[#This Row],[تاریخ]],4)</f>
        <v>1406</v>
      </c>
      <c r="E2104" s="164" t="str">
        <f>LEFT(TDays[[#This Row],[تاریخ]],7)</f>
        <v>1406-10</v>
      </c>
      <c r="F2104" s="164">
        <v>4</v>
      </c>
      <c r="G2104" s="165" t="str">
        <f>VLOOKUP(TDays[[#This Row],[کد روز هفته]],TDaysOfTheWeek[],2,FALSE)</f>
        <v>چهارشنبه</v>
      </c>
      <c r="H2104" s="165">
        <f>IFERROR(IF(E2103&lt;&gt;E2104,1,INT(H2103)+IF(TDays[[#This Row],[کد روز هفته]]=0,1,0)),1)</f>
        <v>1</v>
      </c>
      <c r="I2104" s="164">
        <f>-SUMIF(TArticle[تاریخ],TDays[[#This Row],[تاریخ]],TArticle[هزینه])</f>
        <v>0</v>
      </c>
      <c r="J2104" s="164">
        <f>SUMIF(TArticle[تاریخ],TDays[[#This Row],[تاریخ]],TArticle[درآمد تتا])</f>
        <v>0</v>
      </c>
      <c r="K2104" s="164">
        <f>SUMIF(TArticle[تاریخ],TDays[[#This Row],[تاریخ]],TArticle[اسنپ])</f>
        <v>0</v>
      </c>
      <c r="L2104" s="164">
        <f>-SUMIF(TArticle[تاریخ],TDays[[#This Row],[تاریخ]],TArticle[پرداخت بدهی])</f>
        <v>0</v>
      </c>
      <c r="M2104" s="164">
        <f>SUMIF(TArticle[تاریخ],TDays[[#This Row],[تاریخ]],TArticle[افزایش بدهی])</f>
        <v>0</v>
      </c>
      <c r="N2104" s="164">
        <f>-SUMIF(TArticle[تاریخ],TDays[[#This Row],[تاریخ]],TArticle[افزایش سرمایه])</f>
        <v>0</v>
      </c>
      <c r="O2104" s="164">
        <f>SUMIF(TArticle[تاریخ],TDays[[#This Row],[تاریخ]],TArticle[تعداد تراکنش انجام شده])</f>
        <v>0</v>
      </c>
      <c r="P2104" s="164">
        <f>INT(((TDays[[#This Row],[ماه]]-1)*31+TDays[[#This Row],[روز]]+1)/7)+1</f>
        <v>41</v>
      </c>
      <c r="Q2104" s="164">
        <f>SUMIF(TArticle[تاریخ],TDays[[#This Row],[تاریخ]],TArticle[تراکنش برنامه ریزی شده])</f>
        <v>0</v>
      </c>
    </row>
    <row r="2105" spans="1:17" x14ac:dyDescent="0.25">
      <c r="A2105" s="3" t="s">
        <v>2721</v>
      </c>
      <c r="B2105" s="164" t="str">
        <f>RIGHT(TDays[[#This Row],[تاریخ]],2)</f>
        <v>03</v>
      </c>
      <c r="C2105" s="164" t="str">
        <f>RIGHT(LEFT(TDays[[#This Row],[تاریخ]],7),2)</f>
        <v>10</v>
      </c>
      <c r="D2105" s="164" t="str">
        <f>LEFT(TDays[[#This Row],[تاریخ]],4)</f>
        <v>1406</v>
      </c>
      <c r="E2105" s="164" t="str">
        <f>LEFT(TDays[[#This Row],[تاریخ]],7)</f>
        <v>1406-10</v>
      </c>
      <c r="F2105">
        <v>5</v>
      </c>
      <c r="G2105" s="165" t="str">
        <f>VLOOKUP(TDays[[#This Row],[کد روز هفته]],TDaysOfTheWeek[],2,FALSE)</f>
        <v>پنجشنبه</v>
      </c>
      <c r="H2105" s="165">
        <f>IFERROR(IF(E2104&lt;&gt;E2105,1,INT(H2104)+IF(TDays[[#This Row],[کد روز هفته]]=0,1,0)),1)</f>
        <v>1</v>
      </c>
      <c r="I2105" s="164">
        <f>-SUMIF(TArticle[تاریخ],TDays[[#This Row],[تاریخ]],TArticle[هزینه])</f>
        <v>0</v>
      </c>
      <c r="J2105" s="164">
        <f>SUMIF(TArticle[تاریخ],TDays[[#This Row],[تاریخ]],TArticle[درآمد تتا])</f>
        <v>0</v>
      </c>
      <c r="K2105" s="164">
        <f>SUMIF(TArticle[تاریخ],TDays[[#This Row],[تاریخ]],TArticle[اسنپ])</f>
        <v>0</v>
      </c>
      <c r="L2105" s="164">
        <f>-SUMIF(TArticle[تاریخ],TDays[[#This Row],[تاریخ]],TArticle[پرداخت بدهی])</f>
        <v>0</v>
      </c>
      <c r="M2105" s="164">
        <f>SUMIF(TArticle[تاریخ],TDays[[#This Row],[تاریخ]],TArticle[افزایش بدهی])</f>
        <v>0</v>
      </c>
      <c r="N2105" s="164">
        <f>-SUMIF(TArticle[تاریخ],TDays[[#This Row],[تاریخ]],TArticle[افزایش سرمایه])</f>
        <v>0</v>
      </c>
      <c r="O2105" s="164">
        <f>SUMIF(TArticle[تاریخ],TDays[[#This Row],[تاریخ]],TArticle[تعداد تراکنش انجام شده])</f>
        <v>0</v>
      </c>
      <c r="P2105" s="164">
        <f>INT(((TDays[[#This Row],[ماه]]-1)*31+TDays[[#This Row],[روز]]+1)/7)+1</f>
        <v>41</v>
      </c>
      <c r="Q2105" s="164">
        <f>SUMIF(TArticle[تاریخ],TDays[[#This Row],[تاریخ]],TArticle[تراکنش برنامه ریزی شده])</f>
        <v>1</v>
      </c>
    </row>
    <row r="2106" spans="1:17" x14ac:dyDescent="0.25">
      <c r="A2106" s="3" t="s">
        <v>2722</v>
      </c>
      <c r="B2106" s="164" t="str">
        <f>RIGHT(TDays[[#This Row],[تاریخ]],2)</f>
        <v>04</v>
      </c>
      <c r="C2106" s="164" t="str">
        <f>RIGHT(LEFT(TDays[[#This Row],[تاریخ]],7),2)</f>
        <v>10</v>
      </c>
      <c r="D2106" s="164" t="str">
        <f>LEFT(TDays[[#This Row],[تاریخ]],4)</f>
        <v>1406</v>
      </c>
      <c r="E2106" s="164" t="str">
        <f>LEFT(TDays[[#This Row],[تاریخ]],7)</f>
        <v>1406-10</v>
      </c>
      <c r="F2106">
        <v>6</v>
      </c>
      <c r="G2106" s="165" t="str">
        <f>VLOOKUP(TDays[[#This Row],[کد روز هفته]],TDaysOfTheWeek[],2,FALSE)</f>
        <v>جمعه</v>
      </c>
      <c r="H2106" s="165">
        <f>IFERROR(IF(E2105&lt;&gt;E2106,1,INT(H2105)+IF(TDays[[#This Row],[کد روز هفته]]=0,1,0)),1)</f>
        <v>1</v>
      </c>
      <c r="I2106" s="164">
        <f>-SUMIF(TArticle[تاریخ],TDays[[#This Row],[تاریخ]],TArticle[هزینه])</f>
        <v>0</v>
      </c>
      <c r="J2106" s="164">
        <f>SUMIF(TArticle[تاریخ],TDays[[#This Row],[تاریخ]],TArticle[درآمد تتا])</f>
        <v>0</v>
      </c>
      <c r="K2106" s="164">
        <f>SUMIF(TArticle[تاریخ],TDays[[#This Row],[تاریخ]],TArticle[اسنپ])</f>
        <v>0</v>
      </c>
      <c r="L2106" s="164">
        <f>-SUMIF(TArticle[تاریخ],TDays[[#This Row],[تاریخ]],TArticle[پرداخت بدهی])</f>
        <v>0</v>
      </c>
      <c r="M2106" s="164">
        <f>SUMIF(TArticle[تاریخ],TDays[[#This Row],[تاریخ]],TArticle[افزایش بدهی])</f>
        <v>0</v>
      </c>
      <c r="N2106" s="164">
        <f>-SUMIF(TArticle[تاریخ],TDays[[#This Row],[تاریخ]],TArticle[افزایش سرمایه])</f>
        <v>0</v>
      </c>
      <c r="O2106" s="164">
        <f>SUMIF(TArticle[تاریخ],TDays[[#This Row],[تاریخ]],TArticle[تعداد تراکنش انجام شده])</f>
        <v>0</v>
      </c>
      <c r="P2106" s="164">
        <f>INT(((TDays[[#This Row],[ماه]]-1)*31+TDays[[#This Row],[روز]]+1)/7)+1</f>
        <v>41</v>
      </c>
      <c r="Q2106" s="164">
        <f>SUMIF(TArticle[تاریخ],TDays[[#This Row],[تاریخ]],TArticle[تراکنش برنامه ریزی شده])</f>
        <v>0</v>
      </c>
    </row>
    <row r="2107" spans="1:17" x14ac:dyDescent="0.25">
      <c r="A2107" s="3" t="s">
        <v>2723</v>
      </c>
      <c r="B2107" s="164" t="str">
        <f>RIGHT(TDays[[#This Row],[تاریخ]],2)</f>
        <v>05</v>
      </c>
      <c r="C2107" s="164" t="str">
        <f>RIGHT(LEFT(TDays[[#This Row],[تاریخ]],7),2)</f>
        <v>10</v>
      </c>
      <c r="D2107" s="164" t="str">
        <f>LEFT(TDays[[#This Row],[تاریخ]],4)</f>
        <v>1406</v>
      </c>
      <c r="E2107" s="164" t="str">
        <f>LEFT(TDays[[#This Row],[تاریخ]],7)</f>
        <v>1406-10</v>
      </c>
      <c r="F2107">
        <v>0</v>
      </c>
      <c r="G2107" s="165" t="str">
        <f>VLOOKUP(TDays[[#This Row],[کد روز هفته]],TDaysOfTheWeek[],2,FALSE)</f>
        <v>شنبه</v>
      </c>
      <c r="H2107" s="165">
        <f>IFERROR(IF(E2106&lt;&gt;E2107,1,INT(H2106)+IF(TDays[[#This Row],[کد روز هفته]]=0,1,0)),1)</f>
        <v>2</v>
      </c>
      <c r="I2107" s="164">
        <f>-SUMIF(TArticle[تاریخ],TDays[[#This Row],[تاریخ]],TArticle[هزینه])</f>
        <v>0</v>
      </c>
      <c r="J2107" s="164">
        <f>SUMIF(TArticle[تاریخ],TDays[[#This Row],[تاریخ]],TArticle[درآمد تتا])</f>
        <v>0</v>
      </c>
      <c r="K2107" s="164">
        <f>SUMIF(TArticle[تاریخ],TDays[[#This Row],[تاریخ]],TArticle[اسنپ])</f>
        <v>0</v>
      </c>
      <c r="L2107" s="164">
        <f>-SUMIF(TArticle[تاریخ],TDays[[#This Row],[تاریخ]],TArticle[پرداخت بدهی])</f>
        <v>0</v>
      </c>
      <c r="M2107" s="164">
        <f>SUMIF(TArticle[تاریخ],TDays[[#This Row],[تاریخ]],TArticle[افزایش بدهی])</f>
        <v>0</v>
      </c>
      <c r="N2107" s="164">
        <f>-SUMIF(TArticle[تاریخ],TDays[[#This Row],[تاریخ]],TArticle[افزایش سرمایه])</f>
        <v>0</v>
      </c>
      <c r="O2107" s="164">
        <f>SUMIF(TArticle[تاریخ],TDays[[#This Row],[تاریخ]],TArticle[تعداد تراکنش انجام شده])</f>
        <v>0</v>
      </c>
      <c r="P2107" s="164">
        <f>INT(((TDays[[#This Row],[ماه]]-1)*31+TDays[[#This Row],[روز]]+1)/7)+1</f>
        <v>41</v>
      </c>
      <c r="Q2107" s="164">
        <f>SUMIF(TArticle[تاریخ],TDays[[#This Row],[تاریخ]],TArticle[تراکنش برنامه ریزی شده])</f>
        <v>0</v>
      </c>
    </row>
    <row r="2108" spans="1:17" x14ac:dyDescent="0.25">
      <c r="A2108" s="3" t="s">
        <v>2724</v>
      </c>
      <c r="B2108" s="164" t="str">
        <f>RIGHT(TDays[[#This Row],[تاریخ]],2)</f>
        <v>06</v>
      </c>
      <c r="C2108" s="164" t="str">
        <f>RIGHT(LEFT(TDays[[#This Row],[تاریخ]],7),2)</f>
        <v>10</v>
      </c>
      <c r="D2108" s="164" t="str">
        <f>LEFT(TDays[[#This Row],[تاریخ]],4)</f>
        <v>1406</v>
      </c>
      <c r="E2108" s="164" t="str">
        <f>LEFT(TDays[[#This Row],[تاریخ]],7)</f>
        <v>1406-10</v>
      </c>
      <c r="F2108">
        <v>1</v>
      </c>
      <c r="G2108" s="165" t="str">
        <f>VLOOKUP(TDays[[#This Row],[کد روز هفته]],TDaysOfTheWeek[],2,FALSE)</f>
        <v>یکشنبه</v>
      </c>
      <c r="H2108" s="165">
        <f>IFERROR(IF(E2107&lt;&gt;E2108,1,INT(H2107)+IF(TDays[[#This Row],[کد روز هفته]]=0,1,0)),1)</f>
        <v>2</v>
      </c>
      <c r="I2108" s="164">
        <f>-SUMIF(TArticle[تاریخ],TDays[[#This Row],[تاریخ]],TArticle[هزینه])</f>
        <v>0</v>
      </c>
      <c r="J2108" s="164">
        <f>SUMIF(TArticle[تاریخ],TDays[[#This Row],[تاریخ]],TArticle[درآمد تتا])</f>
        <v>0</v>
      </c>
      <c r="K2108" s="164">
        <f>SUMIF(TArticle[تاریخ],TDays[[#This Row],[تاریخ]],TArticle[اسنپ])</f>
        <v>0</v>
      </c>
      <c r="L2108" s="164">
        <f>-SUMIF(TArticle[تاریخ],TDays[[#This Row],[تاریخ]],TArticle[پرداخت بدهی])</f>
        <v>0</v>
      </c>
      <c r="M2108" s="164">
        <f>SUMIF(TArticle[تاریخ],TDays[[#This Row],[تاریخ]],TArticle[افزایش بدهی])</f>
        <v>0</v>
      </c>
      <c r="N2108" s="164">
        <f>-SUMIF(TArticle[تاریخ],TDays[[#This Row],[تاریخ]],TArticle[افزایش سرمایه])</f>
        <v>0</v>
      </c>
      <c r="O2108" s="164">
        <f>SUMIF(TArticle[تاریخ],TDays[[#This Row],[تاریخ]],TArticle[تعداد تراکنش انجام شده])</f>
        <v>0</v>
      </c>
      <c r="P2108" s="164">
        <f>INT(((TDays[[#This Row],[ماه]]-1)*31+TDays[[#This Row],[روز]]+1)/7)+1</f>
        <v>41</v>
      </c>
      <c r="Q2108" s="164">
        <f>SUMIF(TArticle[تاریخ],TDays[[#This Row],[تاریخ]],TArticle[تراکنش برنامه ریزی شده])</f>
        <v>0</v>
      </c>
    </row>
    <row r="2109" spans="1:17" x14ac:dyDescent="0.25">
      <c r="A2109" s="3" t="s">
        <v>2725</v>
      </c>
      <c r="B2109" s="164" t="str">
        <f>RIGHT(TDays[[#This Row],[تاریخ]],2)</f>
        <v>07</v>
      </c>
      <c r="C2109" s="164" t="str">
        <f>RIGHT(LEFT(TDays[[#This Row],[تاریخ]],7),2)</f>
        <v>10</v>
      </c>
      <c r="D2109" s="164" t="str">
        <f>LEFT(TDays[[#This Row],[تاریخ]],4)</f>
        <v>1406</v>
      </c>
      <c r="E2109" s="164" t="str">
        <f>LEFT(TDays[[#This Row],[تاریخ]],7)</f>
        <v>1406-10</v>
      </c>
      <c r="F2109">
        <v>2</v>
      </c>
      <c r="G2109" s="165" t="str">
        <f>VLOOKUP(TDays[[#This Row],[کد روز هفته]],TDaysOfTheWeek[],2,FALSE)</f>
        <v>دوشنبه</v>
      </c>
      <c r="H2109" s="165">
        <f>IFERROR(IF(E2108&lt;&gt;E2109,1,INT(H2108)+IF(TDays[[#This Row],[کد روز هفته]]=0,1,0)),1)</f>
        <v>2</v>
      </c>
      <c r="I2109" s="164">
        <f>-SUMIF(TArticle[تاریخ],TDays[[#This Row],[تاریخ]],TArticle[هزینه])</f>
        <v>0</v>
      </c>
      <c r="J2109" s="164">
        <f>SUMIF(TArticle[تاریخ],TDays[[#This Row],[تاریخ]],TArticle[درآمد تتا])</f>
        <v>0</v>
      </c>
      <c r="K2109" s="164">
        <f>SUMIF(TArticle[تاریخ],TDays[[#This Row],[تاریخ]],TArticle[اسنپ])</f>
        <v>0</v>
      </c>
      <c r="L2109" s="164">
        <f>-SUMIF(TArticle[تاریخ],TDays[[#This Row],[تاریخ]],TArticle[پرداخت بدهی])</f>
        <v>0</v>
      </c>
      <c r="M2109" s="164">
        <f>SUMIF(TArticle[تاریخ],TDays[[#This Row],[تاریخ]],TArticle[افزایش بدهی])</f>
        <v>0</v>
      </c>
      <c r="N2109" s="164">
        <f>-SUMIF(TArticle[تاریخ],TDays[[#This Row],[تاریخ]],TArticle[افزایش سرمایه])</f>
        <v>0</v>
      </c>
      <c r="O2109" s="164">
        <f>SUMIF(TArticle[تاریخ],TDays[[#This Row],[تاریخ]],TArticle[تعداد تراکنش انجام شده])</f>
        <v>0</v>
      </c>
      <c r="P2109" s="164">
        <f>INT(((TDays[[#This Row],[ماه]]-1)*31+TDays[[#This Row],[روز]]+1)/7)+1</f>
        <v>42</v>
      </c>
      <c r="Q2109" s="164">
        <f>SUMIF(TArticle[تاریخ],TDays[[#This Row],[تاریخ]],TArticle[تراکنش برنامه ریزی شده])</f>
        <v>0</v>
      </c>
    </row>
    <row r="2110" spans="1:17" x14ac:dyDescent="0.25">
      <c r="A2110" s="3" t="s">
        <v>2726</v>
      </c>
      <c r="B2110" s="164" t="str">
        <f>RIGHT(TDays[[#This Row],[تاریخ]],2)</f>
        <v>08</v>
      </c>
      <c r="C2110" s="164" t="str">
        <f>RIGHT(LEFT(TDays[[#This Row],[تاریخ]],7),2)</f>
        <v>10</v>
      </c>
      <c r="D2110" s="164" t="str">
        <f>LEFT(TDays[[#This Row],[تاریخ]],4)</f>
        <v>1406</v>
      </c>
      <c r="E2110" s="164" t="str">
        <f>LEFT(TDays[[#This Row],[تاریخ]],7)</f>
        <v>1406-10</v>
      </c>
      <c r="F2110">
        <v>3</v>
      </c>
      <c r="G2110" s="165" t="str">
        <f>VLOOKUP(TDays[[#This Row],[کد روز هفته]],TDaysOfTheWeek[],2,FALSE)</f>
        <v>سه شنبه</v>
      </c>
      <c r="H2110" s="165">
        <f>IFERROR(IF(E2109&lt;&gt;E2110,1,INT(H2109)+IF(TDays[[#This Row],[کد روز هفته]]=0,1,0)),1)</f>
        <v>2</v>
      </c>
      <c r="I2110" s="164">
        <f>-SUMIF(TArticle[تاریخ],TDays[[#This Row],[تاریخ]],TArticle[هزینه])</f>
        <v>0</v>
      </c>
      <c r="J2110" s="164">
        <f>SUMIF(TArticle[تاریخ],TDays[[#This Row],[تاریخ]],TArticle[درآمد تتا])</f>
        <v>0</v>
      </c>
      <c r="K2110" s="164">
        <f>SUMIF(TArticle[تاریخ],TDays[[#This Row],[تاریخ]],TArticle[اسنپ])</f>
        <v>0</v>
      </c>
      <c r="L2110" s="164">
        <f>-SUMIF(TArticle[تاریخ],TDays[[#This Row],[تاریخ]],TArticle[پرداخت بدهی])</f>
        <v>0</v>
      </c>
      <c r="M2110" s="164">
        <f>SUMIF(TArticle[تاریخ],TDays[[#This Row],[تاریخ]],TArticle[افزایش بدهی])</f>
        <v>0</v>
      </c>
      <c r="N2110" s="164">
        <f>-SUMIF(TArticle[تاریخ],TDays[[#This Row],[تاریخ]],TArticle[افزایش سرمایه])</f>
        <v>0</v>
      </c>
      <c r="O2110" s="164">
        <f>SUMIF(TArticle[تاریخ],TDays[[#This Row],[تاریخ]],TArticle[تعداد تراکنش انجام شده])</f>
        <v>0</v>
      </c>
      <c r="P2110" s="164">
        <f>INT(((TDays[[#This Row],[ماه]]-1)*31+TDays[[#This Row],[روز]]+1)/7)+1</f>
        <v>42</v>
      </c>
      <c r="Q2110" s="164">
        <f>SUMIF(TArticle[تاریخ],TDays[[#This Row],[تاریخ]],TArticle[تراکنش برنامه ریزی شده])</f>
        <v>0</v>
      </c>
    </row>
    <row r="2111" spans="1:17" x14ac:dyDescent="0.25">
      <c r="A2111" s="3" t="s">
        <v>2727</v>
      </c>
      <c r="B2111" s="164" t="str">
        <f>RIGHT(TDays[[#This Row],[تاریخ]],2)</f>
        <v>09</v>
      </c>
      <c r="C2111" s="164" t="str">
        <f>RIGHT(LEFT(TDays[[#This Row],[تاریخ]],7),2)</f>
        <v>10</v>
      </c>
      <c r="D2111" s="164" t="str">
        <f>LEFT(TDays[[#This Row],[تاریخ]],4)</f>
        <v>1406</v>
      </c>
      <c r="E2111" s="164" t="str">
        <f>LEFT(TDays[[#This Row],[تاریخ]],7)</f>
        <v>1406-10</v>
      </c>
      <c r="F2111">
        <v>4</v>
      </c>
      <c r="G2111" s="165" t="str">
        <f>VLOOKUP(TDays[[#This Row],[کد روز هفته]],TDaysOfTheWeek[],2,FALSE)</f>
        <v>چهارشنبه</v>
      </c>
      <c r="H2111" s="165">
        <f>IFERROR(IF(E2110&lt;&gt;E2111,1,INT(H2110)+IF(TDays[[#This Row],[کد روز هفته]]=0,1,0)),1)</f>
        <v>2</v>
      </c>
      <c r="I2111" s="164">
        <f>-SUMIF(TArticle[تاریخ],TDays[[#This Row],[تاریخ]],TArticle[هزینه])</f>
        <v>0</v>
      </c>
      <c r="J2111" s="164">
        <f>SUMIF(TArticle[تاریخ],TDays[[#This Row],[تاریخ]],TArticle[درآمد تتا])</f>
        <v>0</v>
      </c>
      <c r="K2111" s="164">
        <f>SUMIF(TArticle[تاریخ],TDays[[#This Row],[تاریخ]],TArticle[اسنپ])</f>
        <v>0</v>
      </c>
      <c r="L2111" s="164">
        <f>-SUMIF(TArticle[تاریخ],TDays[[#This Row],[تاریخ]],TArticle[پرداخت بدهی])</f>
        <v>0</v>
      </c>
      <c r="M2111" s="164">
        <f>SUMIF(TArticle[تاریخ],TDays[[#This Row],[تاریخ]],TArticle[افزایش بدهی])</f>
        <v>0</v>
      </c>
      <c r="N2111" s="164">
        <f>-SUMIF(TArticle[تاریخ],TDays[[#This Row],[تاریخ]],TArticle[افزایش سرمایه])</f>
        <v>0</v>
      </c>
      <c r="O2111" s="164">
        <f>SUMIF(TArticle[تاریخ],TDays[[#This Row],[تاریخ]],TArticle[تعداد تراکنش انجام شده])</f>
        <v>0</v>
      </c>
      <c r="P2111" s="164">
        <f>INT(((TDays[[#This Row],[ماه]]-1)*31+TDays[[#This Row],[روز]]+1)/7)+1</f>
        <v>42</v>
      </c>
      <c r="Q2111" s="164">
        <f>SUMIF(TArticle[تاریخ],TDays[[#This Row],[تاریخ]],TArticle[تراکنش برنامه ریزی شده])</f>
        <v>0</v>
      </c>
    </row>
    <row r="2112" spans="1:17" x14ac:dyDescent="0.25">
      <c r="A2112" s="3" t="s">
        <v>2728</v>
      </c>
      <c r="B2112" s="164" t="str">
        <f>RIGHT(TDays[[#This Row],[تاریخ]],2)</f>
        <v>10</v>
      </c>
      <c r="C2112" s="164" t="str">
        <f>RIGHT(LEFT(TDays[[#This Row],[تاریخ]],7),2)</f>
        <v>10</v>
      </c>
      <c r="D2112" s="164" t="str">
        <f>LEFT(TDays[[#This Row],[تاریخ]],4)</f>
        <v>1406</v>
      </c>
      <c r="E2112" s="164" t="str">
        <f>LEFT(TDays[[#This Row],[تاریخ]],7)</f>
        <v>1406-10</v>
      </c>
      <c r="F2112">
        <v>5</v>
      </c>
      <c r="G2112" s="165" t="str">
        <f>VLOOKUP(TDays[[#This Row],[کد روز هفته]],TDaysOfTheWeek[],2,FALSE)</f>
        <v>پنجشنبه</v>
      </c>
      <c r="H2112" s="165">
        <f>IFERROR(IF(E2111&lt;&gt;E2112,1,INT(H2111)+IF(TDays[[#This Row],[کد روز هفته]]=0,1,0)),1)</f>
        <v>2</v>
      </c>
      <c r="I2112" s="164">
        <f>-SUMIF(TArticle[تاریخ],TDays[[#This Row],[تاریخ]],TArticle[هزینه])</f>
        <v>0</v>
      </c>
      <c r="J2112" s="164">
        <f>SUMIF(TArticle[تاریخ],TDays[[#This Row],[تاریخ]],TArticle[درآمد تتا])</f>
        <v>0</v>
      </c>
      <c r="K2112" s="164">
        <f>SUMIF(TArticle[تاریخ],TDays[[#This Row],[تاریخ]],TArticle[اسنپ])</f>
        <v>0</v>
      </c>
      <c r="L2112" s="164">
        <f>-SUMIF(TArticle[تاریخ],TDays[[#This Row],[تاریخ]],TArticle[پرداخت بدهی])</f>
        <v>0</v>
      </c>
      <c r="M2112" s="164">
        <f>SUMIF(TArticle[تاریخ],TDays[[#This Row],[تاریخ]],TArticle[افزایش بدهی])</f>
        <v>0</v>
      </c>
      <c r="N2112" s="164">
        <f>-SUMIF(TArticle[تاریخ],TDays[[#This Row],[تاریخ]],TArticle[افزایش سرمایه])</f>
        <v>0</v>
      </c>
      <c r="O2112" s="164">
        <f>SUMIF(TArticle[تاریخ],TDays[[#This Row],[تاریخ]],TArticle[تعداد تراکنش انجام شده])</f>
        <v>0</v>
      </c>
      <c r="P2112" s="164">
        <f>INT(((TDays[[#This Row],[ماه]]-1)*31+TDays[[#This Row],[روز]]+1)/7)+1</f>
        <v>42</v>
      </c>
      <c r="Q2112" s="164">
        <f>SUMIF(TArticle[تاریخ],TDays[[#This Row],[تاریخ]],TArticle[تراکنش برنامه ریزی شده])</f>
        <v>0</v>
      </c>
    </row>
    <row r="2113" spans="1:17" x14ac:dyDescent="0.25">
      <c r="A2113" s="3" t="s">
        <v>2729</v>
      </c>
      <c r="B2113" s="164" t="str">
        <f>RIGHT(TDays[[#This Row],[تاریخ]],2)</f>
        <v>11</v>
      </c>
      <c r="C2113" s="164" t="str">
        <f>RIGHT(LEFT(TDays[[#This Row],[تاریخ]],7),2)</f>
        <v>10</v>
      </c>
      <c r="D2113" s="164" t="str">
        <f>LEFT(TDays[[#This Row],[تاریخ]],4)</f>
        <v>1406</v>
      </c>
      <c r="E2113" s="164" t="str">
        <f>LEFT(TDays[[#This Row],[تاریخ]],7)</f>
        <v>1406-10</v>
      </c>
      <c r="F2113">
        <v>6</v>
      </c>
      <c r="G2113" s="165" t="str">
        <f>VLOOKUP(TDays[[#This Row],[کد روز هفته]],TDaysOfTheWeek[],2,FALSE)</f>
        <v>جمعه</v>
      </c>
      <c r="H2113" s="165">
        <f>IFERROR(IF(E2112&lt;&gt;E2113,1,INT(H2112)+IF(TDays[[#This Row],[کد روز هفته]]=0,1,0)),1)</f>
        <v>2</v>
      </c>
      <c r="I2113" s="164">
        <f>-SUMIF(TArticle[تاریخ],TDays[[#This Row],[تاریخ]],TArticle[هزینه])</f>
        <v>0</v>
      </c>
      <c r="J2113" s="164">
        <f>SUMIF(TArticle[تاریخ],TDays[[#This Row],[تاریخ]],TArticle[درآمد تتا])</f>
        <v>0</v>
      </c>
      <c r="K2113" s="164">
        <f>SUMIF(TArticle[تاریخ],TDays[[#This Row],[تاریخ]],TArticle[اسنپ])</f>
        <v>0</v>
      </c>
      <c r="L2113" s="164">
        <f>-SUMIF(TArticle[تاریخ],TDays[[#This Row],[تاریخ]],TArticle[پرداخت بدهی])</f>
        <v>0</v>
      </c>
      <c r="M2113" s="164">
        <f>SUMIF(TArticle[تاریخ],TDays[[#This Row],[تاریخ]],TArticle[افزایش بدهی])</f>
        <v>0</v>
      </c>
      <c r="N2113" s="164">
        <f>-SUMIF(TArticle[تاریخ],TDays[[#This Row],[تاریخ]],TArticle[افزایش سرمایه])</f>
        <v>0</v>
      </c>
      <c r="O2113" s="164">
        <f>SUMIF(TArticle[تاریخ],TDays[[#This Row],[تاریخ]],TArticle[تعداد تراکنش انجام شده])</f>
        <v>0</v>
      </c>
      <c r="P2113" s="164">
        <f>INT(((TDays[[#This Row],[ماه]]-1)*31+TDays[[#This Row],[روز]]+1)/7)+1</f>
        <v>42</v>
      </c>
      <c r="Q2113" s="164">
        <f>SUMIF(TArticle[تاریخ],TDays[[#This Row],[تاریخ]],TArticle[تراکنش برنامه ریزی شده])</f>
        <v>0</v>
      </c>
    </row>
    <row r="2114" spans="1:17" x14ac:dyDescent="0.25">
      <c r="A2114" s="3" t="s">
        <v>2730</v>
      </c>
      <c r="B2114" s="164" t="str">
        <f>RIGHT(TDays[[#This Row],[تاریخ]],2)</f>
        <v>12</v>
      </c>
      <c r="C2114" s="164" t="str">
        <f>RIGHT(LEFT(TDays[[#This Row],[تاریخ]],7),2)</f>
        <v>10</v>
      </c>
      <c r="D2114" s="164" t="str">
        <f>LEFT(TDays[[#This Row],[تاریخ]],4)</f>
        <v>1406</v>
      </c>
      <c r="E2114" s="164" t="str">
        <f>LEFT(TDays[[#This Row],[تاریخ]],7)</f>
        <v>1406-10</v>
      </c>
      <c r="F2114">
        <v>0</v>
      </c>
      <c r="G2114" s="165" t="str">
        <f>VLOOKUP(TDays[[#This Row],[کد روز هفته]],TDaysOfTheWeek[],2,FALSE)</f>
        <v>شنبه</v>
      </c>
      <c r="H2114" s="165">
        <f>IFERROR(IF(E2113&lt;&gt;E2114,1,INT(H2113)+IF(TDays[[#This Row],[کد روز هفته]]=0,1,0)),1)</f>
        <v>3</v>
      </c>
      <c r="I2114" s="164">
        <f>-SUMIF(TArticle[تاریخ],TDays[[#This Row],[تاریخ]],TArticle[هزینه])</f>
        <v>0</v>
      </c>
      <c r="J2114" s="164">
        <f>SUMIF(TArticle[تاریخ],TDays[[#This Row],[تاریخ]],TArticle[درآمد تتا])</f>
        <v>0</v>
      </c>
      <c r="K2114" s="164">
        <f>SUMIF(TArticle[تاریخ],TDays[[#This Row],[تاریخ]],TArticle[اسنپ])</f>
        <v>0</v>
      </c>
      <c r="L2114" s="164">
        <f>-SUMIF(TArticle[تاریخ],TDays[[#This Row],[تاریخ]],TArticle[پرداخت بدهی])</f>
        <v>0</v>
      </c>
      <c r="M2114" s="164">
        <f>SUMIF(TArticle[تاریخ],TDays[[#This Row],[تاریخ]],TArticle[افزایش بدهی])</f>
        <v>0</v>
      </c>
      <c r="N2114" s="164">
        <f>-SUMIF(TArticle[تاریخ],TDays[[#This Row],[تاریخ]],TArticle[افزایش سرمایه])</f>
        <v>0</v>
      </c>
      <c r="O2114" s="164">
        <f>SUMIF(TArticle[تاریخ],TDays[[#This Row],[تاریخ]],TArticle[تعداد تراکنش انجام شده])</f>
        <v>0</v>
      </c>
      <c r="P2114" s="164">
        <f>INT(((TDays[[#This Row],[ماه]]-1)*31+TDays[[#This Row],[روز]]+1)/7)+1</f>
        <v>42</v>
      </c>
      <c r="Q2114" s="164">
        <f>SUMIF(TArticle[تاریخ],TDays[[#This Row],[تاریخ]],TArticle[تراکنش برنامه ریزی شده])</f>
        <v>0</v>
      </c>
    </row>
    <row r="2115" spans="1:17" x14ac:dyDescent="0.25">
      <c r="A2115" s="3" t="s">
        <v>2731</v>
      </c>
      <c r="B2115" s="164" t="str">
        <f>RIGHT(TDays[[#This Row],[تاریخ]],2)</f>
        <v>13</v>
      </c>
      <c r="C2115" s="164" t="str">
        <f>RIGHT(LEFT(TDays[[#This Row],[تاریخ]],7),2)</f>
        <v>10</v>
      </c>
      <c r="D2115" s="164" t="str">
        <f>LEFT(TDays[[#This Row],[تاریخ]],4)</f>
        <v>1406</v>
      </c>
      <c r="E2115" s="164" t="str">
        <f>LEFT(TDays[[#This Row],[تاریخ]],7)</f>
        <v>1406-10</v>
      </c>
      <c r="F2115">
        <v>1</v>
      </c>
      <c r="G2115" s="165" t="str">
        <f>VLOOKUP(TDays[[#This Row],[کد روز هفته]],TDaysOfTheWeek[],2,FALSE)</f>
        <v>یکشنبه</v>
      </c>
      <c r="H2115" s="165">
        <f>IFERROR(IF(E2114&lt;&gt;E2115,1,INT(H2114)+IF(TDays[[#This Row],[کد روز هفته]]=0,1,0)),1)</f>
        <v>3</v>
      </c>
      <c r="I2115" s="164">
        <f>-SUMIF(TArticle[تاریخ],TDays[[#This Row],[تاریخ]],TArticle[هزینه])</f>
        <v>0</v>
      </c>
      <c r="J2115" s="164">
        <f>SUMIF(TArticle[تاریخ],TDays[[#This Row],[تاریخ]],TArticle[درآمد تتا])</f>
        <v>0</v>
      </c>
      <c r="K2115" s="164">
        <f>SUMIF(TArticle[تاریخ],TDays[[#This Row],[تاریخ]],TArticle[اسنپ])</f>
        <v>0</v>
      </c>
      <c r="L2115" s="164">
        <f>-SUMIF(TArticle[تاریخ],TDays[[#This Row],[تاریخ]],TArticle[پرداخت بدهی])</f>
        <v>0</v>
      </c>
      <c r="M2115" s="164">
        <f>SUMIF(TArticle[تاریخ],TDays[[#This Row],[تاریخ]],TArticle[افزایش بدهی])</f>
        <v>0</v>
      </c>
      <c r="N2115" s="164">
        <f>-SUMIF(TArticle[تاریخ],TDays[[#This Row],[تاریخ]],TArticle[افزایش سرمایه])</f>
        <v>0</v>
      </c>
      <c r="O2115" s="164">
        <f>SUMIF(TArticle[تاریخ],TDays[[#This Row],[تاریخ]],TArticle[تعداد تراکنش انجام شده])</f>
        <v>0</v>
      </c>
      <c r="P2115" s="164">
        <f>INT(((TDays[[#This Row],[ماه]]-1)*31+TDays[[#This Row],[روز]]+1)/7)+1</f>
        <v>42</v>
      </c>
      <c r="Q2115" s="164">
        <f>SUMIF(TArticle[تاریخ],TDays[[#This Row],[تاریخ]],TArticle[تراکنش برنامه ریزی شده])</f>
        <v>0</v>
      </c>
    </row>
    <row r="2116" spans="1:17" x14ac:dyDescent="0.25">
      <c r="A2116" s="3" t="s">
        <v>2732</v>
      </c>
      <c r="B2116" s="164" t="str">
        <f>RIGHT(TDays[[#This Row],[تاریخ]],2)</f>
        <v>14</v>
      </c>
      <c r="C2116" s="164" t="str">
        <f>RIGHT(LEFT(TDays[[#This Row],[تاریخ]],7),2)</f>
        <v>10</v>
      </c>
      <c r="D2116" s="164" t="str">
        <f>LEFT(TDays[[#This Row],[تاریخ]],4)</f>
        <v>1406</v>
      </c>
      <c r="E2116" s="164" t="str">
        <f>LEFT(TDays[[#This Row],[تاریخ]],7)</f>
        <v>1406-10</v>
      </c>
      <c r="F2116">
        <v>2</v>
      </c>
      <c r="G2116" s="165" t="str">
        <f>VLOOKUP(TDays[[#This Row],[کد روز هفته]],TDaysOfTheWeek[],2,FALSE)</f>
        <v>دوشنبه</v>
      </c>
      <c r="H2116" s="165">
        <f>IFERROR(IF(E2115&lt;&gt;E2116,1,INT(H2115)+IF(TDays[[#This Row],[کد روز هفته]]=0,1,0)),1)</f>
        <v>3</v>
      </c>
      <c r="I2116" s="164">
        <f>-SUMIF(TArticle[تاریخ],TDays[[#This Row],[تاریخ]],TArticle[هزینه])</f>
        <v>0</v>
      </c>
      <c r="J2116" s="164">
        <f>SUMIF(TArticle[تاریخ],TDays[[#This Row],[تاریخ]],TArticle[درآمد تتا])</f>
        <v>0</v>
      </c>
      <c r="K2116" s="164">
        <f>SUMIF(TArticle[تاریخ],TDays[[#This Row],[تاریخ]],TArticle[اسنپ])</f>
        <v>0</v>
      </c>
      <c r="L2116" s="164">
        <f>-SUMIF(TArticle[تاریخ],TDays[[#This Row],[تاریخ]],TArticle[پرداخت بدهی])</f>
        <v>0</v>
      </c>
      <c r="M2116" s="164">
        <f>SUMIF(TArticle[تاریخ],TDays[[#This Row],[تاریخ]],TArticle[افزایش بدهی])</f>
        <v>0</v>
      </c>
      <c r="N2116" s="164">
        <f>-SUMIF(TArticle[تاریخ],TDays[[#This Row],[تاریخ]],TArticle[افزایش سرمایه])</f>
        <v>0</v>
      </c>
      <c r="O2116" s="164">
        <f>SUMIF(TArticle[تاریخ],TDays[[#This Row],[تاریخ]],TArticle[تعداد تراکنش انجام شده])</f>
        <v>0</v>
      </c>
      <c r="P2116" s="164">
        <f>INT(((TDays[[#This Row],[ماه]]-1)*31+TDays[[#This Row],[روز]]+1)/7)+1</f>
        <v>43</v>
      </c>
      <c r="Q2116" s="164">
        <f>SUMIF(TArticle[تاریخ],TDays[[#This Row],[تاریخ]],TArticle[تراکنش برنامه ریزی شده])</f>
        <v>0</v>
      </c>
    </row>
    <row r="2117" spans="1:17" x14ac:dyDescent="0.25">
      <c r="A2117" s="3" t="s">
        <v>2733</v>
      </c>
      <c r="B2117" s="164" t="str">
        <f>RIGHT(TDays[[#This Row],[تاریخ]],2)</f>
        <v>15</v>
      </c>
      <c r="C2117" s="164" t="str">
        <f>RIGHT(LEFT(TDays[[#This Row],[تاریخ]],7),2)</f>
        <v>10</v>
      </c>
      <c r="D2117" s="164" t="str">
        <f>LEFT(TDays[[#This Row],[تاریخ]],4)</f>
        <v>1406</v>
      </c>
      <c r="E2117" s="164" t="str">
        <f>LEFT(TDays[[#This Row],[تاریخ]],7)</f>
        <v>1406-10</v>
      </c>
      <c r="F2117">
        <v>3</v>
      </c>
      <c r="G2117" s="165" t="str">
        <f>VLOOKUP(TDays[[#This Row],[کد روز هفته]],TDaysOfTheWeek[],2,FALSE)</f>
        <v>سه شنبه</v>
      </c>
      <c r="H2117" s="165">
        <f>IFERROR(IF(E2116&lt;&gt;E2117,1,INT(H2116)+IF(TDays[[#This Row],[کد روز هفته]]=0,1,0)),1)</f>
        <v>3</v>
      </c>
      <c r="I2117" s="164">
        <f>-SUMIF(TArticle[تاریخ],TDays[[#This Row],[تاریخ]],TArticle[هزینه])</f>
        <v>0</v>
      </c>
      <c r="J2117" s="164">
        <f>SUMIF(TArticle[تاریخ],TDays[[#This Row],[تاریخ]],TArticle[درآمد تتا])</f>
        <v>0</v>
      </c>
      <c r="K2117" s="164">
        <f>SUMIF(TArticle[تاریخ],TDays[[#This Row],[تاریخ]],TArticle[اسنپ])</f>
        <v>0</v>
      </c>
      <c r="L2117" s="164">
        <f>-SUMIF(TArticle[تاریخ],TDays[[#This Row],[تاریخ]],TArticle[پرداخت بدهی])</f>
        <v>0</v>
      </c>
      <c r="M2117" s="164">
        <f>SUMIF(TArticle[تاریخ],TDays[[#This Row],[تاریخ]],TArticle[افزایش بدهی])</f>
        <v>0</v>
      </c>
      <c r="N2117" s="164">
        <f>-SUMIF(TArticle[تاریخ],TDays[[#This Row],[تاریخ]],TArticle[افزایش سرمایه])</f>
        <v>0</v>
      </c>
      <c r="O2117" s="164">
        <f>SUMIF(TArticle[تاریخ],TDays[[#This Row],[تاریخ]],TArticle[تعداد تراکنش انجام شده])</f>
        <v>0</v>
      </c>
      <c r="P2117" s="164">
        <f>INT(((TDays[[#This Row],[ماه]]-1)*31+TDays[[#This Row],[روز]]+1)/7)+1</f>
        <v>43</v>
      </c>
      <c r="Q2117" s="164">
        <f>SUMIF(TArticle[تاریخ],TDays[[#This Row],[تاریخ]],TArticle[تراکنش برنامه ریزی شده])</f>
        <v>0</v>
      </c>
    </row>
    <row r="2118" spans="1:17" x14ac:dyDescent="0.25">
      <c r="A2118" s="3" t="s">
        <v>2734</v>
      </c>
      <c r="B2118" s="164" t="str">
        <f>RIGHT(TDays[[#This Row],[تاریخ]],2)</f>
        <v>16</v>
      </c>
      <c r="C2118" s="164" t="str">
        <f>RIGHT(LEFT(TDays[[#This Row],[تاریخ]],7),2)</f>
        <v>10</v>
      </c>
      <c r="D2118" s="164" t="str">
        <f>LEFT(TDays[[#This Row],[تاریخ]],4)</f>
        <v>1406</v>
      </c>
      <c r="E2118" s="164" t="str">
        <f>LEFT(TDays[[#This Row],[تاریخ]],7)</f>
        <v>1406-10</v>
      </c>
      <c r="F2118">
        <v>4</v>
      </c>
      <c r="G2118" s="165" t="str">
        <f>VLOOKUP(TDays[[#This Row],[کد روز هفته]],TDaysOfTheWeek[],2,FALSE)</f>
        <v>چهارشنبه</v>
      </c>
      <c r="H2118" s="165">
        <f>IFERROR(IF(E2117&lt;&gt;E2118,1,INT(H2117)+IF(TDays[[#This Row],[کد روز هفته]]=0,1,0)),1)</f>
        <v>3</v>
      </c>
      <c r="I2118" s="164">
        <f>-SUMIF(TArticle[تاریخ],TDays[[#This Row],[تاریخ]],TArticle[هزینه])</f>
        <v>0</v>
      </c>
      <c r="J2118" s="164">
        <f>SUMIF(TArticle[تاریخ],TDays[[#This Row],[تاریخ]],TArticle[درآمد تتا])</f>
        <v>0</v>
      </c>
      <c r="K2118" s="164">
        <f>SUMIF(TArticle[تاریخ],TDays[[#This Row],[تاریخ]],TArticle[اسنپ])</f>
        <v>0</v>
      </c>
      <c r="L2118" s="164">
        <f>-SUMIF(TArticle[تاریخ],TDays[[#This Row],[تاریخ]],TArticle[پرداخت بدهی])</f>
        <v>0</v>
      </c>
      <c r="M2118" s="164">
        <f>SUMIF(TArticle[تاریخ],TDays[[#This Row],[تاریخ]],TArticle[افزایش بدهی])</f>
        <v>0</v>
      </c>
      <c r="N2118" s="164">
        <f>-SUMIF(TArticle[تاریخ],TDays[[#This Row],[تاریخ]],TArticle[افزایش سرمایه])</f>
        <v>0</v>
      </c>
      <c r="O2118" s="164">
        <f>SUMIF(TArticle[تاریخ],TDays[[#This Row],[تاریخ]],TArticle[تعداد تراکنش انجام شده])</f>
        <v>0</v>
      </c>
      <c r="P2118" s="164">
        <f>INT(((TDays[[#This Row],[ماه]]-1)*31+TDays[[#This Row],[روز]]+1)/7)+1</f>
        <v>43</v>
      </c>
      <c r="Q2118" s="164">
        <f>SUMIF(TArticle[تاریخ],TDays[[#This Row],[تاریخ]],TArticle[تراکنش برنامه ریزی شده])</f>
        <v>0</v>
      </c>
    </row>
    <row r="2119" spans="1:17" x14ac:dyDescent="0.25">
      <c r="A2119" s="3" t="s">
        <v>2735</v>
      </c>
      <c r="B2119" s="164" t="str">
        <f>RIGHT(TDays[[#This Row],[تاریخ]],2)</f>
        <v>17</v>
      </c>
      <c r="C2119" s="164" t="str">
        <f>RIGHT(LEFT(TDays[[#This Row],[تاریخ]],7),2)</f>
        <v>10</v>
      </c>
      <c r="D2119" s="164" t="str">
        <f>LEFT(TDays[[#This Row],[تاریخ]],4)</f>
        <v>1406</v>
      </c>
      <c r="E2119" s="164" t="str">
        <f>LEFT(TDays[[#This Row],[تاریخ]],7)</f>
        <v>1406-10</v>
      </c>
      <c r="F2119">
        <v>5</v>
      </c>
      <c r="G2119" s="165" t="str">
        <f>VLOOKUP(TDays[[#This Row],[کد روز هفته]],TDaysOfTheWeek[],2,FALSE)</f>
        <v>پنجشنبه</v>
      </c>
      <c r="H2119" s="165">
        <f>IFERROR(IF(E2118&lt;&gt;E2119,1,INT(H2118)+IF(TDays[[#This Row],[کد روز هفته]]=0,1,0)),1)</f>
        <v>3</v>
      </c>
      <c r="I2119" s="164">
        <f>-SUMIF(TArticle[تاریخ],TDays[[#This Row],[تاریخ]],TArticle[هزینه])</f>
        <v>0</v>
      </c>
      <c r="J2119" s="164">
        <f>SUMIF(TArticle[تاریخ],TDays[[#This Row],[تاریخ]],TArticle[درآمد تتا])</f>
        <v>0</v>
      </c>
      <c r="K2119" s="164">
        <f>SUMIF(TArticle[تاریخ],TDays[[#This Row],[تاریخ]],TArticle[اسنپ])</f>
        <v>0</v>
      </c>
      <c r="L2119" s="164">
        <f>-SUMIF(TArticle[تاریخ],TDays[[#This Row],[تاریخ]],TArticle[پرداخت بدهی])</f>
        <v>0</v>
      </c>
      <c r="M2119" s="164">
        <f>SUMIF(TArticle[تاریخ],TDays[[#This Row],[تاریخ]],TArticle[افزایش بدهی])</f>
        <v>0</v>
      </c>
      <c r="N2119" s="164">
        <f>-SUMIF(TArticle[تاریخ],TDays[[#This Row],[تاریخ]],TArticle[افزایش سرمایه])</f>
        <v>0</v>
      </c>
      <c r="O2119" s="164">
        <f>SUMIF(TArticle[تاریخ],TDays[[#This Row],[تاریخ]],TArticle[تعداد تراکنش انجام شده])</f>
        <v>0</v>
      </c>
      <c r="P2119" s="164">
        <f>INT(((TDays[[#This Row],[ماه]]-1)*31+TDays[[#This Row],[روز]]+1)/7)+1</f>
        <v>43</v>
      </c>
      <c r="Q2119" s="164">
        <f>SUMIF(TArticle[تاریخ],TDays[[#This Row],[تاریخ]],TArticle[تراکنش برنامه ریزی شده])</f>
        <v>0</v>
      </c>
    </row>
    <row r="2120" spans="1:17" x14ac:dyDescent="0.25">
      <c r="A2120" s="3" t="s">
        <v>2736</v>
      </c>
      <c r="B2120" s="164" t="str">
        <f>RIGHT(TDays[[#This Row],[تاریخ]],2)</f>
        <v>18</v>
      </c>
      <c r="C2120" s="164" t="str">
        <f>RIGHT(LEFT(TDays[[#This Row],[تاریخ]],7),2)</f>
        <v>10</v>
      </c>
      <c r="D2120" s="164" t="str">
        <f>LEFT(TDays[[#This Row],[تاریخ]],4)</f>
        <v>1406</v>
      </c>
      <c r="E2120" s="164" t="str">
        <f>LEFT(TDays[[#This Row],[تاریخ]],7)</f>
        <v>1406-10</v>
      </c>
      <c r="F2120">
        <v>6</v>
      </c>
      <c r="G2120" s="165" t="str">
        <f>VLOOKUP(TDays[[#This Row],[کد روز هفته]],TDaysOfTheWeek[],2,FALSE)</f>
        <v>جمعه</v>
      </c>
      <c r="H2120" s="165">
        <f>IFERROR(IF(E2119&lt;&gt;E2120,1,INT(H2119)+IF(TDays[[#This Row],[کد روز هفته]]=0,1,0)),1)</f>
        <v>3</v>
      </c>
      <c r="I2120" s="164">
        <f>-SUMIF(TArticle[تاریخ],TDays[[#This Row],[تاریخ]],TArticle[هزینه])</f>
        <v>0</v>
      </c>
      <c r="J2120" s="164">
        <f>SUMIF(TArticle[تاریخ],TDays[[#This Row],[تاریخ]],TArticle[درآمد تتا])</f>
        <v>0</v>
      </c>
      <c r="K2120" s="164">
        <f>SUMIF(TArticle[تاریخ],TDays[[#This Row],[تاریخ]],TArticle[اسنپ])</f>
        <v>0</v>
      </c>
      <c r="L2120" s="164">
        <f>-SUMIF(TArticle[تاریخ],TDays[[#This Row],[تاریخ]],TArticle[پرداخت بدهی])</f>
        <v>0</v>
      </c>
      <c r="M2120" s="164">
        <f>SUMIF(TArticle[تاریخ],TDays[[#This Row],[تاریخ]],TArticle[افزایش بدهی])</f>
        <v>0</v>
      </c>
      <c r="N2120" s="164">
        <f>-SUMIF(TArticle[تاریخ],TDays[[#This Row],[تاریخ]],TArticle[افزایش سرمایه])</f>
        <v>0</v>
      </c>
      <c r="O2120" s="164">
        <f>SUMIF(TArticle[تاریخ],TDays[[#This Row],[تاریخ]],TArticle[تعداد تراکنش انجام شده])</f>
        <v>0</v>
      </c>
      <c r="P2120" s="164">
        <f>INT(((TDays[[#This Row],[ماه]]-1)*31+TDays[[#This Row],[روز]]+1)/7)+1</f>
        <v>43</v>
      </c>
      <c r="Q2120" s="164">
        <f>SUMIF(TArticle[تاریخ],TDays[[#This Row],[تاریخ]],TArticle[تراکنش برنامه ریزی شده])</f>
        <v>0</v>
      </c>
    </row>
    <row r="2121" spans="1:17" x14ac:dyDescent="0.25">
      <c r="A2121" s="3" t="s">
        <v>2737</v>
      </c>
      <c r="B2121" s="164" t="str">
        <f>RIGHT(TDays[[#This Row],[تاریخ]],2)</f>
        <v>19</v>
      </c>
      <c r="C2121" s="164" t="str">
        <f>RIGHT(LEFT(TDays[[#This Row],[تاریخ]],7),2)</f>
        <v>10</v>
      </c>
      <c r="D2121" s="164" t="str">
        <f>LEFT(TDays[[#This Row],[تاریخ]],4)</f>
        <v>1406</v>
      </c>
      <c r="E2121" s="164" t="str">
        <f>LEFT(TDays[[#This Row],[تاریخ]],7)</f>
        <v>1406-10</v>
      </c>
      <c r="F2121">
        <v>0</v>
      </c>
      <c r="G2121" s="165" t="str">
        <f>VLOOKUP(TDays[[#This Row],[کد روز هفته]],TDaysOfTheWeek[],2,FALSE)</f>
        <v>شنبه</v>
      </c>
      <c r="H2121" s="165">
        <f>IFERROR(IF(E2120&lt;&gt;E2121,1,INT(H2120)+IF(TDays[[#This Row],[کد روز هفته]]=0,1,0)),1)</f>
        <v>4</v>
      </c>
      <c r="I2121" s="164">
        <f>-SUMIF(TArticle[تاریخ],TDays[[#This Row],[تاریخ]],TArticle[هزینه])</f>
        <v>0</v>
      </c>
      <c r="J2121" s="164">
        <f>SUMIF(TArticle[تاریخ],TDays[[#This Row],[تاریخ]],TArticle[درآمد تتا])</f>
        <v>0</v>
      </c>
      <c r="K2121" s="164">
        <f>SUMIF(TArticle[تاریخ],TDays[[#This Row],[تاریخ]],TArticle[اسنپ])</f>
        <v>0</v>
      </c>
      <c r="L2121" s="164">
        <f>-SUMIF(TArticle[تاریخ],TDays[[#This Row],[تاریخ]],TArticle[پرداخت بدهی])</f>
        <v>0</v>
      </c>
      <c r="M2121" s="164">
        <f>SUMIF(TArticle[تاریخ],TDays[[#This Row],[تاریخ]],TArticle[افزایش بدهی])</f>
        <v>0</v>
      </c>
      <c r="N2121" s="164">
        <f>-SUMIF(TArticle[تاریخ],TDays[[#This Row],[تاریخ]],TArticle[افزایش سرمایه])</f>
        <v>0</v>
      </c>
      <c r="O2121" s="164">
        <f>SUMIF(TArticle[تاریخ],TDays[[#This Row],[تاریخ]],TArticle[تعداد تراکنش انجام شده])</f>
        <v>0</v>
      </c>
      <c r="P2121" s="164">
        <f>INT(((TDays[[#This Row],[ماه]]-1)*31+TDays[[#This Row],[روز]]+1)/7)+1</f>
        <v>43</v>
      </c>
      <c r="Q2121" s="164">
        <f>SUMIF(TArticle[تاریخ],TDays[[#This Row],[تاریخ]],TArticle[تراکنش برنامه ریزی شده])</f>
        <v>0</v>
      </c>
    </row>
    <row r="2122" spans="1:17" x14ac:dyDescent="0.25">
      <c r="A2122" s="3" t="s">
        <v>2738</v>
      </c>
      <c r="B2122" s="164" t="str">
        <f>RIGHT(TDays[[#This Row],[تاریخ]],2)</f>
        <v>20</v>
      </c>
      <c r="C2122" s="164" t="str">
        <f>RIGHT(LEFT(TDays[[#This Row],[تاریخ]],7),2)</f>
        <v>10</v>
      </c>
      <c r="D2122" s="164" t="str">
        <f>LEFT(TDays[[#This Row],[تاریخ]],4)</f>
        <v>1406</v>
      </c>
      <c r="E2122" s="164" t="str">
        <f>LEFT(TDays[[#This Row],[تاریخ]],7)</f>
        <v>1406-10</v>
      </c>
      <c r="F2122">
        <v>1</v>
      </c>
      <c r="G2122" s="165" t="str">
        <f>VLOOKUP(TDays[[#This Row],[کد روز هفته]],TDaysOfTheWeek[],2,FALSE)</f>
        <v>یکشنبه</v>
      </c>
      <c r="H2122" s="165">
        <f>IFERROR(IF(E2121&lt;&gt;E2122,1,INT(H2121)+IF(TDays[[#This Row],[کد روز هفته]]=0,1,0)),1)</f>
        <v>4</v>
      </c>
      <c r="I2122" s="164">
        <f>-SUMIF(TArticle[تاریخ],TDays[[#This Row],[تاریخ]],TArticle[هزینه])</f>
        <v>0</v>
      </c>
      <c r="J2122" s="164">
        <f>SUMIF(TArticle[تاریخ],TDays[[#This Row],[تاریخ]],TArticle[درآمد تتا])</f>
        <v>0</v>
      </c>
      <c r="K2122" s="164">
        <f>SUMIF(TArticle[تاریخ],TDays[[#This Row],[تاریخ]],TArticle[اسنپ])</f>
        <v>0</v>
      </c>
      <c r="L2122" s="164">
        <f>-SUMIF(TArticle[تاریخ],TDays[[#This Row],[تاریخ]],TArticle[پرداخت بدهی])</f>
        <v>0</v>
      </c>
      <c r="M2122" s="164">
        <f>SUMIF(TArticle[تاریخ],TDays[[#This Row],[تاریخ]],TArticle[افزایش بدهی])</f>
        <v>0</v>
      </c>
      <c r="N2122" s="164">
        <f>-SUMIF(TArticle[تاریخ],TDays[[#This Row],[تاریخ]],TArticle[افزایش سرمایه])</f>
        <v>0</v>
      </c>
      <c r="O2122" s="164">
        <f>SUMIF(TArticle[تاریخ],TDays[[#This Row],[تاریخ]],TArticle[تعداد تراکنش انجام شده])</f>
        <v>0</v>
      </c>
      <c r="P2122" s="164">
        <f>INT(((TDays[[#This Row],[ماه]]-1)*31+TDays[[#This Row],[روز]]+1)/7)+1</f>
        <v>43</v>
      </c>
      <c r="Q2122" s="164">
        <f>SUMIF(TArticle[تاریخ],TDays[[#This Row],[تاریخ]],TArticle[تراکنش برنامه ریزی شده])</f>
        <v>0</v>
      </c>
    </row>
    <row r="2123" spans="1:17" x14ac:dyDescent="0.25">
      <c r="A2123" s="3" t="s">
        <v>2739</v>
      </c>
      <c r="B2123" s="164" t="str">
        <f>RIGHT(TDays[[#This Row],[تاریخ]],2)</f>
        <v>21</v>
      </c>
      <c r="C2123" s="164" t="str">
        <f>RIGHT(LEFT(TDays[[#This Row],[تاریخ]],7),2)</f>
        <v>10</v>
      </c>
      <c r="D2123" s="164" t="str">
        <f>LEFT(TDays[[#This Row],[تاریخ]],4)</f>
        <v>1406</v>
      </c>
      <c r="E2123" s="164" t="str">
        <f>LEFT(TDays[[#This Row],[تاریخ]],7)</f>
        <v>1406-10</v>
      </c>
      <c r="F2123">
        <v>2</v>
      </c>
      <c r="G2123" s="165" t="str">
        <f>VLOOKUP(TDays[[#This Row],[کد روز هفته]],TDaysOfTheWeek[],2,FALSE)</f>
        <v>دوشنبه</v>
      </c>
      <c r="H2123" s="165">
        <f>IFERROR(IF(E2122&lt;&gt;E2123,1,INT(H2122)+IF(TDays[[#This Row],[کد روز هفته]]=0,1,0)),1)</f>
        <v>4</v>
      </c>
      <c r="I2123" s="164">
        <f>-SUMIF(TArticle[تاریخ],TDays[[#This Row],[تاریخ]],TArticle[هزینه])</f>
        <v>0</v>
      </c>
      <c r="J2123" s="164">
        <f>SUMIF(TArticle[تاریخ],TDays[[#This Row],[تاریخ]],TArticle[درآمد تتا])</f>
        <v>0</v>
      </c>
      <c r="K2123" s="164">
        <f>SUMIF(TArticle[تاریخ],TDays[[#This Row],[تاریخ]],TArticle[اسنپ])</f>
        <v>0</v>
      </c>
      <c r="L2123" s="164">
        <f>-SUMIF(TArticle[تاریخ],TDays[[#This Row],[تاریخ]],TArticle[پرداخت بدهی])</f>
        <v>0</v>
      </c>
      <c r="M2123" s="164">
        <f>SUMIF(TArticle[تاریخ],TDays[[#This Row],[تاریخ]],TArticle[افزایش بدهی])</f>
        <v>0</v>
      </c>
      <c r="N2123" s="164">
        <f>-SUMIF(TArticle[تاریخ],TDays[[#This Row],[تاریخ]],TArticle[افزایش سرمایه])</f>
        <v>0</v>
      </c>
      <c r="O2123" s="164">
        <f>SUMIF(TArticle[تاریخ],TDays[[#This Row],[تاریخ]],TArticle[تعداد تراکنش انجام شده])</f>
        <v>0</v>
      </c>
      <c r="P2123" s="164">
        <f>INT(((TDays[[#This Row],[ماه]]-1)*31+TDays[[#This Row],[روز]]+1)/7)+1</f>
        <v>44</v>
      </c>
      <c r="Q2123" s="164">
        <f>SUMIF(TArticle[تاریخ],TDays[[#This Row],[تاریخ]],TArticle[تراکنش برنامه ریزی شده])</f>
        <v>0</v>
      </c>
    </row>
    <row r="2124" spans="1:17" x14ac:dyDescent="0.25">
      <c r="A2124" s="3" t="s">
        <v>2740</v>
      </c>
      <c r="B2124" s="164" t="str">
        <f>RIGHT(TDays[[#This Row],[تاریخ]],2)</f>
        <v>22</v>
      </c>
      <c r="C2124" s="164" t="str">
        <f>RIGHT(LEFT(TDays[[#This Row],[تاریخ]],7),2)</f>
        <v>10</v>
      </c>
      <c r="D2124" s="164" t="str">
        <f>LEFT(TDays[[#This Row],[تاریخ]],4)</f>
        <v>1406</v>
      </c>
      <c r="E2124" s="164" t="str">
        <f>LEFT(TDays[[#This Row],[تاریخ]],7)</f>
        <v>1406-10</v>
      </c>
      <c r="F2124">
        <v>3</v>
      </c>
      <c r="G2124" s="165" t="str">
        <f>VLOOKUP(TDays[[#This Row],[کد روز هفته]],TDaysOfTheWeek[],2,FALSE)</f>
        <v>سه شنبه</v>
      </c>
      <c r="H2124" s="165">
        <f>IFERROR(IF(E2123&lt;&gt;E2124,1,INT(H2123)+IF(TDays[[#This Row],[کد روز هفته]]=0,1,0)),1)</f>
        <v>4</v>
      </c>
      <c r="I2124" s="164">
        <f>-SUMIF(TArticle[تاریخ],TDays[[#This Row],[تاریخ]],TArticle[هزینه])</f>
        <v>0</v>
      </c>
      <c r="J2124" s="164">
        <f>SUMIF(TArticle[تاریخ],TDays[[#This Row],[تاریخ]],TArticle[درآمد تتا])</f>
        <v>0</v>
      </c>
      <c r="K2124" s="164">
        <f>SUMIF(TArticle[تاریخ],TDays[[#This Row],[تاریخ]],TArticle[اسنپ])</f>
        <v>0</v>
      </c>
      <c r="L2124" s="164">
        <f>-SUMIF(TArticle[تاریخ],TDays[[#This Row],[تاریخ]],TArticle[پرداخت بدهی])</f>
        <v>0</v>
      </c>
      <c r="M2124" s="164">
        <f>SUMIF(TArticle[تاریخ],TDays[[#This Row],[تاریخ]],TArticle[افزایش بدهی])</f>
        <v>0</v>
      </c>
      <c r="N2124" s="164">
        <f>-SUMIF(TArticle[تاریخ],TDays[[#This Row],[تاریخ]],TArticle[افزایش سرمایه])</f>
        <v>0</v>
      </c>
      <c r="O2124" s="164">
        <f>SUMIF(TArticle[تاریخ],TDays[[#This Row],[تاریخ]],TArticle[تعداد تراکنش انجام شده])</f>
        <v>0</v>
      </c>
      <c r="P2124" s="164">
        <f>INT(((TDays[[#This Row],[ماه]]-1)*31+TDays[[#This Row],[روز]]+1)/7)+1</f>
        <v>44</v>
      </c>
      <c r="Q2124" s="164">
        <f>SUMIF(TArticle[تاریخ],TDays[[#This Row],[تاریخ]],TArticle[تراکنش برنامه ریزی شده])</f>
        <v>0</v>
      </c>
    </row>
    <row r="2125" spans="1:17" x14ac:dyDescent="0.25">
      <c r="A2125" s="3" t="s">
        <v>2741</v>
      </c>
      <c r="B2125" s="164" t="str">
        <f>RIGHT(TDays[[#This Row],[تاریخ]],2)</f>
        <v>23</v>
      </c>
      <c r="C2125" s="164" t="str">
        <f>RIGHT(LEFT(TDays[[#This Row],[تاریخ]],7),2)</f>
        <v>10</v>
      </c>
      <c r="D2125" s="164" t="str">
        <f>LEFT(TDays[[#This Row],[تاریخ]],4)</f>
        <v>1406</v>
      </c>
      <c r="E2125" s="164" t="str">
        <f>LEFT(TDays[[#This Row],[تاریخ]],7)</f>
        <v>1406-10</v>
      </c>
      <c r="F2125">
        <v>4</v>
      </c>
      <c r="G2125" s="165" t="str">
        <f>VLOOKUP(TDays[[#This Row],[کد روز هفته]],TDaysOfTheWeek[],2,FALSE)</f>
        <v>چهارشنبه</v>
      </c>
      <c r="H2125" s="165">
        <f>IFERROR(IF(E2124&lt;&gt;E2125,1,INT(H2124)+IF(TDays[[#This Row],[کد روز هفته]]=0,1,0)),1)</f>
        <v>4</v>
      </c>
      <c r="I2125" s="164">
        <f>-SUMIF(TArticle[تاریخ],TDays[[#This Row],[تاریخ]],TArticle[هزینه])</f>
        <v>0</v>
      </c>
      <c r="J2125" s="164">
        <f>SUMIF(TArticle[تاریخ],TDays[[#This Row],[تاریخ]],TArticle[درآمد تتا])</f>
        <v>0</v>
      </c>
      <c r="K2125" s="164">
        <f>SUMIF(TArticle[تاریخ],TDays[[#This Row],[تاریخ]],TArticle[اسنپ])</f>
        <v>0</v>
      </c>
      <c r="L2125" s="164">
        <f>-SUMIF(TArticle[تاریخ],TDays[[#This Row],[تاریخ]],TArticle[پرداخت بدهی])</f>
        <v>0</v>
      </c>
      <c r="M2125" s="164">
        <f>SUMIF(TArticle[تاریخ],TDays[[#This Row],[تاریخ]],TArticle[افزایش بدهی])</f>
        <v>0</v>
      </c>
      <c r="N2125" s="164">
        <f>-SUMIF(TArticle[تاریخ],TDays[[#This Row],[تاریخ]],TArticle[افزایش سرمایه])</f>
        <v>0</v>
      </c>
      <c r="O2125" s="164">
        <f>SUMIF(TArticle[تاریخ],TDays[[#This Row],[تاریخ]],TArticle[تعداد تراکنش انجام شده])</f>
        <v>0</v>
      </c>
      <c r="P2125" s="164">
        <f>INT(((TDays[[#This Row],[ماه]]-1)*31+TDays[[#This Row],[روز]]+1)/7)+1</f>
        <v>44</v>
      </c>
      <c r="Q2125" s="164">
        <f>SUMIF(TArticle[تاریخ],TDays[[#This Row],[تاریخ]],TArticle[تراکنش برنامه ریزی شده])</f>
        <v>0</v>
      </c>
    </row>
    <row r="2126" spans="1:17" x14ac:dyDescent="0.25">
      <c r="A2126" s="3" t="s">
        <v>2742</v>
      </c>
      <c r="B2126" s="164" t="str">
        <f>RIGHT(TDays[[#This Row],[تاریخ]],2)</f>
        <v>24</v>
      </c>
      <c r="C2126" s="164" t="str">
        <f>RIGHT(LEFT(TDays[[#This Row],[تاریخ]],7),2)</f>
        <v>10</v>
      </c>
      <c r="D2126" s="164" t="str">
        <f>LEFT(TDays[[#This Row],[تاریخ]],4)</f>
        <v>1406</v>
      </c>
      <c r="E2126" s="164" t="str">
        <f>LEFT(TDays[[#This Row],[تاریخ]],7)</f>
        <v>1406-10</v>
      </c>
      <c r="F2126">
        <v>5</v>
      </c>
      <c r="G2126" s="165" t="str">
        <f>VLOOKUP(TDays[[#This Row],[کد روز هفته]],TDaysOfTheWeek[],2,FALSE)</f>
        <v>پنجشنبه</v>
      </c>
      <c r="H2126" s="165">
        <f>IFERROR(IF(E2125&lt;&gt;E2126,1,INT(H2125)+IF(TDays[[#This Row],[کد روز هفته]]=0,1,0)),1)</f>
        <v>4</v>
      </c>
      <c r="I2126" s="164">
        <f>-SUMIF(TArticle[تاریخ],TDays[[#This Row],[تاریخ]],TArticle[هزینه])</f>
        <v>0</v>
      </c>
      <c r="J2126" s="164">
        <f>SUMIF(TArticle[تاریخ],TDays[[#This Row],[تاریخ]],TArticle[درآمد تتا])</f>
        <v>0</v>
      </c>
      <c r="K2126" s="164">
        <f>SUMIF(TArticle[تاریخ],TDays[[#This Row],[تاریخ]],TArticle[اسنپ])</f>
        <v>0</v>
      </c>
      <c r="L2126" s="164">
        <f>-SUMIF(TArticle[تاریخ],TDays[[#This Row],[تاریخ]],TArticle[پرداخت بدهی])</f>
        <v>0</v>
      </c>
      <c r="M2126" s="164">
        <f>SUMIF(TArticle[تاریخ],TDays[[#This Row],[تاریخ]],TArticle[افزایش بدهی])</f>
        <v>0</v>
      </c>
      <c r="N2126" s="164">
        <f>-SUMIF(TArticle[تاریخ],TDays[[#This Row],[تاریخ]],TArticle[افزایش سرمایه])</f>
        <v>0</v>
      </c>
      <c r="O2126" s="164">
        <f>SUMIF(TArticle[تاریخ],TDays[[#This Row],[تاریخ]],TArticle[تعداد تراکنش انجام شده])</f>
        <v>0</v>
      </c>
      <c r="P2126" s="164">
        <f>INT(((TDays[[#This Row],[ماه]]-1)*31+TDays[[#This Row],[روز]]+1)/7)+1</f>
        <v>44</v>
      </c>
      <c r="Q2126" s="164">
        <f>SUMIF(TArticle[تاریخ],TDays[[#This Row],[تاریخ]],TArticle[تراکنش برنامه ریزی شده])</f>
        <v>0</v>
      </c>
    </row>
    <row r="2127" spans="1:17" x14ac:dyDescent="0.25">
      <c r="A2127" s="3" t="s">
        <v>2743</v>
      </c>
      <c r="B2127" s="164" t="str">
        <f>RIGHT(TDays[[#This Row],[تاریخ]],2)</f>
        <v>25</v>
      </c>
      <c r="C2127" s="164" t="str">
        <f>RIGHT(LEFT(TDays[[#This Row],[تاریخ]],7),2)</f>
        <v>10</v>
      </c>
      <c r="D2127" s="164" t="str">
        <f>LEFT(TDays[[#This Row],[تاریخ]],4)</f>
        <v>1406</v>
      </c>
      <c r="E2127" s="164" t="str">
        <f>LEFT(TDays[[#This Row],[تاریخ]],7)</f>
        <v>1406-10</v>
      </c>
      <c r="F2127">
        <v>6</v>
      </c>
      <c r="G2127" s="165" t="str">
        <f>VLOOKUP(TDays[[#This Row],[کد روز هفته]],TDaysOfTheWeek[],2,FALSE)</f>
        <v>جمعه</v>
      </c>
      <c r="H2127" s="165">
        <f>IFERROR(IF(E2126&lt;&gt;E2127,1,INT(H2126)+IF(TDays[[#This Row],[کد روز هفته]]=0,1,0)),1)</f>
        <v>4</v>
      </c>
      <c r="I2127" s="164">
        <f>-SUMIF(TArticle[تاریخ],TDays[[#This Row],[تاریخ]],TArticle[هزینه])</f>
        <v>0</v>
      </c>
      <c r="J2127" s="164">
        <f>SUMIF(TArticle[تاریخ],TDays[[#This Row],[تاریخ]],TArticle[درآمد تتا])</f>
        <v>0</v>
      </c>
      <c r="K2127" s="164">
        <f>SUMIF(TArticle[تاریخ],TDays[[#This Row],[تاریخ]],TArticle[اسنپ])</f>
        <v>0</v>
      </c>
      <c r="L2127" s="164">
        <f>-SUMIF(TArticle[تاریخ],TDays[[#This Row],[تاریخ]],TArticle[پرداخت بدهی])</f>
        <v>0</v>
      </c>
      <c r="M2127" s="164">
        <f>SUMIF(TArticle[تاریخ],TDays[[#This Row],[تاریخ]],TArticle[افزایش بدهی])</f>
        <v>0</v>
      </c>
      <c r="N2127" s="164">
        <f>-SUMIF(TArticle[تاریخ],TDays[[#This Row],[تاریخ]],TArticle[افزایش سرمایه])</f>
        <v>0</v>
      </c>
      <c r="O2127" s="164">
        <f>SUMIF(TArticle[تاریخ],TDays[[#This Row],[تاریخ]],TArticle[تعداد تراکنش انجام شده])</f>
        <v>0</v>
      </c>
      <c r="P2127" s="164">
        <f>INT(((TDays[[#This Row],[ماه]]-1)*31+TDays[[#This Row],[روز]]+1)/7)+1</f>
        <v>44</v>
      </c>
      <c r="Q2127" s="164">
        <f>SUMIF(TArticle[تاریخ],TDays[[#This Row],[تاریخ]],TArticle[تراکنش برنامه ریزی شده])</f>
        <v>0</v>
      </c>
    </row>
    <row r="2128" spans="1:17" x14ac:dyDescent="0.25">
      <c r="A2128" s="3" t="s">
        <v>2744</v>
      </c>
      <c r="B2128" s="164" t="str">
        <f>RIGHT(TDays[[#This Row],[تاریخ]],2)</f>
        <v>26</v>
      </c>
      <c r="C2128" s="164" t="str">
        <f>RIGHT(LEFT(TDays[[#This Row],[تاریخ]],7),2)</f>
        <v>10</v>
      </c>
      <c r="D2128" s="164" t="str">
        <f>LEFT(TDays[[#This Row],[تاریخ]],4)</f>
        <v>1406</v>
      </c>
      <c r="E2128" s="164" t="str">
        <f>LEFT(TDays[[#This Row],[تاریخ]],7)</f>
        <v>1406-10</v>
      </c>
      <c r="F2128">
        <v>0</v>
      </c>
      <c r="G2128" s="165" t="str">
        <f>VLOOKUP(TDays[[#This Row],[کد روز هفته]],TDaysOfTheWeek[],2,FALSE)</f>
        <v>شنبه</v>
      </c>
      <c r="H2128" s="165">
        <f>IFERROR(IF(E2127&lt;&gt;E2128,1,INT(H2127)+IF(TDays[[#This Row],[کد روز هفته]]=0,1,0)),1)</f>
        <v>5</v>
      </c>
      <c r="I2128" s="164">
        <f>-SUMIF(TArticle[تاریخ],TDays[[#This Row],[تاریخ]],TArticle[هزینه])</f>
        <v>0</v>
      </c>
      <c r="J2128" s="164">
        <f>SUMIF(TArticle[تاریخ],TDays[[#This Row],[تاریخ]],TArticle[درآمد تتا])</f>
        <v>0</v>
      </c>
      <c r="K2128" s="164">
        <f>SUMIF(TArticle[تاریخ],TDays[[#This Row],[تاریخ]],TArticle[اسنپ])</f>
        <v>0</v>
      </c>
      <c r="L2128" s="164">
        <f>-SUMIF(TArticle[تاریخ],TDays[[#This Row],[تاریخ]],TArticle[پرداخت بدهی])</f>
        <v>0</v>
      </c>
      <c r="M2128" s="164">
        <f>SUMIF(TArticle[تاریخ],TDays[[#This Row],[تاریخ]],TArticle[افزایش بدهی])</f>
        <v>0</v>
      </c>
      <c r="N2128" s="164">
        <f>-SUMIF(TArticle[تاریخ],TDays[[#This Row],[تاریخ]],TArticle[افزایش سرمایه])</f>
        <v>0</v>
      </c>
      <c r="O2128" s="164">
        <f>SUMIF(TArticle[تاریخ],TDays[[#This Row],[تاریخ]],TArticle[تعداد تراکنش انجام شده])</f>
        <v>0</v>
      </c>
      <c r="P2128" s="164">
        <f>INT(((TDays[[#This Row],[ماه]]-1)*31+TDays[[#This Row],[روز]]+1)/7)+1</f>
        <v>44</v>
      </c>
      <c r="Q2128" s="164">
        <f>SUMIF(TArticle[تاریخ],TDays[[#This Row],[تاریخ]],TArticle[تراکنش برنامه ریزی شده])</f>
        <v>0</v>
      </c>
    </row>
    <row r="2129" spans="1:17" x14ac:dyDescent="0.25">
      <c r="A2129" s="3" t="s">
        <v>2745</v>
      </c>
      <c r="B2129" s="164" t="str">
        <f>RIGHT(TDays[[#This Row],[تاریخ]],2)</f>
        <v>27</v>
      </c>
      <c r="C2129" s="164" t="str">
        <f>RIGHT(LEFT(TDays[[#This Row],[تاریخ]],7),2)</f>
        <v>10</v>
      </c>
      <c r="D2129" s="164" t="str">
        <f>LEFT(TDays[[#This Row],[تاریخ]],4)</f>
        <v>1406</v>
      </c>
      <c r="E2129" s="164" t="str">
        <f>LEFT(TDays[[#This Row],[تاریخ]],7)</f>
        <v>1406-10</v>
      </c>
      <c r="F2129">
        <v>1</v>
      </c>
      <c r="G2129" s="165" t="str">
        <f>VLOOKUP(TDays[[#This Row],[کد روز هفته]],TDaysOfTheWeek[],2,FALSE)</f>
        <v>یکشنبه</v>
      </c>
      <c r="H2129" s="165">
        <f>IFERROR(IF(E2128&lt;&gt;E2129,1,INT(H2128)+IF(TDays[[#This Row],[کد روز هفته]]=0,1,0)),1)</f>
        <v>5</v>
      </c>
      <c r="I2129" s="164">
        <f>-SUMIF(TArticle[تاریخ],TDays[[#This Row],[تاریخ]],TArticle[هزینه])</f>
        <v>0</v>
      </c>
      <c r="J2129" s="164">
        <f>SUMIF(TArticle[تاریخ],TDays[[#This Row],[تاریخ]],TArticle[درآمد تتا])</f>
        <v>0</v>
      </c>
      <c r="K2129" s="164">
        <f>SUMIF(TArticle[تاریخ],TDays[[#This Row],[تاریخ]],TArticle[اسنپ])</f>
        <v>0</v>
      </c>
      <c r="L2129" s="164">
        <f>-SUMIF(TArticle[تاریخ],TDays[[#This Row],[تاریخ]],TArticle[پرداخت بدهی])</f>
        <v>0</v>
      </c>
      <c r="M2129" s="164">
        <f>SUMIF(TArticle[تاریخ],TDays[[#This Row],[تاریخ]],TArticle[افزایش بدهی])</f>
        <v>0</v>
      </c>
      <c r="N2129" s="164">
        <f>-SUMIF(TArticle[تاریخ],TDays[[#This Row],[تاریخ]],TArticle[افزایش سرمایه])</f>
        <v>0</v>
      </c>
      <c r="O2129" s="164">
        <f>SUMIF(TArticle[تاریخ],TDays[[#This Row],[تاریخ]],TArticle[تعداد تراکنش انجام شده])</f>
        <v>0</v>
      </c>
      <c r="P2129" s="164">
        <f>INT(((TDays[[#This Row],[ماه]]-1)*31+TDays[[#This Row],[روز]]+1)/7)+1</f>
        <v>44</v>
      </c>
      <c r="Q2129" s="164">
        <f>SUMIF(TArticle[تاریخ],TDays[[#This Row],[تاریخ]],TArticle[تراکنش برنامه ریزی شده])</f>
        <v>0</v>
      </c>
    </row>
    <row r="2130" spans="1:17" x14ac:dyDescent="0.25">
      <c r="A2130" s="3" t="s">
        <v>2746</v>
      </c>
      <c r="B2130" s="164" t="str">
        <f>RIGHT(TDays[[#This Row],[تاریخ]],2)</f>
        <v>28</v>
      </c>
      <c r="C2130" s="164" t="str">
        <f>RIGHT(LEFT(TDays[[#This Row],[تاریخ]],7),2)</f>
        <v>10</v>
      </c>
      <c r="D2130" s="164" t="str">
        <f>LEFT(TDays[[#This Row],[تاریخ]],4)</f>
        <v>1406</v>
      </c>
      <c r="E2130" s="164" t="str">
        <f>LEFT(TDays[[#This Row],[تاریخ]],7)</f>
        <v>1406-10</v>
      </c>
      <c r="F2130">
        <v>2</v>
      </c>
      <c r="G2130" s="165" t="str">
        <f>VLOOKUP(TDays[[#This Row],[کد روز هفته]],TDaysOfTheWeek[],2,FALSE)</f>
        <v>دوشنبه</v>
      </c>
      <c r="H2130" s="165">
        <f>IFERROR(IF(E2129&lt;&gt;E2130,1,INT(H2129)+IF(TDays[[#This Row],[کد روز هفته]]=0,1,0)),1)</f>
        <v>5</v>
      </c>
      <c r="I2130" s="164">
        <f>-SUMIF(TArticle[تاریخ],TDays[[#This Row],[تاریخ]],TArticle[هزینه])</f>
        <v>0</v>
      </c>
      <c r="J2130" s="164">
        <f>SUMIF(TArticle[تاریخ],TDays[[#This Row],[تاریخ]],TArticle[درآمد تتا])</f>
        <v>0</v>
      </c>
      <c r="K2130" s="164">
        <f>SUMIF(TArticle[تاریخ],TDays[[#This Row],[تاریخ]],TArticle[اسنپ])</f>
        <v>0</v>
      </c>
      <c r="L2130" s="164">
        <f>-SUMIF(TArticle[تاریخ],TDays[[#This Row],[تاریخ]],TArticle[پرداخت بدهی])</f>
        <v>0</v>
      </c>
      <c r="M2130" s="164">
        <f>SUMIF(TArticle[تاریخ],TDays[[#This Row],[تاریخ]],TArticle[افزایش بدهی])</f>
        <v>0</v>
      </c>
      <c r="N2130" s="164">
        <f>-SUMIF(TArticle[تاریخ],TDays[[#This Row],[تاریخ]],TArticle[افزایش سرمایه])</f>
        <v>0</v>
      </c>
      <c r="O2130" s="164">
        <f>SUMIF(TArticle[تاریخ],TDays[[#This Row],[تاریخ]],TArticle[تعداد تراکنش انجام شده])</f>
        <v>0</v>
      </c>
      <c r="P2130" s="164">
        <f>INT(((TDays[[#This Row],[ماه]]-1)*31+TDays[[#This Row],[روز]]+1)/7)+1</f>
        <v>45</v>
      </c>
      <c r="Q2130" s="164">
        <f>SUMIF(TArticle[تاریخ],TDays[[#This Row],[تاریخ]],TArticle[تراکنش برنامه ریزی شده])</f>
        <v>0</v>
      </c>
    </row>
    <row r="2131" spans="1:17" x14ac:dyDescent="0.25">
      <c r="A2131" s="3" t="s">
        <v>2747</v>
      </c>
      <c r="B2131" s="164" t="str">
        <f>RIGHT(TDays[[#This Row],[تاریخ]],2)</f>
        <v>29</v>
      </c>
      <c r="C2131" s="164" t="str">
        <f>RIGHT(LEFT(TDays[[#This Row],[تاریخ]],7),2)</f>
        <v>10</v>
      </c>
      <c r="D2131" s="164" t="str">
        <f>LEFT(TDays[[#This Row],[تاریخ]],4)</f>
        <v>1406</v>
      </c>
      <c r="E2131" s="164" t="str">
        <f>LEFT(TDays[[#This Row],[تاریخ]],7)</f>
        <v>1406-10</v>
      </c>
      <c r="F2131" s="164">
        <v>3</v>
      </c>
      <c r="G2131" s="165" t="str">
        <f>VLOOKUP(TDays[[#This Row],[کد روز هفته]],TDaysOfTheWeek[],2,FALSE)</f>
        <v>سه شنبه</v>
      </c>
      <c r="H2131" s="165">
        <f>IFERROR(IF(E2130&lt;&gt;E2131,1,INT(H2130)+IF(TDays[[#This Row],[کد روز هفته]]=0,1,0)),1)</f>
        <v>5</v>
      </c>
      <c r="I2131" s="164">
        <f>-SUMIF(TArticle[تاریخ],TDays[[#This Row],[تاریخ]],TArticle[هزینه])</f>
        <v>0</v>
      </c>
      <c r="J2131" s="164">
        <f>SUMIF(TArticle[تاریخ],TDays[[#This Row],[تاریخ]],TArticle[درآمد تتا])</f>
        <v>0</v>
      </c>
      <c r="K2131" s="164">
        <f>SUMIF(TArticle[تاریخ],TDays[[#This Row],[تاریخ]],TArticle[اسنپ])</f>
        <v>0</v>
      </c>
      <c r="L2131" s="164">
        <f>-SUMIF(TArticle[تاریخ],TDays[[#This Row],[تاریخ]],TArticle[پرداخت بدهی])</f>
        <v>0</v>
      </c>
      <c r="M2131" s="164">
        <f>SUMIF(TArticle[تاریخ],TDays[[#This Row],[تاریخ]],TArticle[افزایش بدهی])</f>
        <v>0</v>
      </c>
      <c r="N2131" s="164">
        <f>-SUMIF(TArticle[تاریخ],TDays[[#This Row],[تاریخ]],TArticle[افزایش سرمایه])</f>
        <v>0</v>
      </c>
      <c r="O2131" s="164">
        <f>SUMIF(TArticle[تاریخ],TDays[[#This Row],[تاریخ]],TArticle[تعداد تراکنش انجام شده])</f>
        <v>0</v>
      </c>
      <c r="P2131" s="164">
        <f>INT(((TDays[[#This Row],[ماه]]-1)*31+TDays[[#This Row],[روز]]+1)/7)+1</f>
        <v>45</v>
      </c>
      <c r="Q2131" s="164">
        <f>SUMIF(TArticle[تاریخ],TDays[[#This Row],[تاریخ]],TArticle[تراکنش برنامه ریزی شده])</f>
        <v>0</v>
      </c>
    </row>
    <row r="2132" spans="1:17" x14ac:dyDescent="0.25">
      <c r="A2132" s="3" t="s">
        <v>2748</v>
      </c>
      <c r="B2132" s="164" t="str">
        <f>RIGHT(TDays[[#This Row],[تاریخ]],2)</f>
        <v>30</v>
      </c>
      <c r="C2132" s="164" t="str">
        <f>RIGHT(LEFT(TDays[[#This Row],[تاریخ]],7),2)</f>
        <v>10</v>
      </c>
      <c r="D2132" s="164" t="str">
        <f>LEFT(TDays[[#This Row],[تاریخ]],4)</f>
        <v>1406</v>
      </c>
      <c r="E2132" s="164" t="str">
        <f>LEFT(TDays[[#This Row],[تاریخ]],7)</f>
        <v>1406-10</v>
      </c>
      <c r="F2132" s="164">
        <v>4</v>
      </c>
      <c r="G2132" s="165" t="str">
        <f>VLOOKUP(TDays[[#This Row],[کد روز هفته]],TDaysOfTheWeek[],2,FALSE)</f>
        <v>چهارشنبه</v>
      </c>
      <c r="H2132" s="165">
        <f>IFERROR(IF(E2131&lt;&gt;E2132,1,INT(H2131)+IF(TDays[[#This Row],[کد روز هفته]]=0,1,0)),1)</f>
        <v>5</v>
      </c>
      <c r="I2132" s="164">
        <f>-SUMIF(TArticle[تاریخ],TDays[[#This Row],[تاریخ]],TArticle[هزینه])</f>
        <v>0</v>
      </c>
      <c r="J2132" s="164">
        <f>SUMIF(TArticle[تاریخ],TDays[[#This Row],[تاریخ]],TArticle[درآمد تتا])</f>
        <v>0</v>
      </c>
      <c r="K2132" s="164">
        <f>SUMIF(TArticle[تاریخ],TDays[[#This Row],[تاریخ]],TArticle[اسنپ])</f>
        <v>0</v>
      </c>
      <c r="L2132" s="164">
        <f>-SUMIF(TArticle[تاریخ],TDays[[#This Row],[تاریخ]],TArticle[پرداخت بدهی])</f>
        <v>0</v>
      </c>
      <c r="M2132" s="164">
        <f>SUMIF(TArticle[تاریخ],TDays[[#This Row],[تاریخ]],TArticle[افزایش بدهی])</f>
        <v>0</v>
      </c>
      <c r="N2132" s="164">
        <f>-SUMIF(TArticle[تاریخ],TDays[[#This Row],[تاریخ]],TArticle[افزایش سرمایه])</f>
        <v>0</v>
      </c>
      <c r="O2132" s="164">
        <f>SUMIF(TArticle[تاریخ],TDays[[#This Row],[تاریخ]],TArticle[تعداد تراکنش انجام شده])</f>
        <v>0</v>
      </c>
      <c r="P2132" s="164">
        <f>INT(((TDays[[#This Row],[ماه]]-1)*31+TDays[[#This Row],[روز]]+1)/7)+1</f>
        <v>45</v>
      </c>
      <c r="Q2132" s="164">
        <f>SUMIF(TArticle[تاریخ],TDays[[#This Row],[تاریخ]],TArticle[تراکنش برنامه ریزی شده])</f>
        <v>0</v>
      </c>
    </row>
    <row r="2133" spans="1:17" x14ac:dyDescent="0.25">
      <c r="A2133" s="3" t="s">
        <v>2749</v>
      </c>
      <c r="B2133" s="164" t="str">
        <f>RIGHT(TDays[[#This Row],[تاریخ]],2)</f>
        <v>01</v>
      </c>
      <c r="C2133" s="164" t="str">
        <f>RIGHT(LEFT(TDays[[#This Row],[تاریخ]],7),2)</f>
        <v>11</v>
      </c>
      <c r="D2133" s="164" t="str">
        <f>LEFT(TDays[[#This Row],[تاریخ]],4)</f>
        <v>1406</v>
      </c>
      <c r="E2133" s="164" t="str">
        <f>LEFT(TDays[[#This Row],[تاریخ]],7)</f>
        <v>1406-11</v>
      </c>
      <c r="F2133">
        <v>5</v>
      </c>
      <c r="G2133" s="165" t="str">
        <f>VLOOKUP(TDays[[#This Row],[کد روز هفته]],TDaysOfTheWeek[],2,FALSE)</f>
        <v>پنجشنبه</v>
      </c>
      <c r="H2133" s="165">
        <f>IFERROR(IF(E2132&lt;&gt;E2133,1,INT(H2132)+IF(TDays[[#This Row],[کد روز هفته]]=0,1,0)),1)</f>
        <v>1</v>
      </c>
      <c r="I2133" s="164">
        <f>-SUMIF(TArticle[تاریخ],TDays[[#This Row],[تاریخ]],TArticle[هزینه])</f>
        <v>0</v>
      </c>
      <c r="J2133" s="164">
        <f>SUMIF(TArticle[تاریخ],TDays[[#This Row],[تاریخ]],TArticle[درآمد تتا])</f>
        <v>0</v>
      </c>
      <c r="K2133" s="164">
        <f>SUMIF(TArticle[تاریخ],TDays[[#This Row],[تاریخ]],TArticle[اسنپ])</f>
        <v>0</v>
      </c>
      <c r="L2133" s="164">
        <f>-SUMIF(TArticle[تاریخ],TDays[[#This Row],[تاریخ]],TArticle[پرداخت بدهی])</f>
        <v>0</v>
      </c>
      <c r="M2133" s="164">
        <f>SUMIF(TArticle[تاریخ],TDays[[#This Row],[تاریخ]],TArticle[افزایش بدهی])</f>
        <v>0</v>
      </c>
      <c r="N2133" s="164">
        <f>-SUMIF(TArticle[تاریخ],TDays[[#This Row],[تاریخ]],TArticle[افزایش سرمایه])</f>
        <v>0</v>
      </c>
      <c r="O2133" s="164">
        <f>SUMIF(TArticle[تاریخ],TDays[[#This Row],[تاریخ]],TArticle[تعداد تراکنش انجام شده])</f>
        <v>0</v>
      </c>
      <c r="P2133" s="164">
        <f>INT(((TDays[[#This Row],[ماه]]-1)*31+TDays[[#This Row],[روز]]+1)/7)+1</f>
        <v>45</v>
      </c>
      <c r="Q2133" s="164">
        <f>SUMIF(TArticle[تاریخ],TDays[[#This Row],[تاریخ]],TArticle[تراکنش برنامه ریزی شده])</f>
        <v>0</v>
      </c>
    </row>
    <row r="2134" spans="1:17" x14ac:dyDescent="0.25">
      <c r="A2134" s="3" t="s">
        <v>2750</v>
      </c>
      <c r="B2134" s="164" t="str">
        <f>RIGHT(TDays[[#This Row],[تاریخ]],2)</f>
        <v>02</v>
      </c>
      <c r="C2134" s="164" t="str">
        <f>RIGHT(LEFT(TDays[[#This Row],[تاریخ]],7),2)</f>
        <v>11</v>
      </c>
      <c r="D2134" s="164" t="str">
        <f>LEFT(TDays[[#This Row],[تاریخ]],4)</f>
        <v>1406</v>
      </c>
      <c r="E2134" s="164" t="str">
        <f>LEFT(TDays[[#This Row],[تاریخ]],7)</f>
        <v>1406-11</v>
      </c>
      <c r="F2134">
        <v>6</v>
      </c>
      <c r="G2134" s="165" t="str">
        <f>VLOOKUP(TDays[[#This Row],[کد روز هفته]],TDaysOfTheWeek[],2,FALSE)</f>
        <v>جمعه</v>
      </c>
      <c r="H2134" s="165">
        <f>IFERROR(IF(E2133&lt;&gt;E2134,1,INT(H2133)+IF(TDays[[#This Row],[کد روز هفته]]=0,1,0)),1)</f>
        <v>1</v>
      </c>
      <c r="I2134" s="164">
        <f>-SUMIF(TArticle[تاریخ],TDays[[#This Row],[تاریخ]],TArticle[هزینه])</f>
        <v>0</v>
      </c>
      <c r="J2134" s="164">
        <f>SUMIF(TArticle[تاریخ],TDays[[#This Row],[تاریخ]],TArticle[درآمد تتا])</f>
        <v>0</v>
      </c>
      <c r="K2134" s="164">
        <f>SUMIF(TArticle[تاریخ],TDays[[#This Row],[تاریخ]],TArticle[اسنپ])</f>
        <v>0</v>
      </c>
      <c r="L2134" s="164">
        <f>-SUMIF(TArticle[تاریخ],TDays[[#This Row],[تاریخ]],TArticle[پرداخت بدهی])</f>
        <v>0</v>
      </c>
      <c r="M2134" s="164">
        <f>SUMIF(TArticle[تاریخ],TDays[[#This Row],[تاریخ]],TArticle[افزایش بدهی])</f>
        <v>0</v>
      </c>
      <c r="N2134" s="164">
        <f>-SUMIF(TArticle[تاریخ],TDays[[#This Row],[تاریخ]],TArticle[افزایش سرمایه])</f>
        <v>0</v>
      </c>
      <c r="O2134" s="164">
        <f>SUMIF(TArticle[تاریخ],TDays[[#This Row],[تاریخ]],TArticle[تعداد تراکنش انجام شده])</f>
        <v>0</v>
      </c>
      <c r="P2134" s="164">
        <f>INT(((TDays[[#This Row],[ماه]]-1)*31+TDays[[#This Row],[روز]]+1)/7)+1</f>
        <v>45</v>
      </c>
      <c r="Q2134" s="164">
        <f>SUMIF(TArticle[تاریخ],TDays[[#This Row],[تاریخ]],TArticle[تراکنش برنامه ریزی شده])</f>
        <v>0</v>
      </c>
    </row>
    <row r="2135" spans="1:17" x14ac:dyDescent="0.25">
      <c r="A2135" s="3" t="s">
        <v>2751</v>
      </c>
      <c r="B2135" s="164" t="str">
        <f>RIGHT(TDays[[#This Row],[تاریخ]],2)</f>
        <v>03</v>
      </c>
      <c r="C2135" s="164" t="str">
        <f>RIGHT(LEFT(TDays[[#This Row],[تاریخ]],7),2)</f>
        <v>11</v>
      </c>
      <c r="D2135" s="164" t="str">
        <f>LEFT(TDays[[#This Row],[تاریخ]],4)</f>
        <v>1406</v>
      </c>
      <c r="E2135" s="164" t="str">
        <f>LEFT(TDays[[#This Row],[تاریخ]],7)</f>
        <v>1406-11</v>
      </c>
      <c r="F2135">
        <v>0</v>
      </c>
      <c r="G2135" s="165" t="str">
        <f>VLOOKUP(TDays[[#This Row],[کد روز هفته]],TDaysOfTheWeek[],2,FALSE)</f>
        <v>شنبه</v>
      </c>
      <c r="H2135" s="165">
        <f>IFERROR(IF(E2134&lt;&gt;E2135,1,INT(H2134)+IF(TDays[[#This Row],[کد روز هفته]]=0,1,0)),1)</f>
        <v>2</v>
      </c>
      <c r="I2135" s="164">
        <f>-SUMIF(TArticle[تاریخ],TDays[[#This Row],[تاریخ]],TArticle[هزینه])</f>
        <v>0</v>
      </c>
      <c r="J2135" s="164">
        <f>SUMIF(TArticle[تاریخ],TDays[[#This Row],[تاریخ]],TArticle[درآمد تتا])</f>
        <v>0</v>
      </c>
      <c r="K2135" s="164">
        <f>SUMIF(TArticle[تاریخ],TDays[[#This Row],[تاریخ]],TArticle[اسنپ])</f>
        <v>0</v>
      </c>
      <c r="L2135" s="164">
        <f>-SUMIF(TArticle[تاریخ],TDays[[#This Row],[تاریخ]],TArticle[پرداخت بدهی])</f>
        <v>0</v>
      </c>
      <c r="M2135" s="164">
        <f>SUMIF(TArticle[تاریخ],TDays[[#This Row],[تاریخ]],TArticle[افزایش بدهی])</f>
        <v>0</v>
      </c>
      <c r="N2135" s="164">
        <f>-SUMIF(TArticle[تاریخ],TDays[[#This Row],[تاریخ]],TArticle[افزایش سرمایه])</f>
        <v>0</v>
      </c>
      <c r="O2135" s="164">
        <f>SUMIF(TArticle[تاریخ],TDays[[#This Row],[تاریخ]],TArticle[تعداد تراکنش انجام شده])</f>
        <v>0</v>
      </c>
      <c r="P2135" s="164">
        <f>INT(((TDays[[#This Row],[ماه]]-1)*31+TDays[[#This Row],[روز]]+1)/7)+1</f>
        <v>45</v>
      </c>
      <c r="Q2135" s="164">
        <f>SUMIF(TArticle[تاریخ],TDays[[#This Row],[تاریخ]],TArticle[تراکنش برنامه ریزی شده])</f>
        <v>1</v>
      </c>
    </row>
    <row r="2136" spans="1:17" x14ac:dyDescent="0.25">
      <c r="A2136" s="3" t="s">
        <v>2752</v>
      </c>
      <c r="B2136" s="164" t="str">
        <f>RIGHT(TDays[[#This Row],[تاریخ]],2)</f>
        <v>04</v>
      </c>
      <c r="C2136" s="164" t="str">
        <f>RIGHT(LEFT(TDays[[#This Row],[تاریخ]],7),2)</f>
        <v>11</v>
      </c>
      <c r="D2136" s="164" t="str">
        <f>LEFT(TDays[[#This Row],[تاریخ]],4)</f>
        <v>1406</v>
      </c>
      <c r="E2136" s="164" t="str">
        <f>LEFT(TDays[[#This Row],[تاریخ]],7)</f>
        <v>1406-11</v>
      </c>
      <c r="F2136">
        <v>1</v>
      </c>
      <c r="G2136" s="165" t="str">
        <f>VLOOKUP(TDays[[#This Row],[کد روز هفته]],TDaysOfTheWeek[],2,FALSE)</f>
        <v>یکشنبه</v>
      </c>
      <c r="H2136" s="165">
        <f>IFERROR(IF(E2135&lt;&gt;E2136,1,INT(H2135)+IF(TDays[[#This Row],[کد روز هفته]]=0,1,0)),1)</f>
        <v>2</v>
      </c>
      <c r="I2136" s="164">
        <f>-SUMIF(TArticle[تاریخ],TDays[[#This Row],[تاریخ]],TArticle[هزینه])</f>
        <v>0</v>
      </c>
      <c r="J2136" s="164">
        <f>SUMIF(TArticle[تاریخ],TDays[[#This Row],[تاریخ]],TArticle[درآمد تتا])</f>
        <v>0</v>
      </c>
      <c r="K2136" s="164">
        <f>SUMIF(TArticle[تاریخ],TDays[[#This Row],[تاریخ]],TArticle[اسنپ])</f>
        <v>0</v>
      </c>
      <c r="L2136" s="164">
        <f>-SUMIF(TArticle[تاریخ],TDays[[#This Row],[تاریخ]],TArticle[پرداخت بدهی])</f>
        <v>0</v>
      </c>
      <c r="M2136" s="164">
        <f>SUMIF(TArticle[تاریخ],TDays[[#This Row],[تاریخ]],TArticle[افزایش بدهی])</f>
        <v>0</v>
      </c>
      <c r="N2136" s="164">
        <f>-SUMIF(TArticle[تاریخ],TDays[[#This Row],[تاریخ]],TArticle[افزایش سرمایه])</f>
        <v>0</v>
      </c>
      <c r="O2136" s="164">
        <f>SUMIF(TArticle[تاریخ],TDays[[#This Row],[تاریخ]],TArticle[تعداد تراکنش انجام شده])</f>
        <v>0</v>
      </c>
      <c r="P2136" s="164">
        <f>INT(((TDays[[#This Row],[ماه]]-1)*31+TDays[[#This Row],[روز]]+1)/7)+1</f>
        <v>46</v>
      </c>
      <c r="Q2136" s="164">
        <f>SUMIF(TArticle[تاریخ],TDays[[#This Row],[تاریخ]],TArticle[تراکنش برنامه ریزی شده])</f>
        <v>0</v>
      </c>
    </row>
    <row r="2137" spans="1:17" x14ac:dyDescent="0.25">
      <c r="A2137" s="3" t="s">
        <v>2753</v>
      </c>
      <c r="B2137" s="164" t="str">
        <f>RIGHT(TDays[[#This Row],[تاریخ]],2)</f>
        <v>05</v>
      </c>
      <c r="C2137" s="164" t="str">
        <f>RIGHT(LEFT(TDays[[#This Row],[تاریخ]],7),2)</f>
        <v>11</v>
      </c>
      <c r="D2137" s="164" t="str">
        <f>LEFT(TDays[[#This Row],[تاریخ]],4)</f>
        <v>1406</v>
      </c>
      <c r="E2137" s="164" t="str">
        <f>LEFT(TDays[[#This Row],[تاریخ]],7)</f>
        <v>1406-11</v>
      </c>
      <c r="F2137">
        <v>2</v>
      </c>
      <c r="G2137" s="165" t="str">
        <f>VLOOKUP(TDays[[#This Row],[کد روز هفته]],TDaysOfTheWeek[],2,FALSE)</f>
        <v>دوشنبه</v>
      </c>
      <c r="H2137" s="165">
        <f>IFERROR(IF(E2136&lt;&gt;E2137,1,INT(H2136)+IF(TDays[[#This Row],[کد روز هفته]]=0,1,0)),1)</f>
        <v>2</v>
      </c>
      <c r="I2137" s="164">
        <f>-SUMIF(TArticle[تاریخ],TDays[[#This Row],[تاریخ]],TArticle[هزینه])</f>
        <v>0</v>
      </c>
      <c r="J2137" s="164">
        <f>SUMIF(TArticle[تاریخ],TDays[[#This Row],[تاریخ]],TArticle[درآمد تتا])</f>
        <v>0</v>
      </c>
      <c r="K2137" s="164">
        <f>SUMIF(TArticle[تاریخ],TDays[[#This Row],[تاریخ]],TArticle[اسنپ])</f>
        <v>0</v>
      </c>
      <c r="L2137" s="164">
        <f>-SUMIF(TArticle[تاریخ],TDays[[#This Row],[تاریخ]],TArticle[پرداخت بدهی])</f>
        <v>0</v>
      </c>
      <c r="M2137" s="164">
        <f>SUMIF(TArticle[تاریخ],TDays[[#This Row],[تاریخ]],TArticle[افزایش بدهی])</f>
        <v>0</v>
      </c>
      <c r="N2137" s="164">
        <f>-SUMIF(TArticle[تاریخ],TDays[[#This Row],[تاریخ]],TArticle[افزایش سرمایه])</f>
        <v>0</v>
      </c>
      <c r="O2137" s="164">
        <f>SUMIF(TArticle[تاریخ],TDays[[#This Row],[تاریخ]],TArticle[تعداد تراکنش انجام شده])</f>
        <v>0</v>
      </c>
      <c r="P2137" s="164">
        <f>INT(((TDays[[#This Row],[ماه]]-1)*31+TDays[[#This Row],[روز]]+1)/7)+1</f>
        <v>46</v>
      </c>
      <c r="Q2137" s="164">
        <f>SUMIF(TArticle[تاریخ],TDays[[#This Row],[تاریخ]],TArticle[تراکنش برنامه ریزی شده])</f>
        <v>0</v>
      </c>
    </row>
    <row r="2138" spans="1:17" x14ac:dyDescent="0.25">
      <c r="A2138" s="3" t="s">
        <v>2754</v>
      </c>
      <c r="B2138" s="164" t="str">
        <f>RIGHT(TDays[[#This Row],[تاریخ]],2)</f>
        <v>06</v>
      </c>
      <c r="C2138" s="164" t="str">
        <f>RIGHT(LEFT(TDays[[#This Row],[تاریخ]],7),2)</f>
        <v>11</v>
      </c>
      <c r="D2138" s="164" t="str">
        <f>LEFT(TDays[[#This Row],[تاریخ]],4)</f>
        <v>1406</v>
      </c>
      <c r="E2138" s="164" t="str">
        <f>LEFT(TDays[[#This Row],[تاریخ]],7)</f>
        <v>1406-11</v>
      </c>
      <c r="F2138">
        <v>3</v>
      </c>
      <c r="G2138" s="165" t="str">
        <f>VLOOKUP(TDays[[#This Row],[کد روز هفته]],TDaysOfTheWeek[],2,FALSE)</f>
        <v>سه شنبه</v>
      </c>
      <c r="H2138" s="165">
        <f>IFERROR(IF(E2137&lt;&gt;E2138,1,INT(H2137)+IF(TDays[[#This Row],[کد روز هفته]]=0,1,0)),1)</f>
        <v>2</v>
      </c>
      <c r="I2138" s="164">
        <f>-SUMIF(TArticle[تاریخ],TDays[[#This Row],[تاریخ]],TArticle[هزینه])</f>
        <v>0</v>
      </c>
      <c r="J2138" s="164">
        <f>SUMIF(TArticle[تاریخ],TDays[[#This Row],[تاریخ]],TArticle[درآمد تتا])</f>
        <v>0</v>
      </c>
      <c r="K2138" s="164">
        <f>SUMIF(TArticle[تاریخ],TDays[[#This Row],[تاریخ]],TArticle[اسنپ])</f>
        <v>0</v>
      </c>
      <c r="L2138" s="164">
        <f>-SUMIF(TArticle[تاریخ],TDays[[#This Row],[تاریخ]],TArticle[پرداخت بدهی])</f>
        <v>0</v>
      </c>
      <c r="M2138" s="164">
        <f>SUMIF(TArticle[تاریخ],TDays[[#This Row],[تاریخ]],TArticle[افزایش بدهی])</f>
        <v>0</v>
      </c>
      <c r="N2138" s="164">
        <f>-SUMIF(TArticle[تاریخ],TDays[[#This Row],[تاریخ]],TArticle[افزایش سرمایه])</f>
        <v>0</v>
      </c>
      <c r="O2138" s="164">
        <f>SUMIF(TArticle[تاریخ],TDays[[#This Row],[تاریخ]],TArticle[تعداد تراکنش انجام شده])</f>
        <v>0</v>
      </c>
      <c r="P2138" s="164">
        <f>INT(((TDays[[#This Row],[ماه]]-1)*31+TDays[[#This Row],[روز]]+1)/7)+1</f>
        <v>46</v>
      </c>
      <c r="Q2138" s="164">
        <f>SUMIF(TArticle[تاریخ],TDays[[#This Row],[تاریخ]],TArticle[تراکنش برنامه ریزی شده])</f>
        <v>0</v>
      </c>
    </row>
    <row r="2139" spans="1:17" x14ac:dyDescent="0.25">
      <c r="A2139" s="3" t="s">
        <v>2755</v>
      </c>
      <c r="B2139" s="164" t="str">
        <f>RIGHT(TDays[[#This Row],[تاریخ]],2)</f>
        <v>07</v>
      </c>
      <c r="C2139" s="164" t="str">
        <f>RIGHT(LEFT(TDays[[#This Row],[تاریخ]],7),2)</f>
        <v>11</v>
      </c>
      <c r="D2139" s="164" t="str">
        <f>LEFT(TDays[[#This Row],[تاریخ]],4)</f>
        <v>1406</v>
      </c>
      <c r="E2139" s="164" t="str">
        <f>LEFT(TDays[[#This Row],[تاریخ]],7)</f>
        <v>1406-11</v>
      </c>
      <c r="F2139">
        <v>4</v>
      </c>
      <c r="G2139" s="165" t="str">
        <f>VLOOKUP(TDays[[#This Row],[کد روز هفته]],TDaysOfTheWeek[],2,FALSE)</f>
        <v>چهارشنبه</v>
      </c>
      <c r="H2139" s="165">
        <f>IFERROR(IF(E2138&lt;&gt;E2139,1,INT(H2138)+IF(TDays[[#This Row],[کد روز هفته]]=0,1,0)),1)</f>
        <v>2</v>
      </c>
      <c r="I2139" s="164">
        <f>-SUMIF(TArticle[تاریخ],TDays[[#This Row],[تاریخ]],TArticle[هزینه])</f>
        <v>0</v>
      </c>
      <c r="J2139" s="164">
        <f>SUMIF(TArticle[تاریخ],TDays[[#This Row],[تاریخ]],TArticle[درآمد تتا])</f>
        <v>0</v>
      </c>
      <c r="K2139" s="164">
        <f>SUMIF(TArticle[تاریخ],TDays[[#This Row],[تاریخ]],TArticle[اسنپ])</f>
        <v>0</v>
      </c>
      <c r="L2139" s="164">
        <f>-SUMIF(TArticle[تاریخ],TDays[[#This Row],[تاریخ]],TArticle[پرداخت بدهی])</f>
        <v>0</v>
      </c>
      <c r="M2139" s="164">
        <f>SUMIF(TArticle[تاریخ],TDays[[#This Row],[تاریخ]],TArticle[افزایش بدهی])</f>
        <v>0</v>
      </c>
      <c r="N2139" s="164">
        <f>-SUMIF(TArticle[تاریخ],TDays[[#This Row],[تاریخ]],TArticle[افزایش سرمایه])</f>
        <v>0</v>
      </c>
      <c r="O2139" s="164">
        <f>SUMIF(TArticle[تاریخ],TDays[[#This Row],[تاریخ]],TArticle[تعداد تراکنش انجام شده])</f>
        <v>0</v>
      </c>
      <c r="P2139" s="164">
        <f>INT(((TDays[[#This Row],[ماه]]-1)*31+TDays[[#This Row],[روز]]+1)/7)+1</f>
        <v>46</v>
      </c>
      <c r="Q2139" s="164">
        <f>SUMIF(TArticle[تاریخ],TDays[[#This Row],[تاریخ]],TArticle[تراکنش برنامه ریزی شده])</f>
        <v>0</v>
      </c>
    </row>
    <row r="2140" spans="1:17" x14ac:dyDescent="0.25">
      <c r="A2140" s="3" t="s">
        <v>2756</v>
      </c>
      <c r="B2140" s="164" t="str">
        <f>RIGHT(TDays[[#This Row],[تاریخ]],2)</f>
        <v>08</v>
      </c>
      <c r="C2140" s="164" t="str">
        <f>RIGHT(LEFT(TDays[[#This Row],[تاریخ]],7),2)</f>
        <v>11</v>
      </c>
      <c r="D2140" s="164" t="str">
        <f>LEFT(TDays[[#This Row],[تاریخ]],4)</f>
        <v>1406</v>
      </c>
      <c r="E2140" s="164" t="str">
        <f>LEFT(TDays[[#This Row],[تاریخ]],7)</f>
        <v>1406-11</v>
      </c>
      <c r="F2140">
        <v>5</v>
      </c>
      <c r="G2140" s="165" t="str">
        <f>VLOOKUP(TDays[[#This Row],[کد روز هفته]],TDaysOfTheWeek[],2,FALSE)</f>
        <v>پنجشنبه</v>
      </c>
      <c r="H2140" s="165">
        <f>IFERROR(IF(E2139&lt;&gt;E2140,1,INT(H2139)+IF(TDays[[#This Row],[کد روز هفته]]=0,1,0)),1)</f>
        <v>2</v>
      </c>
      <c r="I2140" s="164">
        <f>-SUMIF(TArticle[تاریخ],TDays[[#This Row],[تاریخ]],TArticle[هزینه])</f>
        <v>0</v>
      </c>
      <c r="J2140" s="164">
        <f>SUMIF(TArticle[تاریخ],TDays[[#This Row],[تاریخ]],TArticle[درآمد تتا])</f>
        <v>0</v>
      </c>
      <c r="K2140" s="164">
        <f>SUMIF(TArticle[تاریخ],TDays[[#This Row],[تاریخ]],TArticle[اسنپ])</f>
        <v>0</v>
      </c>
      <c r="L2140" s="164">
        <f>-SUMIF(TArticle[تاریخ],TDays[[#This Row],[تاریخ]],TArticle[پرداخت بدهی])</f>
        <v>0</v>
      </c>
      <c r="M2140" s="164">
        <f>SUMIF(TArticle[تاریخ],TDays[[#This Row],[تاریخ]],TArticle[افزایش بدهی])</f>
        <v>0</v>
      </c>
      <c r="N2140" s="164">
        <f>-SUMIF(TArticle[تاریخ],TDays[[#This Row],[تاریخ]],TArticle[افزایش سرمایه])</f>
        <v>0</v>
      </c>
      <c r="O2140" s="164">
        <f>SUMIF(TArticle[تاریخ],TDays[[#This Row],[تاریخ]],TArticle[تعداد تراکنش انجام شده])</f>
        <v>0</v>
      </c>
      <c r="P2140" s="164">
        <f>INT(((TDays[[#This Row],[ماه]]-1)*31+TDays[[#This Row],[روز]]+1)/7)+1</f>
        <v>46</v>
      </c>
      <c r="Q2140" s="164">
        <f>SUMIF(TArticle[تاریخ],TDays[[#This Row],[تاریخ]],TArticle[تراکنش برنامه ریزی شده])</f>
        <v>0</v>
      </c>
    </row>
    <row r="2141" spans="1:17" x14ac:dyDescent="0.25">
      <c r="A2141" s="3" t="s">
        <v>2757</v>
      </c>
      <c r="B2141" s="164" t="str">
        <f>RIGHT(TDays[[#This Row],[تاریخ]],2)</f>
        <v>09</v>
      </c>
      <c r="C2141" s="164" t="str">
        <f>RIGHT(LEFT(TDays[[#This Row],[تاریخ]],7),2)</f>
        <v>11</v>
      </c>
      <c r="D2141" s="164" t="str">
        <f>LEFT(TDays[[#This Row],[تاریخ]],4)</f>
        <v>1406</v>
      </c>
      <c r="E2141" s="164" t="str">
        <f>LEFT(TDays[[#This Row],[تاریخ]],7)</f>
        <v>1406-11</v>
      </c>
      <c r="F2141">
        <v>6</v>
      </c>
      <c r="G2141" s="165" t="str">
        <f>VLOOKUP(TDays[[#This Row],[کد روز هفته]],TDaysOfTheWeek[],2,FALSE)</f>
        <v>جمعه</v>
      </c>
      <c r="H2141" s="165">
        <f>IFERROR(IF(E2140&lt;&gt;E2141,1,INT(H2140)+IF(TDays[[#This Row],[کد روز هفته]]=0,1,0)),1)</f>
        <v>2</v>
      </c>
      <c r="I2141" s="164">
        <f>-SUMIF(TArticle[تاریخ],TDays[[#This Row],[تاریخ]],TArticle[هزینه])</f>
        <v>0</v>
      </c>
      <c r="J2141" s="164">
        <f>SUMIF(TArticle[تاریخ],TDays[[#This Row],[تاریخ]],TArticle[درآمد تتا])</f>
        <v>0</v>
      </c>
      <c r="K2141" s="164">
        <f>SUMIF(TArticle[تاریخ],TDays[[#This Row],[تاریخ]],TArticle[اسنپ])</f>
        <v>0</v>
      </c>
      <c r="L2141" s="164">
        <f>-SUMIF(TArticle[تاریخ],TDays[[#This Row],[تاریخ]],TArticle[پرداخت بدهی])</f>
        <v>0</v>
      </c>
      <c r="M2141" s="164">
        <f>SUMIF(TArticle[تاریخ],TDays[[#This Row],[تاریخ]],TArticle[افزایش بدهی])</f>
        <v>0</v>
      </c>
      <c r="N2141" s="164">
        <f>-SUMIF(TArticle[تاریخ],TDays[[#This Row],[تاریخ]],TArticle[افزایش سرمایه])</f>
        <v>0</v>
      </c>
      <c r="O2141" s="164">
        <f>SUMIF(TArticle[تاریخ],TDays[[#This Row],[تاریخ]],TArticle[تعداد تراکنش انجام شده])</f>
        <v>0</v>
      </c>
      <c r="P2141" s="164">
        <f>INT(((TDays[[#This Row],[ماه]]-1)*31+TDays[[#This Row],[روز]]+1)/7)+1</f>
        <v>46</v>
      </c>
      <c r="Q2141" s="164">
        <f>SUMIF(TArticle[تاریخ],TDays[[#This Row],[تاریخ]],TArticle[تراکنش برنامه ریزی شده])</f>
        <v>0</v>
      </c>
    </row>
    <row r="2142" spans="1:17" x14ac:dyDescent="0.25">
      <c r="A2142" s="3" t="s">
        <v>2758</v>
      </c>
      <c r="B2142" s="164" t="str">
        <f>RIGHT(TDays[[#This Row],[تاریخ]],2)</f>
        <v>10</v>
      </c>
      <c r="C2142" s="164" t="str">
        <f>RIGHT(LEFT(TDays[[#This Row],[تاریخ]],7),2)</f>
        <v>11</v>
      </c>
      <c r="D2142" s="164" t="str">
        <f>LEFT(TDays[[#This Row],[تاریخ]],4)</f>
        <v>1406</v>
      </c>
      <c r="E2142" s="164" t="str">
        <f>LEFT(TDays[[#This Row],[تاریخ]],7)</f>
        <v>1406-11</v>
      </c>
      <c r="F2142">
        <v>0</v>
      </c>
      <c r="G2142" s="165" t="str">
        <f>VLOOKUP(TDays[[#This Row],[کد روز هفته]],TDaysOfTheWeek[],2,FALSE)</f>
        <v>شنبه</v>
      </c>
      <c r="H2142" s="165">
        <f>IFERROR(IF(E2141&lt;&gt;E2142,1,INT(H2141)+IF(TDays[[#This Row],[کد روز هفته]]=0,1,0)),1)</f>
        <v>3</v>
      </c>
      <c r="I2142" s="164">
        <f>-SUMIF(TArticle[تاریخ],TDays[[#This Row],[تاریخ]],TArticle[هزینه])</f>
        <v>0</v>
      </c>
      <c r="J2142" s="164">
        <f>SUMIF(TArticle[تاریخ],TDays[[#This Row],[تاریخ]],TArticle[درآمد تتا])</f>
        <v>0</v>
      </c>
      <c r="K2142" s="164">
        <f>SUMIF(TArticle[تاریخ],TDays[[#This Row],[تاریخ]],TArticle[اسنپ])</f>
        <v>0</v>
      </c>
      <c r="L2142" s="164">
        <f>-SUMIF(TArticle[تاریخ],TDays[[#This Row],[تاریخ]],TArticle[پرداخت بدهی])</f>
        <v>0</v>
      </c>
      <c r="M2142" s="164">
        <f>SUMIF(TArticle[تاریخ],TDays[[#This Row],[تاریخ]],TArticle[افزایش بدهی])</f>
        <v>0</v>
      </c>
      <c r="N2142" s="164">
        <f>-SUMIF(TArticle[تاریخ],TDays[[#This Row],[تاریخ]],TArticle[افزایش سرمایه])</f>
        <v>0</v>
      </c>
      <c r="O2142" s="164">
        <f>SUMIF(TArticle[تاریخ],TDays[[#This Row],[تاریخ]],TArticle[تعداد تراکنش انجام شده])</f>
        <v>0</v>
      </c>
      <c r="P2142" s="164">
        <f>INT(((TDays[[#This Row],[ماه]]-1)*31+TDays[[#This Row],[روز]]+1)/7)+1</f>
        <v>46</v>
      </c>
      <c r="Q2142" s="164">
        <f>SUMIF(TArticle[تاریخ],TDays[[#This Row],[تاریخ]],TArticle[تراکنش برنامه ریزی شده])</f>
        <v>0</v>
      </c>
    </row>
    <row r="2143" spans="1:17" x14ac:dyDescent="0.25">
      <c r="A2143" s="3" t="s">
        <v>2759</v>
      </c>
      <c r="B2143" s="164" t="str">
        <f>RIGHT(TDays[[#This Row],[تاریخ]],2)</f>
        <v>11</v>
      </c>
      <c r="C2143" s="164" t="str">
        <f>RIGHT(LEFT(TDays[[#This Row],[تاریخ]],7),2)</f>
        <v>11</v>
      </c>
      <c r="D2143" s="164" t="str">
        <f>LEFT(TDays[[#This Row],[تاریخ]],4)</f>
        <v>1406</v>
      </c>
      <c r="E2143" s="164" t="str">
        <f>LEFT(TDays[[#This Row],[تاریخ]],7)</f>
        <v>1406-11</v>
      </c>
      <c r="F2143">
        <v>1</v>
      </c>
      <c r="G2143" s="165" t="str">
        <f>VLOOKUP(TDays[[#This Row],[کد روز هفته]],TDaysOfTheWeek[],2,FALSE)</f>
        <v>یکشنبه</v>
      </c>
      <c r="H2143" s="165">
        <f>IFERROR(IF(E2142&lt;&gt;E2143,1,INT(H2142)+IF(TDays[[#This Row],[کد روز هفته]]=0,1,0)),1)</f>
        <v>3</v>
      </c>
      <c r="I2143" s="164">
        <f>-SUMIF(TArticle[تاریخ],TDays[[#This Row],[تاریخ]],TArticle[هزینه])</f>
        <v>0</v>
      </c>
      <c r="J2143" s="164">
        <f>SUMIF(TArticle[تاریخ],TDays[[#This Row],[تاریخ]],TArticle[درآمد تتا])</f>
        <v>0</v>
      </c>
      <c r="K2143" s="164">
        <f>SUMIF(TArticle[تاریخ],TDays[[#This Row],[تاریخ]],TArticle[اسنپ])</f>
        <v>0</v>
      </c>
      <c r="L2143" s="164">
        <f>-SUMIF(TArticle[تاریخ],TDays[[#This Row],[تاریخ]],TArticle[پرداخت بدهی])</f>
        <v>0</v>
      </c>
      <c r="M2143" s="164">
        <f>SUMIF(TArticle[تاریخ],TDays[[#This Row],[تاریخ]],TArticle[افزایش بدهی])</f>
        <v>0</v>
      </c>
      <c r="N2143" s="164">
        <f>-SUMIF(TArticle[تاریخ],TDays[[#This Row],[تاریخ]],TArticle[افزایش سرمایه])</f>
        <v>0</v>
      </c>
      <c r="O2143" s="164">
        <f>SUMIF(TArticle[تاریخ],TDays[[#This Row],[تاریخ]],TArticle[تعداد تراکنش انجام شده])</f>
        <v>0</v>
      </c>
      <c r="P2143" s="164">
        <f>INT(((TDays[[#This Row],[ماه]]-1)*31+TDays[[#This Row],[روز]]+1)/7)+1</f>
        <v>47</v>
      </c>
      <c r="Q2143" s="164">
        <f>SUMIF(TArticle[تاریخ],TDays[[#This Row],[تاریخ]],TArticle[تراکنش برنامه ریزی شده])</f>
        <v>0</v>
      </c>
    </row>
    <row r="2144" spans="1:17" x14ac:dyDescent="0.25">
      <c r="A2144" s="3" t="s">
        <v>2760</v>
      </c>
      <c r="B2144" s="164" t="str">
        <f>RIGHT(TDays[[#This Row],[تاریخ]],2)</f>
        <v>12</v>
      </c>
      <c r="C2144" s="164" t="str">
        <f>RIGHT(LEFT(TDays[[#This Row],[تاریخ]],7),2)</f>
        <v>11</v>
      </c>
      <c r="D2144" s="164" t="str">
        <f>LEFT(TDays[[#This Row],[تاریخ]],4)</f>
        <v>1406</v>
      </c>
      <c r="E2144" s="164" t="str">
        <f>LEFT(TDays[[#This Row],[تاریخ]],7)</f>
        <v>1406-11</v>
      </c>
      <c r="F2144">
        <v>2</v>
      </c>
      <c r="G2144" s="165" t="str">
        <f>VLOOKUP(TDays[[#This Row],[کد روز هفته]],TDaysOfTheWeek[],2,FALSE)</f>
        <v>دوشنبه</v>
      </c>
      <c r="H2144" s="165">
        <f>IFERROR(IF(E2143&lt;&gt;E2144,1,INT(H2143)+IF(TDays[[#This Row],[کد روز هفته]]=0,1,0)),1)</f>
        <v>3</v>
      </c>
      <c r="I2144" s="164">
        <f>-SUMIF(TArticle[تاریخ],TDays[[#This Row],[تاریخ]],TArticle[هزینه])</f>
        <v>0</v>
      </c>
      <c r="J2144" s="164">
        <f>SUMIF(TArticle[تاریخ],TDays[[#This Row],[تاریخ]],TArticle[درآمد تتا])</f>
        <v>0</v>
      </c>
      <c r="K2144" s="164">
        <f>SUMIF(TArticle[تاریخ],TDays[[#This Row],[تاریخ]],TArticle[اسنپ])</f>
        <v>0</v>
      </c>
      <c r="L2144" s="164">
        <f>-SUMIF(TArticle[تاریخ],TDays[[#This Row],[تاریخ]],TArticle[پرداخت بدهی])</f>
        <v>0</v>
      </c>
      <c r="M2144" s="164">
        <f>SUMIF(TArticle[تاریخ],TDays[[#This Row],[تاریخ]],TArticle[افزایش بدهی])</f>
        <v>0</v>
      </c>
      <c r="N2144" s="164">
        <f>-SUMIF(TArticle[تاریخ],TDays[[#This Row],[تاریخ]],TArticle[افزایش سرمایه])</f>
        <v>0</v>
      </c>
      <c r="O2144" s="164">
        <f>SUMIF(TArticle[تاریخ],TDays[[#This Row],[تاریخ]],TArticle[تعداد تراکنش انجام شده])</f>
        <v>0</v>
      </c>
      <c r="P2144" s="164">
        <f>INT(((TDays[[#This Row],[ماه]]-1)*31+TDays[[#This Row],[روز]]+1)/7)+1</f>
        <v>47</v>
      </c>
      <c r="Q2144" s="164">
        <f>SUMIF(TArticle[تاریخ],TDays[[#This Row],[تاریخ]],TArticle[تراکنش برنامه ریزی شده])</f>
        <v>0</v>
      </c>
    </row>
    <row r="2145" spans="1:17" x14ac:dyDescent="0.25">
      <c r="A2145" s="3" t="s">
        <v>2761</v>
      </c>
      <c r="B2145" s="164" t="str">
        <f>RIGHT(TDays[[#This Row],[تاریخ]],2)</f>
        <v>13</v>
      </c>
      <c r="C2145" s="164" t="str">
        <f>RIGHT(LEFT(TDays[[#This Row],[تاریخ]],7),2)</f>
        <v>11</v>
      </c>
      <c r="D2145" s="164" t="str">
        <f>LEFT(TDays[[#This Row],[تاریخ]],4)</f>
        <v>1406</v>
      </c>
      <c r="E2145" s="164" t="str">
        <f>LEFT(TDays[[#This Row],[تاریخ]],7)</f>
        <v>1406-11</v>
      </c>
      <c r="F2145">
        <v>3</v>
      </c>
      <c r="G2145" s="165" t="str">
        <f>VLOOKUP(TDays[[#This Row],[کد روز هفته]],TDaysOfTheWeek[],2,FALSE)</f>
        <v>سه شنبه</v>
      </c>
      <c r="H2145" s="165">
        <f>IFERROR(IF(E2144&lt;&gt;E2145,1,INT(H2144)+IF(TDays[[#This Row],[کد روز هفته]]=0,1,0)),1)</f>
        <v>3</v>
      </c>
      <c r="I2145" s="164">
        <f>-SUMIF(TArticle[تاریخ],TDays[[#This Row],[تاریخ]],TArticle[هزینه])</f>
        <v>0</v>
      </c>
      <c r="J2145" s="164">
        <f>SUMIF(TArticle[تاریخ],TDays[[#This Row],[تاریخ]],TArticle[درآمد تتا])</f>
        <v>0</v>
      </c>
      <c r="K2145" s="164">
        <f>SUMIF(TArticle[تاریخ],TDays[[#This Row],[تاریخ]],TArticle[اسنپ])</f>
        <v>0</v>
      </c>
      <c r="L2145" s="164">
        <f>-SUMIF(TArticle[تاریخ],TDays[[#This Row],[تاریخ]],TArticle[پرداخت بدهی])</f>
        <v>0</v>
      </c>
      <c r="M2145" s="164">
        <f>SUMIF(TArticle[تاریخ],TDays[[#This Row],[تاریخ]],TArticle[افزایش بدهی])</f>
        <v>0</v>
      </c>
      <c r="N2145" s="164">
        <f>-SUMIF(TArticle[تاریخ],TDays[[#This Row],[تاریخ]],TArticle[افزایش سرمایه])</f>
        <v>0</v>
      </c>
      <c r="O2145" s="164">
        <f>SUMIF(TArticle[تاریخ],TDays[[#This Row],[تاریخ]],TArticle[تعداد تراکنش انجام شده])</f>
        <v>0</v>
      </c>
      <c r="P2145" s="164">
        <f>INT(((TDays[[#This Row],[ماه]]-1)*31+TDays[[#This Row],[روز]]+1)/7)+1</f>
        <v>47</v>
      </c>
      <c r="Q2145" s="164">
        <f>SUMIF(TArticle[تاریخ],TDays[[#This Row],[تاریخ]],TArticle[تراکنش برنامه ریزی شده])</f>
        <v>0</v>
      </c>
    </row>
    <row r="2146" spans="1:17" x14ac:dyDescent="0.25">
      <c r="A2146" s="3" t="s">
        <v>2762</v>
      </c>
      <c r="B2146" s="164" t="str">
        <f>RIGHT(TDays[[#This Row],[تاریخ]],2)</f>
        <v>14</v>
      </c>
      <c r="C2146" s="164" t="str">
        <f>RIGHT(LEFT(TDays[[#This Row],[تاریخ]],7),2)</f>
        <v>11</v>
      </c>
      <c r="D2146" s="164" t="str">
        <f>LEFT(TDays[[#This Row],[تاریخ]],4)</f>
        <v>1406</v>
      </c>
      <c r="E2146" s="164" t="str">
        <f>LEFT(TDays[[#This Row],[تاریخ]],7)</f>
        <v>1406-11</v>
      </c>
      <c r="F2146">
        <v>4</v>
      </c>
      <c r="G2146" s="165" t="str">
        <f>VLOOKUP(TDays[[#This Row],[کد روز هفته]],TDaysOfTheWeek[],2,FALSE)</f>
        <v>چهارشنبه</v>
      </c>
      <c r="H2146" s="165">
        <f>IFERROR(IF(E2145&lt;&gt;E2146,1,INT(H2145)+IF(TDays[[#This Row],[کد روز هفته]]=0,1,0)),1)</f>
        <v>3</v>
      </c>
      <c r="I2146" s="164">
        <f>-SUMIF(TArticle[تاریخ],TDays[[#This Row],[تاریخ]],TArticle[هزینه])</f>
        <v>0</v>
      </c>
      <c r="J2146" s="164">
        <f>SUMIF(TArticle[تاریخ],TDays[[#This Row],[تاریخ]],TArticle[درآمد تتا])</f>
        <v>0</v>
      </c>
      <c r="K2146" s="164">
        <f>SUMIF(TArticle[تاریخ],TDays[[#This Row],[تاریخ]],TArticle[اسنپ])</f>
        <v>0</v>
      </c>
      <c r="L2146" s="164">
        <f>-SUMIF(TArticle[تاریخ],TDays[[#This Row],[تاریخ]],TArticle[پرداخت بدهی])</f>
        <v>0</v>
      </c>
      <c r="M2146" s="164">
        <f>SUMIF(TArticle[تاریخ],TDays[[#This Row],[تاریخ]],TArticle[افزایش بدهی])</f>
        <v>0</v>
      </c>
      <c r="N2146" s="164">
        <f>-SUMIF(TArticle[تاریخ],TDays[[#This Row],[تاریخ]],TArticle[افزایش سرمایه])</f>
        <v>0</v>
      </c>
      <c r="O2146" s="164">
        <f>SUMIF(TArticle[تاریخ],TDays[[#This Row],[تاریخ]],TArticle[تعداد تراکنش انجام شده])</f>
        <v>0</v>
      </c>
      <c r="P2146" s="164">
        <f>INT(((TDays[[#This Row],[ماه]]-1)*31+TDays[[#This Row],[روز]]+1)/7)+1</f>
        <v>47</v>
      </c>
      <c r="Q2146" s="164">
        <f>SUMIF(TArticle[تاریخ],TDays[[#This Row],[تاریخ]],TArticle[تراکنش برنامه ریزی شده])</f>
        <v>0</v>
      </c>
    </row>
    <row r="2147" spans="1:17" x14ac:dyDescent="0.25">
      <c r="A2147" s="3" t="s">
        <v>2763</v>
      </c>
      <c r="B2147" s="164" t="str">
        <f>RIGHT(TDays[[#This Row],[تاریخ]],2)</f>
        <v>15</v>
      </c>
      <c r="C2147" s="164" t="str">
        <f>RIGHT(LEFT(TDays[[#This Row],[تاریخ]],7),2)</f>
        <v>11</v>
      </c>
      <c r="D2147" s="164" t="str">
        <f>LEFT(TDays[[#This Row],[تاریخ]],4)</f>
        <v>1406</v>
      </c>
      <c r="E2147" s="164" t="str">
        <f>LEFT(TDays[[#This Row],[تاریخ]],7)</f>
        <v>1406-11</v>
      </c>
      <c r="F2147">
        <v>5</v>
      </c>
      <c r="G2147" s="165" t="str">
        <f>VLOOKUP(TDays[[#This Row],[کد روز هفته]],TDaysOfTheWeek[],2,FALSE)</f>
        <v>پنجشنبه</v>
      </c>
      <c r="H2147" s="165">
        <f>IFERROR(IF(E2146&lt;&gt;E2147,1,INT(H2146)+IF(TDays[[#This Row],[کد روز هفته]]=0,1,0)),1)</f>
        <v>3</v>
      </c>
      <c r="I2147" s="164">
        <f>-SUMIF(TArticle[تاریخ],TDays[[#This Row],[تاریخ]],TArticle[هزینه])</f>
        <v>0</v>
      </c>
      <c r="J2147" s="164">
        <f>SUMIF(TArticle[تاریخ],TDays[[#This Row],[تاریخ]],TArticle[درآمد تتا])</f>
        <v>0</v>
      </c>
      <c r="K2147" s="164">
        <f>SUMIF(TArticle[تاریخ],TDays[[#This Row],[تاریخ]],TArticle[اسنپ])</f>
        <v>0</v>
      </c>
      <c r="L2147" s="164">
        <f>-SUMIF(TArticle[تاریخ],TDays[[#This Row],[تاریخ]],TArticle[پرداخت بدهی])</f>
        <v>0</v>
      </c>
      <c r="M2147" s="164">
        <f>SUMIF(TArticle[تاریخ],TDays[[#This Row],[تاریخ]],TArticle[افزایش بدهی])</f>
        <v>0</v>
      </c>
      <c r="N2147" s="164">
        <f>-SUMIF(TArticle[تاریخ],TDays[[#This Row],[تاریخ]],TArticle[افزایش سرمایه])</f>
        <v>0</v>
      </c>
      <c r="O2147" s="164">
        <f>SUMIF(TArticle[تاریخ],TDays[[#This Row],[تاریخ]],TArticle[تعداد تراکنش انجام شده])</f>
        <v>0</v>
      </c>
      <c r="P2147" s="164">
        <f>INT(((TDays[[#This Row],[ماه]]-1)*31+TDays[[#This Row],[روز]]+1)/7)+1</f>
        <v>47</v>
      </c>
      <c r="Q2147" s="164">
        <f>SUMIF(TArticle[تاریخ],TDays[[#This Row],[تاریخ]],TArticle[تراکنش برنامه ریزی شده])</f>
        <v>0</v>
      </c>
    </row>
    <row r="2148" spans="1:17" x14ac:dyDescent="0.25">
      <c r="A2148" s="3" t="s">
        <v>2764</v>
      </c>
      <c r="B2148" s="164" t="str">
        <f>RIGHT(TDays[[#This Row],[تاریخ]],2)</f>
        <v>16</v>
      </c>
      <c r="C2148" s="164" t="str">
        <f>RIGHT(LEFT(TDays[[#This Row],[تاریخ]],7),2)</f>
        <v>11</v>
      </c>
      <c r="D2148" s="164" t="str">
        <f>LEFT(TDays[[#This Row],[تاریخ]],4)</f>
        <v>1406</v>
      </c>
      <c r="E2148" s="164" t="str">
        <f>LEFT(TDays[[#This Row],[تاریخ]],7)</f>
        <v>1406-11</v>
      </c>
      <c r="F2148">
        <v>6</v>
      </c>
      <c r="G2148" s="165" t="str">
        <f>VLOOKUP(TDays[[#This Row],[کد روز هفته]],TDaysOfTheWeek[],2,FALSE)</f>
        <v>جمعه</v>
      </c>
      <c r="H2148" s="165">
        <f>IFERROR(IF(E2147&lt;&gt;E2148,1,INT(H2147)+IF(TDays[[#This Row],[کد روز هفته]]=0,1,0)),1)</f>
        <v>3</v>
      </c>
      <c r="I2148" s="164">
        <f>-SUMIF(TArticle[تاریخ],TDays[[#This Row],[تاریخ]],TArticle[هزینه])</f>
        <v>0</v>
      </c>
      <c r="J2148" s="164">
        <f>SUMIF(TArticle[تاریخ],TDays[[#This Row],[تاریخ]],TArticle[درآمد تتا])</f>
        <v>0</v>
      </c>
      <c r="K2148" s="164">
        <f>SUMIF(TArticle[تاریخ],TDays[[#This Row],[تاریخ]],TArticle[اسنپ])</f>
        <v>0</v>
      </c>
      <c r="L2148" s="164">
        <f>-SUMIF(TArticle[تاریخ],TDays[[#This Row],[تاریخ]],TArticle[پرداخت بدهی])</f>
        <v>0</v>
      </c>
      <c r="M2148" s="164">
        <f>SUMIF(TArticle[تاریخ],TDays[[#This Row],[تاریخ]],TArticle[افزایش بدهی])</f>
        <v>0</v>
      </c>
      <c r="N2148" s="164">
        <f>-SUMIF(TArticle[تاریخ],TDays[[#This Row],[تاریخ]],TArticle[افزایش سرمایه])</f>
        <v>0</v>
      </c>
      <c r="O2148" s="164">
        <f>SUMIF(TArticle[تاریخ],TDays[[#This Row],[تاریخ]],TArticle[تعداد تراکنش انجام شده])</f>
        <v>0</v>
      </c>
      <c r="P2148" s="164">
        <f>INT(((TDays[[#This Row],[ماه]]-1)*31+TDays[[#This Row],[روز]]+1)/7)+1</f>
        <v>47</v>
      </c>
      <c r="Q2148" s="164">
        <f>SUMIF(TArticle[تاریخ],TDays[[#This Row],[تاریخ]],TArticle[تراکنش برنامه ریزی شده])</f>
        <v>0</v>
      </c>
    </row>
    <row r="2149" spans="1:17" x14ac:dyDescent="0.25">
      <c r="A2149" s="3" t="s">
        <v>2765</v>
      </c>
      <c r="B2149" s="164" t="str">
        <f>RIGHT(TDays[[#This Row],[تاریخ]],2)</f>
        <v>17</v>
      </c>
      <c r="C2149" s="164" t="str">
        <f>RIGHT(LEFT(TDays[[#This Row],[تاریخ]],7),2)</f>
        <v>11</v>
      </c>
      <c r="D2149" s="164" t="str">
        <f>LEFT(TDays[[#This Row],[تاریخ]],4)</f>
        <v>1406</v>
      </c>
      <c r="E2149" s="164" t="str">
        <f>LEFT(TDays[[#This Row],[تاریخ]],7)</f>
        <v>1406-11</v>
      </c>
      <c r="F2149">
        <v>0</v>
      </c>
      <c r="G2149" s="165" t="str">
        <f>VLOOKUP(TDays[[#This Row],[کد روز هفته]],TDaysOfTheWeek[],2,FALSE)</f>
        <v>شنبه</v>
      </c>
      <c r="H2149" s="165">
        <f>IFERROR(IF(E2148&lt;&gt;E2149,1,INT(H2148)+IF(TDays[[#This Row],[کد روز هفته]]=0,1,0)),1)</f>
        <v>4</v>
      </c>
      <c r="I2149" s="164">
        <f>-SUMIF(TArticle[تاریخ],TDays[[#This Row],[تاریخ]],TArticle[هزینه])</f>
        <v>0</v>
      </c>
      <c r="J2149" s="164">
        <f>SUMIF(TArticle[تاریخ],TDays[[#This Row],[تاریخ]],TArticle[درآمد تتا])</f>
        <v>0</v>
      </c>
      <c r="K2149" s="164">
        <f>SUMIF(TArticle[تاریخ],TDays[[#This Row],[تاریخ]],TArticle[اسنپ])</f>
        <v>0</v>
      </c>
      <c r="L2149" s="164">
        <f>-SUMIF(TArticle[تاریخ],TDays[[#This Row],[تاریخ]],TArticle[پرداخت بدهی])</f>
        <v>0</v>
      </c>
      <c r="M2149" s="164">
        <f>SUMIF(TArticle[تاریخ],TDays[[#This Row],[تاریخ]],TArticle[افزایش بدهی])</f>
        <v>0</v>
      </c>
      <c r="N2149" s="164">
        <f>-SUMIF(TArticle[تاریخ],TDays[[#This Row],[تاریخ]],TArticle[افزایش سرمایه])</f>
        <v>0</v>
      </c>
      <c r="O2149" s="164">
        <f>SUMIF(TArticle[تاریخ],TDays[[#This Row],[تاریخ]],TArticle[تعداد تراکنش انجام شده])</f>
        <v>0</v>
      </c>
      <c r="P2149" s="164">
        <f>INT(((TDays[[#This Row],[ماه]]-1)*31+TDays[[#This Row],[روز]]+1)/7)+1</f>
        <v>47</v>
      </c>
      <c r="Q2149" s="164">
        <f>SUMIF(TArticle[تاریخ],TDays[[#This Row],[تاریخ]],TArticle[تراکنش برنامه ریزی شده])</f>
        <v>0</v>
      </c>
    </row>
    <row r="2150" spans="1:17" x14ac:dyDescent="0.25">
      <c r="A2150" s="3" t="s">
        <v>2766</v>
      </c>
      <c r="B2150" s="164" t="str">
        <f>RIGHT(TDays[[#This Row],[تاریخ]],2)</f>
        <v>18</v>
      </c>
      <c r="C2150" s="164" t="str">
        <f>RIGHT(LEFT(TDays[[#This Row],[تاریخ]],7),2)</f>
        <v>11</v>
      </c>
      <c r="D2150" s="164" t="str">
        <f>LEFT(TDays[[#This Row],[تاریخ]],4)</f>
        <v>1406</v>
      </c>
      <c r="E2150" s="164" t="str">
        <f>LEFT(TDays[[#This Row],[تاریخ]],7)</f>
        <v>1406-11</v>
      </c>
      <c r="F2150">
        <v>1</v>
      </c>
      <c r="G2150" s="165" t="str">
        <f>VLOOKUP(TDays[[#This Row],[کد روز هفته]],TDaysOfTheWeek[],2,FALSE)</f>
        <v>یکشنبه</v>
      </c>
      <c r="H2150" s="165">
        <f>IFERROR(IF(E2149&lt;&gt;E2150,1,INT(H2149)+IF(TDays[[#This Row],[کد روز هفته]]=0,1,0)),1)</f>
        <v>4</v>
      </c>
      <c r="I2150" s="164">
        <f>-SUMIF(TArticle[تاریخ],TDays[[#This Row],[تاریخ]],TArticle[هزینه])</f>
        <v>0</v>
      </c>
      <c r="J2150" s="164">
        <f>SUMIF(TArticle[تاریخ],TDays[[#This Row],[تاریخ]],TArticle[درآمد تتا])</f>
        <v>0</v>
      </c>
      <c r="K2150" s="164">
        <f>SUMIF(TArticle[تاریخ],TDays[[#This Row],[تاریخ]],TArticle[اسنپ])</f>
        <v>0</v>
      </c>
      <c r="L2150" s="164">
        <f>-SUMIF(TArticle[تاریخ],TDays[[#This Row],[تاریخ]],TArticle[پرداخت بدهی])</f>
        <v>0</v>
      </c>
      <c r="M2150" s="164">
        <f>SUMIF(TArticle[تاریخ],TDays[[#This Row],[تاریخ]],TArticle[افزایش بدهی])</f>
        <v>0</v>
      </c>
      <c r="N2150" s="164">
        <f>-SUMIF(TArticle[تاریخ],TDays[[#This Row],[تاریخ]],TArticle[افزایش سرمایه])</f>
        <v>0</v>
      </c>
      <c r="O2150" s="164">
        <f>SUMIF(TArticle[تاریخ],TDays[[#This Row],[تاریخ]],TArticle[تعداد تراکنش انجام شده])</f>
        <v>0</v>
      </c>
      <c r="P2150" s="164">
        <f>INT(((TDays[[#This Row],[ماه]]-1)*31+TDays[[#This Row],[روز]]+1)/7)+1</f>
        <v>48</v>
      </c>
      <c r="Q2150" s="164">
        <f>SUMIF(TArticle[تاریخ],TDays[[#This Row],[تاریخ]],TArticle[تراکنش برنامه ریزی شده])</f>
        <v>0</v>
      </c>
    </row>
    <row r="2151" spans="1:17" x14ac:dyDescent="0.25">
      <c r="A2151" s="3" t="s">
        <v>2767</v>
      </c>
      <c r="B2151" s="164" t="str">
        <f>RIGHT(TDays[[#This Row],[تاریخ]],2)</f>
        <v>19</v>
      </c>
      <c r="C2151" s="164" t="str">
        <f>RIGHT(LEFT(TDays[[#This Row],[تاریخ]],7),2)</f>
        <v>11</v>
      </c>
      <c r="D2151" s="164" t="str">
        <f>LEFT(TDays[[#This Row],[تاریخ]],4)</f>
        <v>1406</v>
      </c>
      <c r="E2151" s="164" t="str">
        <f>LEFT(TDays[[#This Row],[تاریخ]],7)</f>
        <v>1406-11</v>
      </c>
      <c r="F2151">
        <v>2</v>
      </c>
      <c r="G2151" s="165" t="str">
        <f>VLOOKUP(TDays[[#This Row],[کد روز هفته]],TDaysOfTheWeek[],2,FALSE)</f>
        <v>دوشنبه</v>
      </c>
      <c r="H2151" s="165">
        <f>IFERROR(IF(E2150&lt;&gt;E2151,1,INT(H2150)+IF(TDays[[#This Row],[کد روز هفته]]=0,1,0)),1)</f>
        <v>4</v>
      </c>
      <c r="I2151" s="164">
        <f>-SUMIF(TArticle[تاریخ],TDays[[#This Row],[تاریخ]],TArticle[هزینه])</f>
        <v>0</v>
      </c>
      <c r="J2151" s="164">
        <f>SUMIF(TArticle[تاریخ],TDays[[#This Row],[تاریخ]],TArticle[درآمد تتا])</f>
        <v>0</v>
      </c>
      <c r="K2151" s="164">
        <f>SUMIF(TArticle[تاریخ],TDays[[#This Row],[تاریخ]],TArticle[اسنپ])</f>
        <v>0</v>
      </c>
      <c r="L2151" s="164">
        <f>-SUMIF(TArticle[تاریخ],TDays[[#This Row],[تاریخ]],TArticle[پرداخت بدهی])</f>
        <v>0</v>
      </c>
      <c r="M2151" s="164">
        <f>SUMIF(TArticle[تاریخ],TDays[[#This Row],[تاریخ]],TArticle[افزایش بدهی])</f>
        <v>0</v>
      </c>
      <c r="N2151" s="164">
        <f>-SUMIF(TArticle[تاریخ],TDays[[#This Row],[تاریخ]],TArticle[افزایش سرمایه])</f>
        <v>0</v>
      </c>
      <c r="O2151" s="164">
        <f>SUMIF(TArticle[تاریخ],TDays[[#This Row],[تاریخ]],TArticle[تعداد تراکنش انجام شده])</f>
        <v>0</v>
      </c>
      <c r="P2151" s="164">
        <f>INT(((TDays[[#This Row],[ماه]]-1)*31+TDays[[#This Row],[روز]]+1)/7)+1</f>
        <v>48</v>
      </c>
      <c r="Q2151" s="164">
        <f>SUMIF(TArticle[تاریخ],TDays[[#This Row],[تاریخ]],TArticle[تراکنش برنامه ریزی شده])</f>
        <v>0</v>
      </c>
    </row>
    <row r="2152" spans="1:17" x14ac:dyDescent="0.25">
      <c r="A2152" s="3" t="s">
        <v>2768</v>
      </c>
      <c r="B2152" s="164" t="str">
        <f>RIGHT(TDays[[#This Row],[تاریخ]],2)</f>
        <v>20</v>
      </c>
      <c r="C2152" s="164" t="str">
        <f>RIGHT(LEFT(TDays[[#This Row],[تاریخ]],7),2)</f>
        <v>11</v>
      </c>
      <c r="D2152" s="164" t="str">
        <f>LEFT(TDays[[#This Row],[تاریخ]],4)</f>
        <v>1406</v>
      </c>
      <c r="E2152" s="164" t="str">
        <f>LEFT(TDays[[#This Row],[تاریخ]],7)</f>
        <v>1406-11</v>
      </c>
      <c r="F2152">
        <v>3</v>
      </c>
      <c r="G2152" s="165" t="str">
        <f>VLOOKUP(TDays[[#This Row],[کد روز هفته]],TDaysOfTheWeek[],2,FALSE)</f>
        <v>سه شنبه</v>
      </c>
      <c r="H2152" s="165">
        <f>IFERROR(IF(E2151&lt;&gt;E2152,1,INT(H2151)+IF(TDays[[#This Row],[کد روز هفته]]=0,1,0)),1)</f>
        <v>4</v>
      </c>
      <c r="I2152" s="164">
        <f>-SUMIF(TArticle[تاریخ],TDays[[#This Row],[تاریخ]],TArticle[هزینه])</f>
        <v>0</v>
      </c>
      <c r="J2152" s="164">
        <f>SUMIF(TArticle[تاریخ],TDays[[#This Row],[تاریخ]],TArticle[درآمد تتا])</f>
        <v>0</v>
      </c>
      <c r="K2152" s="164">
        <f>SUMIF(TArticle[تاریخ],TDays[[#This Row],[تاریخ]],TArticle[اسنپ])</f>
        <v>0</v>
      </c>
      <c r="L2152" s="164">
        <f>-SUMIF(TArticle[تاریخ],TDays[[#This Row],[تاریخ]],TArticle[پرداخت بدهی])</f>
        <v>0</v>
      </c>
      <c r="M2152" s="164">
        <f>SUMIF(TArticle[تاریخ],TDays[[#This Row],[تاریخ]],TArticle[افزایش بدهی])</f>
        <v>0</v>
      </c>
      <c r="N2152" s="164">
        <f>-SUMIF(TArticle[تاریخ],TDays[[#This Row],[تاریخ]],TArticle[افزایش سرمایه])</f>
        <v>0</v>
      </c>
      <c r="O2152" s="164">
        <f>SUMIF(TArticle[تاریخ],TDays[[#This Row],[تاریخ]],TArticle[تعداد تراکنش انجام شده])</f>
        <v>0</v>
      </c>
      <c r="P2152" s="164">
        <f>INT(((TDays[[#This Row],[ماه]]-1)*31+TDays[[#This Row],[روز]]+1)/7)+1</f>
        <v>48</v>
      </c>
      <c r="Q2152" s="164">
        <f>SUMIF(TArticle[تاریخ],TDays[[#This Row],[تاریخ]],TArticle[تراکنش برنامه ریزی شده])</f>
        <v>0</v>
      </c>
    </row>
    <row r="2153" spans="1:17" x14ac:dyDescent="0.25">
      <c r="A2153" s="3" t="s">
        <v>2769</v>
      </c>
      <c r="B2153" s="164" t="str">
        <f>RIGHT(TDays[[#This Row],[تاریخ]],2)</f>
        <v>21</v>
      </c>
      <c r="C2153" s="164" t="str">
        <f>RIGHT(LEFT(TDays[[#This Row],[تاریخ]],7),2)</f>
        <v>11</v>
      </c>
      <c r="D2153" s="164" t="str">
        <f>LEFT(TDays[[#This Row],[تاریخ]],4)</f>
        <v>1406</v>
      </c>
      <c r="E2153" s="164" t="str">
        <f>LEFT(TDays[[#This Row],[تاریخ]],7)</f>
        <v>1406-11</v>
      </c>
      <c r="F2153">
        <v>4</v>
      </c>
      <c r="G2153" s="165" t="str">
        <f>VLOOKUP(TDays[[#This Row],[کد روز هفته]],TDaysOfTheWeek[],2,FALSE)</f>
        <v>چهارشنبه</v>
      </c>
      <c r="H2153" s="165">
        <f>IFERROR(IF(E2152&lt;&gt;E2153,1,INT(H2152)+IF(TDays[[#This Row],[کد روز هفته]]=0,1,0)),1)</f>
        <v>4</v>
      </c>
      <c r="I2153" s="164">
        <f>-SUMIF(TArticle[تاریخ],TDays[[#This Row],[تاریخ]],TArticle[هزینه])</f>
        <v>0</v>
      </c>
      <c r="J2153" s="164">
        <f>SUMIF(TArticle[تاریخ],TDays[[#This Row],[تاریخ]],TArticle[درآمد تتا])</f>
        <v>0</v>
      </c>
      <c r="K2153" s="164">
        <f>SUMIF(TArticle[تاریخ],TDays[[#This Row],[تاریخ]],TArticle[اسنپ])</f>
        <v>0</v>
      </c>
      <c r="L2153" s="164">
        <f>-SUMIF(TArticle[تاریخ],TDays[[#This Row],[تاریخ]],TArticle[پرداخت بدهی])</f>
        <v>0</v>
      </c>
      <c r="M2153" s="164">
        <f>SUMIF(TArticle[تاریخ],TDays[[#This Row],[تاریخ]],TArticle[افزایش بدهی])</f>
        <v>0</v>
      </c>
      <c r="N2153" s="164">
        <f>-SUMIF(TArticle[تاریخ],TDays[[#This Row],[تاریخ]],TArticle[افزایش سرمایه])</f>
        <v>0</v>
      </c>
      <c r="O2153" s="164">
        <f>SUMIF(TArticle[تاریخ],TDays[[#This Row],[تاریخ]],TArticle[تعداد تراکنش انجام شده])</f>
        <v>0</v>
      </c>
      <c r="P2153" s="164">
        <f>INT(((TDays[[#This Row],[ماه]]-1)*31+TDays[[#This Row],[روز]]+1)/7)+1</f>
        <v>48</v>
      </c>
      <c r="Q2153" s="164">
        <f>SUMIF(TArticle[تاریخ],TDays[[#This Row],[تاریخ]],TArticle[تراکنش برنامه ریزی شده])</f>
        <v>0</v>
      </c>
    </row>
    <row r="2154" spans="1:17" x14ac:dyDescent="0.25">
      <c r="A2154" s="3" t="s">
        <v>2770</v>
      </c>
      <c r="B2154" s="164" t="str">
        <f>RIGHT(TDays[[#This Row],[تاریخ]],2)</f>
        <v>22</v>
      </c>
      <c r="C2154" s="164" t="str">
        <f>RIGHT(LEFT(TDays[[#This Row],[تاریخ]],7),2)</f>
        <v>11</v>
      </c>
      <c r="D2154" s="164" t="str">
        <f>LEFT(TDays[[#This Row],[تاریخ]],4)</f>
        <v>1406</v>
      </c>
      <c r="E2154" s="164" t="str">
        <f>LEFT(TDays[[#This Row],[تاریخ]],7)</f>
        <v>1406-11</v>
      </c>
      <c r="F2154">
        <v>5</v>
      </c>
      <c r="G2154" s="165" t="str">
        <f>VLOOKUP(TDays[[#This Row],[کد روز هفته]],TDaysOfTheWeek[],2,FALSE)</f>
        <v>پنجشنبه</v>
      </c>
      <c r="H2154" s="165">
        <f>IFERROR(IF(E2153&lt;&gt;E2154,1,INT(H2153)+IF(TDays[[#This Row],[کد روز هفته]]=0,1,0)),1)</f>
        <v>4</v>
      </c>
      <c r="I2154" s="164">
        <f>-SUMIF(TArticle[تاریخ],TDays[[#This Row],[تاریخ]],TArticle[هزینه])</f>
        <v>0</v>
      </c>
      <c r="J2154" s="164">
        <f>SUMIF(TArticle[تاریخ],TDays[[#This Row],[تاریخ]],TArticle[درآمد تتا])</f>
        <v>0</v>
      </c>
      <c r="K2154" s="164">
        <f>SUMIF(TArticle[تاریخ],TDays[[#This Row],[تاریخ]],TArticle[اسنپ])</f>
        <v>0</v>
      </c>
      <c r="L2154" s="164">
        <f>-SUMIF(TArticle[تاریخ],TDays[[#This Row],[تاریخ]],TArticle[پرداخت بدهی])</f>
        <v>0</v>
      </c>
      <c r="M2154" s="164">
        <f>SUMIF(TArticle[تاریخ],TDays[[#This Row],[تاریخ]],TArticle[افزایش بدهی])</f>
        <v>0</v>
      </c>
      <c r="N2154" s="164">
        <f>-SUMIF(TArticle[تاریخ],TDays[[#This Row],[تاریخ]],TArticle[افزایش سرمایه])</f>
        <v>0</v>
      </c>
      <c r="O2154" s="164">
        <f>SUMIF(TArticle[تاریخ],TDays[[#This Row],[تاریخ]],TArticle[تعداد تراکنش انجام شده])</f>
        <v>0</v>
      </c>
      <c r="P2154" s="164">
        <f>INT(((TDays[[#This Row],[ماه]]-1)*31+TDays[[#This Row],[روز]]+1)/7)+1</f>
        <v>48</v>
      </c>
      <c r="Q2154" s="164">
        <f>SUMIF(TArticle[تاریخ],TDays[[#This Row],[تاریخ]],TArticle[تراکنش برنامه ریزی شده])</f>
        <v>0</v>
      </c>
    </row>
    <row r="2155" spans="1:17" x14ac:dyDescent="0.25">
      <c r="A2155" s="3" t="s">
        <v>2771</v>
      </c>
      <c r="B2155" s="164" t="str">
        <f>RIGHT(TDays[[#This Row],[تاریخ]],2)</f>
        <v>23</v>
      </c>
      <c r="C2155" s="164" t="str">
        <f>RIGHT(LEFT(TDays[[#This Row],[تاریخ]],7),2)</f>
        <v>11</v>
      </c>
      <c r="D2155" s="164" t="str">
        <f>LEFT(TDays[[#This Row],[تاریخ]],4)</f>
        <v>1406</v>
      </c>
      <c r="E2155" s="164" t="str">
        <f>LEFT(TDays[[#This Row],[تاریخ]],7)</f>
        <v>1406-11</v>
      </c>
      <c r="F2155">
        <v>6</v>
      </c>
      <c r="G2155" s="165" t="str">
        <f>VLOOKUP(TDays[[#This Row],[کد روز هفته]],TDaysOfTheWeek[],2,FALSE)</f>
        <v>جمعه</v>
      </c>
      <c r="H2155" s="165">
        <f>IFERROR(IF(E2154&lt;&gt;E2155,1,INT(H2154)+IF(TDays[[#This Row],[کد روز هفته]]=0,1,0)),1)</f>
        <v>4</v>
      </c>
      <c r="I2155" s="164">
        <f>-SUMIF(TArticle[تاریخ],TDays[[#This Row],[تاریخ]],TArticle[هزینه])</f>
        <v>0</v>
      </c>
      <c r="J2155" s="164">
        <f>SUMIF(TArticle[تاریخ],TDays[[#This Row],[تاریخ]],TArticle[درآمد تتا])</f>
        <v>0</v>
      </c>
      <c r="K2155" s="164">
        <f>SUMIF(TArticle[تاریخ],TDays[[#This Row],[تاریخ]],TArticle[اسنپ])</f>
        <v>0</v>
      </c>
      <c r="L2155" s="164">
        <f>-SUMIF(TArticle[تاریخ],TDays[[#This Row],[تاریخ]],TArticle[پرداخت بدهی])</f>
        <v>0</v>
      </c>
      <c r="M2155" s="164">
        <f>SUMIF(TArticle[تاریخ],TDays[[#This Row],[تاریخ]],TArticle[افزایش بدهی])</f>
        <v>0</v>
      </c>
      <c r="N2155" s="164">
        <f>-SUMIF(TArticle[تاریخ],TDays[[#This Row],[تاریخ]],TArticle[افزایش سرمایه])</f>
        <v>0</v>
      </c>
      <c r="O2155" s="164">
        <f>SUMIF(TArticle[تاریخ],TDays[[#This Row],[تاریخ]],TArticle[تعداد تراکنش انجام شده])</f>
        <v>0</v>
      </c>
      <c r="P2155" s="164">
        <f>INT(((TDays[[#This Row],[ماه]]-1)*31+TDays[[#This Row],[روز]]+1)/7)+1</f>
        <v>48</v>
      </c>
      <c r="Q2155" s="164">
        <f>SUMIF(TArticle[تاریخ],TDays[[#This Row],[تاریخ]],TArticle[تراکنش برنامه ریزی شده])</f>
        <v>0</v>
      </c>
    </row>
    <row r="2156" spans="1:17" x14ac:dyDescent="0.25">
      <c r="A2156" s="3" t="s">
        <v>2772</v>
      </c>
      <c r="B2156" s="164" t="str">
        <f>RIGHT(TDays[[#This Row],[تاریخ]],2)</f>
        <v>24</v>
      </c>
      <c r="C2156" s="164" t="str">
        <f>RIGHT(LEFT(TDays[[#This Row],[تاریخ]],7),2)</f>
        <v>11</v>
      </c>
      <c r="D2156" s="164" t="str">
        <f>LEFT(TDays[[#This Row],[تاریخ]],4)</f>
        <v>1406</v>
      </c>
      <c r="E2156" s="164" t="str">
        <f>LEFT(TDays[[#This Row],[تاریخ]],7)</f>
        <v>1406-11</v>
      </c>
      <c r="F2156">
        <v>0</v>
      </c>
      <c r="G2156" s="165" t="str">
        <f>VLOOKUP(TDays[[#This Row],[کد روز هفته]],TDaysOfTheWeek[],2,FALSE)</f>
        <v>شنبه</v>
      </c>
      <c r="H2156" s="165">
        <f>IFERROR(IF(E2155&lt;&gt;E2156,1,INT(H2155)+IF(TDays[[#This Row],[کد روز هفته]]=0,1,0)),1)</f>
        <v>5</v>
      </c>
      <c r="I2156" s="164">
        <f>-SUMIF(TArticle[تاریخ],TDays[[#This Row],[تاریخ]],TArticle[هزینه])</f>
        <v>0</v>
      </c>
      <c r="J2156" s="164">
        <f>SUMIF(TArticle[تاریخ],TDays[[#This Row],[تاریخ]],TArticle[درآمد تتا])</f>
        <v>0</v>
      </c>
      <c r="K2156" s="164">
        <f>SUMIF(TArticle[تاریخ],TDays[[#This Row],[تاریخ]],TArticle[اسنپ])</f>
        <v>0</v>
      </c>
      <c r="L2156" s="164">
        <f>-SUMIF(TArticle[تاریخ],TDays[[#This Row],[تاریخ]],TArticle[پرداخت بدهی])</f>
        <v>0</v>
      </c>
      <c r="M2156" s="164">
        <f>SUMIF(TArticle[تاریخ],TDays[[#This Row],[تاریخ]],TArticle[افزایش بدهی])</f>
        <v>0</v>
      </c>
      <c r="N2156" s="164">
        <f>-SUMIF(TArticle[تاریخ],TDays[[#This Row],[تاریخ]],TArticle[افزایش سرمایه])</f>
        <v>0</v>
      </c>
      <c r="O2156" s="164">
        <f>SUMIF(TArticle[تاریخ],TDays[[#This Row],[تاریخ]],TArticle[تعداد تراکنش انجام شده])</f>
        <v>0</v>
      </c>
      <c r="P2156" s="164">
        <f>INT(((TDays[[#This Row],[ماه]]-1)*31+TDays[[#This Row],[روز]]+1)/7)+1</f>
        <v>48</v>
      </c>
      <c r="Q2156" s="164">
        <f>SUMIF(TArticle[تاریخ],TDays[[#This Row],[تاریخ]],TArticle[تراکنش برنامه ریزی شده])</f>
        <v>0</v>
      </c>
    </row>
    <row r="2157" spans="1:17" x14ac:dyDescent="0.25">
      <c r="A2157" s="3" t="s">
        <v>2773</v>
      </c>
      <c r="B2157" s="164" t="str">
        <f>RIGHT(TDays[[#This Row],[تاریخ]],2)</f>
        <v>25</v>
      </c>
      <c r="C2157" s="164" t="str">
        <f>RIGHT(LEFT(TDays[[#This Row],[تاریخ]],7),2)</f>
        <v>11</v>
      </c>
      <c r="D2157" s="164" t="str">
        <f>LEFT(TDays[[#This Row],[تاریخ]],4)</f>
        <v>1406</v>
      </c>
      <c r="E2157" s="164" t="str">
        <f>LEFT(TDays[[#This Row],[تاریخ]],7)</f>
        <v>1406-11</v>
      </c>
      <c r="F2157">
        <v>1</v>
      </c>
      <c r="G2157" s="165" t="str">
        <f>VLOOKUP(TDays[[#This Row],[کد روز هفته]],TDaysOfTheWeek[],2,FALSE)</f>
        <v>یکشنبه</v>
      </c>
      <c r="H2157" s="165">
        <f>IFERROR(IF(E2156&lt;&gt;E2157,1,INT(H2156)+IF(TDays[[#This Row],[کد روز هفته]]=0,1,0)),1)</f>
        <v>5</v>
      </c>
      <c r="I2157" s="164">
        <f>-SUMIF(TArticle[تاریخ],TDays[[#This Row],[تاریخ]],TArticle[هزینه])</f>
        <v>0</v>
      </c>
      <c r="J2157" s="164">
        <f>SUMIF(TArticle[تاریخ],TDays[[#This Row],[تاریخ]],TArticle[درآمد تتا])</f>
        <v>0</v>
      </c>
      <c r="K2157" s="164">
        <f>SUMIF(TArticle[تاریخ],TDays[[#This Row],[تاریخ]],TArticle[اسنپ])</f>
        <v>0</v>
      </c>
      <c r="L2157" s="164">
        <f>-SUMIF(TArticle[تاریخ],TDays[[#This Row],[تاریخ]],TArticle[پرداخت بدهی])</f>
        <v>0</v>
      </c>
      <c r="M2157" s="164">
        <f>SUMIF(TArticle[تاریخ],TDays[[#This Row],[تاریخ]],TArticle[افزایش بدهی])</f>
        <v>0</v>
      </c>
      <c r="N2157" s="164">
        <f>-SUMIF(TArticle[تاریخ],TDays[[#This Row],[تاریخ]],TArticle[افزایش سرمایه])</f>
        <v>0</v>
      </c>
      <c r="O2157" s="164">
        <f>SUMIF(TArticle[تاریخ],TDays[[#This Row],[تاریخ]],TArticle[تعداد تراکنش انجام شده])</f>
        <v>0</v>
      </c>
      <c r="P2157" s="164">
        <f>INT(((TDays[[#This Row],[ماه]]-1)*31+TDays[[#This Row],[روز]]+1)/7)+1</f>
        <v>49</v>
      </c>
      <c r="Q2157" s="164">
        <f>SUMIF(TArticle[تاریخ],TDays[[#This Row],[تاریخ]],TArticle[تراکنش برنامه ریزی شده])</f>
        <v>0</v>
      </c>
    </row>
    <row r="2158" spans="1:17" x14ac:dyDescent="0.25">
      <c r="A2158" s="3" t="s">
        <v>2774</v>
      </c>
      <c r="B2158" s="164" t="str">
        <f>RIGHT(TDays[[#This Row],[تاریخ]],2)</f>
        <v>26</v>
      </c>
      <c r="C2158" s="164" t="str">
        <f>RIGHT(LEFT(TDays[[#This Row],[تاریخ]],7),2)</f>
        <v>11</v>
      </c>
      <c r="D2158" s="164" t="str">
        <f>LEFT(TDays[[#This Row],[تاریخ]],4)</f>
        <v>1406</v>
      </c>
      <c r="E2158" s="164" t="str">
        <f>LEFT(TDays[[#This Row],[تاریخ]],7)</f>
        <v>1406-11</v>
      </c>
      <c r="F2158">
        <v>2</v>
      </c>
      <c r="G2158" s="165" t="str">
        <f>VLOOKUP(TDays[[#This Row],[کد روز هفته]],TDaysOfTheWeek[],2,FALSE)</f>
        <v>دوشنبه</v>
      </c>
      <c r="H2158" s="165">
        <f>IFERROR(IF(E2157&lt;&gt;E2158,1,INT(H2157)+IF(TDays[[#This Row],[کد روز هفته]]=0,1,0)),1)</f>
        <v>5</v>
      </c>
      <c r="I2158" s="164">
        <f>-SUMIF(TArticle[تاریخ],TDays[[#This Row],[تاریخ]],TArticle[هزینه])</f>
        <v>0</v>
      </c>
      <c r="J2158" s="164">
        <f>SUMIF(TArticle[تاریخ],TDays[[#This Row],[تاریخ]],TArticle[درآمد تتا])</f>
        <v>0</v>
      </c>
      <c r="K2158" s="164">
        <f>SUMIF(TArticle[تاریخ],TDays[[#This Row],[تاریخ]],TArticle[اسنپ])</f>
        <v>0</v>
      </c>
      <c r="L2158" s="164">
        <f>-SUMIF(TArticle[تاریخ],TDays[[#This Row],[تاریخ]],TArticle[پرداخت بدهی])</f>
        <v>0</v>
      </c>
      <c r="M2158" s="164">
        <f>SUMIF(TArticle[تاریخ],TDays[[#This Row],[تاریخ]],TArticle[افزایش بدهی])</f>
        <v>0</v>
      </c>
      <c r="N2158" s="164">
        <f>-SUMIF(TArticle[تاریخ],TDays[[#This Row],[تاریخ]],TArticle[افزایش سرمایه])</f>
        <v>0</v>
      </c>
      <c r="O2158" s="164">
        <f>SUMIF(TArticle[تاریخ],TDays[[#This Row],[تاریخ]],TArticle[تعداد تراکنش انجام شده])</f>
        <v>0</v>
      </c>
      <c r="P2158" s="164">
        <f>INT(((TDays[[#This Row],[ماه]]-1)*31+TDays[[#This Row],[روز]]+1)/7)+1</f>
        <v>49</v>
      </c>
      <c r="Q2158" s="164">
        <f>SUMIF(TArticle[تاریخ],TDays[[#This Row],[تاریخ]],TArticle[تراکنش برنامه ریزی شده])</f>
        <v>0</v>
      </c>
    </row>
    <row r="2159" spans="1:17" x14ac:dyDescent="0.25">
      <c r="A2159" s="3" t="s">
        <v>2775</v>
      </c>
      <c r="B2159" s="164" t="str">
        <f>RIGHT(TDays[[#This Row],[تاریخ]],2)</f>
        <v>27</v>
      </c>
      <c r="C2159" s="164" t="str">
        <f>RIGHT(LEFT(TDays[[#This Row],[تاریخ]],7),2)</f>
        <v>11</v>
      </c>
      <c r="D2159" s="164" t="str">
        <f>LEFT(TDays[[#This Row],[تاریخ]],4)</f>
        <v>1406</v>
      </c>
      <c r="E2159" s="164" t="str">
        <f>LEFT(TDays[[#This Row],[تاریخ]],7)</f>
        <v>1406-11</v>
      </c>
      <c r="F2159" s="164">
        <v>3</v>
      </c>
      <c r="G2159" s="165" t="str">
        <f>VLOOKUP(TDays[[#This Row],[کد روز هفته]],TDaysOfTheWeek[],2,FALSE)</f>
        <v>سه شنبه</v>
      </c>
      <c r="H2159" s="165">
        <f>IFERROR(IF(E2158&lt;&gt;E2159,1,INT(H2158)+IF(TDays[[#This Row],[کد روز هفته]]=0,1,0)),1)</f>
        <v>5</v>
      </c>
      <c r="I2159" s="164">
        <f>-SUMIF(TArticle[تاریخ],TDays[[#This Row],[تاریخ]],TArticle[هزینه])</f>
        <v>0</v>
      </c>
      <c r="J2159" s="164">
        <f>SUMIF(TArticle[تاریخ],TDays[[#This Row],[تاریخ]],TArticle[درآمد تتا])</f>
        <v>0</v>
      </c>
      <c r="K2159" s="164">
        <f>SUMIF(TArticle[تاریخ],TDays[[#This Row],[تاریخ]],TArticle[اسنپ])</f>
        <v>0</v>
      </c>
      <c r="L2159" s="164">
        <f>-SUMIF(TArticle[تاریخ],TDays[[#This Row],[تاریخ]],TArticle[پرداخت بدهی])</f>
        <v>0</v>
      </c>
      <c r="M2159" s="164">
        <f>SUMIF(TArticle[تاریخ],TDays[[#This Row],[تاریخ]],TArticle[افزایش بدهی])</f>
        <v>0</v>
      </c>
      <c r="N2159" s="164">
        <f>-SUMIF(TArticle[تاریخ],TDays[[#This Row],[تاریخ]],TArticle[افزایش سرمایه])</f>
        <v>0</v>
      </c>
      <c r="O2159" s="164">
        <f>SUMIF(TArticle[تاریخ],TDays[[#This Row],[تاریخ]],TArticle[تعداد تراکنش انجام شده])</f>
        <v>0</v>
      </c>
      <c r="P2159" s="164">
        <f>INT(((TDays[[#This Row],[ماه]]-1)*31+TDays[[#This Row],[روز]]+1)/7)+1</f>
        <v>49</v>
      </c>
      <c r="Q2159" s="164">
        <f>SUMIF(TArticle[تاریخ],TDays[[#This Row],[تاریخ]],TArticle[تراکنش برنامه ریزی شده])</f>
        <v>0</v>
      </c>
    </row>
    <row r="2160" spans="1:17" x14ac:dyDescent="0.25">
      <c r="A2160" s="3" t="s">
        <v>2776</v>
      </c>
      <c r="B2160" s="164" t="str">
        <f>RIGHT(TDays[[#This Row],[تاریخ]],2)</f>
        <v>28</v>
      </c>
      <c r="C2160" s="164" t="str">
        <f>RIGHT(LEFT(TDays[[#This Row],[تاریخ]],7),2)</f>
        <v>11</v>
      </c>
      <c r="D2160" s="164" t="str">
        <f>LEFT(TDays[[#This Row],[تاریخ]],4)</f>
        <v>1406</v>
      </c>
      <c r="E2160" s="164" t="str">
        <f>LEFT(TDays[[#This Row],[تاریخ]],7)</f>
        <v>1406-11</v>
      </c>
      <c r="F2160" s="164">
        <v>4</v>
      </c>
      <c r="G2160" s="165" t="str">
        <f>VLOOKUP(TDays[[#This Row],[کد روز هفته]],TDaysOfTheWeek[],2,FALSE)</f>
        <v>چهارشنبه</v>
      </c>
      <c r="H2160" s="165">
        <f>IFERROR(IF(E2159&lt;&gt;E2160,1,INT(H2159)+IF(TDays[[#This Row],[کد روز هفته]]=0,1,0)),1)</f>
        <v>5</v>
      </c>
      <c r="I2160" s="164">
        <f>-SUMIF(TArticle[تاریخ],TDays[[#This Row],[تاریخ]],TArticle[هزینه])</f>
        <v>0</v>
      </c>
      <c r="J2160" s="164">
        <f>SUMIF(TArticle[تاریخ],TDays[[#This Row],[تاریخ]],TArticle[درآمد تتا])</f>
        <v>0</v>
      </c>
      <c r="K2160" s="164">
        <f>SUMIF(TArticle[تاریخ],TDays[[#This Row],[تاریخ]],TArticle[اسنپ])</f>
        <v>0</v>
      </c>
      <c r="L2160" s="164">
        <f>-SUMIF(TArticle[تاریخ],TDays[[#This Row],[تاریخ]],TArticle[پرداخت بدهی])</f>
        <v>0</v>
      </c>
      <c r="M2160" s="164">
        <f>SUMIF(TArticle[تاریخ],TDays[[#This Row],[تاریخ]],TArticle[افزایش بدهی])</f>
        <v>0</v>
      </c>
      <c r="N2160" s="164">
        <f>-SUMIF(TArticle[تاریخ],TDays[[#This Row],[تاریخ]],TArticle[افزایش سرمایه])</f>
        <v>0</v>
      </c>
      <c r="O2160" s="164">
        <f>SUMIF(TArticle[تاریخ],TDays[[#This Row],[تاریخ]],TArticle[تعداد تراکنش انجام شده])</f>
        <v>0</v>
      </c>
      <c r="P2160" s="164">
        <f>INT(((TDays[[#This Row],[ماه]]-1)*31+TDays[[#This Row],[روز]]+1)/7)+1</f>
        <v>49</v>
      </c>
      <c r="Q2160" s="164">
        <f>SUMIF(TArticle[تاریخ],TDays[[#This Row],[تاریخ]],TArticle[تراکنش برنامه ریزی شده])</f>
        <v>0</v>
      </c>
    </row>
    <row r="2161" spans="1:17" x14ac:dyDescent="0.25">
      <c r="A2161" s="3" t="s">
        <v>2777</v>
      </c>
      <c r="B2161" s="164" t="str">
        <f>RIGHT(TDays[[#This Row],[تاریخ]],2)</f>
        <v>29</v>
      </c>
      <c r="C2161" s="164" t="str">
        <f>RIGHT(LEFT(TDays[[#This Row],[تاریخ]],7),2)</f>
        <v>11</v>
      </c>
      <c r="D2161" s="164" t="str">
        <f>LEFT(TDays[[#This Row],[تاریخ]],4)</f>
        <v>1406</v>
      </c>
      <c r="E2161" s="164" t="str">
        <f>LEFT(TDays[[#This Row],[تاریخ]],7)</f>
        <v>1406-11</v>
      </c>
      <c r="F2161">
        <v>5</v>
      </c>
      <c r="G2161" s="165" t="str">
        <f>VLOOKUP(TDays[[#This Row],[کد روز هفته]],TDaysOfTheWeek[],2,FALSE)</f>
        <v>پنجشنبه</v>
      </c>
      <c r="H2161" s="165">
        <f>IFERROR(IF(E2160&lt;&gt;E2161,1,INT(H2160)+IF(TDays[[#This Row],[کد روز هفته]]=0,1,0)),1)</f>
        <v>5</v>
      </c>
      <c r="I2161" s="164">
        <f>-SUMIF(TArticle[تاریخ],TDays[[#This Row],[تاریخ]],TArticle[هزینه])</f>
        <v>0</v>
      </c>
      <c r="J2161" s="164">
        <f>SUMIF(TArticle[تاریخ],TDays[[#This Row],[تاریخ]],TArticle[درآمد تتا])</f>
        <v>0</v>
      </c>
      <c r="K2161" s="164">
        <f>SUMIF(TArticle[تاریخ],TDays[[#This Row],[تاریخ]],TArticle[اسنپ])</f>
        <v>0</v>
      </c>
      <c r="L2161" s="164">
        <f>-SUMIF(TArticle[تاریخ],TDays[[#This Row],[تاریخ]],TArticle[پرداخت بدهی])</f>
        <v>0</v>
      </c>
      <c r="M2161" s="164">
        <f>SUMIF(TArticle[تاریخ],TDays[[#This Row],[تاریخ]],TArticle[افزایش بدهی])</f>
        <v>0</v>
      </c>
      <c r="N2161" s="164">
        <f>-SUMIF(TArticle[تاریخ],TDays[[#This Row],[تاریخ]],TArticle[افزایش سرمایه])</f>
        <v>0</v>
      </c>
      <c r="O2161" s="164">
        <f>SUMIF(TArticle[تاریخ],TDays[[#This Row],[تاریخ]],TArticle[تعداد تراکنش انجام شده])</f>
        <v>0</v>
      </c>
      <c r="P2161" s="164">
        <f>INT(((TDays[[#This Row],[ماه]]-1)*31+TDays[[#This Row],[روز]]+1)/7)+1</f>
        <v>49</v>
      </c>
      <c r="Q2161" s="164">
        <f>SUMIF(TArticle[تاریخ],TDays[[#This Row],[تاریخ]],TArticle[تراکنش برنامه ریزی شده])</f>
        <v>0</v>
      </c>
    </row>
    <row r="2162" spans="1:17" x14ac:dyDescent="0.25">
      <c r="A2162" s="3" t="s">
        <v>2778</v>
      </c>
      <c r="B2162" s="164" t="str">
        <f>RIGHT(TDays[[#This Row],[تاریخ]],2)</f>
        <v>30</v>
      </c>
      <c r="C2162" s="164" t="str">
        <f>RIGHT(LEFT(TDays[[#This Row],[تاریخ]],7),2)</f>
        <v>11</v>
      </c>
      <c r="D2162" s="164" t="str">
        <f>LEFT(TDays[[#This Row],[تاریخ]],4)</f>
        <v>1406</v>
      </c>
      <c r="E2162" s="164" t="str">
        <f>LEFT(TDays[[#This Row],[تاریخ]],7)</f>
        <v>1406-11</v>
      </c>
      <c r="F2162">
        <v>6</v>
      </c>
      <c r="G2162" s="165" t="str">
        <f>VLOOKUP(TDays[[#This Row],[کد روز هفته]],TDaysOfTheWeek[],2,FALSE)</f>
        <v>جمعه</v>
      </c>
      <c r="H2162" s="165">
        <f>IFERROR(IF(E2161&lt;&gt;E2162,1,INT(H2161)+IF(TDays[[#This Row],[کد روز هفته]]=0,1,0)),1)</f>
        <v>5</v>
      </c>
      <c r="I2162" s="164">
        <f>-SUMIF(TArticle[تاریخ],TDays[[#This Row],[تاریخ]],TArticle[هزینه])</f>
        <v>0</v>
      </c>
      <c r="J2162" s="164">
        <f>SUMIF(TArticle[تاریخ],TDays[[#This Row],[تاریخ]],TArticle[درآمد تتا])</f>
        <v>0</v>
      </c>
      <c r="K2162" s="164">
        <f>SUMIF(TArticle[تاریخ],TDays[[#This Row],[تاریخ]],TArticle[اسنپ])</f>
        <v>0</v>
      </c>
      <c r="L2162" s="164">
        <f>-SUMIF(TArticle[تاریخ],TDays[[#This Row],[تاریخ]],TArticle[پرداخت بدهی])</f>
        <v>0</v>
      </c>
      <c r="M2162" s="164">
        <f>SUMIF(TArticle[تاریخ],TDays[[#This Row],[تاریخ]],TArticle[افزایش بدهی])</f>
        <v>0</v>
      </c>
      <c r="N2162" s="164">
        <f>-SUMIF(TArticle[تاریخ],TDays[[#This Row],[تاریخ]],TArticle[افزایش سرمایه])</f>
        <v>0</v>
      </c>
      <c r="O2162" s="164">
        <f>SUMIF(TArticle[تاریخ],TDays[[#This Row],[تاریخ]],TArticle[تعداد تراکنش انجام شده])</f>
        <v>0</v>
      </c>
      <c r="P2162" s="164">
        <f>INT(((TDays[[#This Row],[ماه]]-1)*31+TDays[[#This Row],[روز]]+1)/7)+1</f>
        <v>49</v>
      </c>
      <c r="Q2162" s="164">
        <f>SUMIF(TArticle[تاریخ],TDays[[#This Row],[تاریخ]],TArticle[تراکنش برنامه ریزی شده])</f>
        <v>0</v>
      </c>
    </row>
    <row r="2163" spans="1:17" x14ac:dyDescent="0.25">
      <c r="A2163" s="3" t="s">
        <v>2779</v>
      </c>
      <c r="B2163" s="164" t="str">
        <f>RIGHT(TDays[[#This Row],[تاریخ]],2)</f>
        <v>01</v>
      </c>
      <c r="C2163" s="164" t="str">
        <f>RIGHT(LEFT(TDays[[#This Row],[تاریخ]],7),2)</f>
        <v>12</v>
      </c>
      <c r="D2163" s="164" t="str">
        <f>LEFT(TDays[[#This Row],[تاریخ]],4)</f>
        <v>1406</v>
      </c>
      <c r="E2163" s="164" t="str">
        <f>LEFT(TDays[[#This Row],[تاریخ]],7)</f>
        <v>1406-12</v>
      </c>
      <c r="F2163">
        <v>0</v>
      </c>
      <c r="G2163" s="165" t="str">
        <f>VLOOKUP(TDays[[#This Row],[کد روز هفته]],TDaysOfTheWeek[],2,FALSE)</f>
        <v>شنبه</v>
      </c>
      <c r="H2163" s="165">
        <f>IFERROR(IF(E2162&lt;&gt;E2163,1,INT(H2162)+IF(TDays[[#This Row],[کد روز هفته]]=0,1,0)),1)</f>
        <v>1</v>
      </c>
      <c r="I2163" s="164">
        <f>-SUMIF(TArticle[تاریخ],TDays[[#This Row],[تاریخ]],TArticle[هزینه])</f>
        <v>0</v>
      </c>
      <c r="J2163" s="164">
        <f>SUMIF(TArticle[تاریخ],TDays[[#This Row],[تاریخ]],TArticle[درآمد تتا])</f>
        <v>0</v>
      </c>
      <c r="K2163" s="164">
        <f>SUMIF(TArticle[تاریخ],TDays[[#This Row],[تاریخ]],TArticle[اسنپ])</f>
        <v>0</v>
      </c>
      <c r="L2163" s="164">
        <f>-SUMIF(TArticle[تاریخ],TDays[[#This Row],[تاریخ]],TArticle[پرداخت بدهی])</f>
        <v>0</v>
      </c>
      <c r="M2163" s="164">
        <f>SUMIF(TArticle[تاریخ],TDays[[#This Row],[تاریخ]],TArticle[افزایش بدهی])</f>
        <v>0</v>
      </c>
      <c r="N2163" s="164">
        <f>-SUMIF(TArticle[تاریخ],TDays[[#This Row],[تاریخ]],TArticle[افزایش سرمایه])</f>
        <v>0</v>
      </c>
      <c r="O2163" s="164">
        <f>SUMIF(TArticle[تاریخ],TDays[[#This Row],[تاریخ]],TArticle[تعداد تراکنش انجام شده])</f>
        <v>0</v>
      </c>
      <c r="P2163" s="164">
        <f>INT(((TDays[[#This Row],[ماه]]-1)*31+TDays[[#This Row],[روز]]+1)/7)+1</f>
        <v>50</v>
      </c>
      <c r="Q2163" s="164">
        <f>SUMIF(TArticle[تاریخ],TDays[[#This Row],[تاریخ]],TArticle[تراکنش برنامه ریزی شده])</f>
        <v>0</v>
      </c>
    </row>
    <row r="2164" spans="1:17" x14ac:dyDescent="0.25">
      <c r="A2164" s="3" t="s">
        <v>2780</v>
      </c>
      <c r="B2164" s="164" t="str">
        <f>RIGHT(TDays[[#This Row],[تاریخ]],2)</f>
        <v>02</v>
      </c>
      <c r="C2164" s="164" t="str">
        <f>RIGHT(LEFT(TDays[[#This Row],[تاریخ]],7),2)</f>
        <v>12</v>
      </c>
      <c r="D2164" s="164" t="str">
        <f>LEFT(TDays[[#This Row],[تاریخ]],4)</f>
        <v>1406</v>
      </c>
      <c r="E2164" s="164" t="str">
        <f>LEFT(TDays[[#This Row],[تاریخ]],7)</f>
        <v>1406-12</v>
      </c>
      <c r="F2164">
        <v>1</v>
      </c>
      <c r="G2164" s="165" t="str">
        <f>VLOOKUP(TDays[[#This Row],[کد روز هفته]],TDaysOfTheWeek[],2,FALSE)</f>
        <v>یکشنبه</v>
      </c>
      <c r="H2164" s="165">
        <f>IFERROR(IF(E2163&lt;&gt;E2164,1,INT(H2163)+IF(TDays[[#This Row],[کد روز هفته]]=0,1,0)),1)</f>
        <v>1</v>
      </c>
      <c r="I2164" s="164">
        <f>-SUMIF(TArticle[تاریخ],TDays[[#This Row],[تاریخ]],TArticle[هزینه])</f>
        <v>0</v>
      </c>
      <c r="J2164" s="164">
        <f>SUMIF(TArticle[تاریخ],TDays[[#This Row],[تاریخ]],TArticle[درآمد تتا])</f>
        <v>0</v>
      </c>
      <c r="K2164" s="164">
        <f>SUMIF(TArticle[تاریخ],TDays[[#This Row],[تاریخ]],TArticle[اسنپ])</f>
        <v>0</v>
      </c>
      <c r="L2164" s="164">
        <f>-SUMIF(TArticle[تاریخ],TDays[[#This Row],[تاریخ]],TArticle[پرداخت بدهی])</f>
        <v>0</v>
      </c>
      <c r="M2164" s="164">
        <f>SUMIF(TArticle[تاریخ],TDays[[#This Row],[تاریخ]],TArticle[افزایش بدهی])</f>
        <v>0</v>
      </c>
      <c r="N2164" s="164">
        <f>-SUMIF(TArticle[تاریخ],TDays[[#This Row],[تاریخ]],TArticle[افزایش سرمایه])</f>
        <v>0</v>
      </c>
      <c r="O2164" s="164">
        <f>SUMIF(TArticle[تاریخ],TDays[[#This Row],[تاریخ]],TArticle[تعداد تراکنش انجام شده])</f>
        <v>0</v>
      </c>
      <c r="P2164" s="164">
        <f>INT(((TDays[[#This Row],[ماه]]-1)*31+TDays[[#This Row],[روز]]+1)/7)+1</f>
        <v>50</v>
      </c>
      <c r="Q2164" s="164">
        <f>SUMIF(TArticle[تاریخ],TDays[[#This Row],[تاریخ]],TArticle[تراکنش برنامه ریزی شده])</f>
        <v>0</v>
      </c>
    </row>
    <row r="2165" spans="1:17" x14ac:dyDescent="0.25">
      <c r="A2165" s="3" t="s">
        <v>2781</v>
      </c>
      <c r="B2165" s="164" t="str">
        <f>RIGHT(TDays[[#This Row],[تاریخ]],2)</f>
        <v>03</v>
      </c>
      <c r="C2165" s="164" t="str">
        <f>RIGHT(LEFT(TDays[[#This Row],[تاریخ]],7),2)</f>
        <v>12</v>
      </c>
      <c r="D2165" s="164" t="str">
        <f>LEFT(TDays[[#This Row],[تاریخ]],4)</f>
        <v>1406</v>
      </c>
      <c r="E2165" s="164" t="str">
        <f>LEFT(TDays[[#This Row],[تاریخ]],7)</f>
        <v>1406-12</v>
      </c>
      <c r="F2165">
        <v>2</v>
      </c>
      <c r="G2165" s="165" t="str">
        <f>VLOOKUP(TDays[[#This Row],[کد روز هفته]],TDaysOfTheWeek[],2,FALSE)</f>
        <v>دوشنبه</v>
      </c>
      <c r="H2165" s="165">
        <f>IFERROR(IF(E2164&lt;&gt;E2165,1,INT(H2164)+IF(TDays[[#This Row],[کد روز هفته]]=0,1,0)),1)</f>
        <v>1</v>
      </c>
      <c r="I2165" s="164">
        <f>-SUMIF(TArticle[تاریخ],TDays[[#This Row],[تاریخ]],TArticle[هزینه])</f>
        <v>0</v>
      </c>
      <c r="J2165" s="164">
        <f>SUMIF(TArticle[تاریخ],TDays[[#This Row],[تاریخ]],TArticle[درآمد تتا])</f>
        <v>0</v>
      </c>
      <c r="K2165" s="164">
        <f>SUMIF(TArticle[تاریخ],TDays[[#This Row],[تاریخ]],TArticle[اسنپ])</f>
        <v>0</v>
      </c>
      <c r="L2165" s="164">
        <f>-SUMIF(TArticle[تاریخ],TDays[[#This Row],[تاریخ]],TArticle[پرداخت بدهی])</f>
        <v>0</v>
      </c>
      <c r="M2165" s="164">
        <f>SUMIF(TArticle[تاریخ],TDays[[#This Row],[تاریخ]],TArticle[افزایش بدهی])</f>
        <v>0</v>
      </c>
      <c r="N2165" s="164">
        <f>-SUMIF(TArticle[تاریخ],TDays[[#This Row],[تاریخ]],TArticle[افزایش سرمایه])</f>
        <v>0</v>
      </c>
      <c r="O2165" s="164">
        <f>SUMIF(TArticle[تاریخ],TDays[[#This Row],[تاریخ]],TArticle[تعداد تراکنش انجام شده])</f>
        <v>0</v>
      </c>
      <c r="P2165" s="164">
        <f>INT(((TDays[[#This Row],[ماه]]-1)*31+TDays[[#This Row],[روز]]+1)/7)+1</f>
        <v>50</v>
      </c>
      <c r="Q2165" s="164">
        <f>SUMIF(TArticle[تاریخ],TDays[[#This Row],[تاریخ]],TArticle[تراکنش برنامه ریزی شده])</f>
        <v>1</v>
      </c>
    </row>
    <row r="2166" spans="1:17" x14ac:dyDescent="0.25">
      <c r="A2166" s="3" t="s">
        <v>2782</v>
      </c>
      <c r="B2166" s="164" t="str">
        <f>RIGHT(TDays[[#This Row],[تاریخ]],2)</f>
        <v>04</v>
      </c>
      <c r="C2166" s="164" t="str">
        <f>RIGHT(LEFT(TDays[[#This Row],[تاریخ]],7),2)</f>
        <v>12</v>
      </c>
      <c r="D2166" s="164" t="str">
        <f>LEFT(TDays[[#This Row],[تاریخ]],4)</f>
        <v>1406</v>
      </c>
      <c r="E2166" s="164" t="str">
        <f>LEFT(TDays[[#This Row],[تاریخ]],7)</f>
        <v>1406-12</v>
      </c>
      <c r="F2166">
        <v>3</v>
      </c>
      <c r="G2166" s="165" t="str">
        <f>VLOOKUP(TDays[[#This Row],[کد روز هفته]],TDaysOfTheWeek[],2,FALSE)</f>
        <v>سه شنبه</v>
      </c>
      <c r="H2166" s="165">
        <f>IFERROR(IF(E2165&lt;&gt;E2166,1,INT(H2165)+IF(TDays[[#This Row],[کد روز هفته]]=0,1,0)),1)</f>
        <v>1</v>
      </c>
      <c r="I2166" s="164">
        <f>-SUMIF(TArticle[تاریخ],TDays[[#This Row],[تاریخ]],TArticle[هزینه])</f>
        <v>0</v>
      </c>
      <c r="J2166" s="164">
        <f>SUMIF(TArticle[تاریخ],TDays[[#This Row],[تاریخ]],TArticle[درآمد تتا])</f>
        <v>0</v>
      </c>
      <c r="K2166" s="164">
        <f>SUMIF(TArticle[تاریخ],TDays[[#This Row],[تاریخ]],TArticle[اسنپ])</f>
        <v>0</v>
      </c>
      <c r="L2166" s="164">
        <f>-SUMIF(TArticle[تاریخ],TDays[[#This Row],[تاریخ]],TArticle[پرداخت بدهی])</f>
        <v>0</v>
      </c>
      <c r="M2166" s="164">
        <f>SUMIF(TArticle[تاریخ],TDays[[#This Row],[تاریخ]],TArticle[افزایش بدهی])</f>
        <v>0</v>
      </c>
      <c r="N2166" s="164">
        <f>-SUMIF(TArticle[تاریخ],TDays[[#This Row],[تاریخ]],TArticle[افزایش سرمایه])</f>
        <v>0</v>
      </c>
      <c r="O2166" s="164">
        <f>SUMIF(TArticle[تاریخ],TDays[[#This Row],[تاریخ]],TArticle[تعداد تراکنش انجام شده])</f>
        <v>0</v>
      </c>
      <c r="P2166" s="164">
        <f>INT(((TDays[[#This Row],[ماه]]-1)*31+TDays[[#This Row],[روز]]+1)/7)+1</f>
        <v>50</v>
      </c>
      <c r="Q2166" s="164">
        <f>SUMIF(TArticle[تاریخ],TDays[[#This Row],[تاریخ]],TArticle[تراکنش برنامه ریزی شده])</f>
        <v>0</v>
      </c>
    </row>
    <row r="2167" spans="1:17" x14ac:dyDescent="0.25">
      <c r="A2167" s="3" t="s">
        <v>2783</v>
      </c>
      <c r="B2167" s="164" t="str">
        <f>RIGHT(TDays[[#This Row],[تاریخ]],2)</f>
        <v>05</v>
      </c>
      <c r="C2167" s="164" t="str">
        <f>RIGHT(LEFT(TDays[[#This Row],[تاریخ]],7),2)</f>
        <v>12</v>
      </c>
      <c r="D2167" s="164" t="str">
        <f>LEFT(TDays[[#This Row],[تاریخ]],4)</f>
        <v>1406</v>
      </c>
      <c r="E2167" s="164" t="str">
        <f>LEFT(TDays[[#This Row],[تاریخ]],7)</f>
        <v>1406-12</v>
      </c>
      <c r="F2167">
        <v>4</v>
      </c>
      <c r="G2167" s="165" t="str">
        <f>VLOOKUP(TDays[[#This Row],[کد روز هفته]],TDaysOfTheWeek[],2,FALSE)</f>
        <v>چهارشنبه</v>
      </c>
      <c r="H2167" s="165">
        <f>IFERROR(IF(E2166&lt;&gt;E2167,1,INT(H2166)+IF(TDays[[#This Row],[کد روز هفته]]=0,1,0)),1)</f>
        <v>1</v>
      </c>
      <c r="I2167" s="164">
        <f>-SUMIF(TArticle[تاریخ],TDays[[#This Row],[تاریخ]],TArticle[هزینه])</f>
        <v>0</v>
      </c>
      <c r="J2167" s="164">
        <f>SUMIF(TArticle[تاریخ],TDays[[#This Row],[تاریخ]],TArticle[درآمد تتا])</f>
        <v>0</v>
      </c>
      <c r="K2167" s="164">
        <f>SUMIF(TArticle[تاریخ],TDays[[#This Row],[تاریخ]],TArticle[اسنپ])</f>
        <v>0</v>
      </c>
      <c r="L2167" s="164">
        <f>-SUMIF(TArticle[تاریخ],TDays[[#This Row],[تاریخ]],TArticle[پرداخت بدهی])</f>
        <v>0</v>
      </c>
      <c r="M2167" s="164">
        <f>SUMIF(TArticle[تاریخ],TDays[[#This Row],[تاریخ]],TArticle[افزایش بدهی])</f>
        <v>0</v>
      </c>
      <c r="N2167" s="164">
        <f>-SUMIF(TArticle[تاریخ],TDays[[#This Row],[تاریخ]],TArticle[افزایش سرمایه])</f>
        <v>0</v>
      </c>
      <c r="O2167" s="164">
        <f>SUMIF(TArticle[تاریخ],TDays[[#This Row],[تاریخ]],TArticle[تعداد تراکنش انجام شده])</f>
        <v>0</v>
      </c>
      <c r="P2167" s="164">
        <f>INT(((TDays[[#This Row],[ماه]]-1)*31+TDays[[#This Row],[روز]]+1)/7)+1</f>
        <v>50</v>
      </c>
      <c r="Q2167" s="164">
        <f>SUMIF(TArticle[تاریخ],TDays[[#This Row],[تاریخ]],TArticle[تراکنش برنامه ریزی شده])</f>
        <v>0</v>
      </c>
    </row>
    <row r="2168" spans="1:17" x14ac:dyDescent="0.25">
      <c r="A2168" s="3" t="s">
        <v>2784</v>
      </c>
      <c r="B2168" s="164" t="str">
        <f>RIGHT(TDays[[#This Row],[تاریخ]],2)</f>
        <v>06</v>
      </c>
      <c r="C2168" s="164" t="str">
        <f>RIGHT(LEFT(TDays[[#This Row],[تاریخ]],7),2)</f>
        <v>12</v>
      </c>
      <c r="D2168" s="164" t="str">
        <f>LEFT(TDays[[#This Row],[تاریخ]],4)</f>
        <v>1406</v>
      </c>
      <c r="E2168" s="164" t="str">
        <f>LEFT(TDays[[#This Row],[تاریخ]],7)</f>
        <v>1406-12</v>
      </c>
      <c r="F2168">
        <v>5</v>
      </c>
      <c r="G2168" s="165" t="str">
        <f>VLOOKUP(TDays[[#This Row],[کد روز هفته]],TDaysOfTheWeek[],2,FALSE)</f>
        <v>پنجشنبه</v>
      </c>
      <c r="H2168" s="165">
        <f>IFERROR(IF(E2167&lt;&gt;E2168,1,INT(H2167)+IF(TDays[[#This Row],[کد روز هفته]]=0,1,0)),1)</f>
        <v>1</v>
      </c>
      <c r="I2168" s="164">
        <f>-SUMIF(TArticle[تاریخ],TDays[[#This Row],[تاریخ]],TArticle[هزینه])</f>
        <v>0</v>
      </c>
      <c r="J2168" s="164">
        <f>SUMIF(TArticle[تاریخ],TDays[[#This Row],[تاریخ]],TArticle[درآمد تتا])</f>
        <v>0</v>
      </c>
      <c r="K2168" s="164">
        <f>SUMIF(TArticle[تاریخ],TDays[[#This Row],[تاریخ]],TArticle[اسنپ])</f>
        <v>0</v>
      </c>
      <c r="L2168" s="164">
        <f>-SUMIF(TArticle[تاریخ],TDays[[#This Row],[تاریخ]],TArticle[پرداخت بدهی])</f>
        <v>0</v>
      </c>
      <c r="M2168" s="164">
        <f>SUMIF(TArticle[تاریخ],TDays[[#This Row],[تاریخ]],TArticle[افزایش بدهی])</f>
        <v>0</v>
      </c>
      <c r="N2168" s="164">
        <f>-SUMIF(TArticle[تاریخ],TDays[[#This Row],[تاریخ]],TArticle[افزایش سرمایه])</f>
        <v>0</v>
      </c>
      <c r="O2168" s="164">
        <f>SUMIF(TArticle[تاریخ],TDays[[#This Row],[تاریخ]],TArticle[تعداد تراکنش انجام شده])</f>
        <v>0</v>
      </c>
      <c r="P2168" s="164">
        <f>INT(((TDays[[#This Row],[ماه]]-1)*31+TDays[[#This Row],[روز]]+1)/7)+1</f>
        <v>50</v>
      </c>
      <c r="Q2168" s="164">
        <f>SUMIF(TArticle[تاریخ],TDays[[#This Row],[تاریخ]],TArticle[تراکنش برنامه ریزی شده])</f>
        <v>0</v>
      </c>
    </row>
    <row r="2169" spans="1:17" x14ac:dyDescent="0.25">
      <c r="A2169" s="3" t="s">
        <v>2785</v>
      </c>
      <c r="B2169" s="164" t="str">
        <f>RIGHT(TDays[[#This Row],[تاریخ]],2)</f>
        <v>07</v>
      </c>
      <c r="C2169" s="164" t="str">
        <f>RIGHT(LEFT(TDays[[#This Row],[تاریخ]],7),2)</f>
        <v>12</v>
      </c>
      <c r="D2169" s="164" t="str">
        <f>LEFT(TDays[[#This Row],[تاریخ]],4)</f>
        <v>1406</v>
      </c>
      <c r="E2169" s="164" t="str">
        <f>LEFT(TDays[[#This Row],[تاریخ]],7)</f>
        <v>1406-12</v>
      </c>
      <c r="F2169">
        <v>6</v>
      </c>
      <c r="G2169" s="165" t="str">
        <f>VLOOKUP(TDays[[#This Row],[کد روز هفته]],TDaysOfTheWeek[],2,FALSE)</f>
        <v>جمعه</v>
      </c>
      <c r="H2169" s="165">
        <f>IFERROR(IF(E2168&lt;&gt;E2169,1,INT(H2168)+IF(TDays[[#This Row],[کد روز هفته]]=0,1,0)),1)</f>
        <v>1</v>
      </c>
      <c r="I2169" s="164">
        <f>-SUMIF(TArticle[تاریخ],TDays[[#This Row],[تاریخ]],TArticle[هزینه])</f>
        <v>0</v>
      </c>
      <c r="J2169" s="164">
        <f>SUMIF(TArticle[تاریخ],TDays[[#This Row],[تاریخ]],TArticle[درآمد تتا])</f>
        <v>0</v>
      </c>
      <c r="K2169" s="164">
        <f>SUMIF(TArticle[تاریخ],TDays[[#This Row],[تاریخ]],TArticle[اسنپ])</f>
        <v>0</v>
      </c>
      <c r="L2169" s="164">
        <f>-SUMIF(TArticle[تاریخ],TDays[[#This Row],[تاریخ]],TArticle[پرداخت بدهی])</f>
        <v>0</v>
      </c>
      <c r="M2169" s="164">
        <f>SUMIF(TArticle[تاریخ],TDays[[#This Row],[تاریخ]],TArticle[افزایش بدهی])</f>
        <v>0</v>
      </c>
      <c r="N2169" s="164">
        <f>-SUMIF(TArticle[تاریخ],TDays[[#This Row],[تاریخ]],TArticle[افزایش سرمایه])</f>
        <v>0</v>
      </c>
      <c r="O2169" s="164">
        <f>SUMIF(TArticle[تاریخ],TDays[[#This Row],[تاریخ]],TArticle[تعداد تراکنش انجام شده])</f>
        <v>0</v>
      </c>
      <c r="P2169" s="164">
        <f>INT(((TDays[[#This Row],[ماه]]-1)*31+TDays[[#This Row],[روز]]+1)/7)+1</f>
        <v>50</v>
      </c>
      <c r="Q2169" s="164">
        <f>SUMIF(TArticle[تاریخ],TDays[[#This Row],[تاریخ]],TArticle[تراکنش برنامه ریزی شده])</f>
        <v>0</v>
      </c>
    </row>
    <row r="2170" spans="1:17" x14ac:dyDescent="0.25">
      <c r="A2170" s="3" t="s">
        <v>2786</v>
      </c>
      <c r="B2170" s="164" t="str">
        <f>RIGHT(TDays[[#This Row],[تاریخ]],2)</f>
        <v>08</v>
      </c>
      <c r="C2170" s="164" t="str">
        <f>RIGHT(LEFT(TDays[[#This Row],[تاریخ]],7),2)</f>
        <v>12</v>
      </c>
      <c r="D2170" s="164" t="str">
        <f>LEFT(TDays[[#This Row],[تاریخ]],4)</f>
        <v>1406</v>
      </c>
      <c r="E2170" s="164" t="str">
        <f>LEFT(TDays[[#This Row],[تاریخ]],7)</f>
        <v>1406-12</v>
      </c>
      <c r="F2170">
        <v>0</v>
      </c>
      <c r="G2170" s="165" t="str">
        <f>VLOOKUP(TDays[[#This Row],[کد روز هفته]],TDaysOfTheWeek[],2,FALSE)</f>
        <v>شنبه</v>
      </c>
      <c r="H2170" s="165">
        <f>IFERROR(IF(E2169&lt;&gt;E2170,1,INT(H2169)+IF(TDays[[#This Row],[کد روز هفته]]=0,1,0)),1)</f>
        <v>2</v>
      </c>
      <c r="I2170" s="164">
        <f>-SUMIF(TArticle[تاریخ],TDays[[#This Row],[تاریخ]],TArticle[هزینه])</f>
        <v>0</v>
      </c>
      <c r="J2170" s="164">
        <f>SUMIF(TArticle[تاریخ],TDays[[#This Row],[تاریخ]],TArticle[درآمد تتا])</f>
        <v>0</v>
      </c>
      <c r="K2170" s="164">
        <f>SUMIF(TArticle[تاریخ],TDays[[#This Row],[تاریخ]],TArticle[اسنپ])</f>
        <v>0</v>
      </c>
      <c r="L2170" s="164">
        <f>-SUMIF(TArticle[تاریخ],TDays[[#This Row],[تاریخ]],TArticle[پرداخت بدهی])</f>
        <v>0</v>
      </c>
      <c r="M2170" s="164">
        <f>SUMIF(TArticle[تاریخ],TDays[[#This Row],[تاریخ]],TArticle[افزایش بدهی])</f>
        <v>0</v>
      </c>
      <c r="N2170" s="164">
        <f>-SUMIF(TArticle[تاریخ],TDays[[#This Row],[تاریخ]],TArticle[افزایش سرمایه])</f>
        <v>0</v>
      </c>
      <c r="O2170" s="164">
        <f>SUMIF(TArticle[تاریخ],TDays[[#This Row],[تاریخ]],TArticle[تعداد تراکنش انجام شده])</f>
        <v>0</v>
      </c>
      <c r="P2170" s="164">
        <f>INT(((TDays[[#This Row],[ماه]]-1)*31+TDays[[#This Row],[روز]]+1)/7)+1</f>
        <v>51</v>
      </c>
      <c r="Q2170" s="164">
        <f>SUMIF(TArticle[تاریخ],TDays[[#This Row],[تاریخ]],TArticle[تراکنش برنامه ریزی شده])</f>
        <v>0</v>
      </c>
    </row>
    <row r="2171" spans="1:17" x14ac:dyDescent="0.25">
      <c r="A2171" s="3" t="s">
        <v>2787</v>
      </c>
      <c r="B2171" s="164" t="str">
        <f>RIGHT(TDays[[#This Row],[تاریخ]],2)</f>
        <v>09</v>
      </c>
      <c r="C2171" s="164" t="str">
        <f>RIGHT(LEFT(TDays[[#This Row],[تاریخ]],7),2)</f>
        <v>12</v>
      </c>
      <c r="D2171" s="164" t="str">
        <f>LEFT(TDays[[#This Row],[تاریخ]],4)</f>
        <v>1406</v>
      </c>
      <c r="E2171" s="164" t="str">
        <f>LEFT(TDays[[#This Row],[تاریخ]],7)</f>
        <v>1406-12</v>
      </c>
      <c r="F2171">
        <v>1</v>
      </c>
      <c r="G2171" s="165" t="str">
        <f>VLOOKUP(TDays[[#This Row],[کد روز هفته]],TDaysOfTheWeek[],2,FALSE)</f>
        <v>یکشنبه</v>
      </c>
      <c r="H2171" s="165">
        <f>IFERROR(IF(E2170&lt;&gt;E2171,1,INT(H2170)+IF(TDays[[#This Row],[کد روز هفته]]=0,1,0)),1)</f>
        <v>2</v>
      </c>
      <c r="I2171" s="164">
        <f>-SUMIF(TArticle[تاریخ],TDays[[#This Row],[تاریخ]],TArticle[هزینه])</f>
        <v>0</v>
      </c>
      <c r="J2171" s="164">
        <f>SUMIF(TArticle[تاریخ],TDays[[#This Row],[تاریخ]],TArticle[درآمد تتا])</f>
        <v>0</v>
      </c>
      <c r="K2171" s="164">
        <f>SUMIF(TArticle[تاریخ],TDays[[#This Row],[تاریخ]],TArticle[اسنپ])</f>
        <v>0</v>
      </c>
      <c r="L2171" s="164">
        <f>-SUMIF(TArticle[تاریخ],TDays[[#This Row],[تاریخ]],TArticle[پرداخت بدهی])</f>
        <v>0</v>
      </c>
      <c r="M2171" s="164">
        <f>SUMIF(TArticle[تاریخ],TDays[[#This Row],[تاریخ]],TArticle[افزایش بدهی])</f>
        <v>0</v>
      </c>
      <c r="N2171" s="164">
        <f>-SUMIF(TArticle[تاریخ],TDays[[#This Row],[تاریخ]],TArticle[افزایش سرمایه])</f>
        <v>0</v>
      </c>
      <c r="O2171" s="164">
        <f>SUMIF(TArticle[تاریخ],TDays[[#This Row],[تاریخ]],TArticle[تعداد تراکنش انجام شده])</f>
        <v>0</v>
      </c>
      <c r="P2171" s="164">
        <f>INT(((TDays[[#This Row],[ماه]]-1)*31+TDays[[#This Row],[روز]]+1)/7)+1</f>
        <v>51</v>
      </c>
      <c r="Q2171" s="164">
        <f>SUMIF(TArticle[تاریخ],TDays[[#This Row],[تاریخ]],TArticle[تراکنش برنامه ریزی شده])</f>
        <v>0</v>
      </c>
    </row>
    <row r="2172" spans="1:17" x14ac:dyDescent="0.25">
      <c r="A2172" s="3" t="s">
        <v>2788</v>
      </c>
      <c r="B2172" s="164" t="str">
        <f>RIGHT(TDays[[#This Row],[تاریخ]],2)</f>
        <v>10</v>
      </c>
      <c r="C2172" s="164" t="str">
        <f>RIGHT(LEFT(TDays[[#This Row],[تاریخ]],7),2)</f>
        <v>12</v>
      </c>
      <c r="D2172" s="164" t="str">
        <f>LEFT(TDays[[#This Row],[تاریخ]],4)</f>
        <v>1406</v>
      </c>
      <c r="E2172" s="164" t="str">
        <f>LEFT(TDays[[#This Row],[تاریخ]],7)</f>
        <v>1406-12</v>
      </c>
      <c r="F2172">
        <v>2</v>
      </c>
      <c r="G2172" s="165" t="str">
        <f>VLOOKUP(TDays[[#This Row],[کد روز هفته]],TDaysOfTheWeek[],2,FALSE)</f>
        <v>دوشنبه</v>
      </c>
      <c r="H2172" s="165">
        <f>IFERROR(IF(E2171&lt;&gt;E2172,1,INT(H2171)+IF(TDays[[#This Row],[کد روز هفته]]=0,1,0)),1)</f>
        <v>2</v>
      </c>
      <c r="I2172" s="164">
        <f>-SUMIF(TArticle[تاریخ],TDays[[#This Row],[تاریخ]],TArticle[هزینه])</f>
        <v>0</v>
      </c>
      <c r="J2172" s="164">
        <f>SUMIF(TArticle[تاریخ],TDays[[#This Row],[تاریخ]],TArticle[درآمد تتا])</f>
        <v>0</v>
      </c>
      <c r="K2172" s="164">
        <f>SUMIF(TArticle[تاریخ],TDays[[#This Row],[تاریخ]],TArticle[اسنپ])</f>
        <v>0</v>
      </c>
      <c r="L2172" s="164">
        <f>-SUMIF(TArticle[تاریخ],TDays[[#This Row],[تاریخ]],TArticle[پرداخت بدهی])</f>
        <v>0</v>
      </c>
      <c r="M2172" s="164">
        <f>SUMIF(TArticle[تاریخ],TDays[[#This Row],[تاریخ]],TArticle[افزایش بدهی])</f>
        <v>0</v>
      </c>
      <c r="N2172" s="164">
        <f>-SUMIF(TArticle[تاریخ],TDays[[#This Row],[تاریخ]],TArticle[افزایش سرمایه])</f>
        <v>0</v>
      </c>
      <c r="O2172" s="164">
        <f>SUMIF(TArticle[تاریخ],TDays[[#This Row],[تاریخ]],TArticle[تعداد تراکنش انجام شده])</f>
        <v>0</v>
      </c>
      <c r="P2172" s="164">
        <f>INT(((TDays[[#This Row],[ماه]]-1)*31+TDays[[#This Row],[روز]]+1)/7)+1</f>
        <v>51</v>
      </c>
      <c r="Q2172" s="164">
        <f>SUMIF(TArticle[تاریخ],TDays[[#This Row],[تاریخ]],TArticle[تراکنش برنامه ریزی شده])</f>
        <v>0</v>
      </c>
    </row>
    <row r="2173" spans="1:17" x14ac:dyDescent="0.25">
      <c r="A2173" s="3" t="s">
        <v>2789</v>
      </c>
      <c r="B2173" s="164" t="str">
        <f>RIGHT(TDays[[#This Row],[تاریخ]],2)</f>
        <v>11</v>
      </c>
      <c r="C2173" s="164" t="str">
        <f>RIGHT(LEFT(TDays[[#This Row],[تاریخ]],7),2)</f>
        <v>12</v>
      </c>
      <c r="D2173" s="164" t="str">
        <f>LEFT(TDays[[#This Row],[تاریخ]],4)</f>
        <v>1406</v>
      </c>
      <c r="E2173" s="164" t="str">
        <f>LEFT(TDays[[#This Row],[تاریخ]],7)</f>
        <v>1406-12</v>
      </c>
      <c r="F2173">
        <v>3</v>
      </c>
      <c r="G2173" s="165" t="str">
        <f>VLOOKUP(TDays[[#This Row],[کد روز هفته]],TDaysOfTheWeek[],2,FALSE)</f>
        <v>سه شنبه</v>
      </c>
      <c r="H2173" s="165">
        <f>IFERROR(IF(E2172&lt;&gt;E2173,1,INT(H2172)+IF(TDays[[#This Row],[کد روز هفته]]=0,1,0)),1)</f>
        <v>2</v>
      </c>
      <c r="I2173" s="164">
        <f>-SUMIF(TArticle[تاریخ],TDays[[#This Row],[تاریخ]],TArticle[هزینه])</f>
        <v>0</v>
      </c>
      <c r="J2173" s="164">
        <f>SUMIF(TArticle[تاریخ],TDays[[#This Row],[تاریخ]],TArticle[درآمد تتا])</f>
        <v>0</v>
      </c>
      <c r="K2173" s="164">
        <f>SUMIF(TArticle[تاریخ],TDays[[#This Row],[تاریخ]],TArticle[اسنپ])</f>
        <v>0</v>
      </c>
      <c r="L2173" s="164">
        <f>-SUMIF(TArticle[تاریخ],TDays[[#This Row],[تاریخ]],TArticle[پرداخت بدهی])</f>
        <v>0</v>
      </c>
      <c r="M2173" s="164">
        <f>SUMIF(TArticle[تاریخ],TDays[[#This Row],[تاریخ]],TArticle[افزایش بدهی])</f>
        <v>0</v>
      </c>
      <c r="N2173" s="164">
        <f>-SUMIF(TArticle[تاریخ],TDays[[#This Row],[تاریخ]],TArticle[افزایش سرمایه])</f>
        <v>0</v>
      </c>
      <c r="O2173" s="164">
        <f>SUMIF(TArticle[تاریخ],TDays[[#This Row],[تاریخ]],TArticle[تعداد تراکنش انجام شده])</f>
        <v>0</v>
      </c>
      <c r="P2173" s="164">
        <f>INT(((TDays[[#This Row],[ماه]]-1)*31+TDays[[#This Row],[روز]]+1)/7)+1</f>
        <v>51</v>
      </c>
      <c r="Q2173" s="164">
        <f>SUMIF(TArticle[تاریخ],TDays[[#This Row],[تاریخ]],TArticle[تراکنش برنامه ریزی شده])</f>
        <v>0</v>
      </c>
    </row>
    <row r="2174" spans="1:17" x14ac:dyDescent="0.25">
      <c r="A2174" s="3" t="s">
        <v>2790</v>
      </c>
      <c r="B2174" s="164" t="str">
        <f>RIGHT(TDays[[#This Row],[تاریخ]],2)</f>
        <v>12</v>
      </c>
      <c r="C2174" s="164" t="str">
        <f>RIGHT(LEFT(TDays[[#This Row],[تاریخ]],7),2)</f>
        <v>12</v>
      </c>
      <c r="D2174" s="164" t="str">
        <f>LEFT(TDays[[#This Row],[تاریخ]],4)</f>
        <v>1406</v>
      </c>
      <c r="E2174" s="164" t="str">
        <f>LEFT(TDays[[#This Row],[تاریخ]],7)</f>
        <v>1406-12</v>
      </c>
      <c r="F2174">
        <v>4</v>
      </c>
      <c r="G2174" s="165" t="str">
        <f>VLOOKUP(TDays[[#This Row],[کد روز هفته]],TDaysOfTheWeek[],2,FALSE)</f>
        <v>چهارشنبه</v>
      </c>
      <c r="H2174" s="165">
        <f>IFERROR(IF(E2173&lt;&gt;E2174,1,INT(H2173)+IF(TDays[[#This Row],[کد روز هفته]]=0,1,0)),1)</f>
        <v>2</v>
      </c>
      <c r="I2174" s="164">
        <f>-SUMIF(TArticle[تاریخ],TDays[[#This Row],[تاریخ]],TArticle[هزینه])</f>
        <v>0</v>
      </c>
      <c r="J2174" s="164">
        <f>SUMIF(TArticle[تاریخ],TDays[[#This Row],[تاریخ]],TArticle[درآمد تتا])</f>
        <v>0</v>
      </c>
      <c r="K2174" s="164">
        <f>SUMIF(TArticle[تاریخ],TDays[[#This Row],[تاریخ]],TArticle[اسنپ])</f>
        <v>0</v>
      </c>
      <c r="L2174" s="164">
        <f>-SUMIF(TArticle[تاریخ],TDays[[#This Row],[تاریخ]],TArticle[پرداخت بدهی])</f>
        <v>0</v>
      </c>
      <c r="M2174" s="164">
        <f>SUMIF(TArticle[تاریخ],TDays[[#This Row],[تاریخ]],TArticle[افزایش بدهی])</f>
        <v>0</v>
      </c>
      <c r="N2174" s="164">
        <f>-SUMIF(TArticle[تاریخ],TDays[[#This Row],[تاریخ]],TArticle[افزایش سرمایه])</f>
        <v>0</v>
      </c>
      <c r="O2174" s="164">
        <f>SUMIF(TArticle[تاریخ],TDays[[#This Row],[تاریخ]],TArticle[تعداد تراکنش انجام شده])</f>
        <v>0</v>
      </c>
      <c r="P2174" s="164">
        <f>INT(((TDays[[#This Row],[ماه]]-1)*31+TDays[[#This Row],[روز]]+1)/7)+1</f>
        <v>51</v>
      </c>
      <c r="Q2174" s="164">
        <f>SUMIF(TArticle[تاریخ],TDays[[#This Row],[تاریخ]],TArticle[تراکنش برنامه ریزی شده])</f>
        <v>0</v>
      </c>
    </row>
    <row r="2175" spans="1:17" x14ac:dyDescent="0.25">
      <c r="A2175" s="3" t="s">
        <v>2791</v>
      </c>
      <c r="B2175" s="164" t="str">
        <f>RIGHT(TDays[[#This Row],[تاریخ]],2)</f>
        <v>13</v>
      </c>
      <c r="C2175" s="164" t="str">
        <f>RIGHT(LEFT(TDays[[#This Row],[تاریخ]],7),2)</f>
        <v>12</v>
      </c>
      <c r="D2175" s="164" t="str">
        <f>LEFT(TDays[[#This Row],[تاریخ]],4)</f>
        <v>1406</v>
      </c>
      <c r="E2175" s="164" t="str">
        <f>LEFT(TDays[[#This Row],[تاریخ]],7)</f>
        <v>1406-12</v>
      </c>
      <c r="F2175">
        <v>5</v>
      </c>
      <c r="G2175" s="165" t="str">
        <f>VLOOKUP(TDays[[#This Row],[کد روز هفته]],TDaysOfTheWeek[],2,FALSE)</f>
        <v>پنجشنبه</v>
      </c>
      <c r="H2175" s="165">
        <f>IFERROR(IF(E2174&lt;&gt;E2175,1,INT(H2174)+IF(TDays[[#This Row],[کد روز هفته]]=0,1,0)),1)</f>
        <v>2</v>
      </c>
      <c r="I2175" s="164">
        <f>-SUMIF(TArticle[تاریخ],TDays[[#This Row],[تاریخ]],TArticle[هزینه])</f>
        <v>0</v>
      </c>
      <c r="J2175" s="164">
        <f>SUMIF(TArticle[تاریخ],TDays[[#This Row],[تاریخ]],TArticle[درآمد تتا])</f>
        <v>0</v>
      </c>
      <c r="K2175" s="164">
        <f>SUMIF(TArticle[تاریخ],TDays[[#This Row],[تاریخ]],TArticle[اسنپ])</f>
        <v>0</v>
      </c>
      <c r="L2175" s="164">
        <f>-SUMIF(TArticle[تاریخ],TDays[[#This Row],[تاریخ]],TArticle[پرداخت بدهی])</f>
        <v>0</v>
      </c>
      <c r="M2175" s="164">
        <f>SUMIF(TArticle[تاریخ],TDays[[#This Row],[تاریخ]],TArticle[افزایش بدهی])</f>
        <v>0</v>
      </c>
      <c r="N2175" s="164">
        <f>-SUMIF(TArticle[تاریخ],TDays[[#This Row],[تاریخ]],TArticle[افزایش سرمایه])</f>
        <v>0</v>
      </c>
      <c r="O2175" s="164">
        <f>SUMIF(TArticle[تاریخ],TDays[[#This Row],[تاریخ]],TArticle[تعداد تراکنش انجام شده])</f>
        <v>0</v>
      </c>
      <c r="P2175" s="164">
        <f>INT(((TDays[[#This Row],[ماه]]-1)*31+TDays[[#This Row],[روز]]+1)/7)+1</f>
        <v>51</v>
      </c>
      <c r="Q2175" s="164">
        <f>SUMIF(TArticle[تاریخ],TDays[[#This Row],[تاریخ]],TArticle[تراکنش برنامه ریزی شده])</f>
        <v>0</v>
      </c>
    </row>
    <row r="2176" spans="1:17" x14ac:dyDescent="0.25">
      <c r="A2176" s="3" t="s">
        <v>2792</v>
      </c>
      <c r="B2176" s="164" t="str">
        <f>RIGHT(TDays[[#This Row],[تاریخ]],2)</f>
        <v>14</v>
      </c>
      <c r="C2176" s="164" t="str">
        <f>RIGHT(LEFT(TDays[[#This Row],[تاریخ]],7),2)</f>
        <v>12</v>
      </c>
      <c r="D2176" s="164" t="str">
        <f>LEFT(TDays[[#This Row],[تاریخ]],4)</f>
        <v>1406</v>
      </c>
      <c r="E2176" s="164" t="str">
        <f>LEFT(TDays[[#This Row],[تاریخ]],7)</f>
        <v>1406-12</v>
      </c>
      <c r="F2176">
        <v>6</v>
      </c>
      <c r="G2176" s="165" t="str">
        <f>VLOOKUP(TDays[[#This Row],[کد روز هفته]],TDaysOfTheWeek[],2,FALSE)</f>
        <v>جمعه</v>
      </c>
      <c r="H2176" s="165">
        <f>IFERROR(IF(E2175&lt;&gt;E2176,1,INT(H2175)+IF(TDays[[#This Row],[کد روز هفته]]=0,1,0)),1)</f>
        <v>2</v>
      </c>
      <c r="I2176" s="164">
        <f>-SUMIF(TArticle[تاریخ],TDays[[#This Row],[تاریخ]],TArticle[هزینه])</f>
        <v>0</v>
      </c>
      <c r="J2176" s="164">
        <f>SUMIF(TArticle[تاریخ],TDays[[#This Row],[تاریخ]],TArticle[درآمد تتا])</f>
        <v>0</v>
      </c>
      <c r="K2176" s="164">
        <f>SUMIF(TArticle[تاریخ],TDays[[#This Row],[تاریخ]],TArticle[اسنپ])</f>
        <v>0</v>
      </c>
      <c r="L2176" s="164">
        <f>-SUMIF(TArticle[تاریخ],TDays[[#This Row],[تاریخ]],TArticle[پرداخت بدهی])</f>
        <v>0</v>
      </c>
      <c r="M2176" s="164">
        <f>SUMIF(TArticle[تاریخ],TDays[[#This Row],[تاریخ]],TArticle[افزایش بدهی])</f>
        <v>0</v>
      </c>
      <c r="N2176" s="164">
        <f>-SUMIF(TArticle[تاریخ],TDays[[#This Row],[تاریخ]],TArticle[افزایش سرمایه])</f>
        <v>0</v>
      </c>
      <c r="O2176" s="164">
        <f>SUMIF(TArticle[تاریخ],TDays[[#This Row],[تاریخ]],TArticle[تعداد تراکنش انجام شده])</f>
        <v>0</v>
      </c>
      <c r="P2176" s="164">
        <f>INT(((TDays[[#This Row],[ماه]]-1)*31+TDays[[#This Row],[روز]]+1)/7)+1</f>
        <v>51</v>
      </c>
      <c r="Q2176" s="164">
        <f>SUMIF(TArticle[تاریخ],TDays[[#This Row],[تاریخ]],TArticle[تراکنش برنامه ریزی شده])</f>
        <v>0</v>
      </c>
    </row>
    <row r="2177" spans="1:17" x14ac:dyDescent="0.25">
      <c r="A2177" s="3" t="s">
        <v>2793</v>
      </c>
      <c r="B2177" s="164" t="str">
        <f>RIGHT(TDays[[#This Row],[تاریخ]],2)</f>
        <v>15</v>
      </c>
      <c r="C2177" s="164" t="str">
        <f>RIGHT(LEFT(TDays[[#This Row],[تاریخ]],7),2)</f>
        <v>12</v>
      </c>
      <c r="D2177" s="164" t="str">
        <f>LEFT(TDays[[#This Row],[تاریخ]],4)</f>
        <v>1406</v>
      </c>
      <c r="E2177" s="164" t="str">
        <f>LEFT(TDays[[#This Row],[تاریخ]],7)</f>
        <v>1406-12</v>
      </c>
      <c r="F2177">
        <v>0</v>
      </c>
      <c r="G2177" s="165" t="str">
        <f>VLOOKUP(TDays[[#This Row],[کد روز هفته]],TDaysOfTheWeek[],2,FALSE)</f>
        <v>شنبه</v>
      </c>
      <c r="H2177" s="165">
        <f>IFERROR(IF(E2176&lt;&gt;E2177,1,INT(H2176)+IF(TDays[[#This Row],[کد روز هفته]]=0,1,0)),1)</f>
        <v>3</v>
      </c>
      <c r="I2177" s="164">
        <f>-SUMIF(TArticle[تاریخ],TDays[[#This Row],[تاریخ]],TArticle[هزینه])</f>
        <v>0</v>
      </c>
      <c r="J2177" s="164">
        <f>SUMIF(TArticle[تاریخ],TDays[[#This Row],[تاریخ]],TArticle[درآمد تتا])</f>
        <v>0</v>
      </c>
      <c r="K2177" s="164">
        <f>SUMIF(TArticle[تاریخ],TDays[[#This Row],[تاریخ]],TArticle[اسنپ])</f>
        <v>0</v>
      </c>
      <c r="L2177" s="164">
        <f>-SUMIF(TArticle[تاریخ],TDays[[#This Row],[تاریخ]],TArticle[پرداخت بدهی])</f>
        <v>0</v>
      </c>
      <c r="M2177" s="164">
        <f>SUMIF(TArticle[تاریخ],TDays[[#This Row],[تاریخ]],TArticle[افزایش بدهی])</f>
        <v>0</v>
      </c>
      <c r="N2177" s="164">
        <f>-SUMIF(TArticle[تاریخ],TDays[[#This Row],[تاریخ]],TArticle[افزایش سرمایه])</f>
        <v>0</v>
      </c>
      <c r="O2177" s="164">
        <f>SUMIF(TArticle[تاریخ],TDays[[#This Row],[تاریخ]],TArticle[تعداد تراکنش انجام شده])</f>
        <v>0</v>
      </c>
      <c r="P2177" s="164">
        <f>INT(((TDays[[#This Row],[ماه]]-1)*31+TDays[[#This Row],[روز]]+1)/7)+1</f>
        <v>52</v>
      </c>
      <c r="Q2177" s="164">
        <f>SUMIF(TArticle[تاریخ],TDays[[#This Row],[تاریخ]],TArticle[تراکنش برنامه ریزی شده])</f>
        <v>0</v>
      </c>
    </row>
    <row r="2178" spans="1:17" x14ac:dyDescent="0.25">
      <c r="A2178" s="3" t="s">
        <v>2794</v>
      </c>
      <c r="B2178" s="164" t="str">
        <f>RIGHT(TDays[[#This Row],[تاریخ]],2)</f>
        <v>16</v>
      </c>
      <c r="C2178" s="164" t="str">
        <f>RIGHT(LEFT(TDays[[#This Row],[تاریخ]],7),2)</f>
        <v>12</v>
      </c>
      <c r="D2178" s="164" t="str">
        <f>LEFT(TDays[[#This Row],[تاریخ]],4)</f>
        <v>1406</v>
      </c>
      <c r="E2178" s="164" t="str">
        <f>LEFT(TDays[[#This Row],[تاریخ]],7)</f>
        <v>1406-12</v>
      </c>
      <c r="F2178">
        <v>1</v>
      </c>
      <c r="G2178" s="165" t="str">
        <f>VLOOKUP(TDays[[#This Row],[کد روز هفته]],TDaysOfTheWeek[],2,FALSE)</f>
        <v>یکشنبه</v>
      </c>
      <c r="H2178" s="165">
        <f>IFERROR(IF(E2177&lt;&gt;E2178,1,INT(H2177)+IF(TDays[[#This Row],[کد روز هفته]]=0,1,0)),1)</f>
        <v>3</v>
      </c>
      <c r="I2178" s="164">
        <f>-SUMIF(TArticle[تاریخ],TDays[[#This Row],[تاریخ]],TArticle[هزینه])</f>
        <v>0</v>
      </c>
      <c r="J2178" s="164">
        <f>SUMIF(TArticle[تاریخ],TDays[[#This Row],[تاریخ]],TArticle[درآمد تتا])</f>
        <v>0</v>
      </c>
      <c r="K2178" s="164">
        <f>SUMIF(TArticle[تاریخ],TDays[[#This Row],[تاریخ]],TArticle[اسنپ])</f>
        <v>0</v>
      </c>
      <c r="L2178" s="164">
        <f>-SUMIF(TArticle[تاریخ],TDays[[#This Row],[تاریخ]],TArticle[پرداخت بدهی])</f>
        <v>0</v>
      </c>
      <c r="M2178" s="164">
        <f>SUMIF(TArticle[تاریخ],TDays[[#This Row],[تاریخ]],TArticle[افزایش بدهی])</f>
        <v>0</v>
      </c>
      <c r="N2178" s="164">
        <f>-SUMIF(TArticle[تاریخ],TDays[[#This Row],[تاریخ]],TArticle[افزایش سرمایه])</f>
        <v>0</v>
      </c>
      <c r="O2178" s="164">
        <f>SUMIF(TArticle[تاریخ],TDays[[#This Row],[تاریخ]],TArticle[تعداد تراکنش انجام شده])</f>
        <v>0</v>
      </c>
      <c r="P2178" s="164">
        <f>INT(((TDays[[#This Row],[ماه]]-1)*31+TDays[[#This Row],[روز]]+1)/7)+1</f>
        <v>52</v>
      </c>
      <c r="Q2178" s="164">
        <f>SUMIF(TArticle[تاریخ],TDays[[#This Row],[تاریخ]],TArticle[تراکنش برنامه ریزی شده])</f>
        <v>0</v>
      </c>
    </row>
    <row r="2179" spans="1:17" x14ac:dyDescent="0.25">
      <c r="A2179" s="3" t="s">
        <v>2795</v>
      </c>
      <c r="B2179" s="164" t="str">
        <f>RIGHT(TDays[[#This Row],[تاریخ]],2)</f>
        <v>17</v>
      </c>
      <c r="C2179" s="164" t="str">
        <f>RIGHT(LEFT(TDays[[#This Row],[تاریخ]],7),2)</f>
        <v>12</v>
      </c>
      <c r="D2179" s="164" t="str">
        <f>LEFT(TDays[[#This Row],[تاریخ]],4)</f>
        <v>1406</v>
      </c>
      <c r="E2179" s="164" t="str">
        <f>LEFT(TDays[[#This Row],[تاریخ]],7)</f>
        <v>1406-12</v>
      </c>
      <c r="F2179">
        <v>2</v>
      </c>
      <c r="G2179" s="165" t="str">
        <f>VLOOKUP(TDays[[#This Row],[کد روز هفته]],TDaysOfTheWeek[],2,FALSE)</f>
        <v>دوشنبه</v>
      </c>
      <c r="H2179" s="165">
        <f>IFERROR(IF(E2178&lt;&gt;E2179,1,INT(H2178)+IF(TDays[[#This Row],[کد روز هفته]]=0,1,0)),1)</f>
        <v>3</v>
      </c>
      <c r="I2179" s="164">
        <f>-SUMIF(TArticle[تاریخ],TDays[[#This Row],[تاریخ]],TArticle[هزینه])</f>
        <v>0</v>
      </c>
      <c r="J2179" s="164">
        <f>SUMIF(TArticle[تاریخ],TDays[[#This Row],[تاریخ]],TArticle[درآمد تتا])</f>
        <v>0</v>
      </c>
      <c r="K2179" s="164">
        <f>SUMIF(TArticle[تاریخ],TDays[[#This Row],[تاریخ]],TArticle[اسنپ])</f>
        <v>0</v>
      </c>
      <c r="L2179" s="164">
        <f>-SUMIF(TArticle[تاریخ],TDays[[#This Row],[تاریخ]],TArticle[پرداخت بدهی])</f>
        <v>0</v>
      </c>
      <c r="M2179" s="164">
        <f>SUMIF(TArticle[تاریخ],TDays[[#This Row],[تاریخ]],TArticle[افزایش بدهی])</f>
        <v>0</v>
      </c>
      <c r="N2179" s="164">
        <f>-SUMIF(TArticle[تاریخ],TDays[[#This Row],[تاریخ]],TArticle[افزایش سرمایه])</f>
        <v>0</v>
      </c>
      <c r="O2179" s="164">
        <f>SUMIF(TArticle[تاریخ],TDays[[#This Row],[تاریخ]],TArticle[تعداد تراکنش انجام شده])</f>
        <v>0</v>
      </c>
      <c r="P2179" s="164">
        <f>INT(((TDays[[#This Row],[ماه]]-1)*31+TDays[[#This Row],[روز]]+1)/7)+1</f>
        <v>52</v>
      </c>
      <c r="Q2179" s="164">
        <f>SUMIF(TArticle[تاریخ],TDays[[#This Row],[تاریخ]],TArticle[تراکنش برنامه ریزی شده])</f>
        <v>0</v>
      </c>
    </row>
    <row r="2180" spans="1:17" x14ac:dyDescent="0.25">
      <c r="A2180" s="3" t="s">
        <v>2796</v>
      </c>
      <c r="B2180" s="164" t="str">
        <f>RIGHT(TDays[[#This Row],[تاریخ]],2)</f>
        <v>18</v>
      </c>
      <c r="C2180" s="164" t="str">
        <f>RIGHT(LEFT(TDays[[#This Row],[تاریخ]],7),2)</f>
        <v>12</v>
      </c>
      <c r="D2180" s="164" t="str">
        <f>LEFT(TDays[[#This Row],[تاریخ]],4)</f>
        <v>1406</v>
      </c>
      <c r="E2180" s="164" t="str">
        <f>LEFT(TDays[[#This Row],[تاریخ]],7)</f>
        <v>1406-12</v>
      </c>
      <c r="F2180">
        <v>3</v>
      </c>
      <c r="G2180" s="165" t="str">
        <f>VLOOKUP(TDays[[#This Row],[کد روز هفته]],TDaysOfTheWeek[],2,FALSE)</f>
        <v>سه شنبه</v>
      </c>
      <c r="H2180" s="165">
        <f>IFERROR(IF(E2179&lt;&gt;E2180,1,INT(H2179)+IF(TDays[[#This Row],[کد روز هفته]]=0,1,0)),1)</f>
        <v>3</v>
      </c>
      <c r="I2180" s="164">
        <f>-SUMIF(TArticle[تاریخ],TDays[[#This Row],[تاریخ]],TArticle[هزینه])</f>
        <v>0</v>
      </c>
      <c r="J2180" s="164">
        <f>SUMIF(TArticle[تاریخ],TDays[[#This Row],[تاریخ]],TArticle[درآمد تتا])</f>
        <v>0</v>
      </c>
      <c r="K2180" s="164">
        <f>SUMIF(TArticle[تاریخ],TDays[[#This Row],[تاریخ]],TArticle[اسنپ])</f>
        <v>0</v>
      </c>
      <c r="L2180" s="164">
        <f>-SUMIF(TArticle[تاریخ],TDays[[#This Row],[تاریخ]],TArticle[پرداخت بدهی])</f>
        <v>0</v>
      </c>
      <c r="M2180" s="164">
        <f>SUMIF(TArticle[تاریخ],TDays[[#This Row],[تاریخ]],TArticle[افزایش بدهی])</f>
        <v>0</v>
      </c>
      <c r="N2180" s="164">
        <f>-SUMIF(TArticle[تاریخ],TDays[[#This Row],[تاریخ]],TArticle[افزایش سرمایه])</f>
        <v>0</v>
      </c>
      <c r="O2180" s="164">
        <f>SUMIF(TArticle[تاریخ],TDays[[#This Row],[تاریخ]],TArticle[تعداد تراکنش انجام شده])</f>
        <v>0</v>
      </c>
      <c r="P2180" s="164">
        <f>INT(((TDays[[#This Row],[ماه]]-1)*31+TDays[[#This Row],[روز]]+1)/7)+1</f>
        <v>52</v>
      </c>
      <c r="Q2180" s="164">
        <f>SUMIF(TArticle[تاریخ],TDays[[#This Row],[تاریخ]],TArticle[تراکنش برنامه ریزی شده])</f>
        <v>0</v>
      </c>
    </row>
    <row r="2181" spans="1:17" x14ac:dyDescent="0.25">
      <c r="A2181" s="3" t="s">
        <v>2797</v>
      </c>
      <c r="B2181" s="164" t="str">
        <f>RIGHT(TDays[[#This Row],[تاریخ]],2)</f>
        <v>19</v>
      </c>
      <c r="C2181" s="164" t="str">
        <f>RIGHT(LEFT(TDays[[#This Row],[تاریخ]],7),2)</f>
        <v>12</v>
      </c>
      <c r="D2181" s="164" t="str">
        <f>LEFT(TDays[[#This Row],[تاریخ]],4)</f>
        <v>1406</v>
      </c>
      <c r="E2181" s="164" t="str">
        <f>LEFT(TDays[[#This Row],[تاریخ]],7)</f>
        <v>1406-12</v>
      </c>
      <c r="F2181">
        <v>4</v>
      </c>
      <c r="G2181" s="165" t="str">
        <f>VLOOKUP(TDays[[#This Row],[کد روز هفته]],TDaysOfTheWeek[],2,FALSE)</f>
        <v>چهارشنبه</v>
      </c>
      <c r="H2181" s="165">
        <f>IFERROR(IF(E2180&lt;&gt;E2181,1,INT(H2180)+IF(TDays[[#This Row],[کد روز هفته]]=0,1,0)),1)</f>
        <v>3</v>
      </c>
      <c r="I2181" s="164">
        <f>-SUMIF(TArticle[تاریخ],TDays[[#This Row],[تاریخ]],TArticle[هزینه])</f>
        <v>0</v>
      </c>
      <c r="J2181" s="164">
        <f>SUMIF(TArticle[تاریخ],TDays[[#This Row],[تاریخ]],TArticle[درآمد تتا])</f>
        <v>0</v>
      </c>
      <c r="K2181" s="164">
        <f>SUMIF(TArticle[تاریخ],TDays[[#This Row],[تاریخ]],TArticle[اسنپ])</f>
        <v>0</v>
      </c>
      <c r="L2181" s="164">
        <f>-SUMIF(TArticle[تاریخ],TDays[[#This Row],[تاریخ]],TArticle[پرداخت بدهی])</f>
        <v>0</v>
      </c>
      <c r="M2181" s="164">
        <f>SUMIF(TArticle[تاریخ],TDays[[#This Row],[تاریخ]],TArticle[افزایش بدهی])</f>
        <v>0</v>
      </c>
      <c r="N2181" s="164">
        <f>-SUMIF(TArticle[تاریخ],TDays[[#This Row],[تاریخ]],TArticle[افزایش سرمایه])</f>
        <v>0</v>
      </c>
      <c r="O2181" s="164">
        <f>SUMIF(TArticle[تاریخ],TDays[[#This Row],[تاریخ]],TArticle[تعداد تراکنش انجام شده])</f>
        <v>0</v>
      </c>
      <c r="P2181" s="164">
        <f>INT(((TDays[[#This Row],[ماه]]-1)*31+TDays[[#This Row],[روز]]+1)/7)+1</f>
        <v>52</v>
      </c>
      <c r="Q2181" s="164">
        <f>SUMIF(TArticle[تاریخ],TDays[[#This Row],[تاریخ]],TArticle[تراکنش برنامه ریزی شده])</f>
        <v>0</v>
      </c>
    </row>
    <row r="2182" spans="1:17" x14ac:dyDescent="0.25">
      <c r="A2182" s="3" t="s">
        <v>2798</v>
      </c>
      <c r="B2182" s="164" t="str">
        <f>RIGHT(TDays[[#This Row],[تاریخ]],2)</f>
        <v>20</v>
      </c>
      <c r="C2182" s="164" t="str">
        <f>RIGHT(LEFT(TDays[[#This Row],[تاریخ]],7),2)</f>
        <v>12</v>
      </c>
      <c r="D2182" s="164" t="str">
        <f>LEFT(TDays[[#This Row],[تاریخ]],4)</f>
        <v>1406</v>
      </c>
      <c r="E2182" s="164" t="str">
        <f>LEFT(TDays[[#This Row],[تاریخ]],7)</f>
        <v>1406-12</v>
      </c>
      <c r="F2182">
        <v>5</v>
      </c>
      <c r="G2182" s="165" t="str">
        <f>VLOOKUP(TDays[[#This Row],[کد روز هفته]],TDaysOfTheWeek[],2,FALSE)</f>
        <v>پنجشنبه</v>
      </c>
      <c r="H2182" s="165">
        <f>IFERROR(IF(E2181&lt;&gt;E2182,1,INT(H2181)+IF(TDays[[#This Row],[کد روز هفته]]=0,1,0)),1)</f>
        <v>3</v>
      </c>
      <c r="I2182" s="164">
        <f>-SUMIF(TArticle[تاریخ],TDays[[#This Row],[تاریخ]],TArticle[هزینه])</f>
        <v>0</v>
      </c>
      <c r="J2182" s="164">
        <f>SUMIF(TArticle[تاریخ],TDays[[#This Row],[تاریخ]],TArticle[درآمد تتا])</f>
        <v>0</v>
      </c>
      <c r="K2182" s="164">
        <f>SUMIF(TArticle[تاریخ],TDays[[#This Row],[تاریخ]],TArticle[اسنپ])</f>
        <v>0</v>
      </c>
      <c r="L2182" s="164">
        <f>-SUMIF(TArticle[تاریخ],TDays[[#This Row],[تاریخ]],TArticle[پرداخت بدهی])</f>
        <v>0</v>
      </c>
      <c r="M2182" s="164">
        <f>SUMIF(TArticle[تاریخ],TDays[[#This Row],[تاریخ]],TArticle[افزایش بدهی])</f>
        <v>0</v>
      </c>
      <c r="N2182" s="164">
        <f>-SUMIF(TArticle[تاریخ],TDays[[#This Row],[تاریخ]],TArticle[افزایش سرمایه])</f>
        <v>0</v>
      </c>
      <c r="O2182" s="164">
        <f>SUMIF(TArticle[تاریخ],TDays[[#This Row],[تاریخ]],TArticle[تعداد تراکنش انجام شده])</f>
        <v>0</v>
      </c>
      <c r="P2182" s="164">
        <f>INT(((TDays[[#This Row],[ماه]]-1)*31+TDays[[#This Row],[روز]]+1)/7)+1</f>
        <v>52</v>
      </c>
      <c r="Q2182" s="164">
        <f>SUMIF(TArticle[تاریخ],TDays[[#This Row],[تاریخ]],TArticle[تراکنش برنامه ریزی شده])</f>
        <v>0</v>
      </c>
    </row>
    <row r="2183" spans="1:17" x14ac:dyDescent="0.25">
      <c r="A2183" s="3" t="s">
        <v>2799</v>
      </c>
      <c r="B2183" s="164" t="str">
        <f>RIGHT(TDays[[#This Row],[تاریخ]],2)</f>
        <v>21</v>
      </c>
      <c r="C2183" s="164" t="str">
        <f>RIGHT(LEFT(TDays[[#This Row],[تاریخ]],7),2)</f>
        <v>12</v>
      </c>
      <c r="D2183" s="164" t="str">
        <f>LEFT(TDays[[#This Row],[تاریخ]],4)</f>
        <v>1406</v>
      </c>
      <c r="E2183" s="164" t="str">
        <f>LEFT(TDays[[#This Row],[تاریخ]],7)</f>
        <v>1406-12</v>
      </c>
      <c r="F2183">
        <v>6</v>
      </c>
      <c r="G2183" s="165" t="str">
        <f>VLOOKUP(TDays[[#This Row],[کد روز هفته]],TDaysOfTheWeek[],2,FALSE)</f>
        <v>جمعه</v>
      </c>
      <c r="H2183" s="165">
        <f>IFERROR(IF(E2182&lt;&gt;E2183,1,INT(H2182)+IF(TDays[[#This Row],[کد روز هفته]]=0,1,0)),1)</f>
        <v>3</v>
      </c>
      <c r="I2183" s="164">
        <f>-SUMIF(TArticle[تاریخ],TDays[[#This Row],[تاریخ]],TArticle[هزینه])</f>
        <v>0</v>
      </c>
      <c r="J2183" s="164">
        <f>SUMIF(TArticle[تاریخ],TDays[[#This Row],[تاریخ]],TArticle[درآمد تتا])</f>
        <v>0</v>
      </c>
      <c r="K2183" s="164">
        <f>SUMIF(TArticle[تاریخ],TDays[[#This Row],[تاریخ]],TArticle[اسنپ])</f>
        <v>0</v>
      </c>
      <c r="L2183" s="164">
        <f>-SUMIF(TArticle[تاریخ],TDays[[#This Row],[تاریخ]],TArticle[پرداخت بدهی])</f>
        <v>0</v>
      </c>
      <c r="M2183" s="164">
        <f>SUMIF(TArticle[تاریخ],TDays[[#This Row],[تاریخ]],TArticle[افزایش بدهی])</f>
        <v>0</v>
      </c>
      <c r="N2183" s="164">
        <f>-SUMIF(TArticle[تاریخ],TDays[[#This Row],[تاریخ]],TArticle[افزایش سرمایه])</f>
        <v>0</v>
      </c>
      <c r="O2183" s="164">
        <f>SUMIF(TArticle[تاریخ],TDays[[#This Row],[تاریخ]],TArticle[تعداد تراکنش انجام شده])</f>
        <v>0</v>
      </c>
      <c r="P2183" s="164">
        <f>INT(((TDays[[#This Row],[ماه]]-1)*31+TDays[[#This Row],[روز]]+1)/7)+1</f>
        <v>52</v>
      </c>
      <c r="Q2183" s="164">
        <f>SUMIF(TArticle[تاریخ],TDays[[#This Row],[تاریخ]],TArticle[تراکنش برنامه ریزی شده])</f>
        <v>0</v>
      </c>
    </row>
    <row r="2184" spans="1:17" x14ac:dyDescent="0.25">
      <c r="A2184" s="3" t="s">
        <v>2800</v>
      </c>
      <c r="B2184" s="164" t="str">
        <f>RIGHT(TDays[[#This Row],[تاریخ]],2)</f>
        <v>22</v>
      </c>
      <c r="C2184" s="164" t="str">
        <f>RIGHT(LEFT(TDays[[#This Row],[تاریخ]],7),2)</f>
        <v>12</v>
      </c>
      <c r="D2184" s="164" t="str">
        <f>LEFT(TDays[[#This Row],[تاریخ]],4)</f>
        <v>1406</v>
      </c>
      <c r="E2184" s="164" t="str">
        <f>LEFT(TDays[[#This Row],[تاریخ]],7)</f>
        <v>1406-12</v>
      </c>
      <c r="F2184">
        <v>0</v>
      </c>
      <c r="G2184" s="165" t="str">
        <f>VLOOKUP(TDays[[#This Row],[کد روز هفته]],TDaysOfTheWeek[],2,FALSE)</f>
        <v>شنبه</v>
      </c>
      <c r="H2184" s="165">
        <f>IFERROR(IF(E2183&lt;&gt;E2184,1,INT(H2183)+IF(TDays[[#This Row],[کد روز هفته]]=0,1,0)),1)</f>
        <v>4</v>
      </c>
      <c r="I2184" s="164">
        <f>-SUMIF(TArticle[تاریخ],TDays[[#This Row],[تاریخ]],TArticle[هزینه])</f>
        <v>0</v>
      </c>
      <c r="J2184" s="164">
        <f>SUMIF(TArticle[تاریخ],TDays[[#This Row],[تاریخ]],TArticle[درآمد تتا])</f>
        <v>0</v>
      </c>
      <c r="K2184" s="164">
        <f>SUMIF(TArticle[تاریخ],TDays[[#This Row],[تاریخ]],TArticle[اسنپ])</f>
        <v>0</v>
      </c>
      <c r="L2184" s="164">
        <f>-SUMIF(TArticle[تاریخ],TDays[[#This Row],[تاریخ]],TArticle[پرداخت بدهی])</f>
        <v>0</v>
      </c>
      <c r="M2184" s="164">
        <f>SUMIF(TArticle[تاریخ],TDays[[#This Row],[تاریخ]],TArticle[افزایش بدهی])</f>
        <v>0</v>
      </c>
      <c r="N2184" s="164">
        <f>-SUMIF(TArticle[تاریخ],TDays[[#This Row],[تاریخ]],TArticle[افزایش سرمایه])</f>
        <v>0</v>
      </c>
      <c r="O2184" s="164">
        <f>SUMIF(TArticle[تاریخ],TDays[[#This Row],[تاریخ]],TArticle[تعداد تراکنش انجام شده])</f>
        <v>0</v>
      </c>
      <c r="P2184" s="164">
        <f>INT(((TDays[[#This Row],[ماه]]-1)*31+TDays[[#This Row],[روز]]+1)/7)+1</f>
        <v>53</v>
      </c>
      <c r="Q2184" s="164">
        <f>SUMIF(TArticle[تاریخ],TDays[[#This Row],[تاریخ]],TArticle[تراکنش برنامه ریزی شده])</f>
        <v>0</v>
      </c>
    </row>
    <row r="2185" spans="1:17" x14ac:dyDescent="0.25">
      <c r="A2185" s="3" t="s">
        <v>2801</v>
      </c>
      <c r="B2185" s="164" t="str">
        <f>RIGHT(TDays[[#This Row],[تاریخ]],2)</f>
        <v>23</v>
      </c>
      <c r="C2185" s="164" t="str">
        <f>RIGHT(LEFT(TDays[[#This Row],[تاریخ]],7),2)</f>
        <v>12</v>
      </c>
      <c r="D2185" s="164" t="str">
        <f>LEFT(TDays[[#This Row],[تاریخ]],4)</f>
        <v>1406</v>
      </c>
      <c r="E2185" s="164" t="str">
        <f>LEFT(TDays[[#This Row],[تاریخ]],7)</f>
        <v>1406-12</v>
      </c>
      <c r="F2185">
        <v>1</v>
      </c>
      <c r="G2185" s="165" t="str">
        <f>VLOOKUP(TDays[[#This Row],[کد روز هفته]],TDaysOfTheWeek[],2,FALSE)</f>
        <v>یکشنبه</v>
      </c>
      <c r="H2185" s="165">
        <f>IFERROR(IF(E2184&lt;&gt;E2185,1,INT(H2184)+IF(TDays[[#This Row],[کد روز هفته]]=0,1,0)),1)</f>
        <v>4</v>
      </c>
      <c r="I2185" s="164">
        <f>-SUMIF(TArticle[تاریخ],TDays[[#This Row],[تاریخ]],TArticle[هزینه])</f>
        <v>0</v>
      </c>
      <c r="J2185" s="164">
        <f>SUMIF(TArticle[تاریخ],TDays[[#This Row],[تاریخ]],TArticle[درآمد تتا])</f>
        <v>0</v>
      </c>
      <c r="K2185" s="164">
        <f>SUMIF(TArticle[تاریخ],TDays[[#This Row],[تاریخ]],TArticle[اسنپ])</f>
        <v>0</v>
      </c>
      <c r="L2185" s="164">
        <f>-SUMIF(TArticle[تاریخ],TDays[[#This Row],[تاریخ]],TArticle[پرداخت بدهی])</f>
        <v>0</v>
      </c>
      <c r="M2185" s="164">
        <f>SUMIF(TArticle[تاریخ],TDays[[#This Row],[تاریخ]],TArticle[افزایش بدهی])</f>
        <v>0</v>
      </c>
      <c r="N2185" s="164">
        <f>-SUMIF(TArticle[تاریخ],TDays[[#This Row],[تاریخ]],TArticle[افزایش سرمایه])</f>
        <v>0</v>
      </c>
      <c r="O2185" s="164">
        <f>SUMIF(TArticle[تاریخ],TDays[[#This Row],[تاریخ]],TArticle[تعداد تراکنش انجام شده])</f>
        <v>0</v>
      </c>
      <c r="P2185" s="164">
        <f>INT(((TDays[[#This Row],[ماه]]-1)*31+TDays[[#This Row],[روز]]+1)/7)+1</f>
        <v>53</v>
      </c>
      <c r="Q2185" s="164">
        <f>SUMIF(TArticle[تاریخ],TDays[[#This Row],[تاریخ]],TArticle[تراکنش برنامه ریزی شده])</f>
        <v>0</v>
      </c>
    </row>
    <row r="2186" spans="1:17" x14ac:dyDescent="0.25">
      <c r="A2186" s="3" t="s">
        <v>2802</v>
      </c>
      <c r="B2186" s="164" t="str">
        <f>RIGHT(TDays[[#This Row],[تاریخ]],2)</f>
        <v>24</v>
      </c>
      <c r="C2186" s="164" t="str">
        <f>RIGHT(LEFT(TDays[[#This Row],[تاریخ]],7),2)</f>
        <v>12</v>
      </c>
      <c r="D2186" s="164" t="str">
        <f>LEFT(TDays[[#This Row],[تاریخ]],4)</f>
        <v>1406</v>
      </c>
      <c r="E2186" s="164" t="str">
        <f>LEFT(TDays[[#This Row],[تاریخ]],7)</f>
        <v>1406-12</v>
      </c>
      <c r="F2186">
        <v>2</v>
      </c>
      <c r="G2186" s="165" t="str">
        <f>VLOOKUP(TDays[[#This Row],[کد روز هفته]],TDaysOfTheWeek[],2,FALSE)</f>
        <v>دوشنبه</v>
      </c>
      <c r="H2186" s="165">
        <f>IFERROR(IF(E2185&lt;&gt;E2186,1,INT(H2185)+IF(TDays[[#This Row],[کد روز هفته]]=0,1,0)),1)</f>
        <v>4</v>
      </c>
      <c r="I2186" s="164">
        <f>-SUMIF(TArticle[تاریخ],TDays[[#This Row],[تاریخ]],TArticle[هزینه])</f>
        <v>0</v>
      </c>
      <c r="J2186" s="164">
        <f>SUMIF(TArticle[تاریخ],TDays[[#This Row],[تاریخ]],TArticle[درآمد تتا])</f>
        <v>0</v>
      </c>
      <c r="K2186" s="164">
        <f>SUMIF(TArticle[تاریخ],TDays[[#This Row],[تاریخ]],TArticle[اسنپ])</f>
        <v>0</v>
      </c>
      <c r="L2186" s="164">
        <f>-SUMIF(TArticle[تاریخ],TDays[[#This Row],[تاریخ]],TArticle[پرداخت بدهی])</f>
        <v>0</v>
      </c>
      <c r="M2186" s="164">
        <f>SUMIF(TArticle[تاریخ],TDays[[#This Row],[تاریخ]],TArticle[افزایش بدهی])</f>
        <v>0</v>
      </c>
      <c r="N2186" s="164">
        <f>-SUMIF(TArticle[تاریخ],TDays[[#This Row],[تاریخ]],TArticle[افزایش سرمایه])</f>
        <v>0</v>
      </c>
      <c r="O2186" s="164">
        <f>SUMIF(TArticle[تاریخ],TDays[[#This Row],[تاریخ]],TArticle[تعداد تراکنش انجام شده])</f>
        <v>0</v>
      </c>
      <c r="P2186" s="164">
        <f>INT(((TDays[[#This Row],[ماه]]-1)*31+TDays[[#This Row],[روز]]+1)/7)+1</f>
        <v>53</v>
      </c>
      <c r="Q2186" s="164">
        <f>SUMIF(TArticle[تاریخ],TDays[[#This Row],[تاریخ]],TArticle[تراکنش برنامه ریزی شده])</f>
        <v>0</v>
      </c>
    </row>
    <row r="2187" spans="1:17" x14ac:dyDescent="0.25">
      <c r="A2187" s="3" t="s">
        <v>2803</v>
      </c>
      <c r="B2187" s="164" t="str">
        <f>RIGHT(TDays[[#This Row],[تاریخ]],2)</f>
        <v>25</v>
      </c>
      <c r="C2187" s="164" t="str">
        <f>RIGHT(LEFT(TDays[[#This Row],[تاریخ]],7),2)</f>
        <v>12</v>
      </c>
      <c r="D2187" s="164" t="str">
        <f>LEFT(TDays[[#This Row],[تاریخ]],4)</f>
        <v>1406</v>
      </c>
      <c r="E2187" s="164" t="str">
        <f>LEFT(TDays[[#This Row],[تاریخ]],7)</f>
        <v>1406-12</v>
      </c>
      <c r="F2187" s="164">
        <v>3</v>
      </c>
      <c r="G2187" s="165" t="str">
        <f>VLOOKUP(TDays[[#This Row],[کد روز هفته]],TDaysOfTheWeek[],2,FALSE)</f>
        <v>سه شنبه</v>
      </c>
      <c r="H2187" s="165">
        <f>IFERROR(IF(E2186&lt;&gt;E2187,1,INT(H2186)+IF(TDays[[#This Row],[کد روز هفته]]=0,1,0)),1)</f>
        <v>4</v>
      </c>
      <c r="I2187" s="164">
        <f>-SUMIF(TArticle[تاریخ],TDays[[#This Row],[تاریخ]],TArticle[هزینه])</f>
        <v>0</v>
      </c>
      <c r="J2187" s="164">
        <f>SUMIF(TArticle[تاریخ],TDays[[#This Row],[تاریخ]],TArticle[درآمد تتا])</f>
        <v>0</v>
      </c>
      <c r="K2187" s="164">
        <f>SUMIF(TArticle[تاریخ],TDays[[#This Row],[تاریخ]],TArticle[اسنپ])</f>
        <v>0</v>
      </c>
      <c r="L2187" s="164">
        <f>-SUMIF(TArticle[تاریخ],TDays[[#This Row],[تاریخ]],TArticle[پرداخت بدهی])</f>
        <v>0</v>
      </c>
      <c r="M2187" s="164">
        <f>SUMIF(TArticle[تاریخ],TDays[[#This Row],[تاریخ]],TArticle[افزایش بدهی])</f>
        <v>0</v>
      </c>
      <c r="N2187" s="164">
        <f>-SUMIF(TArticle[تاریخ],TDays[[#This Row],[تاریخ]],TArticle[افزایش سرمایه])</f>
        <v>0</v>
      </c>
      <c r="O2187" s="164">
        <f>SUMIF(TArticle[تاریخ],TDays[[#This Row],[تاریخ]],TArticle[تعداد تراکنش انجام شده])</f>
        <v>0</v>
      </c>
      <c r="P2187" s="164">
        <f>INT(((TDays[[#This Row],[ماه]]-1)*31+TDays[[#This Row],[روز]]+1)/7)+1</f>
        <v>53</v>
      </c>
      <c r="Q2187" s="164">
        <f>SUMIF(TArticle[تاریخ],TDays[[#This Row],[تاریخ]],TArticle[تراکنش برنامه ریزی شده])</f>
        <v>0</v>
      </c>
    </row>
    <row r="2188" spans="1:17" x14ac:dyDescent="0.25">
      <c r="A2188" s="3" t="s">
        <v>2804</v>
      </c>
      <c r="B2188" s="164" t="str">
        <f>RIGHT(TDays[[#This Row],[تاریخ]],2)</f>
        <v>26</v>
      </c>
      <c r="C2188" s="164" t="str">
        <f>RIGHT(LEFT(TDays[[#This Row],[تاریخ]],7),2)</f>
        <v>12</v>
      </c>
      <c r="D2188" s="164" t="str">
        <f>LEFT(TDays[[#This Row],[تاریخ]],4)</f>
        <v>1406</v>
      </c>
      <c r="E2188" s="164" t="str">
        <f>LEFT(TDays[[#This Row],[تاریخ]],7)</f>
        <v>1406-12</v>
      </c>
      <c r="F2188" s="164">
        <v>4</v>
      </c>
      <c r="G2188" s="165" t="str">
        <f>VLOOKUP(TDays[[#This Row],[کد روز هفته]],TDaysOfTheWeek[],2,FALSE)</f>
        <v>چهارشنبه</v>
      </c>
      <c r="H2188" s="165">
        <f>IFERROR(IF(E2187&lt;&gt;E2188,1,INT(H2187)+IF(TDays[[#This Row],[کد روز هفته]]=0,1,0)),1)</f>
        <v>4</v>
      </c>
      <c r="I2188" s="164">
        <f>-SUMIF(TArticle[تاریخ],TDays[[#This Row],[تاریخ]],TArticle[هزینه])</f>
        <v>0</v>
      </c>
      <c r="J2188" s="164">
        <f>SUMIF(TArticle[تاریخ],TDays[[#This Row],[تاریخ]],TArticle[درآمد تتا])</f>
        <v>0</v>
      </c>
      <c r="K2188" s="164">
        <f>SUMIF(TArticle[تاریخ],TDays[[#This Row],[تاریخ]],TArticle[اسنپ])</f>
        <v>0</v>
      </c>
      <c r="L2188" s="164">
        <f>-SUMIF(TArticle[تاریخ],TDays[[#This Row],[تاریخ]],TArticle[پرداخت بدهی])</f>
        <v>0</v>
      </c>
      <c r="M2188" s="164">
        <f>SUMIF(TArticle[تاریخ],TDays[[#This Row],[تاریخ]],TArticle[افزایش بدهی])</f>
        <v>0</v>
      </c>
      <c r="N2188" s="164">
        <f>-SUMIF(TArticle[تاریخ],TDays[[#This Row],[تاریخ]],TArticle[افزایش سرمایه])</f>
        <v>0</v>
      </c>
      <c r="O2188" s="164">
        <f>SUMIF(TArticle[تاریخ],TDays[[#This Row],[تاریخ]],TArticle[تعداد تراکنش انجام شده])</f>
        <v>0</v>
      </c>
      <c r="P2188" s="164">
        <f>INT(((TDays[[#This Row],[ماه]]-1)*31+TDays[[#This Row],[روز]]+1)/7)+1</f>
        <v>53</v>
      </c>
      <c r="Q2188" s="164">
        <f>SUMIF(TArticle[تاریخ],TDays[[#This Row],[تاریخ]],TArticle[تراکنش برنامه ریزی شده])</f>
        <v>0</v>
      </c>
    </row>
    <row r="2189" spans="1:17" x14ac:dyDescent="0.25">
      <c r="A2189" s="3" t="s">
        <v>2805</v>
      </c>
      <c r="B2189" s="164" t="str">
        <f>RIGHT(TDays[[#This Row],[تاریخ]],2)</f>
        <v>27</v>
      </c>
      <c r="C2189" s="164" t="str">
        <f>RIGHT(LEFT(TDays[[#This Row],[تاریخ]],7),2)</f>
        <v>12</v>
      </c>
      <c r="D2189" s="164" t="str">
        <f>LEFT(TDays[[#This Row],[تاریخ]],4)</f>
        <v>1406</v>
      </c>
      <c r="E2189" s="164" t="str">
        <f>LEFT(TDays[[#This Row],[تاریخ]],7)</f>
        <v>1406-12</v>
      </c>
      <c r="F2189" s="164">
        <v>5</v>
      </c>
      <c r="G2189" s="165" t="str">
        <f>VLOOKUP(TDays[[#This Row],[کد روز هفته]],TDaysOfTheWeek[],2,FALSE)</f>
        <v>پنجشنبه</v>
      </c>
      <c r="H2189" s="165">
        <f>IFERROR(IF(E2188&lt;&gt;E2189,1,INT(H2188)+IF(TDays[[#This Row],[کد روز هفته]]=0,1,0)),1)</f>
        <v>4</v>
      </c>
      <c r="I2189" s="164">
        <f>-SUMIF(TArticle[تاریخ],TDays[[#This Row],[تاریخ]],TArticle[هزینه])</f>
        <v>0</v>
      </c>
      <c r="J2189" s="164">
        <f>SUMIF(TArticle[تاریخ],TDays[[#This Row],[تاریخ]],TArticle[درآمد تتا])</f>
        <v>0</v>
      </c>
      <c r="K2189" s="164">
        <f>SUMIF(TArticle[تاریخ],TDays[[#This Row],[تاریخ]],TArticle[اسنپ])</f>
        <v>0</v>
      </c>
      <c r="L2189" s="164">
        <f>-SUMIF(TArticle[تاریخ],TDays[[#This Row],[تاریخ]],TArticle[پرداخت بدهی])</f>
        <v>0</v>
      </c>
      <c r="M2189" s="164">
        <f>SUMIF(TArticle[تاریخ],TDays[[#This Row],[تاریخ]],TArticle[افزایش بدهی])</f>
        <v>0</v>
      </c>
      <c r="N2189" s="164">
        <f>-SUMIF(TArticle[تاریخ],TDays[[#This Row],[تاریخ]],TArticle[افزایش سرمایه])</f>
        <v>0</v>
      </c>
      <c r="O2189" s="164">
        <f>SUMIF(TArticle[تاریخ],TDays[[#This Row],[تاریخ]],TArticle[تعداد تراکنش انجام شده])</f>
        <v>0</v>
      </c>
      <c r="P2189" s="164">
        <f>INT(((TDays[[#This Row],[ماه]]-1)*31+TDays[[#This Row],[روز]]+1)/7)+1</f>
        <v>53</v>
      </c>
      <c r="Q2189" s="164">
        <f>SUMIF(TArticle[تاریخ],TDays[[#This Row],[تاریخ]],TArticle[تراکنش برنامه ریزی شده])</f>
        <v>0</v>
      </c>
    </row>
    <row r="2190" spans="1:17" x14ac:dyDescent="0.25">
      <c r="A2190" s="3" t="s">
        <v>2806</v>
      </c>
      <c r="B2190" s="164" t="str">
        <f>RIGHT(TDays[[#This Row],[تاریخ]],2)</f>
        <v>28</v>
      </c>
      <c r="C2190" s="164" t="str">
        <f>RIGHT(LEFT(TDays[[#This Row],[تاریخ]],7),2)</f>
        <v>12</v>
      </c>
      <c r="D2190" s="164" t="str">
        <f>LEFT(TDays[[#This Row],[تاریخ]],4)</f>
        <v>1406</v>
      </c>
      <c r="E2190" s="164" t="str">
        <f>LEFT(TDays[[#This Row],[تاریخ]],7)</f>
        <v>1406-12</v>
      </c>
      <c r="F2190" s="164">
        <v>6</v>
      </c>
      <c r="G2190" s="165" t="str">
        <f>VLOOKUP(TDays[[#This Row],[کد روز هفته]],TDaysOfTheWeek[],2,FALSE)</f>
        <v>جمعه</v>
      </c>
      <c r="H2190" s="165">
        <f>IFERROR(IF(E2189&lt;&gt;E2190,1,INT(H2189)+IF(TDays[[#This Row],[کد روز هفته]]=0,1,0)),1)</f>
        <v>4</v>
      </c>
      <c r="I2190" s="164">
        <f>-SUMIF(TArticle[تاریخ],TDays[[#This Row],[تاریخ]],TArticle[هزینه])</f>
        <v>0</v>
      </c>
      <c r="J2190" s="164">
        <f>SUMIF(TArticle[تاریخ],TDays[[#This Row],[تاریخ]],TArticle[درآمد تتا])</f>
        <v>0</v>
      </c>
      <c r="K2190" s="164">
        <f>SUMIF(TArticle[تاریخ],TDays[[#This Row],[تاریخ]],TArticle[اسنپ])</f>
        <v>0</v>
      </c>
      <c r="L2190" s="164">
        <f>-SUMIF(TArticle[تاریخ],TDays[[#This Row],[تاریخ]],TArticle[پرداخت بدهی])</f>
        <v>0</v>
      </c>
      <c r="M2190" s="164">
        <f>SUMIF(TArticle[تاریخ],TDays[[#This Row],[تاریخ]],TArticle[افزایش بدهی])</f>
        <v>0</v>
      </c>
      <c r="N2190" s="164">
        <f>-SUMIF(TArticle[تاریخ],TDays[[#This Row],[تاریخ]],TArticle[افزایش سرمایه])</f>
        <v>0</v>
      </c>
      <c r="O2190" s="164">
        <f>SUMIF(TArticle[تاریخ],TDays[[#This Row],[تاریخ]],TArticle[تعداد تراکنش انجام شده])</f>
        <v>0</v>
      </c>
      <c r="P2190" s="164">
        <f>INT(((TDays[[#This Row],[ماه]]-1)*31+TDays[[#This Row],[روز]]+1)/7)+1</f>
        <v>53</v>
      </c>
      <c r="Q2190" s="164">
        <f>SUMIF(TArticle[تاریخ],TDays[[#This Row],[تاریخ]],TArticle[تراکنش برنامه ریزی شده])</f>
        <v>0</v>
      </c>
    </row>
    <row r="2191" spans="1:17" x14ac:dyDescent="0.25">
      <c r="A2191" s="3" t="s">
        <v>2807</v>
      </c>
      <c r="B2191" s="164" t="str">
        <f>RIGHT(TDays[[#This Row],[تاریخ]],2)</f>
        <v>29</v>
      </c>
      <c r="C2191" s="164" t="str">
        <f>RIGHT(LEFT(TDays[[#This Row],[تاریخ]],7),2)</f>
        <v>12</v>
      </c>
      <c r="D2191" s="164" t="str">
        <f>LEFT(TDays[[#This Row],[تاریخ]],4)</f>
        <v>1406</v>
      </c>
      <c r="E2191" s="164" t="str">
        <f>LEFT(TDays[[#This Row],[تاریخ]],7)</f>
        <v>1406-12</v>
      </c>
      <c r="F2191" s="164">
        <v>0</v>
      </c>
      <c r="G2191" s="165" t="str">
        <f>VLOOKUP(TDays[[#This Row],[کد روز هفته]],TDaysOfTheWeek[],2,FALSE)</f>
        <v>شنبه</v>
      </c>
      <c r="H2191" s="165">
        <f>IFERROR(IF(E2190&lt;&gt;E2191,1,INT(H2190)+IF(TDays[[#This Row],[کد روز هفته]]=0,1,0)),1)</f>
        <v>5</v>
      </c>
      <c r="I2191" s="164">
        <f>-SUMIF(TArticle[تاریخ],TDays[[#This Row],[تاریخ]],TArticle[هزینه])</f>
        <v>0</v>
      </c>
      <c r="J2191" s="164">
        <f>SUMIF(TArticle[تاریخ],TDays[[#This Row],[تاریخ]],TArticle[درآمد تتا])</f>
        <v>0</v>
      </c>
      <c r="K2191" s="164">
        <f>SUMIF(TArticle[تاریخ],TDays[[#This Row],[تاریخ]],TArticle[اسنپ])</f>
        <v>0</v>
      </c>
      <c r="L2191" s="164">
        <f>-SUMIF(TArticle[تاریخ],TDays[[#This Row],[تاریخ]],TArticle[پرداخت بدهی])</f>
        <v>0</v>
      </c>
      <c r="M2191" s="164">
        <f>SUMIF(TArticle[تاریخ],TDays[[#This Row],[تاریخ]],TArticle[افزایش بدهی])</f>
        <v>0</v>
      </c>
      <c r="N2191" s="164">
        <f>-SUMIF(TArticle[تاریخ],TDays[[#This Row],[تاریخ]],TArticle[افزایش سرمایه])</f>
        <v>0</v>
      </c>
      <c r="O2191" s="164">
        <f>SUMIF(TArticle[تاریخ],TDays[[#This Row],[تاریخ]],TArticle[تعداد تراکنش انجام شده])</f>
        <v>0</v>
      </c>
      <c r="P2191" s="164">
        <f>INT(((TDays[[#This Row],[ماه]]-1)*31+TDays[[#This Row],[روز]]+1)/7)+1</f>
        <v>54</v>
      </c>
      <c r="Q2191" s="164">
        <f>SUMIF(TArticle[تاریخ],TDays[[#This Row],[تاریخ]],TArticle[تراکنش برنامه ریزی شده])</f>
        <v>0</v>
      </c>
    </row>
  </sheetData>
  <conditionalFormatting sqref="A1:Q1048576">
    <cfRule type="expression" dxfId="43" priority="1">
      <formula>$O1&gt;0</formula>
    </cfRule>
  </conditionalFormatting>
  <conditionalFormatting sqref="Z1:Z8">
    <cfRule type="expression" dxfId="42" priority="280">
      <formula>$O1121&gt;0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73"/>
  <sheetViews>
    <sheetView rightToLeft="1" workbookViewId="0"/>
  </sheetViews>
  <sheetFormatPr defaultRowHeight="15" x14ac:dyDescent="0.25"/>
  <cols>
    <col min="1" max="1" width="8.7109375" bestFit="1" customWidth="1"/>
    <col min="2" max="2" width="3.42578125" hidden="1" customWidth="1"/>
    <col min="3" max="3" width="4.5703125" hidden="1" customWidth="1"/>
    <col min="4" max="4" width="9.85546875" style="13" bestFit="1" customWidth="1"/>
    <col min="5" max="11" width="11.7109375" style="1" customWidth="1"/>
    <col min="12" max="12" width="18.42578125" style="1" customWidth="1"/>
    <col min="13" max="13" width="13.5703125" customWidth="1"/>
    <col min="15" max="15" width="5.7109375" style="7" customWidth="1"/>
    <col min="16" max="16" width="11" customWidth="1"/>
  </cols>
  <sheetData>
    <row r="1" spans="1:16" s="12" customFormat="1" ht="33.75" customHeight="1" x14ac:dyDescent="0.25">
      <c r="A1" s="12" t="s">
        <v>942</v>
      </c>
      <c r="B1" s="12" t="s">
        <v>1</v>
      </c>
      <c r="C1" s="12" t="s">
        <v>80</v>
      </c>
      <c r="D1" s="13" t="s">
        <v>967</v>
      </c>
      <c r="E1" s="52" t="s">
        <v>97</v>
      </c>
      <c r="F1" s="52" t="s">
        <v>918</v>
      </c>
      <c r="G1" s="52" t="s">
        <v>2434</v>
      </c>
      <c r="H1" s="52" t="s">
        <v>921</v>
      </c>
      <c r="I1" s="52" t="s">
        <v>1018</v>
      </c>
      <c r="J1" s="52" t="s">
        <v>1017</v>
      </c>
      <c r="K1" s="52" t="s">
        <v>1034</v>
      </c>
      <c r="L1" s="52" t="s">
        <v>1046</v>
      </c>
      <c r="O1" s="13" t="s">
        <v>5</v>
      </c>
      <c r="P1" s="12" t="s">
        <v>1</v>
      </c>
    </row>
    <row r="2" spans="1:16" x14ac:dyDescent="0.25">
      <c r="A2" s="3" t="s">
        <v>943</v>
      </c>
      <c r="B2" t="str">
        <f>RIGHT(LEFT(TMonthOfYear[[#This Row],[ماه سال]],7),2)</f>
        <v>01</v>
      </c>
      <c r="C2" t="str">
        <f>LEFT(TMonthOfYear[[#This Row],[ماه سال]],4)</f>
        <v>1401</v>
      </c>
      <c r="D2" s="16" t="str">
        <f>VLOOKUP(RIGHT(LEFT(TMonthOfYear[[#This Row],[ماه سال]],8),2),TMonth[],2,FALSE)</f>
        <v>فروردین</v>
      </c>
      <c r="E2" s="1">
        <f>SUMIF(TDays[ماه سال],TMonthOfYear[[#This Row],[ماه سال]],TDays[هزینه])</f>
        <v>34332</v>
      </c>
      <c r="F2" s="1">
        <f>SUMIF(TDays[ماه سال],TMonthOfYear[[#This Row],[ماه سال]],TDays[درآمد])</f>
        <v>24516</v>
      </c>
      <c r="G2" s="1">
        <f>SUMIF(TDays[ماه سال],TMonthOfYear[[#This Row],[ماه سال]],TDays[سایر درآمد])</f>
        <v>0</v>
      </c>
      <c r="H2" s="1">
        <f>SUMIF(TDays[ماه سال],TMonthOfYear[[#This Row],[ماه سال]],TDays[پرداخت بدهی])</f>
        <v>15092</v>
      </c>
      <c r="I2" s="1">
        <f>SUMIF(TDays[ماه سال],TMonthOfYear[[#This Row],[ماه سال]],TDays[افزایش بدهی])</f>
        <v>0</v>
      </c>
      <c r="J2" s="1">
        <f>SUMIF(TDays[ماه سال],TMonthOfYear[[#This Row],[ماه سال]],TDays[افزایش سرمایه])</f>
        <v>350</v>
      </c>
      <c r="K2" s="1">
        <f>SUMIF(TDays[ماه سال],TMonthOfYear[[#This Row],[ماه سال]],TDays[تعداد تراکنش انجام شده])</f>
        <v>31</v>
      </c>
      <c r="L2" s="1">
        <f>SUMIF(TDays[ماه سال],TMonthOfYear[[#This Row],[ماه سال]],TDays[تراکنش برنامه ریزی شده])</f>
        <v>0</v>
      </c>
      <c r="O2" s="17" t="s">
        <v>987</v>
      </c>
      <c r="P2" s="1" t="s">
        <v>2</v>
      </c>
    </row>
    <row r="3" spans="1:16" x14ac:dyDescent="0.25">
      <c r="A3" s="3" t="s">
        <v>944</v>
      </c>
      <c r="B3" t="str">
        <f>RIGHT(LEFT(TMonthOfYear[[#This Row],[ماه سال]],7),2)</f>
        <v>02</v>
      </c>
      <c r="C3" t="str">
        <f>LEFT(TMonthOfYear[[#This Row],[ماه سال]],4)</f>
        <v>1401</v>
      </c>
      <c r="D3" s="16" t="str">
        <f>VLOOKUP(RIGHT(LEFT(TMonthOfYear[[#This Row],[ماه سال]],8),2),TMonth[],2,FALSE)</f>
        <v>اردیبهشت</v>
      </c>
      <c r="E3" s="1">
        <f>SUMIF(TDays[ماه سال],TMonthOfYear[[#This Row],[ماه سال]],TDays[هزینه])</f>
        <v>14724</v>
      </c>
      <c r="F3" s="1">
        <f>SUMIF(TDays[ماه سال],TMonthOfYear[[#This Row],[ماه سال]],TDays[درآمد])</f>
        <v>42096</v>
      </c>
      <c r="G3" s="1">
        <f>SUMIF(TDays[ماه سال],TMonthOfYear[[#This Row],[ماه سال]],TDays[سایر درآمد])</f>
        <v>0</v>
      </c>
      <c r="H3" s="1">
        <f>SUMIF(TDays[ماه سال],TMonthOfYear[[#This Row],[ماه سال]],TDays[پرداخت بدهی])</f>
        <v>4000</v>
      </c>
      <c r="I3" s="1">
        <f>SUMIF(TDays[ماه سال],TMonthOfYear[[#This Row],[ماه سال]],TDays[افزایش بدهی])</f>
        <v>0</v>
      </c>
      <c r="J3" s="1">
        <f>SUMIF(TDays[ماه سال],TMonthOfYear[[#This Row],[ماه سال]],TDays[افزایش سرمایه])</f>
        <v>350</v>
      </c>
      <c r="K3" s="1">
        <f>SUMIF(TDays[ماه سال],TMonthOfYear[[#This Row],[ماه سال]],TDays[تعداد تراکنش انجام شده])</f>
        <v>11</v>
      </c>
      <c r="L3" s="1">
        <f>SUMIF(TDays[ماه سال],TMonthOfYear[[#This Row],[ماه سال]],TDays[تراکنش برنامه ریزی شده])</f>
        <v>0</v>
      </c>
      <c r="O3" s="17" t="s">
        <v>988</v>
      </c>
      <c r="P3" s="1" t="s">
        <v>3</v>
      </c>
    </row>
    <row r="4" spans="1:16" x14ac:dyDescent="0.25">
      <c r="A4" s="3" t="s">
        <v>945</v>
      </c>
      <c r="B4" t="str">
        <f>RIGHT(LEFT(TMonthOfYear[[#This Row],[ماه سال]],7),2)</f>
        <v>03</v>
      </c>
      <c r="C4" t="str">
        <f>LEFT(TMonthOfYear[[#This Row],[ماه سال]],4)</f>
        <v>1401</v>
      </c>
      <c r="D4" s="16" t="str">
        <f>VLOOKUP(RIGHT(LEFT(TMonthOfYear[[#This Row],[ماه سال]],8),2),TMonth[],2,FALSE)</f>
        <v>خرداد</v>
      </c>
      <c r="E4" s="1">
        <f>SUMIF(TDays[ماه سال],TMonthOfYear[[#This Row],[ماه سال]],TDays[هزینه])</f>
        <v>79959</v>
      </c>
      <c r="F4" s="1">
        <f>SUMIF(TDays[ماه سال],TMonthOfYear[[#This Row],[ماه سال]],TDays[درآمد])</f>
        <v>0</v>
      </c>
      <c r="G4" s="1">
        <f>SUMIF(TDays[ماه سال],TMonthOfYear[[#This Row],[ماه سال]],TDays[سایر درآمد])</f>
        <v>0</v>
      </c>
      <c r="H4" s="1">
        <f>SUMIF(TDays[ماه سال],TMonthOfYear[[#This Row],[ماه سال]],TDays[پرداخت بدهی])</f>
        <v>16414</v>
      </c>
      <c r="I4" s="1">
        <f>SUMIF(TDays[ماه سال],TMonthOfYear[[#This Row],[ماه سال]],TDays[افزایش بدهی])</f>
        <v>32000</v>
      </c>
      <c r="J4" s="1">
        <f>SUMIF(TDays[ماه سال],TMonthOfYear[[#This Row],[ماه سال]],TDays[افزایش سرمایه])</f>
        <v>350</v>
      </c>
      <c r="K4" s="1">
        <f>SUMIF(TDays[ماه سال],TMonthOfYear[[#This Row],[ماه سال]],TDays[تعداد تراکنش انجام شده])</f>
        <v>43</v>
      </c>
      <c r="L4" s="1">
        <f>SUMIF(TDays[ماه سال],TMonthOfYear[[#This Row],[ماه سال]],TDays[تراکنش برنامه ریزی شده])</f>
        <v>0</v>
      </c>
      <c r="O4" s="17" t="s">
        <v>989</v>
      </c>
      <c r="P4" s="1" t="s">
        <v>39</v>
      </c>
    </row>
    <row r="5" spans="1:16" x14ac:dyDescent="0.25">
      <c r="A5" s="3" t="s">
        <v>946</v>
      </c>
      <c r="B5" t="str">
        <f>RIGHT(LEFT(TMonthOfYear[[#This Row],[ماه سال]],7),2)</f>
        <v>04</v>
      </c>
      <c r="C5" t="str">
        <f>LEFT(TMonthOfYear[[#This Row],[ماه سال]],4)</f>
        <v>1401</v>
      </c>
      <c r="D5" s="16" t="str">
        <f>VLOOKUP(RIGHT(LEFT(TMonthOfYear[[#This Row],[ماه سال]],8),2),TMonth[],2,FALSE)</f>
        <v>تیر</v>
      </c>
      <c r="E5" s="1">
        <f>SUMIF(TDays[ماه سال],TMonthOfYear[[#This Row],[ماه سال]],TDays[هزینه])</f>
        <v>30563</v>
      </c>
      <c r="F5" s="1">
        <f>SUMIF(TDays[ماه سال],TMonthOfYear[[#This Row],[ماه سال]],TDays[درآمد])</f>
        <v>75794</v>
      </c>
      <c r="G5" s="1">
        <f>SUMIF(TDays[ماه سال],TMonthOfYear[[#This Row],[ماه سال]],TDays[سایر درآمد])</f>
        <v>0</v>
      </c>
      <c r="H5" s="1">
        <f>SUMIF(TDays[ماه سال],TMonthOfYear[[#This Row],[ماه سال]],TDays[پرداخت بدهی])</f>
        <v>27810</v>
      </c>
      <c r="I5" s="1">
        <f>SUMIF(TDays[ماه سال],TMonthOfYear[[#This Row],[ماه سال]],TDays[افزایش بدهی])</f>
        <v>0</v>
      </c>
      <c r="J5" s="1">
        <f>SUMIF(TDays[ماه سال],TMonthOfYear[[#This Row],[ماه سال]],TDays[افزایش سرمایه])</f>
        <v>350</v>
      </c>
      <c r="K5" s="1">
        <f>SUMIF(TDays[ماه سال],TMonthOfYear[[#This Row],[ماه سال]],TDays[تعداد تراکنش انجام شده])</f>
        <v>33</v>
      </c>
      <c r="L5" s="1">
        <f>SUMIF(TDays[ماه سال],TMonthOfYear[[#This Row],[ماه سال]],TDays[تراکنش برنامه ریزی شده])</f>
        <v>0</v>
      </c>
      <c r="O5" s="17" t="s">
        <v>990</v>
      </c>
      <c r="P5" s="1" t="s">
        <v>84</v>
      </c>
    </row>
    <row r="6" spans="1:16" x14ac:dyDescent="0.25">
      <c r="A6" s="3" t="s">
        <v>947</v>
      </c>
      <c r="B6" t="str">
        <f>RIGHT(LEFT(TMonthOfYear[[#This Row],[ماه سال]],7),2)</f>
        <v>05</v>
      </c>
      <c r="C6" t="str">
        <f>LEFT(TMonthOfYear[[#This Row],[ماه سال]],4)</f>
        <v>1401</v>
      </c>
      <c r="D6" s="16" t="str">
        <f>VLOOKUP(RIGHT(LEFT(TMonthOfYear[[#This Row],[ماه سال]],8),2),TMonth[],2,FALSE)</f>
        <v>مرداد</v>
      </c>
      <c r="E6" s="1">
        <f>SUMIF(TDays[ماه سال],TMonthOfYear[[#This Row],[ماه سال]],TDays[هزینه])</f>
        <v>9458</v>
      </c>
      <c r="F6" s="1">
        <f>SUMIF(TDays[ماه سال],TMonthOfYear[[#This Row],[ماه سال]],TDays[درآمد])</f>
        <v>0</v>
      </c>
      <c r="G6" s="1">
        <f>SUMIF(TDays[ماه سال],TMonthOfYear[[#This Row],[ماه سال]],TDays[سایر درآمد])</f>
        <v>0</v>
      </c>
      <c r="H6" s="1">
        <f>SUMIF(TDays[ماه سال],TMonthOfYear[[#This Row],[ماه سال]],TDays[پرداخت بدهی])</f>
        <v>5000</v>
      </c>
      <c r="I6" s="1">
        <f>SUMIF(TDays[ماه سال],TMonthOfYear[[#This Row],[ماه سال]],TDays[افزایش بدهی])</f>
        <v>0</v>
      </c>
      <c r="J6" s="1">
        <f>SUMIF(TDays[ماه سال],TMonthOfYear[[#This Row],[ماه سال]],TDays[افزایش سرمایه])</f>
        <v>350</v>
      </c>
      <c r="K6" s="1">
        <f>SUMIF(TDays[ماه سال],TMonthOfYear[[#This Row],[ماه سال]],TDays[تعداد تراکنش انجام شده])</f>
        <v>14</v>
      </c>
      <c r="L6" s="1">
        <f>SUMIF(TDays[ماه سال],TMonthOfYear[[#This Row],[ماه سال]],TDays[تراکنش برنامه ریزی شده])</f>
        <v>0</v>
      </c>
      <c r="O6" s="17" t="s">
        <v>991</v>
      </c>
      <c r="P6" s="1" t="s">
        <v>98</v>
      </c>
    </row>
    <row r="7" spans="1:16" x14ac:dyDescent="0.25">
      <c r="A7" s="3" t="s">
        <v>948</v>
      </c>
      <c r="B7" t="str">
        <f>RIGHT(LEFT(TMonthOfYear[[#This Row],[ماه سال]],7),2)</f>
        <v>06</v>
      </c>
      <c r="C7" t="str">
        <f>LEFT(TMonthOfYear[[#This Row],[ماه سال]],4)</f>
        <v>1401</v>
      </c>
      <c r="D7" s="16" t="str">
        <f>VLOOKUP(RIGHT(LEFT(TMonthOfYear[[#This Row],[ماه سال]],8),2),TMonth[],2,FALSE)</f>
        <v>شهریور</v>
      </c>
      <c r="E7" s="1">
        <f>SUMIF(TDays[ماه سال],TMonthOfYear[[#This Row],[ماه سال]],TDays[هزینه])</f>
        <v>28524</v>
      </c>
      <c r="F7" s="1">
        <f>SUMIF(TDays[ماه سال],TMonthOfYear[[#This Row],[ماه سال]],TDays[درآمد])</f>
        <v>42105</v>
      </c>
      <c r="G7" s="1">
        <f>SUMIF(TDays[ماه سال],TMonthOfYear[[#This Row],[ماه سال]],TDays[سایر درآمد])</f>
        <v>0</v>
      </c>
      <c r="H7" s="1">
        <f>SUMIF(TDays[ماه سال],TMonthOfYear[[#This Row],[ماه سال]],TDays[پرداخت بدهی])</f>
        <v>18212</v>
      </c>
      <c r="I7" s="1">
        <f>SUMIF(TDays[ماه سال],TMonthOfYear[[#This Row],[ماه سال]],TDays[افزایش بدهی])</f>
        <v>0</v>
      </c>
      <c r="J7" s="1">
        <f>SUMIF(TDays[ماه سال],TMonthOfYear[[#This Row],[ماه سال]],TDays[افزایش سرمایه])</f>
        <v>350</v>
      </c>
      <c r="K7" s="1">
        <f>SUMIF(TDays[ماه سال],TMonthOfYear[[#This Row],[ماه سال]],TDays[تعداد تراکنش انجام شده])</f>
        <v>23</v>
      </c>
      <c r="L7" s="1">
        <f>SUMIF(TDays[ماه سال],TMonthOfYear[[#This Row],[ماه سال]],TDays[تراکنش برنامه ریزی شده])</f>
        <v>0</v>
      </c>
      <c r="O7" s="17" t="s">
        <v>992</v>
      </c>
      <c r="P7" s="1" t="s">
        <v>99</v>
      </c>
    </row>
    <row r="8" spans="1:16" x14ac:dyDescent="0.25">
      <c r="A8" s="3" t="s">
        <v>949</v>
      </c>
      <c r="B8" t="str">
        <f>RIGHT(LEFT(TMonthOfYear[[#This Row],[ماه سال]],7),2)</f>
        <v>07</v>
      </c>
      <c r="C8" t="str">
        <f>LEFT(TMonthOfYear[[#This Row],[ماه سال]],4)</f>
        <v>1401</v>
      </c>
      <c r="D8" s="16" t="str">
        <f>VLOOKUP(RIGHT(LEFT(TMonthOfYear[[#This Row],[ماه سال]],8),2),TMonth[],2,FALSE)</f>
        <v>مهر</v>
      </c>
      <c r="E8" s="1">
        <f>SUMIF(TDays[ماه سال],TMonthOfYear[[#This Row],[ماه سال]],TDays[هزینه])</f>
        <v>35864</v>
      </c>
      <c r="F8" s="1">
        <f>SUMIF(TDays[ماه سال],TMonthOfYear[[#This Row],[ماه سال]],TDays[درآمد])</f>
        <v>29270</v>
      </c>
      <c r="G8" s="1">
        <f>SUMIF(TDays[ماه سال],TMonthOfYear[[#This Row],[ماه سال]],TDays[سایر درآمد])</f>
        <v>0</v>
      </c>
      <c r="H8" s="1">
        <f>SUMIF(TDays[ماه سال],TMonthOfYear[[#This Row],[ماه سال]],TDays[پرداخت بدهی])</f>
        <v>8764</v>
      </c>
      <c r="I8" s="1">
        <f>SUMIF(TDays[ماه سال],TMonthOfYear[[#This Row],[ماه سال]],TDays[افزایش بدهی])</f>
        <v>33900</v>
      </c>
      <c r="J8" s="1">
        <f>SUMIF(TDays[ماه سال],TMonthOfYear[[#This Row],[ماه سال]],TDays[افزایش سرمایه])</f>
        <v>350</v>
      </c>
      <c r="K8" s="1">
        <f>SUMIF(TDays[ماه سال],TMonthOfYear[[#This Row],[ماه سال]],TDays[تعداد تراکنش انجام شده])</f>
        <v>17</v>
      </c>
      <c r="L8" s="1">
        <f>SUMIF(TDays[ماه سال],TMonthOfYear[[#This Row],[ماه سال]],TDays[تراکنش برنامه ریزی شده])</f>
        <v>0</v>
      </c>
      <c r="O8" s="17" t="s">
        <v>993</v>
      </c>
      <c r="P8" s="1" t="s">
        <v>101</v>
      </c>
    </row>
    <row r="9" spans="1:16" x14ac:dyDescent="0.25">
      <c r="A9" s="3" t="s">
        <v>950</v>
      </c>
      <c r="B9" t="str">
        <f>RIGHT(LEFT(TMonthOfYear[[#This Row],[ماه سال]],7),2)</f>
        <v>08</v>
      </c>
      <c r="C9" t="str">
        <f>LEFT(TMonthOfYear[[#This Row],[ماه سال]],4)</f>
        <v>1401</v>
      </c>
      <c r="D9" s="16" t="str">
        <f>VLOOKUP(RIGHT(LEFT(TMonthOfYear[[#This Row],[ماه سال]],8),2),TMonth[],2,FALSE)</f>
        <v>آبان</v>
      </c>
      <c r="E9" s="1">
        <f>SUMIF(TDays[ماه سال],TMonthOfYear[[#This Row],[ماه سال]],TDays[هزینه])</f>
        <v>9809</v>
      </c>
      <c r="F9" s="1">
        <f>SUMIF(TDays[ماه سال],TMonthOfYear[[#This Row],[ماه سال]],TDays[درآمد])</f>
        <v>26312</v>
      </c>
      <c r="G9" s="1">
        <f>SUMIF(TDays[ماه سال],TMonthOfYear[[#This Row],[ماه سال]],TDays[سایر درآمد])</f>
        <v>0</v>
      </c>
      <c r="H9" s="1">
        <f>SUMIF(TDays[ماه سال],TMonthOfYear[[#This Row],[ماه سال]],TDays[پرداخت بدهی])</f>
        <v>10278</v>
      </c>
      <c r="I9" s="1">
        <f>SUMIF(TDays[ماه سال],TMonthOfYear[[#This Row],[ماه سال]],TDays[افزایش بدهی])</f>
        <v>0</v>
      </c>
      <c r="J9" s="1">
        <f>SUMIF(TDays[ماه سال],TMonthOfYear[[#This Row],[ماه سال]],TDays[افزایش سرمایه])</f>
        <v>350</v>
      </c>
      <c r="K9" s="1">
        <f>SUMIF(TDays[ماه سال],TMonthOfYear[[#This Row],[ماه سال]],TDays[تعداد تراکنش انجام شده])</f>
        <v>14</v>
      </c>
      <c r="L9" s="1">
        <f>SUMIF(TDays[ماه سال],TMonthOfYear[[#This Row],[ماه سال]],TDays[تراکنش برنامه ریزی شده])</f>
        <v>0</v>
      </c>
      <c r="O9" s="17" t="s">
        <v>994</v>
      </c>
      <c r="P9" s="1" t="s">
        <v>102</v>
      </c>
    </row>
    <row r="10" spans="1:16" x14ac:dyDescent="0.25">
      <c r="A10" s="3" t="s">
        <v>951</v>
      </c>
      <c r="B10" t="str">
        <f>RIGHT(LEFT(TMonthOfYear[[#This Row],[ماه سال]],7),2)</f>
        <v>09</v>
      </c>
      <c r="C10" t="str">
        <f>LEFT(TMonthOfYear[[#This Row],[ماه سال]],4)</f>
        <v>1401</v>
      </c>
      <c r="D10" s="16" t="str">
        <f>VLOOKUP(RIGHT(LEFT(TMonthOfYear[[#This Row],[ماه سال]],8),2),TMonth[],2,FALSE)</f>
        <v>آذر</v>
      </c>
      <c r="E10" s="1">
        <f>SUMIF(TDays[ماه سال],TMonthOfYear[[#This Row],[ماه سال]],TDays[هزینه])</f>
        <v>18284</v>
      </c>
      <c r="F10" s="1">
        <f>SUMIF(TDays[ماه سال],TMonthOfYear[[#This Row],[ماه سال]],TDays[درآمد])</f>
        <v>47323</v>
      </c>
      <c r="G10" s="1">
        <f>SUMIF(TDays[ماه سال],TMonthOfYear[[#This Row],[ماه سال]],TDays[سایر درآمد])</f>
        <v>0</v>
      </c>
      <c r="H10" s="1">
        <f>SUMIF(TDays[ماه سال],TMonthOfYear[[#This Row],[ماه سال]],TDays[پرداخت بدهی])</f>
        <v>23108</v>
      </c>
      <c r="I10" s="1">
        <f>SUMIF(TDays[ماه سال],TMonthOfYear[[#This Row],[ماه سال]],TDays[افزایش بدهی])</f>
        <v>0</v>
      </c>
      <c r="J10" s="1">
        <f>SUMIF(TDays[ماه سال],TMonthOfYear[[#This Row],[ماه سال]],TDays[افزایش سرمایه])</f>
        <v>350</v>
      </c>
      <c r="K10" s="1">
        <f>SUMIF(TDays[ماه سال],TMonthOfYear[[#This Row],[ماه سال]],TDays[تعداد تراکنش انجام شده])</f>
        <v>16</v>
      </c>
      <c r="L10" s="1">
        <f>SUMIF(TDays[ماه سال],TMonthOfYear[[#This Row],[ماه سال]],TDays[تراکنش برنامه ریزی شده])</f>
        <v>0</v>
      </c>
      <c r="O10" s="17" t="s">
        <v>995</v>
      </c>
      <c r="P10" s="1" t="s">
        <v>103</v>
      </c>
    </row>
    <row r="11" spans="1:16" x14ac:dyDescent="0.25">
      <c r="A11" s="3" t="s">
        <v>952</v>
      </c>
      <c r="B11" t="str">
        <f>RIGHT(LEFT(TMonthOfYear[[#This Row],[ماه سال]],7),2)</f>
        <v>10</v>
      </c>
      <c r="C11" t="str">
        <f>LEFT(TMonthOfYear[[#This Row],[ماه سال]],4)</f>
        <v>1401</v>
      </c>
      <c r="D11" s="16" t="str">
        <f>VLOOKUP(RIGHT(LEFT(TMonthOfYear[[#This Row],[ماه سال]],8),2),TMonth[],2,FALSE)</f>
        <v>دی</v>
      </c>
      <c r="E11" s="1">
        <f>SUMIF(TDays[ماه سال],TMonthOfYear[[#This Row],[ماه سال]],TDays[هزینه])</f>
        <v>148773</v>
      </c>
      <c r="F11" s="1">
        <f>SUMIF(TDays[ماه سال],TMonthOfYear[[#This Row],[ماه سال]],TDays[درآمد])</f>
        <v>41177</v>
      </c>
      <c r="G11" s="1">
        <f>SUMIF(TDays[ماه سال],TMonthOfYear[[#This Row],[ماه سال]],TDays[سایر درآمد])</f>
        <v>0</v>
      </c>
      <c r="H11" s="1">
        <f>SUMIF(TDays[ماه سال],TMonthOfYear[[#This Row],[ماه سال]],TDays[پرداخت بدهی])</f>
        <v>13128</v>
      </c>
      <c r="I11" s="1">
        <f>SUMIF(TDays[ماه سال],TMonthOfYear[[#This Row],[ماه سال]],TDays[افزایش بدهی])</f>
        <v>0</v>
      </c>
      <c r="J11" s="1">
        <f>SUMIF(TDays[ماه سال],TMonthOfYear[[#This Row],[ماه سال]],TDays[افزایش سرمایه])</f>
        <v>350</v>
      </c>
      <c r="K11" s="1">
        <f>SUMIF(TDays[ماه سال],TMonthOfYear[[#This Row],[ماه سال]],TDays[تعداد تراکنش انجام شده])</f>
        <v>19</v>
      </c>
      <c r="L11" s="1">
        <f>SUMIF(TDays[ماه سال],TMonthOfYear[[#This Row],[ماه سال]],TDays[تراکنش برنامه ریزی شده])</f>
        <v>0</v>
      </c>
      <c r="O11" s="17" t="s">
        <v>996</v>
      </c>
      <c r="P11" s="1" t="s">
        <v>104</v>
      </c>
    </row>
    <row r="12" spans="1:16" x14ac:dyDescent="0.25">
      <c r="A12" s="3" t="s">
        <v>953</v>
      </c>
      <c r="B12" t="str">
        <f>RIGHT(LEFT(TMonthOfYear[[#This Row],[ماه سال]],7),2)</f>
        <v>11</v>
      </c>
      <c r="C12" t="str">
        <f>LEFT(TMonthOfYear[[#This Row],[ماه سال]],4)</f>
        <v>1401</v>
      </c>
      <c r="D12" s="16" t="str">
        <f>VLOOKUP(RIGHT(LEFT(TMonthOfYear[[#This Row],[ماه سال]],8),2),TMonth[],2,FALSE)</f>
        <v>بهمن</v>
      </c>
      <c r="E12" s="1">
        <f>SUMIF(TDays[ماه سال],TMonthOfYear[[#This Row],[ماه سال]],TDays[هزینه])</f>
        <v>17550</v>
      </c>
      <c r="F12" s="1">
        <f>SUMIF(TDays[ماه سال],TMonthOfYear[[#This Row],[ماه سال]],TDays[درآمد])</f>
        <v>30489</v>
      </c>
      <c r="G12" s="1">
        <f>SUMIF(TDays[ماه سال],TMonthOfYear[[#This Row],[ماه سال]],TDays[سایر درآمد])</f>
        <v>0</v>
      </c>
      <c r="H12" s="1">
        <f>SUMIF(TDays[ماه سال],TMonthOfYear[[#This Row],[ماه سال]],TDays[پرداخت بدهی])</f>
        <v>14808</v>
      </c>
      <c r="I12" s="1">
        <f>SUMIF(TDays[ماه سال],TMonthOfYear[[#This Row],[ماه سال]],TDays[افزایش بدهی])</f>
        <v>0</v>
      </c>
      <c r="J12" s="1">
        <f>SUMIF(TDays[ماه سال],TMonthOfYear[[#This Row],[ماه سال]],TDays[افزایش سرمایه])</f>
        <v>350</v>
      </c>
      <c r="K12" s="1">
        <f>SUMIF(TDays[ماه سال],TMonthOfYear[[#This Row],[ماه سال]],TDays[تعداد تراکنش انجام شده])</f>
        <v>14</v>
      </c>
      <c r="L12" s="1">
        <f>SUMIF(TDays[ماه سال],TMonthOfYear[[#This Row],[ماه سال]],TDays[تراکنش برنامه ریزی شده])</f>
        <v>0</v>
      </c>
      <c r="O12" s="17" t="s">
        <v>997</v>
      </c>
      <c r="P12" s="1" t="s">
        <v>105</v>
      </c>
    </row>
    <row r="13" spans="1:16" x14ac:dyDescent="0.25">
      <c r="A13" s="3" t="s">
        <v>954</v>
      </c>
      <c r="B13" t="str">
        <f>RIGHT(LEFT(TMonthOfYear[[#This Row],[ماه سال]],7),2)</f>
        <v>12</v>
      </c>
      <c r="C13" t="str">
        <f>LEFT(TMonthOfYear[[#This Row],[ماه سال]],4)</f>
        <v>1401</v>
      </c>
      <c r="D13" s="16" t="str">
        <f>VLOOKUP(RIGHT(LEFT(TMonthOfYear[[#This Row],[ماه سال]],8),2),TMonth[],2,FALSE)</f>
        <v>اسفند</v>
      </c>
      <c r="E13" s="1">
        <f>SUMIF(TDays[ماه سال],TMonthOfYear[[#This Row],[ماه سال]],TDays[هزینه])</f>
        <v>192201</v>
      </c>
      <c r="F13" s="1">
        <f>SUMIF(TDays[ماه سال],TMonthOfYear[[#This Row],[ماه سال]],TDays[درآمد])</f>
        <v>56941</v>
      </c>
      <c r="G13" s="1">
        <f>SUMIF(TDays[ماه سال],TMonthOfYear[[#This Row],[ماه سال]],TDays[سایر درآمد])</f>
        <v>0</v>
      </c>
      <c r="H13" s="1">
        <f>SUMIF(TDays[ماه سال],TMonthOfYear[[#This Row],[ماه سال]],TDays[پرداخت بدهی])</f>
        <v>22644</v>
      </c>
      <c r="I13" s="1">
        <f>SUMIF(TDays[ماه سال],TMonthOfYear[[#This Row],[ماه سال]],TDays[افزایش بدهی])</f>
        <v>131104</v>
      </c>
      <c r="J13" s="1">
        <f>SUMIF(TDays[ماه سال],TMonthOfYear[[#This Row],[ماه سال]],TDays[افزایش سرمایه])</f>
        <v>350</v>
      </c>
      <c r="K13" s="1">
        <f>SUMIF(TDays[ماه سال],TMonthOfYear[[#This Row],[ماه سال]],TDays[تعداد تراکنش انجام شده])</f>
        <v>51</v>
      </c>
      <c r="L13" s="1">
        <f>SUMIF(TDays[ماه سال],TMonthOfYear[[#This Row],[ماه سال]],TDays[تراکنش برنامه ریزی شده])</f>
        <v>0</v>
      </c>
      <c r="O13" s="17" t="s">
        <v>998</v>
      </c>
      <c r="P13" s="1" t="s">
        <v>106</v>
      </c>
    </row>
    <row r="14" spans="1:16" x14ac:dyDescent="0.25">
      <c r="A14" s="3" t="s">
        <v>955</v>
      </c>
      <c r="B14" t="str">
        <f>RIGHT(LEFT(TMonthOfYear[[#This Row],[ماه سال]],7),2)</f>
        <v>01</v>
      </c>
      <c r="C14" t="str">
        <f>LEFT(TMonthOfYear[[#This Row],[ماه سال]],4)</f>
        <v>1402</v>
      </c>
      <c r="D14" s="16" t="str">
        <f>VLOOKUP(RIGHT(LEFT(TMonthOfYear[[#This Row],[ماه سال]],8),2),TMonth[],2,FALSE)</f>
        <v>فروردین</v>
      </c>
      <c r="E14" s="1">
        <f>SUMIF(TDays[ماه سال],TMonthOfYear[[#This Row],[ماه سال]],TDays[هزینه])</f>
        <v>1651</v>
      </c>
      <c r="F14" s="1">
        <f>SUMIF(TDays[ماه سال],TMonthOfYear[[#This Row],[ماه سال]],TDays[درآمد])</f>
        <v>0</v>
      </c>
      <c r="G14" s="1">
        <f>SUMIF(TDays[ماه سال],TMonthOfYear[[#This Row],[ماه سال]],TDays[سایر درآمد])</f>
        <v>0</v>
      </c>
      <c r="H14" s="1">
        <f>SUMIF(TDays[ماه سال],TMonthOfYear[[#This Row],[ماه سال]],TDays[پرداخت بدهی])</f>
        <v>3660</v>
      </c>
      <c r="I14" s="1">
        <f>SUMIF(TDays[ماه سال],TMonthOfYear[[#This Row],[ماه سال]],TDays[افزایش بدهی])</f>
        <v>0</v>
      </c>
      <c r="J14" s="1">
        <f>SUMIF(TDays[ماه سال],TMonthOfYear[[#This Row],[ماه سال]],TDays[افزایش سرمایه])</f>
        <v>0</v>
      </c>
      <c r="K14" s="1">
        <f>SUMIF(TDays[ماه سال],TMonthOfYear[[#This Row],[ماه سال]],TDays[تعداد تراکنش انجام شده])</f>
        <v>17</v>
      </c>
      <c r="L14" s="1">
        <f>SUMIF(TDays[ماه سال],TMonthOfYear[[#This Row],[ماه سال]],TDays[تراکنش برنامه ریزی شده])</f>
        <v>10</v>
      </c>
    </row>
    <row r="15" spans="1:16" x14ac:dyDescent="0.25">
      <c r="A15" s="3" t="s">
        <v>956</v>
      </c>
      <c r="B15" t="str">
        <f>RIGHT(LEFT(TMonthOfYear[[#This Row],[ماه سال]],7),2)</f>
        <v>02</v>
      </c>
      <c r="C15" t="str">
        <f>LEFT(TMonthOfYear[[#This Row],[ماه سال]],4)</f>
        <v>1402</v>
      </c>
      <c r="D15" s="16" t="str">
        <f>VLOOKUP(RIGHT(LEFT(TMonthOfYear[[#This Row],[ماه سال]],8),2),TMonth[],2,FALSE)</f>
        <v>اردیبهشت</v>
      </c>
      <c r="E15" s="1">
        <f>SUMIF(TDays[ماه سال],TMonthOfYear[[#This Row],[ماه سال]],TDays[هزینه])</f>
        <v>0</v>
      </c>
      <c r="F15" s="1">
        <f>SUMIF(TDays[ماه سال],TMonthOfYear[[#This Row],[ماه سال]],TDays[درآمد])</f>
        <v>0</v>
      </c>
      <c r="G15" s="1">
        <f>SUMIF(TDays[ماه سال],TMonthOfYear[[#This Row],[ماه سال]],TDays[سایر درآمد])</f>
        <v>0</v>
      </c>
      <c r="H15" s="1">
        <f>SUMIF(TDays[ماه سال],TMonthOfYear[[#This Row],[ماه سال]],TDays[پرداخت بدهی])</f>
        <v>0</v>
      </c>
      <c r="I15" s="1">
        <f>SUMIF(TDays[ماه سال],TMonthOfYear[[#This Row],[ماه سال]],TDays[افزایش بدهی])</f>
        <v>0</v>
      </c>
      <c r="J15" s="1">
        <f>SUMIF(TDays[ماه سال],TMonthOfYear[[#This Row],[ماه سال]],TDays[افزایش سرمایه])</f>
        <v>0</v>
      </c>
      <c r="K15" s="1">
        <f>SUMIF(TDays[ماه سال],TMonthOfYear[[#This Row],[ماه سال]],TDays[تعداد تراکنش انجام شده])</f>
        <v>0</v>
      </c>
      <c r="L15" s="1">
        <f>SUMIF(TDays[ماه سال],TMonthOfYear[[#This Row],[ماه سال]],TDays[تراکنش برنامه ریزی شده])</f>
        <v>18</v>
      </c>
    </row>
    <row r="16" spans="1:16" x14ac:dyDescent="0.25">
      <c r="A16" s="3" t="s">
        <v>957</v>
      </c>
      <c r="B16" t="str">
        <f>RIGHT(LEFT(TMonthOfYear[[#This Row],[ماه سال]],7),2)</f>
        <v>03</v>
      </c>
      <c r="C16" t="str">
        <f>LEFT(TMonthOfYear[[#This Row],[ماه سال]],4)</f>
        <v>1402</v>
      </c>
      <c r="D16" s="16" t="str">
        <f>VLOOKUP(RIGHT(LEFT(TMonthOfYear[[#This Row],[ماه سال]],8),2),TMonth[],2,FALSE)</f>
        <v>خرداد</v>
      </c>
      <c r="E16" s="1">
        <f>SUMIF(TDays[ماه سال],TMonthOfYear[[#This Row],[ماه سال]],TDays[هزینه])</f>
        <v>0</v>
      </c>
      <c r="F16" s="1">
        <f>SUMIF(TDays[ماه سال],TMonthOfYear[[#This Row],[ماه سال]],TDays[درآمد])</f>
        <v>0</v>
      </c>
      <c r="G16" s="1">
        <f>SUMIF(TDays[ماه سال],TMonthOfYear[[#This Row],[ماه سال]],TDays[سایر درآمد])</f>
        <v>0</v>
      </c>
      <c r="H16" s="1">
        <f>SUMIF(TDays[ماه سال],TMonthOfYear[[#This Row],[ماه سال]],TDays[پرداخت بدهی])</f>
        <v>0</v>
      </c>
      <c r="I16" s="1">
        <f>SUMIF(TDays[ماه سال],TMonthOfYear[[#This Row],[ماه سال]],TDays[افزایش بدهی])</f>
        <v>0</v>
      </c>
      <c r="J16" s="1">
        <f>SUMIF(TDays[ماه سال],TMonthOfYear[[#This Row],[ماه سال]],TDays[افزایش سرمایه])</f>
        <v>0</v>
      </c>
      <c r="K16" s="1">
        <f>SUMIF(TDays[ماه سال],TMonthOfYear[[#This Row],[ماه سال]],TDays[تعداد تراکنش انجام شده])</f>
        <v>0</v>
      </c>
      <c r="L16" s="1">
        <f>SUMIF(TDays[ماه سال],TMonthOfYear[[#This Row],[ماه سال]],TDays[تراکنش برنامه ریزی شده])</f>
        <v>11</v>
      </c>
    </row>
    <row r="17" spans="1:12" x14ac:dyDescent="0.25">
      <c r="A17" s="3" t="s">
        <v>958</v>
      </c>
      <c r="B17" t="str">
        <f>RIGHT(LEFT(TMonthOfYear[[#This Row],[ماه سال]],7),2)</f>
        <v>04</v>
      </c>
      <c r="C17" t="str">
        <f>LEFT(TMonthOfYear[[#This Row],[ماه سال]],4)</f>
        <v>1402</v>
      </c>
      <c r="D17" s="16" t="str">
        <f>VLOOKUP(RIGHT(LEFT(TMonthOfYear[[#This Row],[ماه سال]],8),2),TMonth[],2,FALSE)</f>
        <v>تیر</v>
      </c>
      <c r="E17" s="1">
        <f>SUMIF(TDays[ماه سال],TMonthOfYear[[#This Row],[ماه سال]],TDays[هزینه])</f>
        <v>0</v>
      </c>
      <c r="F17" s="1">
        <f>SUMIF(TDays[ماه سال],TMonthOfYear[[#This Row],[ماه سال]],TDays[درآمد])</f>
        <v>0</v>
      </c>
      <c r="G17" s="1">
        <f>SUMIF(TDays[ماه سال],TMonthOfYear[[#This Row],[ماه سال]],TDays[سایر درآمد])</f>
        <v>0</v>
      </c>
      <c r="H17" s="1">
        <f>SUMIF(TDays[ماه سال],TMonthOfYear[[#This Row],[ماه سال]],TDays[پرداخت بدهی])</f>
        <v>0</v>
      </c>
      <c r="I17" s="1">
        <f>SUMIF(TDays[ماه سال],TMonthOfYear[[#This Row],[ماه سال]],TDays[افزایش بدهی])</f>
        <v>0</v>
      </c>
      <c r="J17" s="1">
        <f>SUMIF(TDays[ماه سال],TMonthOfYear[[#This Row],[ماه سال]],TDays[افزایش سرمایه])</f>
        <v>0</v>
      </c>
      <c r="K17" s="1">
        <f>SUMIF(TDays[ماه سال],TMonthOfYear[[#This Row],[ماه سال]],TDays[تعداد تراکنش انجام شده])</f>
        <v>0</v>
      </c>
      <c r="L17" s="1">
        <f>SUMIF(TDays[ماه سال],TMonthOfYear[[#This Row],[ماه سال]],TDays[تراکنش برنامه ریزی شده])</f>
        <v>11</v>
      </c>
    </row>
    <row r="18" spans="1:12" x14ac:dyDescent="0.25">
      <c r="A18" s="3" t="s">
        <v>959</v>
      </c>
      <c r="B18" t="str">
        <f>RIGHT(LEFT(TMonthOfYear[[#This Row],[ماه سال]],7),2)</f>
        <v>05</v>
      </c>
      <c r="C18" t="str">
        <f>LEFT(TMonthOfYear[[#This Row],[ماه سال]],4)</f>
        <v>1402</v>
      </c>
      <c r="D18" s="16" t="str">
        <f>VLOOKUP(RIGHT(LEFT(TMonthOfYear[[#This Row],[ماه سال]],8),2),TMonth[],2,FALSE)</f>
        <v>مرداد</v>
      </c>
      <c r="E18" s="1">
        <f>SUMIF(TDays[ماه سال],TMonthOfYear[[#This Row],[ماه سال]],TDays[هزینه])</f>
        <v>0</v>
      </c>
      <c r="F18" s="1">
        <f>SUMIF(TDays[ماه سال],TMonthOfYear[[#This Row],[ماه سال]],TDays[درآمد])</f>
        <v>0</v>
      </c>
      <c r="G18" s="1">
        <f>SUMIF(TDays[ماه سال],TMonthOfYear[[#This Row],[ماه سال]],TDays[سایر درآمد])</f>
        <v>0</v>
      </c>
      <c r="H18" s="1">
        <f>SUMIF(TDays[ماه سال],TMonthOfYear[[#This Row],[ماه سال]],TDays[پرداخت بدهی])</f>
        <v>0</v>
      </c>
      <c r="I18" s="1">
        <f>SUMIF(TDays[ماه سال],TMonthOfYear[[#This Row],[ماه سال]],TDays[افزایش بدهی])</f>
        <v>0</v>
      </c>
      <c r="J18" s="1">
        <f>SUMIF(TDays[ماه سال],TMonthOfYear[[#This Row],[ماه سال]],TDays[افزایش سرمایه])</f>
        <v>0</v>
      </c>
      <c r="K18" s="1">
        <f>SUMIF(TDays[ماه سال],TMonthOfYear[[#This Row],[ماه سال]],TDays[تعداد تراکنش انجام شده])</f>
        <v>0</v>
      </c>
      <c r="L18" s="1">
        <f>SUMIF(TDays[ماه سال],TMonthOfYear[[#This Row],[ماه سال]],TDays[تراکنش برنامه ریزی شده])</f>
        <v>11</v>
      </c>
    </row>
    <row r="19" spans="1:12" x14ac:dyDescent="0.25">
      <c r="A19" s="3" t="s">
        <v>960</v>
      </c>
      <c r="B19" t="str">
        <f>RIGHT(LEFT(TMonthOfYear[[#This Row],[ماه سال]],7),2)</f>
        <v>06</v>
      </c>
      <c r="C19" t="str">
        <f>LEFT(TMonthOfYear[[#This Row],[ماه سال]],4)</f>
        <v>1402</v>
      </c>
      <c r="D19" s="16" t="str">
        <f>VLOOKUP(RIGHT(LEFT(TMonthOfYear[[#This Row],[ماه سال]],8),2),TMonth[],2,FALSE)</f>
        <v>شهریور</v>
      </c>
      <c r="E19" s="1">
        <f>SUMIF(TDays[ماه سال],TMonthOfYear[[#This Row],[ماه سال]],TDays[هزینه])</f>
        <v>0</v>
      </c>
      <c r="F19" s="1">
        <f>SUMIF(TDays[ماه سال],TMonthOfYear[[#This Row],[ماه سال]],TDays[درآمد])</f>
        <v>0</v>
      </c>
      <c r="G19" s="1">
        <f>SUMIF(TDays[ماه سال],TMonthOfYear[[#This Row],[ماه سال]],TDays[سایر درآمد])</f>
        <v>0</v>
      </c>
      <c r="H19" s="1">
        <f>SUMIF(TDays[ماه سال],TMonthOfYear[[#This Row],[ماه سال]],TDays[پرداخت بدهی])</f>
        <v>0</v>
      </c>
      <c r="I19" s="1">
        <f>SUMIF(TDays[ماه سال],TMonthOfYear[[#This Row],[ماه سال]],TDays[افزایش بدهی])</f>
        <v>0</v>
      </c>
      <c r="J19" s="1">
        <f>SUMIF(TDays[ماه سال],TMonthOfYear[[#This Row],[ماه سال]],TDays[افزایش سرمایه])</f>
        <v>0</v>
      </c>
      <c r="K19" s="1">
        <f>SUMIF(TDays[ماه سال],TMonthOfYear[[#This Row],[ماه سال]],TDays[تعداد تراکنش انجام شده])</f>
        <v>0</v>
      </c>
      <c r="L19" s="1">
        <f>SUMIF(TDays[ماه سال],TMonthOfYear[[#This Row],[ماه سال]],TDays[تراکنش برنامه ریزی شده])</f>
        <v>10</v>
      </c>
    </row>
    <row r="20" spans="1:12" x14ac:dyDescent="0.25">
      <c r="A20" s="3" t="s">
        <v>961</v>
      </c>
      <c r="B20" t="str">
        <f>RIGHT(LEFT(TMonthOfYear[[#This Row],[ماه سال]],7),2)</f>
        <v>07</v>
      </c>
      <c r="C20" t="str">
        <f>LEFT(TMonthOfYear[[#This Row],[ماه سال]],4)</f>
        <v>1402</v>
      </c>
      <c r="D20" s="16" t="str">
        <f>VLOOKUP(RIGHT(LEFT(TMonthOfYear[[#This Row],[ماه سال]],8),2),TMonth[],2,FALSE)</f>
        <v>مهر</v>
      </c>
      <c r="E20" s="1">
        <f>SUMIF(TDays[ماه سال],TMonthOfYear[[#This Row],[ماه سال]],TDays[هزینه])</f>
        <v>0</v>
      </c>
      <c r="F20" s="1">
        <f>SUMIF(TDays[ماه سال],TMonthOfYear[[#This Row],[ماه سال]],TDays[درآمد])</f>
        <v>0</v>
      </c>
      <c r="G20" s="1">
        <f>SUMIF(TDays[ماه سال],TMonthOfYear[[#This Row],[ماه سال]],TDays[سایر درآمد])</f>
        <v>0</v>
      </c>
      <c r="H20" s="1">
        <f>SUMIF(TDays[ماه سال],TMonthOfYear[[#This Row],[ماه سال]],TDays[پرداخت بدهی])</f>
        <v>0</v>
      </c>
      <c r="I20" s="1">
        <f>SUMIF(TDays[ماه سال],TMonthOfYear[[#This Row],[ماه سال]],TDays[افزایش بدهی])</f>
        <v>0</v>
      </c>
      <c r="J20" s="1">
        <f>SUMIF(TDays[ماه سال],TMonthOfYear[[#This Row],[ماه سال]],TDays[افزایش سرمایه])</f>
        <v>0</v>
      </c>
      <c r="K20" s="1">
        <f>SUMIF(TDays[ماه سال],TMonthOfYear[[#This Row],[ماه سال]],TDays[تعداد تراکنش انجام شده])</f>
        <v>0</v>
      </c>
      <c r="L20" s="1">
        <f>SUMIF(TDays[ماه سال],TMonthOfYear[[#This Row],[ماه سال]],TDays[تراکنش برنامه ریزی شده])</f>
        <v>10</v>
      </c>
    </row>
    <row r="21" spans="1:12" x14ac:dyDescent="0.25">
      <c r="A21" s="3" t="s">
        <v>962</v>
      </c>
      <c r="B21" t="str">
        <f>RIGHT(LEFT(TMonthOfYear[[#This Row],[ماه سال]],7),2)</f>
        <v>08</v>
      </c>
      <c r="C21" t="str">
        <f>LEFT(TMonthOfYear[[#This Row],[ماه سال]],4)</f>
        <v>1402</v>
      </c>
      <c r="D21" s="16" t="str">
        <f>VLOOKUP(RIGHT(LEFT(TMonthOfYear[[#This Row],[ماه سال]],8),2),TMonth[],2,FALSE)</f>
        <v>آبان</v>
      </c>
      <c r="E21" s="1">
        <f>SUMIF(TDays[ماه سال],TMonthOfYear[[#This Row],[ماه سال]],TDays[هزینه])</f>
        <v>0</v>
      </c>
      <c r="F21" s="1">
        <f>SUMIF(TDays[ماه سال],TMonthOfYear[[#This Row],[ماه سال]],TDays[درآمد])</f>
        <v>0</v>
      </c>
      <c r="G21" s="1">
        <f>SUMIF(TDays[ماه سال],TMonthOfYear[[#This Row],[ماه سال]],TDays[سایر درآمد])</f>
        <v>0</v>
      </c>
      <c r="H21" s="1">
        <f>SUMIF(TDays[ماه سال],TMonthOfYear[[#This Row],[ماه سال]],TDays[پرداخت بدهی])</f>
        <v>0</v>
      </c>
      <c r="I21" s="1">
        <f>SUMIF(TDays[ماه سال],TMonthOfYear[[#This Row],[ماه سال]],TDays[افزایش بدهی])</f>
        <v>0</v>
      </c>
      <c r="J21" s="1">
        <f>SUMIF(TDays[ماه سال],TMonthOfYear[[#This Row],[ماه سال]],TDays[افزایش سرمایه])</f>
        <v>0</v>
      </c>
      <c r="K21" s="1">
        <f>SUMIF(TDays[ماه سال],TMonthOfYear[[#This Row],[ماه سال]],TDays[تعداد تراکنش انجام شده])</f>
        <v>0</v>
      </c>
      <c r="L21" s="1">
        <f>SUMIF(TDays[ماه سال],TMonthOfYear[[#This Row],[ماه سال]],TDays[تراکنش برنامه ریزی شده])</f>
        <v>10</v>
      </c>
    </row>
    <row r="22" spans="1:12" x14ac:dyDescent="0.25">
      <c r="A22" s="3" t="s">
        <v>963</v>
      </c>
      <c r="B22" t="str">
        <f>RIGHT(LEFT(TMonthOfYear[[#This Row],[ماه سال]],7),2)</f>
        <v>09</v>
      </c>
      <c r="C22" t="str">
        <f>LEFT(TMonthOfYear[[#This Row],[ماه سال]],4)</f>
        <v>1402</v>
      </c>
      <c r="D22" s="16" t="str">
        <f>VLOOKUP(RIGHT(LEFT(TMonthOfYear[[#This Row],[ماه سال]],8),2),TMonth[],2,FALSE)</f>
        <v>آذر</v>
      </c>
      <c r="E22" s="1">
        <f>SUMIF(TDays[ماه سال],TMonthOfYear[[#This Row],[ماه سال]],TDays[هزینه])</f>
        <v>0</v>
      </c>
      <c r="F22" s="1">
        <f>SUMIF(TDays[ماه سال],TMonthOfYear[[#This Row],[ماه سال]],TDays[درآمد])</f>
        <v>0</v>
      </c>
      <c r="G22" s="1">
        <f>SUMIF(TDays[ماه سال],TMonthOfYear[[#This Row],[ماه سال]],TDays[سایر درآمد])</f>
        <v>0</v>
      </c>
      <c r="H22" s="1">
        <f>SUMIF(TDays[ماه سال],TMonthOfYear[[#This Row],[ماه سال]],TDays[پرداخت بدهی])</f>
        <v>0</v>
      </c>
      <c r="I22" s="1">
        <f>SUMIF(TDays[ماه سال],TMonthOfYear[[#This Row],[ماه سال]],TDays[افزایش بدهی])</f>
        <v>0</v>
      </c>
      <c r="J22" s="1">
        <f>SUMIF(TDays[ماه سال],TMonthOfYear[[#This Row],[ماه سال]],TDays[افزایش سرمایه])</f>
        <v>0</v>
      </c>
      <c r="K22" s="1">
        <f>SUMIF(TDays[ماه سال],TMonthOfYear[[#This Row],[ماه سال]],TDays[تعداد تراکنش انجام شده])</f>
        <v>0</v>
      </c>
      <c r="L22" s="1">
        <f>SUMIF(TDays[ماه سال],TMonthOfYear[[#This Row],[ماه سال]],TDays[تراکنش برنامه ریزی شده])</f>
        <v>11</v>
      </c>
    </row>
    <row r="23" spans="1:12" x14ac:dyDescent="0.25">
      <c r="A23" s="3" t="s">
        <v>964</v>
      </c>
      <c r="B23" t="str">
        <f>RIGHT(LEFT(TMonthOfYear[[#This Row],[ماه سال]],7),2)</f>
        <v>10</v>
      </c>
      <c r="C23" t="str">
        <f>LEFT(TMonthOfYear[[#This Row],[ماه سال]],4)</f>
        <v>1402</v>
      </c>
      <c r="D23" s="16" t="str">
        <f>VLOOKUP(RIGHT(LEFT(TMonthOfYear[[#This Row],[ماه سال]],8),2),TMonth[],2,FALSE)</f>
        <v>دی</v>
      </c>
      <c r="E23" s="1">
        <f>SUMIF(TDays[ماه سال],TMonthOfYear[[#This Row],[ماه سال]],TDays[هزینه])</f>
        <v>0</v>
      </c>
      <c r="F23" s="1">
        <f>SUMIF(TDays[ماه سال],TMonthOfYear[[#This Row],[ماه سال]],TDays[درآمد])</f>
        <v>0</v>
      </c>
      <c r="G23" s="1">
        <f>SUMIF(TDays[ماه سال],TMonthOfYear[[#This Row],[ماه سال]],TDays[سایر درآمد])</f>
        <v>0</v>
      </c>
      <c r="H23" s="1">
        <f>SUMIF(TDays[ماه سال],TMonthOfYear[[#This Row],[ماه سال]],TDays[پرداخت بدهی])</f>
        <v>0</v>
      </c>
      <c r="I23" s="1">
        <f>SUMIF(TDays[ماه سال],TMonthOfYear[[#This Row],[ماه سال]],TDays[افزایش بدهی])</f>
        <v>0</v>
      </c>
      <c r="J23" s="1">
        <f>SUMIF(TDays[ماه سال],TMonthOfYear[[#This Row],[ماه سال]],TDays[افزایش سرمایه])</f>
        <v>0</v>
      </c>
      <c r="K23" s="1">
        <f>SUMIF(TDays[ماه سال],TMonthOfYear[[#This Row],[ماه سال]],TDays[تعداد تراکنش انجام شده])</f>
        <v>0</v>
      </c>
      <c r="L23" s="1">
        <f>SUMIF(TDays[ماه سال],TMonthOfYear[[#This Row],[ماه سال]],TDays[تراکنش برنامه ریزی شده])</f>
        <v>11</v>
      </c>
    </row>
    <row r="24" spans="1:12" x14ac:dyDescent="0.25">
      <c r="A24" s="3" t="s">
        <v>965</v>
      </c>
      <c r="B24" t="str">
        <f>RIGHT(LEFT(TMonthOfYear[[#This Row],[ماه سال]],7),2)</f>
        <v>11</v>
      </c>
      <c r="C24" t="str">
        <f>LEFT(TMonthOfYear[[#This Row],[ماه سال]],4)</f>
        <v>1402</v>
      </c>
      <c r="D24" s="16" t="str">
        <f>VLOOKUP(RIGHT(LEFT(TMonthOfYear[[#This Row],[ماه سال]],8),2),TMonth[],2,FALSE)</f>
        <v>بهمن</v>
      </c>
      <c r="E24" s="1">
        <f>SUMIF(TDays[ماه سال],TMonthOfYear[[#This Row],[ماه سال]],TDays[هزینه])</f>
        <v>0</v>
      </c>
      <c r="F24" s="1">
        <f>SUMIF(TDays[ماه سال],TMonthOfYear[[#This Row],[ماه سال]],TDays[درآمد])</f>
        <v>0</v>
      </c>
      <c r="G24" s="1">
        <f>SUMIF(TDays[ماه سال],TMonthOfYear[[#This Row],[ماه سال]],TDays[سایر درآمد])</f>
        <v>0</v>
      </c>
      <c r="H24" s="1">
        <f>SUMIF(TDays[ماه سال],TMonthOfYear[[#This Row],[ماه سال]],TDays[پرداخت بدهی])</f>
        <v>0</v>
      </c>
      <c r="I24" s="1">
        <f>SUMIF(TDays[ماه سال],TMonthOfYear[[#This Row],[ماه سال]],TDays[افزایش بدهی])</f>
        <v>0</v>
      </c>
      <c r="J24" s="1">
        <f>SUMIF(TDays[ماه سال],TMonthOfYear[[#This Row],[ماه سال]],TDays[افزایش سرمایه])</f>
        <v>0</v>
      </c>
      <c r="K24" s="1">
        <f>SUMIF(TDays[ماه سال],TMonthOfYear[[#This Row],[ماه سال]],TDays[تعداد تراکنش انجام شده])</f>
        <v>0</v>
      </c>
      <c r="L24" s="1">
        <f>SUMIF(TDays[ماه سال],TMonthOfYear[[#This Row],[ماه سال]],TDays[تراکنش برنامه ریزی شده])</f>
        <v>11</v>
      </c>
    </row>
    <row r="25" spans="1:12" x14ac:dyDescent="0.25">
      <c r="A25" s="3" t="s">
        <v>966</v>
      </c>
      <c r="B25" t="str">
        <f>RIGHT(LEFT(TMonthOfYear[[#This Row],[ماه سال]],7),2)</f>
        <v>12</v>
      </c>
      <c r="C25" t="str">
        <f>LEFT(TMonthOfYear[[#This Row],[ماه سال]],4)</f>
        <v>1402</v>
      </c>
      <c r="D25" s="16" t="str">
        <f>VLOOKUP(RIGHT(LEFT(TMonthOfYear[[#This Row],[ماه سال]],8),2),TMonth[],2,FALSE)</f>
        <v>اسفند</v>
      </c>
      <c r="E25" s="1">
        <f>SUMIF(TDays[ماه سال],TMonthOfYear[[#This Row],[ماه سال]],TDays[هزینه])</f>
        <v>0</v>
      </c>
      <c r="F25" s="1">
        <f>SUMIF(TDays[ماه سال],TMonthOfYear[[#This Row],[ماه سال]],TDays[درآمد])</f>
        <v>0</v>
      </c>
      <c r="G25" s="1">
        <f>SUMIF(TDays[ماه سال],TMonthOfYear[[#This Row],[ماه سال]],TDays[سایر درآمد])</f>
        <v>0</v>
      </c>
      <c r="H25" s="1">
        <f>SUMIF(TDays[ماه سال],TMonthOfYear[[#This Row],[ماه سال]],TDays[پرداخت بدهی])</f>
        <v>0</v>
      </c>
      <c r="I25" s="1">
        <f>SUMIF(TDays[ماه سال],TMonthOfYear[[#This Row],[ماه سال]],TDays[افزایش بدهی])</f>
        <v>0</v>
      </c>
      <c r="J25" s="1">
        <f>SUMIF(TDays[ماه سال],TMonthOfYear[[#This Row],[ماه سال]],TDays[افزایش سرمایه])</f>
        <v>0</v>
      </c>
      <c r="K25" s="1">
        <f>SUMIF(TDays[ماه سال],TMonthOfYear[[#This Row],[ماه سال]],TDays[تعداد تراکنش انجام شده])</f>
        <v>0</v>
      </c>
      <c r="L25" s="1">
        <f>SUMIF(TDays[ماه سال],TMonthOfYear[[#This Row],[ماه سال]],TDays[تراکنش برنامه ریزی شده])</f>
        <v>11</v>
      </c>
    </row>
    <row r="26" spans="1:12" x14ac:dyDescent="0.25">
      <c r="A26" s="3" t="s">
        <v>1217</v>
      </c>
      <c r="B26" t="str">
        <f>RIGHT(LEFT(TMonthOfYear[[#This Row],[ماه سال]],7),2)</f>
        <v>01</v>
      </c>
      <c r="C26" t="str">
        <f>LEFT(TMonthOfYear[[#This Row],[ماه سال]],4)</f>
        <v>1403</v>
      </c>
      <c r="D26" s="16" t="str">
        <f>VLOOKUP(RIGHT(LEFT(TMonthOfYear[[#This Row],[ماه سال]],8),2),TMonth[],2,FALSE)</f>
        <v>فروردین</v>
      </c>
      <c r="E26" s="1">
        <f>SUMIF(TDays[ماه سال],TMonthOfYear[[#This Row],[ماه سال]],TDays[هزینه])</f>
        <v>0</v>
      </c>
      <c r="F26" s="1">
        <f>SUMIF(TDays[ماه سال],TMonthOfYear[[#This Row],[ماه سال]],TDays[درآمد])</f>
        <v>0</v>
      </c>
      <c r="G26" s="1">
        <f>SUMIF(TDays[ماه سال],TMonthOfYear[[#This Row],[ماه سال]],TDays[سایر درآمد])</f>
        <v>0</v>
      </c>
      <c r="H26" s="1">
        <f>SUMIF(TDays[ماه سال],TMonthOfYear[[#This Row],[ماه سال]],TDays[پرداخت بدهی])</f>
        <v>0</v>
      </c>
      <c r="I26" s="1">
        <f>SUMIF(TDays[ماه سال],TMonthOfYear[[#This Row],[ماه سال]],TDays[افزایش بدهی])</f>
        <v>0</v>
      </c>
      <c r="J26" s="1">
        <f>SUMIF(TDays[ماه سال],TMonthOfYear[[#This Row],[ماه سال]],TDays[افزایش سرمایه])</f>
        <v>0</v>
      </c>
      <c r="K26" s="1">
        <f>SUMIF(TDays[ماه سال],TMonthOfYear[[#This Row],[ماه سال]],TDays[تعداد تراکنش انجام شده])</f>
        <v>0</v>
      </c>
      <c r="L26" s="1">
        <f>SUMIF(TDays[ماه سال],TMonthOfYear[[#This Row],[ماه سال]],TDays[تراکنش برنامه ریزی شده])</f>
        <v>9</v>
      </c>
    </row>
    <row r="27" spans="1:12" x14ac:dyDescent="0.25">
      <c r="A27" s="3" t="s">
        <v>1218</v>
      </c>
      <c r="B27" t="str">
        <f>RIGHT(LEFT(TMonthOfYear[[#This Row],[ماه سال]],7),2)</f>
        <v>02</v>
      </c>
      <c r="C27" t="str">
        <f>LEFT(TMonthOfYear[[#This Row],[ماه سال]],4)</f>
        <v>1403</v>
      </c>
      <c r="D27" s="16" t="str">
        <f>VLOOKUP(RIGHT(LEFT(TMonthOfYear[[#This Row],[ماه سال]],8),2),TMonth[],2,FALSE)</f>
        <v>اردیبهشت</v>
      </c>
      <c r="E27" s="1">
        <f>SUMIF(TDays[ماه سال],TMonthOfYear[[#This Row],[ماه سال]],TDays[هزینه])</f>
        <v>0</v>
      </c>
      <c r="F27" s="1">
        <f>SUMIF(TDays[ماه سال],TMonthOfYear[[#This Row],[ماه سال]],TDays[درآمد])</f>
        <v>0</v>
      </c>
      <c r="G27" s="1">
        <f>SUMIF(TDays[ماه سال],TMonthOfYear[[#This Row],[ماه سال]],TDays[سایر درآمد])</f>
        <v>0</v>
      </c>
      <c r="H27" s="1">
        <f>SUMIF(TDays[ماه سال],TMonthOfYear[[#This Row],[ماه سال]],TDays[پرداخت بدهی])</f>
        <v>0</v>
      </c>
      <c r="I27" s="1">
        <f>SUMIF(TDays[ماه سال],TMonthOfYear[[#This Row],[ماه سال]],TDays[افزایش بدهی])</f>
        <v>0</v>
      </c>
      <c r="J27" s="1">
        <f>SUMIF(TDays[ماه سال],TMonthOfYear[[#This Row],[ماه سال]],TDays[افزایش سرمایه])</f>
        <v>0</v>
      </c>
      <c r="K27" s="1">
        <f>SUMIF(TDays[ماه سال],TMonthOfYear[[#This Row],[ماه سال]],TDays[تعداد تراکنش انجام شده])</f>
        <v>0</v>
      </c>
      <c r="L27" s="1">
        <f>SUMIF(TDays[ماه سال],TMonthOfYear[[#This Row],[ماه سال]],TDays[تراکنش برنامه ریزی شده])</f>
        <v>9</v>
      </c>
    </row>
    <row r="28" spans="1:12" x14ac:dyDescent="0.25">
      <c r="A28" s="3" t="s">
        <v>1219</v>
      </c>
      <c r="B28" t="str">
        <f>RIGHT(LEFT(TMonthOfYear[[#This Row],[ماه سال]],7),2)</f>
        <v>03</v>
      </c>
      <c r="C28" t="str">
        <f>LEFT(TMonthOfYear[[#This Row],[ماه سال]],4)</f>
        <v>1403</v>
      </c>
      <c r="D28" s="16" t="str">
        <f>VLOOKUP(RIGHT(LEFT(TMonthOfYear[[#This Row],[ماه سال]],8),2),TMonth[],2,FALSE)</f>
        <v>خرداد</v>
      </c>
      <c r="E28" s="1">
        <f>SUMIF(TDays[ماه سال],TMonthOfYear[[#This Row],[ماه سال]],TDays[هزینه])</f>
        <v>0</v>
      </c>
      <c r="F28" s="1">
        <f>SUMIF(TDays[ماه سال],TMonthOfYear[[#This Row],[ماه سال]],TDays[درآمد])</f>
        <v>0</v>
      </c>
      <c r="G28" s="1">
        <f>SUMIF(TDays[ماه سال],TMonthOfYear[[#This Row],[ماه سال]],TDays[سایر درآمد])</f>
        <v>0</v>
      </c>
      <c r="H28" s="1">
        <f>SUMIF(TDays[ماه سال],TMonthOfYear[[#This Row],[ماه سال]],TDays[پرداخت بدهی])</f>
        <v>0</v>
      </c>
      <c r="I28" s="1">
        <f>SUMIF(TDays[ماه سال],TMonthOfYear[[#This Row],[ماه سال]],TDays[افزایش بدهی])</f>
        <v>0</v>
      </c>
      <c r="J28" s="1">
        <f>SUMIF(TDays[ماه سال],TMonthOfYear[[#This Row],[ماه سال]],TDays[افزایش سرمایه])</f>
        <v>0</v>
      </c>
      <c r="K28" s="1">
        <f>SUMIF(TDays[ماه سال],TMonthOfYear[[#This Row],[ماه سال]],TDays[تعداد تراکنش انجام شده])</f>
        <v>0</v>
      </c>
      <c r="L28" s="1">
        <f>SUMIF(TDays[ماه سال],TMonthOfYear[[#This Row],[ماه سال]],TDays[تراکنش برنامه ریزی شده])</f>
        <v>12</v>
      </c>
    </row>
    <row r="29" spans="1:12" x14ac:dyDescent="0.25">
      <c r="A29" s="3" t="s">
        <v>1220</v>
      </c>
      <c r="B29" t="str">
        <f>RIGHT(LEFT(TMonthOfYear[[#This Row],[ماه سال]],7),2)</f>
        <v>04</v>
      </c>
      <c r="C29" t="str">
        <f>LEFT(TMonthOfYear[[#This Row],[ماه سال]],4)</f>
        <v>1403</v>
      </c>
      <c r="D29" s="16" t="str">
        <f>VLOOKUP(RIGHT(LEFT(TMonthOfYear[[#This Row],[ماه سال]],8),2),TMonth[],2,FALSE)</f>
        <v>تیر</v>
      </c>
      <c r="E29" s="1">
        <f>SUMIF(TDays[ماه سال],TMonthOfYear[[#This Row],[ماه سال]],TDays[هزینه])</f>
        <v>0</v>
      </c>
      <c r="F29" s="1">
        <f>SUMIF(TDays[ماه سال],TMonthOfYear[[#This Row],[ماه سال]],TDays[درآمد])</f>
        <v>0</v>
      </c>
      <c r="G29" s="1">
        <f>SUMIF(TDays[ماه سال],TMonthOfYear[[#This Row],[ماه سال]],TDays[سایر درآمد])</f>
        <v>0</v>
      </c>
      <c r="H29" s="1">
        <f>SUMIF(TDays[ماه سال],TMonthOfYear[[#This Row],[ماه سال]],TDays[پرداخت بدهی])</f>
        <v>0</v>
      </c>
      <c r="I29" s="1">
        <f>SUMIF(TDays[ماه سال],TMonthOfYear[[#This Row],[ماه سال]],TDays[افزایش بدهی])</f>
        <v>0</v>
      </c>
      <c r="J29" s="1">
        <f>SUMIF(TDays[ماه سال],TMonthOfYear[[#This Row],[ماه سال]],TDays[افزایش سرمایه])</f>
        <v>0</v>
      </c>
      <c r="K29" s="1">
        <f>SUMIF(TDays[ماه سال],TMonthOfYear[[#This Row],[ماه سال]],TDays[تعداد تراکنش انجام شده])</f>
        <v>0</v>
      </c>
      <c r="L29" s="1">
        <f>SUMIF(TDays[ماه سال],TMonthOfYear[[#This Row],[ماه سال]],TDays[تراکنش برنامه ریزی شده])</f>
        <v>6</v>
      </c>
    </row>
    <row r="30" spans="1:12" x14ac:dyDescent="0.25">
      <c r="A30" s="3" t="s">
        <v>1221</v>
      </c>
      <c r="B30" t="str">
        <f>RIGHT(LEFT(TMonthOfYear[[#This Row],[ماه سال]],7),2)</f>
        <v>05</v>
      </c>
      <c r="C30" t="str">
        <f>LEFT(TMonthOfYear[[#This Row],[ماه سال]],4)</f>
        <v>1403</v>
      </c>
      <c r="D30" s="16" t="str">
        <f>VLOOKUP(RIGHT(LEFT(TMonthOfYear[[#This Row],[ماه سال]],8),2),TMonth[],2,FALSE)</f>
        <v>مرداد</v>
      </c>
      <c r="E30" s="1">
        <f>SUMIF(TDays[ماه سال],TMonthOfYear[[#This Row],[ماه سال]],TDays[هزینه])</f>
        <v>0</v>
      </c>
      <c r="F30" s="1">
        <f>SUMIF(TDays[ماه سال],TMonthOfYear[[#This Row],[ماه سال]],TDays[درآمد])</f>
        <v>0</v>
      </c>
      <c r="G30" s="1">
        <f>SUMIF(TDays[ماه سال],TMonthOfYear[[#This Row],[ماه سال]],TDays[سایر درآمد])</f>
        <v>0</v>
      </c>
      <c r="H30" s="1">
        <f>SUMIF(TDays[ماه سال],TMonthOfYear[[#This Row],[ماه سال]],TDays[پرداخت بدهی])</f>
        <v>0</v>
      </c>
      <c r="I30" s="1">
        <f>SUMIF(TDays[ماه سال],TMonthOfYear[[#This Row],[ماه سال]],TDays[افزایش بدهی])</f>
        <v>0</v>
      </c>
      <c r="J30" s="1">
        <f>SUMIF(TDays[ماه سال],TMonthOfYear[[#This Row],[ماه سال]],TDays[افزایش سرمایه])</f>
        <v>0</v>
      </c>
      <c r="K30" s="1">
        <f>SUMIF(TDays[ماه سال],TMonthOfYear[[#This Row],[ماه سال]],TDays[تعداد تراکنش انجام شده])</f>
        <v>0</v>
      </c>
      <c r="L30" s="1">
        <f>SUMIF(TDays[ماه سال],TMonthOfYear[[#This Row],[ماه سال]],TDays[تراکنش برنامه ریزی شده])</f>
        <v>6</v>
      </c>
    </row>
    <row r="31" spans="1:12" x14ac:dyDescent="0.25">
      <c r="A31" s="3" t="s">
        <v>1222</v>
      </c>
      <c r="B31" t="str">
        <f>RIGHT(LEFT(TMonthOfYear[[#This Row],[ماه سال]],7),2)</f>
        <v>06</v>
      </c>
      <c r="C31" t="str">
        <f>LEFT(TMonthOfYear[[#This Row],[ماه سال]],4)</f>
        <v>1403</v>
      </c>
      <c r="D31" s="16" t="str">
        <f>VLOOKUP(RIGHT(LEFT(TMonthOfYear[[#This Row],[ماه سال]],8),2),TMonth[],2,FALSE)</f>
        <v>شهریور</v>
      </c>
      <c r="E31" s="1">
        <f>SUMIF(TDays[ماه سال],TMonthOfYear[[#This Row],[ماه سال]],TDays[هزینه])</f>
        <v>0</v>
      </c>
      <c r="F31" s="1">
        <f>SUMIF(TDays[ماه سال],TMonthOfYear[[#This Row],[ماه سال]],TDays[درآمد])</f>
        <v>0</v>
      </c>
      <c r="G31" s="1">
        <f>SUMIF(TDays[ماه سال],TMonthOfYear[[#This Row],[ماه سال]],TDays[سایر درآمد])</f>
        <v>0</v>
      </c>
      <c r="H31" s="1">
        <f>SUMIF(TDays[ماه سال],TMonthOfYear[[#This Row],[ماه سال]],TDays[پرداخت بدهی])</f>
        <v>0</v>
      </c>
      <c r="I31" s="1">
        <f>SUMIF(TDays[ماه سال],TMonthOfYear[[#This Row],[ماه سال]],TDays[افزایش بدهی])</f>
        <v>0</v>
      </c>
      <c r="J31" s="1">
        <f>SUMIF(TDays[ماه سال],TMonthOfYear[[#This Row],[ماه سال]],TDays[افزایش سرمایه])</f>
        <v>0</v>
      </c>
      <c r="K31" s="1">
        <f>SUMIF(TDays[ماه سال],TMonthOfYear[[#This Row],[ماه سال]],TDays[تعداد تراکنش انجام شده])</f>
        <v>0</v>
      </c>
      <c r="L31" s="1">
        <f>SUMIF(TDays[ماه سال],TMonthOfYear[[#This Row],[ماه سال]],TDays[تراکنش برنامه ریزی شده])</f>
        <v>6</v>
      </c>
    </row>
    <row r="32" spans="1:12" x14ac:dyDescent="0.25">
      <c r="A32" s="3" t="s">
        <v>1223</v>
      </c>
      <c r="B32" t="str">
        <f>RIGHT(LEFT(TMonthOfYear[[#This Row],[ماه سال]],7),2)</f>
        <v>07</v>
      </c>
      <c r="C32" t="str">
        <f>LEFT(TMonthOfYear[[#This Row],[ماه سال]],4)</f>
        <v>1403</v>
      </c>
      <c r="D32" s="16" t="str">
        <f>VLOOKUP(RIGHT(LEFT(TMonthOfYear[[#This Row],[ماه سال]],8),2),TMonth[],2,FALSE)</f>
        <v>مهر</v>
      </c>
      <c r="E32" s="1">
        <f>SUMIF(TDays[ماه سال],TMonthOfYear[[#This Row],[ماه سال]],TDays[هزینه])</f>
        <v>0</v>
      </c>
      <c r="F32" s="1">
        <f>SUMIF(TDays[ماه سال],TMonthOfYear[[#This Row],[ماه سال]],TDays[درآمد])</f>
        <v>0</v>
      </c>
      <c r="G32" s="1">
        <f>SUMIF(TDays[ماه سال],TMonthOfYear[[#This Row],[ماه سال]],TDays[سایر درآمد])</f>
        <v>0</v>
      </c>
      <c r="H32" s="1">
        <f>SUMIF(TDays[ماه سال],TMonthOfYear[[#This Row],[ماه سال]],TDays[پرداخت بدهی])</f>
        <v>0</v>
      </c>
      <c r="I32" s="1">
        <f>SUMIF(TDays[ماه سال],TMonthOfYear[[#This Row],[ماه سال]],TDays[افزایش بدهی])</f>
        <v>0</v>
      </c>
      <c r="J32" s="1">
        <f>SUMIF(TDays[ماه سال],TMonthOfYear[[#This Row],[ماه سال]],TDays[افزایش سرمایه])</f>
        <v>0</v>
      </c>
      <c r="K32" s="1">
        <f>SUMIF(TDays[ماه سال],TMonthOfYear[[#This Row],[ماه سال]],TDays[تعداد تراکنش انجام شده])</f>
        <v>0</v>
      </c>
      <c r="L32" s="1">
        <f>SUMIF(TDays[ماه سال],TMonthOfYear[[#This Row],[ماه سال]],TDays[تراکنش برنامه ریزی شده])</f>
        <v>6</v>
      </c>
    </row>
    <row r="33" spans="1:12" x14ac:dyDescent="0.25">
      <c r="A33" s="3" t="s">
        <v>1224</v>
      </c>
      <c r="B33" t="str">
        <f>RIGHT(LEFT(TMonthOfYear[[#This Row],[ماه سال]],7),2)</f>
        <v>08</v>
      </c>
      <c r="C33" t="str">
        <f>LEFT(TMonthOfYear[[#This Row],[ماه سال]],4)</f>
        <v>1403</v>
      </c>
      <c r="D33" s="16" t="str">
        <f>VLOOKUP(RIGHT(LEFT(TMonthOfYear[[#This Row],[ماه سال]],8),2),TMonth[],2,FALSE)</f>
        <v>آبان</v>
      </c>
      <c r="E33" s="1">
        <f>SUMIF(TDays[ماه سال],TMonthOfYear[[#This Row],[ماه سال]],TDays[هزینه])</f>
        <v>0</v>
      </c>
      <c r="F33" s="1">
        <f>SUMIF(TDays[ماه سال],TMonthOfYear[[#This Row],[ماه سال]],TDays[درآمد])</f>
        <v>0</v>
      </c>
      <c r="G33" s="1">
        <f>SUMIF(TDays[ماه سال],TMonthOfYear[[#This Row],[ماه سال]],TDays[سایر درآمد])</f>
        <v>0</v>
      </c>
      <c r="H33" s="1">
        <f>SUMIF(TDays[ماه سال],TMonthOfYear[[#This Row],[ماه سال]],TDays[پرداخت بدهی])</f>
        <v>0</v>
      </c>
      <c r="I33" s="1">
        <f>SUMIF(TDays[ماه سال],TMonthOfYear[[#This Row],[ماه سال]],TDays[افزایش بدهی])</f>
        <v>0</v>
      </c>
      <c r="J33" s="1">
        <f>SUMIF(TDays[ماه سال],TMonthOfYear[[#This Row],[ماه سال]],TDays[افزایش سرمایه])</f>
        <v>0</v>
      </c>
      <c r="K33" s="1">
        <f>SUMIF(TDays[ماه سال],TMonthOfYear[[#This Row],[ماه سال]],TDays[تعداد تراکنش انجام شده])</f>
        <v>0</v>
      </c>
      <c r="L33" s="1">
        <f>SUMIF(TDays[ماه سال],TMonthOfYear[[#This Row],[ماه سال]],TDays[تراکنش برنامه ریزی شده])</f>
        <v>6</v>
      </c>
    </row>
    <row r="34" spans="1:12" x14ac:dyDescent="0.25">
      <c r="A34" s="3" t="s">
        <v>1225</v>
      </c>
      <c r="B34" t="str">
        <f>RIGHT(LEFT(TMonthOfYear[[#This Row],[ماه سال]],7),2)</f>
        <v>09</v>
      </c>
      <c r="C34" t="str">
        <f>LEFT(TMonthOfYear[[#This Row],[ماه سال]],4)</f>
        <v>1403</v>
      </c>
      <c r="D34" s="16" t="str">
        <f>VLOOKUP(RIGHT(LEFT(TMonthOfYear[[#This Row],[ماه سال]],8),2),TMonth[],2,FALSE)</f>
        <v>آذر</v>
      </c>
      <c r="E34" s="1">
        <f>SUMIF(TDays[ماه سال],TMonthOfYear[[#This Row],[ماه سال]],TDays[هزینه])</f>
        <v>0</v>
      </c>
      <c r="F34" s="1">
        <f>SUMIF(TDays[ماه سال],TMonthOfYear[[#This Row],[ماه سال]],TDays[درآمد])</f>
        <v>0</v>
      </c>
      <c r="G34" s="1">
        <f>SUMIF(TDays[ماه سال],TMonthOfYear[[#This Row],[ماه سال]],TDays[سایر درآمد])</f>
        <v>0</v>
      </c>
      <c r="H34" s="1">
        <f>SUMIF(TDays[ماه سال],TMonthOfYear[[#This Row],[ماه سال]],TDays[پرداخت بدهی])</f>
        <v>0</v>
      </c>
      <c r="I34" s="1">
        <f>SUMIF(TDays[ماه سال],TMonthOfYear[[#This Row],[ماه سال]],TDays[افزایش بدهی])</f>
        <v>0</v>
      </c>
      <c r="J34" s="1">
        <f>SUMIF(TDays[ماه سال],TMonthOfYear[[#This Row],[ماه سال]],TDays[افزایش سرمایه])</f>
        <v>0</v>
      </c>
      <c r="K34" s="1">
        <f>SUMIF(TDays[ماه سال],TMonthOfYear[[#This Row],[ماه سال]],TDays[تعداد تراکنش انجام شده])</f>
        <v>0</v>
      </c>
      <c r="L34" s="1">
        <f>SUMIF(TDays[ماه سال],TMonthOfYear[[#This Row],[ماه سال]],TDays[تراکنش برنامه ریزی شده])</f>
        <v>6</v>
      </c>
    </row>
    <row r="35" spans="1:12" x14ac:dyDescent="0.25">
      <c r="A35" s="3" t="s">
        <v>1226</v>
      </c>
      <c r="B35" t="str">
        <f>RIGHT(LEFT(TMonthOfYear[[#This Row],[ماه سال]],7),2)</f>
        <v>10</v>
      </c>
      <c r="C35" t="str">
        <f>LEFT(TMonthOfYear[[#This Row],[ماه سال]],4)</f>
        <v>1403</v>
      </c>
      <c r="D35" s="16" t="str">
        <f>VLOOKUP(RIGHT(LEFT(TMonthOfYear[[#This Row],[ماه سال]],8),2),TMonth[],2,FALSE)</f>
        <v>دی</v>
      </c>
      <c r="E35" s="1">
        <f>SUMIF(TDays[ماه سال],TMonthOfYear[[#This Row],[ماه سال]],TDays[هزینه])</f>
        <v>0</v>
      </c>
      <c r="F35" s="1">
        <f>SUMIF(TDays[ماه سال],TMonthOfYear[[#This Row],[ماه سال]],TDays[درآمد])</f>
        <v>0</v>
      </c>
      <c r="G35" s="1">
        <f>SUMIF(TDays[ماه سال],TMonthOfYear[[#This Row],[ماه سال]],TDays[سایر درآمد])</f>
        <v>0</v>
      </c>
      <c r="H35" s="1">
        <f>SUMIF(TDays[ماه سال],TMonthOfYear[[#This Row],[ماه سال]],TDays[پرداخت بدهی])</f>
        <v>0</v>
      </c>
      <c r="I35" s="1">
        <f>SUMIF(TDays[ماه سال],TMonthOfYear[[#This Row],[ماه سال]],TDays[افزایش بدهی])</f>
        <v>0</v>
      </c>
      <c r="J35" s="1">
        <f>SUMIF(TDays[ماه سال],TMonthOfYear[[#This Row],[ماه سال]],TDays[افزایش سرمایه])</f>
        <v>0</v>
      </c>
      <c r="K35" s="1">
        <f>SUMIF(TDays[ماه سال],TMonthOfYear[[#This Row],[ماه سال]],TDays[تعداد تراکنش انجام شده])</f>
        <v>0</v>
      </c>
      <c r="L35" s="1">
        <f>SUMIF(TDays[ماه سال],TMonthOfYear[[#This Row],[ماه سال]],TDays[تراکنش برنامه ریزی شده])</f>
        <v>6</v>
      </c>
    </row>
    <row r="36" spans="1:12" x14ac:dyDescent="0.25">
      <c r="A36" s="3" t="s">
        <v>1227</v>
      </c>
      <c r="B36" t="str">
        <f>RIGHT(LEFT(TMonthOfYear[[#This Row],[ماه سال]],7),2)</f>
        <v>11</v>
      </c>
      <c r="C36" t="str">
        <f>LEFT(TMonthOfYear[[#This Row],[ماه سال]],4)</f>
        <v>1403</v>
      </c>
      <c r="D36" s="16" t="str">
        <f>VLOOKUP(RIGHT(LEFT(TMonthOfYear[[#This Row],[ماه سال]],8),2),TMonth[],2,FALSE)</f>
        <v>بهمن</v>
      </c>
      <c r="E36" s="1">
        <f>SUMIF(TDays[ماه سال],TMonthOfYear[[#This Row],[ماه سال]],TDays[هزینه])</f>
        <v>0</v>
      </c>
      <c r="F36" s="1">
        <f>SUMIF(TDays[ماه سال],TMonthOfYear[[#This Row],[ماه سال]],TDays[درآمد])</f>
        <v>0</v>
      </c>
      <c r="G36" s="1">
        <f>SUMIF(TDays[ماه سال],TMonthOfYear[[#This Row],[ماه سال]],TDays[سایر درآمد])</f>
        <v>0</v>
      </c>
      <c r="H36" s="1">
        <f>SUMIF(TDays[ماه سال],TMonthOfYear[[#This Row],[ماه سال]],TDays[پرداخت بدهی])</f>
        <v>0</v>
      </c>
      <c r="I36" s="1">
        <f>SUMIF(TDays[ماه سال],TMonthOfYear[[#This Row],[ماه سال]],TDays[افزایش بدهی])</f>
        <v>0</v>
      </c>
      <c r="J36" s="1">
        <f>SUMIF(TDays[ماه سال],TMonthOfYear[[#This Row],[ماه سال]],TDays[افزایش سرمایه])</f>
        <v>0</v>
      </c>
      <c r="K36" s="1">
        <f>SUMIF(TDays[ماه سال],TMonthOfYear[[#This Row],[ماه سال]],TDays[تعداد تراکنش انجام شده])</f>
        <v>0</v>
      </c>
      <c r="L36" s="1">
        <f>SUMIF(TDays[ماه سال],TMonthOfYear[[#This Row],[ماه سال]],TDays[تراکنش برنامه ریزی شده])</f>
        <v>6</v>
      </c>
    </row>
    <row r="37" spans="1:12" x14ac:dyDescent="0.25">
      <c r="A37" s="3" t="s">
        <v>1228</v>
      </c>
      <c r="B37" t="str">
        <f>RIGHT(LEFT(TMonthOfYear[[#This Row],[ماه سال]],7),2)</f>
        <v>12</v>
      </c>
      <c r="C37" t="str">
        <f>LEFT(TMonthOfYear[[#This Row],[ماه سال]],4)</f>
        <v>1403</v>
      </c>
      <c r="D37" s="16" t="str">
        <f>VLOOKUP(RIGHT(LEFT(TMonthOfYear[[#This Row],[ماه سال]],8),2),TMonth[],2,FALSE)</f>
        <v>اسفند</v>
      </c>
      <c r="E37" s="1">
        <f>SUMIF(TDays[ماه سال],TMonthOfYear[[#This Row],[ماه سال]],TDays[هزینه])</f>
        <v>0</v>
      </c>
      <c r="F37" s="1">
        <f>SUMIF(TDays[ماه سال],TMonthOfYear[[#This Row],[ماه سال]],TDays[درآمد])</f>
        <v>0</v>
      </c>
      <c r="G37" s="1">
        <f>SUMIF(TDays[ماه سال],TMonthOfYear[[#This Row],[ماه سال]],TDays[سایر درآمد])</f>
        <v>0</v>
      </c>
      <c r="H37" s="1">
        <f>SUMIF(TDays[ماه سال],TMonthOfYear[[#This Row],[ماه سال]],TDays[پرداخت بدهی])</f>
        <v>0</v>
      </c>
      <c r="I37" s="1">
        <f>SUMIF(TDays[ماه سال],TMonthOfYear[[#This Row],[ماه سال]],TDays[افزایش بدهی])</f>
        <v>0</v>
      </c>
      <c r="J37" s="1">
        <f>SUMIF(TDays[ماه سال],TMonthOfYear[[#This Row],[ماه سال]],TDays[افزایش سرمایه])</f>
        <v>0</v>
      </c>
      <c r="K37" s="1">
        <f>SUMIF(TDays[ماه سال],TMonthOfYear[[#This Row],[ماه سال]],TDays[تعداد تراکنش انجام شده])</f>
        <v>0</v>
      </c>
      <c r="L37" s="1">
        <f>SUMIF(TDays[ماه سال],TMonthOfYear[[#This Row],[ماه سال]],TDays[تراکنش برنامه ریزی شده])</f>
        <v>6</v>
      </c>
    </row>
    <row r="38" spans="1:12" x14ac:dyDescent="0.25">
      <c r="A38" s="3" t="s">
        <v>2410</v>
      </c>
      <c r="B38" s="164" t="str">
        <f>RIGHT(LEFT(TMonthOfYear[[#This Row],[ماه سال]],7),2)</f>
        <v>01</v>
      </c>
      <c r="C38" s="164" t="str">
        <f>LEFT(TMonthOfYear[[#This Row],[ماه سال]],4)</f>
        <v>1404</v>
      </c>
      <c r="D38" s="165" t="str">
        <f>VLOOKUP(RIGHT(LEFT(TMonthOfYear[[#This Row],[ماه سال]],8),2),TMonth[],2,FALSE)</f>
        <v>فروردین</v>
      </c>
      <c r="E38" s="1">
        <f>SUMIF(TDays[ماه سال],TMonthOfYear[[#This Row],[ماه سال]],TDays[هزینه])</f>
        <v>0</v>
      </c>
      <c r="F38" s="1">
        <f>SUMIF(TDays[ماه سال],TMonthOfYear[[#This Row],[ماه سال]],TDays[درآمد])</f>
        <v>0</v>
      </c>
      <c r="G38" s="1">
        <f>SUMIF(TDays[ماه سال],TMonthOfYear[[#This Row],[ماه سال]],TDays[سایر درآمد])</f>
        <v>0</v>
      </c>
      <c r="H38" s="1">
        <f>SUMIF(TDays[ماه سال],TMonthOfYear[[#This Row],[ماه سال]],TDays[پرداخت بدهی])</f>
        <v>0</v>
      </c>
      <c r="I38" s="1">
        <f>SUMIF(TDays[ماه سال],TMonthOfYear[[#This Row],[ماه سال]],TDays[افزایش بدهی])</f>
        <v>0</v>
      </c>
      <c r="J38" s="1">
        <f>SUMIF(TDays[ماه سال],TMonthOfYear[[#This Row],[ماه سال]],TDays[افزایش سرمایه])</f>
        <v>0</v>
      </c>
      <c r="K38" s="1">
        <f>SUMIF(TDays[ماه سال],TMonthOfYear[[#This Row],[ماه سال]],TDays[تعداد تراکنش انجام شده])</f>
        <v>0</v>
      </c>
      <c r="L38" s="1">
        <f>SUMIF(TDays[ماه سال],TMonthOfYear[[#This Row],[ماه سال]],TDays[تراکنش برنامه ریزی شده])</f>
        <v>5</v>
      </c>
    </row>
    <row r="39" spans="1:12" x14ac:dyDescent="0.25">
      <c r="A39" s="3" t="s">
        <v>2411</v>
      </c>
      <c r="B39" s="164" t="str">
        <f>RIGHT(LEFT(TMonthOfYear[[#This Row],[ماه سال]],7),2)</f>
        <v>02</v>
      </c>
      <c r="C39" s="164" t="str">
        <f>LEFT(TMonthOfYear[[#This Row],[ماه سال]],4)</f>
        <v>1404</v>
      </c>
      <c r="D39" s="165" t="str">
        <f>VLOOKUP(RIGHT(LEFT(TMonthOfYear[[#This Row],[ماه سال]],8),2),TMonth[],2,FALSE)</f>
        <v>اردیبهشت</v>
      </c>
      <c r="E39" s="1">
        <f>SUMIF(TDays[ماه سال],TMonthOfYear[[#This Row],[ماه سال]],TDays[هزینه])</f>
        <v>0</v>
      </c>
      <c r="F39" s="1">
        <f>SUMIF(TDays[ماه سال],TMonthOfYear[[#This Row],[ماه سال]],TDays[درآمد])</f>
        <v>0</v>
      </c>
      <c r="G39" s="1">
        <f>SUMIF(TDays[ماه سال],TMonthOfYear[[#This Row],[ماه سال]],TDays[سایر درآمد])</f>
        <v>0</v>
      </c>
      <c r="H39" s="1">
        <f>SUMIF(TDays[ماه سال],TMonthOfYear[[#This Row],[ماه سال]],TDays[پرداخت بدهی])</f>
        <v>0</v>
      </c>
      <c r="I39" s="1">
        <f>SUMIF(TDays[ماه سال],TMonthOfYear[[#This Row],[ماه سال]],TDays[افزایش بدهی])</f>
        <v>0</v>
      </c>
      <c r="J39" s="1">
        <f>SUMIF(TDays[ماه سال],TMonthOfYear[[#This Row],[ماه سال]],TDays[افزایش سرمایه])</f>
        <v>0</v>
      </c>
      <c r="K39" s="1">
        <f>SUMIF(TDays[ماه سال],TMonthOfYear[[#This Row],[ماه سال]],TDays[تعداد تراکنش انجام شده])</f>
        <v>0</v>
      </c>
      <c r="L39" s="1">
        <f>SUMIF(TDays[ماه سال],TMonthOfYear[[#This Row],[ماه سال]],TDays[تراکنش برنامه ریزی شده])</f>
        <v>5</v>
      </c>
    </row>
    <row r="40" spans="1:12" x14ac:dyDescent="0.25">
      <c r="A40" s="3" t="s">
        <v>2412</v>
      </c>
      <c r="B40" s="164" t="str">
        <f>RIGHT(LEFT(TMonthOfYear[[#This Row],[ماه سال]],7),2)</f>
        <v>03</v>
      </c>
      <c r="C40" s="164" t="str">
        <f>LEFT(TMonthOfYear[[#This Row],[ماه سال]],4)</f>
        <v>1404</v>
      </c>
      <c r="D40" s="165" t="str">
        <f>VLOOKUP(RIGHT(LEFT(TMonthOfYear[[#This Row],[ماه سال]],8),2),TMonth[],2,FALSE)</f>
        <v>خرداد</v>
      </c>
      <c r="E40" s="1">
        <f>SUMIF(TDays[ماه سال],TMonthOfYear[[#This Row],[ماه سال]],TDays[هزینه])</f>
        <v>0</v>
      </c>
      <c r="F40" s="1">
        <f>SUMIF(TDays[ماه سال],TMonthOfYear[[#This Row],[ماه سال]],TDays[درآمد])</f>
        <v>0</v>
      </c>
      <c r="G40" s="1">
        <f>SUMIF(TDays[ماه سال],TMonthOfYear[[#This Row],[ماه سال]],TDays[سایر درآمد])</f>
        <v>0</v>
      </c>
      <c r="H40" s="1">
        <f>SUMIF(TDays[ماه سال],TMonthOfYear[[#This Row],[ماه سال]],TDays[پرداخت بدهی])</f>
        <v>0</v>
      </c>
      <c r="I40" s="1">
        <f>SUMIF(TDays[ماه سال],TMonthOfYear[[#This Row],[ماه سال]],TDays[افزایش بدهی])</f>
        <v>0</v>
      </c>
      <c r="J40" s="1">
        <f>SUMIF(TDays[ماه سال],TMonthOfYear[[#This Row],[ماه سال]],TDays[افزایش سرمایه])</f>
        <v>0</v>
      </c>
      <c r="K40" s="1">
        <f>SUMIF(TDays[ماه سال],TMonthOfYear[[#This Row],[ماه سال]],TDays[تعداد تراکنش انجام شده])</f>
        <v>0</v>
      </c>
      <c r="L40" s="1">
        <f>SUMIF(TDays[ماه سال],TMonthOfYear[[#This Row],[ماه سال]],TDays[تراکنش برنامه ریزی شده])</f>
        <v>5</v>
      </c>
    </row>
    <row r="41" spans="1:12" x14ac:dyDescent="0.25">
      <c r="A41" s="3" t="s">
        <v>2413</v>
      </c>
      <c r="B41" s="164" t="str">
        <f>RIGHT(LEFT(TMonthOfYear[[#This Row],[ماه سال]],7),2)</f>
        <v>04</v>
      </c>
      <c r="C41" s="164" t="str">
        <f>LEFT(TMonthOfYear[[#This Row],[ماه سال]],4)</f>
        <v>1404</v>
      </c>
      <c r="D41" s="165" t="str">
        <f>VLOOKUP(RIGHT(LEFT(TMonthOfYear[[#This Row],[ماه سال]],8),2),TMonth[],2,FALSE)</f>
        <v>تیر</v>
      </c>
      <c r="E41" s="1">
        <f>SUMIF(TDays[ماه سال],TMonthOfYear[[#This Row],[ماه سال]],TDays[هزینه])</f>
        <v>0</v>
      </c>
      <c r="F41" s="1">
        <f>SUMIF(TDays[ماه سال],TMonthOfYear[[#This Row],[ماه سال]],TDays[درآمد])</f>
        <v>0</v>
      </c>
      <c r="G41" s="1">
        <f>SUMIF(TDays[ماه سال],TMonthOfYear[[#This Row],[ماه سال]],TDays[سایر درآمد])</f>
        <v>0</v>
      </c>
      <c r="H41" s="1">
        <f>SUMIF(TDays[ماه سال],TMonthOfYear[[#This Row],[ماه سال]],TDays[پرداخت بدهی])</f>
        <v>0</v>
      </c>
      <c r="I41" s="1">
        <f>SUMIF(TDays[ماه سال],TMonthOfYear[[#This Row],[ماه سال]],TDays[افزایش بدهی])</f>
        <v>0</v>
      </c>
      <c r="J41" s="1">
        <f>SUMIF(TDays[ماه سال],TMonthOfYear[[#This Row],[ماه سال]],TDays[افزایش سرمایه])</f>
        <v>0</v>
      </c>
      <c r="K41" s="1">
        <f>SUMIF(TDays[ماه سال],TMonthOfYear[[#This Row],[ماه سال]],TDays[تعداد تراکنش انجام شده])</f>
        <v>0</v>
      </c>
      <c r="L41" s="1">
        <f>SUMIF(TDays[ماه سال],TMonthOfYear[[#This Row],[ماه سال]],TDays[تراکنش برنامه ریزی شده])</f>
        <v>5</v>
      </c>
    </row>
    <row r="42" spans="1:12" x14ac:dyDescent="0.25">
      <c r="A42" s="3" t="s">
        <v>2414</v>
      </c>
      <c r="B42" s="164" t="str">
        <f>RIGHT(LEFT(TMonthOfYear[[#This Row],[ماه سال]],7),2)</f>
        <v>05</v>
      </c>
      <c r="C42" s="164" t="str">
        <f>LEFT(TMonthOfYear[[#This Row],[ماه سال]],4)</f>
        <v>1404</v>
      </c>
      <c r="D42" s="165" t="str">
        <f>VLOOKUP(RIGHT(LEFT(TMonthOfYear[[#This Row],[ماه سال]],8),2),TMonth[],2,FALSE)</f>
        <v>مرداد</v>
      </c>
      <c r="E42" s="1">
        <f>SUMIF(TDays[ماه سال],TMonthOfYear[[#This Row],[ماه سال]],TDays[هزینه])</f>
        <v>0</v>
      </c>
      <c r="F42" s="1">
        <f>SUMIF(TDays[ماه سال],TMonthOfYear[[#This Row],[ماه سال]],TDays[درآمد])</f>
        <v>0</v>
      </c>
      <c r="G42" s="1">
        <f>SUMIF(TDays[ماه سال],TMonthOfYear[[#This Row],[ماه سال]],TDays[سایر درآمد])</f>
        <v>0</v>
      </c>
      <c r="H42" s="1">
        <f>SUMIF(TDays[ماه سال],TMonthOfYear[[#This Row],[ماه سال]],TDays[پرداخت بدهی])</f>
        <v>0</v>
      </c>
      <c r="I42" s="1">
        <f>SUMIF(TDays[ماه سال],TMonthOfYear[[#This Row],[ماه سال]],TDays[افزایش بدهی])</f>
        <v>0</v>
      </c>
      <c r="J42" s="1">
        <f>SUMIF(TDays[ماه سال],TMonthOfYear[[#This Row],[ماه سال]],TDays[افزایش سرمایه])</f>
        <v>0</v>
      </c>
      <c r="K42" s="1">
        <f>SUMIF(TDays[ماه سال],TMonthOfYear[[#This Row],[ماه سال]],TDays[تعداد تراکنش انجام شده])</f>
        <v>0</v>
      </c>
      <c r="L42" s="1">
        <f>SUMIF(TDays[ماه سال],TMonthOfYear[[#This Row],[ماه سال]],TDays[تراکنش برنامه ریزی شده])</f>
        <v>5</v>
      </c>
    </row>
    <row r="43" spans="1:12" x14ac:dyDescent="0.25">
      <c r="A43" s="3" t="s">
        <v>2415</v>
      </c>
      <c r="B43" s="164" t="str">
        <f>RIGHT(LEFT(TMonthOfYear[[#This Row],[ماه سال]],7),2)</f>
        <v>06</v>
      </c>
      <c r="C43" s="164" t="str">
        <f>LEFT(TMonthOfYear[[#This Row],[ماه سال]],4)</f>
        <v>1404</v>
      </c>
      <c r="D43" s="165" t="str">
        <f>VLOOKUP(RIGHT(LEFT(TMonthOfYear[[#This Row],[ماه سال]],8),2),TMonth[],2,FALSE)</f>
        <v>شهریور</v>
      </c>
      <c r="E43" s="1">
        <f>SUMIF(TDays[ماه سال],TMonthOfYear[[#This Row],[ماه سال]],TDays[هزینه])</f>
        <v>0</v>
      </c>
      <c r="F43" s="1">
        <f>SUMIF(TDays[ماه سال],TMonthOfYear[[#This Row],[ماه سال]],TDays[درآمد])</f>
        <v>0</v>
      </c>
      <c r="G43" s="1">
        <f>SUMIF(TDays[ماه سال],TMonthOfYear[[#This Row],[ماه سال]],TDays[سایر درآمد])</f>
        <v>0</v>
      </c>
      <c r="H43" s="1">
        <f>SUMIF(TDays[ماه سال],TMonthOfYear[[#This Row],[ماه سال]],TDays[پرداخت بدهی])</f>
        <v>0</v>
      </c>
      <c r="I43" s="1">
        <f>SUMIF(TDays[ماه سال],TMonthOfYear[[#This Row],[ماه سال]],TDays[افزایش بدهی])</f>
        <v>0</v>
      </c>
      <c r="J43" s="1">
        <f>SUMIF(TDays[ماه سال],TMonthOfYear[[#This Row],[ماه سال]],TDays[افزایش سرمایه])</f>
        <v>0</v>
      </c>
      <c r="K43" s="1">
        <f>SUMIF(TDays[ماه سال],TMonthOfYear[[#This Row],[ماه سال]],TDays[تعداد تراکنش انجام شده])</f>
        <v>0</v>
      </c>
      <c r="L43" s="1">
        <f>SUMIF(TDays[ماه سال],TMonthOfYear[[#This Row],[ماه سال]],TDays[تراکنش برنامه ریزی شده])</f>
        <v>5</v>
      </c>
    </row>
    <row r="44" spans="1:12" x14ac:dyDescent="0.25">
      <c r="A44" s="3" t="s">
        <v>2416</v>
      </c>
      <c r="B44" s="164" t="str">
        <f>RIGHT(LEFT(TMonthOfYear[[#This Row],[ماه سال]],7),2)</f>
        <v>07</v>
      </c>
      <c r="C44" s="164" t="str">
        <f>LEFT(TMonthOfYear[[#This Row],[ماه سال]],4)</f>
        <v>1404</v>
      </c>
      <c r="D44" s="165" t="str">
        <f>VLOOKUP(RIGHT(LEFT(TMonthOfYear[[#This Row],[ماه سال]],8),2),TMonth[],2,FALSE)</f>
        <v>مهر</v>
      </c>
      <c r="E44" s="1">
        <f>SUMIF(TDays[ماه سال],TMonthOfYear[[#This Row],[ماه سال]],TDays[هزینه])</f>
        <v>0</v>
      </c>
      <c r="F44" s="1">
        <f>SUMIF(TDays[ماه سال],TMonthOfYear[[#This Row],[ماه سال]],TDays[درآمد])</f>
        <v>0</v>
      </c>
      <c r="G44" s="1">
        <f>SUMIF(TDays[ماه سال],TMonthOfYear[[#This Row],[ماه سال]],TDays[سایر درآمد])</f>
        <v>0</v>
      </c>
      <c r="H44" s="1">
        <f>SUMIF(TDays[ماه سال],TMonthOfYear[[#This Row],[ماه سال]],TDays[پرداخت بدهی])</f>
        <v>0</v>
      </c>
      <c r="I44" s="1">
        <f>SUMIF(TDays[ماه سال],TMonthOfYear[[#This Row],[ماه سال]],TDays[افزایش بدهی])</f>
        <v>0</v>
      </c>
      <c r="J44" s="1">
        <f>SUMIF(TDays[ماه سال],TMonthOfYear[[#This Row],[ماه سال]],TDays[افزایش سرمایه])</f>
        <v>0</v>
      </c>
      <c r="K44" s="1">
        <f>SUMIF(TDays[ماه سال],TMonthOfYear[[#This Row],[ماه سال]],TDays[تعداد تراکنش انجام شده])</f>
        <v>0</v>
      </c>
      <c r="L44" s="1">
        <f>SUMIF(TDays[ماه سال],TMonthOfYear[[#This Row],[ماه سال]],TDays[تراکنش برنامه ریزی شده])</f>
        <v>5</v>
      </c>
    </row>
    <row r="45" spans="1:12" x14ac:dyDescent="0.25">
      <c r="A45" s="3" t="s">
        <v>2417</v>
      </c>
      <c r="B45" s="164" t="str">
        <f>RIGHT(LEFT(TMonthOfYear[[#This Row],[ماه سال]],7),2)</f>
        <v>08</v>
      </c>
      <c r="C45" s="164" t="str">
        <f>LEFT(TMonthOfYear[[#This Row],[ماه سال]],4)</f>
        <v>1404</v>
      </c>
      <c r="D45" s="165" t="str">
        <f>VLOOKUP(RIGHT(LEFT(TMonthOfYear[[#This Row],[ماه سال]],8),2),TMonth[],2,FALSE)</f>
        <v>آبان</v>
      </c>
      <c r="E45" s="1">
        <f>SUMIF(TDays[ماه سال],TMonthOfYear[[#This Row],[ماه سال]],TDays[هزینه])</f>
        <v>0</v>
      </c>
      <c r="F45" s="1">
        <f>SUMIF(TDays[ماه سال],TMonthOfYear[[#This Row],[ماه سال]],TDays[درآمد])</f>
        <v>0</v>
      </c>
      <c r="G45" s="1">
        <f>SUMIF(TDays[ماه سال],TMonthOfYear[[#This Row],[ماه سال]],TDays[سایر درآمد])</f>
        <v>0</v>
      </c>
      <c r="H45" s="1">
        <f>SUMIF(TDays[ماه سال],TMonthOfYear[[#This Row],[ماه سال]],TDays[پرداخت بدهی])</f>
        <v>0</v>
      </c>
      <c r="I45" s="1">
        <f>SUMIF(TDays[ماه سال],TMonthOfYear[[#This Row],[ماه سال]],TDays[افزایش بدهی])</f>
        <v>0</v>
      </c>
      <c r="J45" s="1">
        <f>SUMIF(TDays[ماه سال],TMonthOfYear[[#This Row],[ماه سال]],TDays[افزایش سرمایه])</f>
        <v>0</v>
      </c>
      <c r="K45" s="1">
        <f>SUMIF(TDays[ماه سال],TMonthOfYear[[#This Row],[ماه سال]],TDays[تعداد تراکنش انجام شده])</f>
        <v>0</v>
      </c>
      <c r="L45" s="1">
        <f>SUMIF(TDays[ماه سال],TMonthOfYear[[#This Row],[ماه سال]],TDays[تراکنش برنامه ریزی شده])</f>
        <v>5</v>
      </c>
    </row>
    <row r="46" spans="1:12" x14ac:dyDescent="0.25">
      <c r="A46" s="3" t="s">
        <v>2418</v>
      </c>
      <c r="B46" s="164" t="str">
        <f>RIGHT(LEFT(TMonthOfYear[[#This Row],[ماه سال]],7),2)</f>
        <v>09</v>
      </c>
      <c r="C46" s="164" t="str">
        <f>LEFT(TMonthOfYear[[#This Row],[ماه سال]],4)</f>
        <v>1404</v>
      </c>
      <c r="D46" s="165" t="str">
        <f>VLOOKUP(RIGHT(LEFT(TMonthOfYear[[#This Row],[ماه سال]],8),2),TMonth[],2,FALSE)</f>
        <v>آذر</v>
      </c>
      <c r="E46" s="1">
        <f>SUMIF(TDays[ماه سال],TMonthOfYear[[#This Row],[ماه سال]],TDays[هزینه])</f>
        <v>0</v>
      </c>
      <c r="F46" s="1">
        <f>SUMIF(TDays[ماه سال],TMonthOfYear[[#This Row],[ماه سال]],TDays[درآمد])</f>
        <v>0</v>
      </c>
      <c r="G46" s="1">
        <f>SUMIF(TDays[ماه سال],TMonthOfYear[[#This Row],[ماه سال]],TDays[سایر درآمد])</f>
        <v>0</v>
      </c>
      <c r="H46" s="1">
        <f>SUMIF(TDays[ماه سال],TMonthOfYear[[#This Row],[ماه سال]],TDays[پرداخت بدهی])</f>
        <v>0</v>
      </c>
      <c r="I46" s="1">
        <f>SUMIF(TDays[ماه سال],TMonthOfYear[[#This Row],[ماه سال]],TDays[افزایش بدهی])</f>
        <v>0</v>
      </c>
      <c r="J46" s="1">
        <f>SUMIF(TDays[ماه سال],TMonthOfYear[[#This Row],[ماه سال]],TDays[افزایش سرمایه])</f>
        <v>0</v>
      </c>
      <c r="K46" s="1">
        <f>SUMIF(TDays[ماه سال],TMonthOfYear[[#This Row],[ماه سال]],TDays[تعداد تراکنش انجام شده])</f>
        <v>0</v>
      </c>
      <c r="L46" s="1">
        <f>SUMIF(TDays[ماه سال],TMonthOfYear[[#This Row],[ماه سال]],TDays[تراکنش برنامه ریزی شده])</f>
        <v>5</v>
      </c>
    </row>
    <row r="47" spans="1:12" x14ac:dyDescent="0.25">
      <c r="A47" s="3" t="s">
        <v>2419</v>
      </c>
      <c r="B47" s="164" t="str">
        <f>RIGHT(LEFT(TMonthOfYear[[#This Row],[ماه سال]],7),2)</f>
        <v>10</v>
      </c>
      <c r="C47" s="164" t="str">
        <f>LEFT(TMonthOfYear[[#This Row],[ماه سال]],4)</f>
        <v>1404</v>
      </c>
      <c r="D47" s="165" t="str">
        <f>VLOOKUP(RIGHT(LEFT(TMonthOfYear[[#This Row],[ماه سال]],8),2),TMonth[],2,FALSE)</f>
        <v>دی</v>
      </c>
      <c r="E47" s="1">
        <f>SUMIF(TDays[ماه سال],TMonthOfYear[[#This Row],[ماه سال]],TDays[هزینه])</f>
        <v>0</v>
      </c>
      <c r="F47" s="1">
        <f>SUMIF(TDays[ماه سال],TMonthOfYear[[#This Row],[ماه سال]],TDays[درآمد])</f>
        <v>0</v>
      </c>
      <c r="G47" s="1">
        <f>SUMIF(TDays[ماه سال],TMonthOfYear[[#This Row],[ماه سال]],TDays[سایر درآمد])</f>
        <v>0</v>
      </c>
      <c r="H47" s="1">
        <f>SUMIF(TDays[ماه سال],TMonthOfYear[[#This Row],[ماه سال]],TDays[پرداخت بدهی])</f>
        <v>0</v>
      </c>
      <c r="I47" s="1">
        <f>SUMIF(TDays[ماه سال],TMonthOfYear[[#This Row],[ماه سال]],TDays[افزایش بدهی])</f>
        <v>0</v>
      </c>
      <c r="J47" s="1">
        <f>SUMIF(TDays[ماه سال],TMonthOfYear[[#This Row],[ماه سال]],TDays[افزایش سرمایه])</f>
        <v>0</v>
      </c>
      <c r="K47" s="1">
        <f>SUMIF(TDays[ماه سال],TMonthOfYear[[#This Row],[ماه سال]],TDays[تعداد تراکنش انجام شده])</f>
        <v>0</v>
      </c>
      <c r="L47" s="1">
        <f>SUMIF(TDays[ماه سال],TMonthOfYear[[#This Row],[ماه سال]],TDays[تراکنش برنامه ریزی شده])</f>
        <v>5</v>
      </c>
    </row>
    <row r="48" spans="1:12" x14ac:dyDescent="0.25">
      <c r="A48" s="3" t="s">
        <v>2420</v>
      </c>
      <c r="B48" s="164" t="str">
        <f>RIGHT(LEFT(TMonthOfYear[[#This Row],[ماه سال]],7),2)</f>
        <v>11</v>
      </c>
      <c r="C48" s="164" t="str">
        <f>LEFT(TMonthOfYear[[#This Row],[ماه سال]],4)</f>
        <v>1404</v>
      </c>
      <c r="D48" s="165" t="str">
        <f>VLOOKUP(RIGHT(LEFT(TMonthOfYear[[#This Row],[ماه سال]],8),2),TMonth[],2,FALSE)</f>
        <v>بهمن</v>
      </c>
      <c r="E48" s="1">
        <f>SUMIF(TDays[ماه سال],TMonthOfYear[[#This Row],[ماه سال]],TDays[هزینه])</f>
        <v>0</v>
      </c>
      <c r="F48" s="1">
        <f>SUMIF(TDays[ماه سال],TMonthOfYear[[#This Row],[ماه سال]],TDays[درآمد])</f>
        <v>0</v>
      </c>
      <c r="G48" s="1">
        <f>SUMIF(TDays[ماه سال],TMonthOfYear[[#This Row],[ماه سال]],TDays[سایر درآمد])</f>
        <v>0</v>
      </c>
      <c r="H48" s="1">
        <f>SUMIF(TDays[ماه سال],TMonthOfYear[[#This Row],[ماه سال]],TDays[پرداخت بدهی])</f>
        <v>0</v>
      </c>
      <c r="I48" s="1">
        <f>SUMIF(TDays[ماه سال],TMonthOfYear[[#This Row],[ماه سال]],TDays[افزایش بدهی])</f>
        <v>0</v>
      </c>
      <c r="J48" s="1">
        <f>SUMIF(TDays[ماه سال],TMonthOfYear[[#This Row],[ماه سال]],TDays[افزایش سرمایه])</f>
        <v>0</v>
      </c>
      <c r="K48" s="1">
        <f>SUMIF(TDays[ماه سال],TMonthOfYear[[#This Row],[ماه سال]],TDays[تعداد تراکنش انجام شده])</f>
        <v>0</v>
      </c>
      <c r="L48" s="1">
        <f>SUMIF(TDays[ماه سال],TMonthOfYear[[#This Row],[ماه سال]],TDays[تراکنش برنامه ریزی شده])</f>
        <v>5</v>
      </c>
    </row>
    <row r="49" spans="1:12" x14ac:dyDescent="0.25">
      <c r="A49" s="3" t="s">
        <v>2421</v>
      </c>
      <c r="B49" s="164" t="str">
        <f>RIGHT(LEFT(TMonthOfYear[[#This Row],[ماه سال]],7),2)</f>
        <v>12</v>
      </c>
      <c r="C49" s="164" t="str">
        <f>LEFT(TMonthOfYear[[#This Row],[ماه سال]],4)</f>
        <v>1404</v>
      </c>
      <c r="D49" s="165" t="str">
        <f>VLOOKUP(RIGHT(LEFT(TMonthOfYear[[#This Row],[ماه سال]],8),2),TMonth[],2,FALSE)</f>
        <v>اسفند</v>
      </c>
      <c r="E49" s="1">
        <f>SUMIF(TDays[ماه سال],TMonthOfYear[[#This Row],[ماه سال]],TDays[هزینه])</f>
        <v>0</v>
      </c>
      <c r="F49" s="1">
        <f>SUMIF(TDays[ماه سال],TMonthOfYear[[#This Row],[ماه سال]],TDays[درآمد])</f>
        <v>0</v>
      </c>
      <c r="G49" s="1">
        <f>SUMIF(TDays[ماه سال],TMonthOfYear[[#This Row],[ماه سال]],TDays[سایر درآمد])</f>
        <v>0</v>
      </c>
      <c r="H49" s="1">
        <f>SUMIF(TDays[ماه سال],TMonthOfYear[[#This Row],[ماه سال]],TDays[پرداخت بدهی])</f>
        <v>0</v>
      </c>
      <c r="I49" s="1">
        <f>SUMIF(TDays[ماه سال],TMonthOfYear[[#This Row],[ماه سال]],TDays[افزایش بدهی])</f>
        <v>0</v>
      </c>
      <c r="J49" s="1">
        <f>SUMIF(TDays[ماه سال],TMonthOfYear[[#This Row],[ماه سال]],TDays[افزایش سرمایه])</f>
        <v>0</v>
      </c>
      <c r="K49" s="1">
        <f>SUMIF(TDays[ماه سال],TMonthOfYear[[#This Row],[ماه سال]],TDays[تعداد تراکنش انجام شده])</f>
        <v>0</v>
      </c>
      <c r="L49" s="1">
        <f>SUMIF(TDays[ماه سال],TMonthOfYear[[#This Row],[ماه سال]],TDays[تراکنش برنامه ریزی شده])</f>
        <v>4</v>
      </c>
    </row>
    <row r="50" spans="1:12" x14ac:dyDescent="0.25">
      <c r="A50" s="3" t="s">
        <v>2422</v>
      </c>
      <c r="B50" s="164" t="str">
        <f>RIGHT(LEFT(TMonthOfYear[[#This Row],[ماه سال]],7),2)</f>
        <v>01</v>
      </c>
      <c r="C50" s="164" t="str">
        <f>LEFT(TMonthOfYear[[#This Row],[ماه سال]],4)</f>
        <v>1405</v>
      </c>
      <c r="D50" s="165" t="str">
        <f>VLOOKUP(RIGHT(LEFT(TMonthOfYear[[#This Row],[ماه سال]],8),2),TMonth[],2,FALSE)</f>
        <v>فروردین</v>
      </c>
      <c r="E50" s="1">
        <f>SUMIF(TDays[ماه سال],TMonthOfYear[[#This Row],[ماه سال]],TDays[هزینه])</f>
        <v>0</v>
      </c>
      <c r="F50" s="1">
        <f>SUMIF(TDays[ماه سال],TMonthOfYear[[#This Row],[ماه سال]],TDays[درآمد])</f>
        <v>0</v>
      </c>
      <c r="G50" s="1">
        <f>SUMIF(TDays[ماه سال],TMonthOfYear[[#This Row],[ماه سال]],TDays[سایر درآمد])</f>
        <v>0</v>
      </c>
      <c r="H50" s="1">
        <f>SUMIF(TDays[ماه سال],TMonthOfYear[[#This Row],[ماه سال]],TDays[پرداخت بدهی])</f>
        <v>0</v>
      </c>
      <c r="I50" s="1">
        <f>SUMIF(TDays[ماه سال],TMonthOfYear[[#This Row],[ماه سال]],TDays[افزایش بدهی])</f>
        <v>0</v>
      </c>
      <c r="J50" s="1">
        <f>SUMIF(TDays[ماه سال],TMonthOfYear[[#This Row],[ماه سال]],TDays[افزایش سرمایه])</f>
        <v>0</v>
      </c>
      <c r="K50" s="1">
        <f>SUMIF(TDays[ماه سال],TMonthOfYear[[#This Row],[ماه سال]],TDays[تعداد تراکنش انجام شده])</f>
        <v>0</v>
      </c>
      <c r="L50" s="1">
        <f>SUMIF(TDays[ماه سال],TMonthOfYear[[#This Row],[ماه سال]],TDays[تراکنش برنامه ریزی شده])</f>
        <v>1</v>
      </c>
    </row>
    <row r="51" spans="1:12" x14ac:dyDescent="0.25">
      <c r="A51" s="3" t="s">
        <v>2423</v>
      </c>
      <c r="B51" s="164" t="str">
        <f>RIGHT(LEFT(TMonthOfYear[[#This Row],[ماه سال]],7),2)</f>
        <v>02</v>
      </c>
      <c r="C51" s="164" t="str">
        <f>LEFT(TMonthOfYear[[#This Row],[ماه سال]],4)</f>
        <v>1405</v>
      </c>
      <c r="D51" s="165" t="str">
        <f>VLOOKUP(RIGHT(LEFT(TMonthOfYear[[#This Row],[ماه سال]],8),2),TMonth[],2,FALSE)</f>
        <v>اردیبهشت</v>
      </c>
      <c r="E51" s="1">
        <f>SUMIF(TDays[ماه سال],TMonthOfYear[[#This Row],[ماه سال]],TDays[هزینه])</f>
        <v>0</v>
      </c>
      <c r="F51" s="1">
        <f>SUMIF(TDays[ماه سال],TMonthOfYear[[#This Row],[ماه سال]],TDays[درآمد])</f>
        <v>0</v>
      </c>
      <c r="G51" s="1">
        <f>SUMIF(TDays[ماه سال],TMonthOfYear[[#This Row],[ماه سال]],TDays[سایر درآمد])</f>
        <v>0</v>
      </c>
      <c r="H51" s="1">
        <f>SUMIF(TDays[ماه سال],TMonthOfYear[[#This Row],[ماه سال]],TDays[پرداخت بدهی])</f>
        <v>0</v>
      </c>
      <c r="I51" s="1">
        <f>SUMIF(TDays[ماه سال],TMonthOfYear[[#This Row],[ماه سال]],TDays[افزایش بدهی])</f>
        <v>0</v>
      </c>
      <c r="J51" s="1">
        <f>SUMIF(TDays[ماه سال],TMonthOfYear[[#This Row],[ماه سال]],TDays[افزایش سرمایه])</f>
        <v>0</v>
      </c>
      <c r="K51" s="1">
        <f>SUMIF(TDays[ماه سال],TMonthOfYear[[#This Row],[ماه سال]],TDays[تعداد تراکنش انجام شده])</f>
        <v>0</v>
      </c>
      <c r="L51" s="1">
        <f>SUMIF(TDays[ماه سال],TMonthOfYear[[#This Row],[ماه سال]],TDays[تراکنش برنامه ریزی شده])</f>
        <v>1</v>
      </c>
    </row>
    <row r="52" spans="1:12" x14ac:dyDescent="0.25">
      <c r="A52" s="3" t="s">
        <v>2424</v>
      </c>
      <c r="B52" s="164" t="str">
        <f>RIGHT(LEFT(TMonthOfYear[[#This Row],[ماه سال]],7),2)</f>
        <v>03</v>
      </c>
      <c r="C52" s="164" t="str">
        <f>LEFT(TMonthOfYear[[#This Row],[ماه سال]],4)</f>
        <v>1405</v>
      </c>
      <c r="D52" s="165" t="str">
        <f>VLOOKUP(RIGHT(LEFT(TMonthOfYear[[#This Row],[ماه سال]],8),2),TMonth[],2,FALSE)</f>
        <v>خرداد</v>
      </c>
      <c r="E52" s="1">
        <f>SUMIF(TDays[ماه سال],TMonthOfYear[[#This Row],[ماه سال]],TDays[هزینه])</f>
        <v>0</v>
      </c>
      <c r="F52" s="1">
        <f>SUMIF(TDays[ماه سال],TMonthOfYear[[#This Row],[ماه سال]],TDays[درآمد])</f>
        <v>0</v>
      </c>
      <c r="G52" s="1">
        <f>SUMIF(TDays[ماه سال],TMonthOfYear[[#This Row],[ماه سال]],TDays[سایر درآمد])</f>
        <v>0</v>
      </c>
      <c r="H52" s="1">
        <f>SUMIF(TDays[ماه سال],TMonthOfYear[[#This Row],[ماه سال]],TDays[پرداخت بدهی])</f>
        <v>0</v>
      </c>
      <c r="I52" s="1">
        <f>SUMIF(TDays[ماه سال],TMonthOfYear[[#This Row],[ماه سال]],TDays[افزایش بدهی])</f>
        <v>0</v>
      </c>
      <c r="J52" s="1">
        <f>SUMIF(TDays[ماه سال],TMonthOfYear[[#This Row],[ماه سال]],TDays[افزایش سرمایه])</f>
        <v>0</v>
      </c>
      <c r="K52" s="1">
        <f>SUMIF(TDays[ماه سال],TMonthOfYear[[#This Row],[ماه سال]],TDays[تعداد تراکنش انجام شده])</f>
        <v>0</v>
      </c>
      <c r="L52" s="1">
        <f>SUMIF(TDays[ماه سال],TMonthOfYear[[#This Row],[ماه سال]],TDays[تراکنش برنامه ریزی شده])</f>
        <v>1</v>
      </c>
    </row>
    <row r="53" spans="1:12" x14ac:dyDescent="0.25">
      <c r="A53" s="3" t="s">
        <v>2425</v>
      </c>
      <c r="B53" s="164" t="str">
        <f>RIGHT(LEFT(TMonthOfYear[[#This Row],[ماه سال]],7),2)</f>
        <v>04</v>
      </c>
      <c r="C53" s="164" t="str">
        <f>LEFT(TMonthOfYear[[#This Row],[ماه سال]],4)</f>
        <v>1405</v>
      </c>
      <c r="D53" s="165" t="str">
        <f>VLOOKUP(RIGHT(LEFT(TMonthOfYear[[#This Row],[ماه سال]],8),2),TMonth[],2,FALSE)</f>
        <v>تیر</v>
      </c>
      <c r="E53" s="1">
        <f>SUMIF(TDays[ماه سال],TMonthOfYear[[#This Row],[ماه سال]],TDays[هزینه])</f>
        <v>0</v>
      </c>
      <c r="F53" s="1">
        <f>SUMIF(TDays[ماه سال],TMonthOfYear[[#This Row],[ماه سال]],TDays[درآمد])</f>
        <v>0</v>
      </c>
      <c r="G53" s="1">
        <f>SUMIF(TDays[ماه سال],TMonthOfYear[[#This Row],[ماه سال]],TDays[سایر درآمد])</f>
        <v>0</v>
      </c>
      <c r="H53" s="1">
        <f>SUMIF(TDays[ماه سال],TMonthOfYear[[#This Row],[ماه سال]],TDays[پرداخت بدهی])</f>
        <v>0</v>
      </c>
      <c r="I53" s="1">
        <f>SUMIF(TDays[ماه سال],TMonthOfYear[[#This Row],[ماه سال]],TDays[افزایش بدهی])</f>
        <v>0</v>
      </c>
      <c r="J53" s="1">
        <f>SUMIF(TDays[ماه سال],TMonthOfYear[[#This Row],[ماه سال]],TDays[افزایش سرمایه])</f>
        <v>0</v>
      </c>
      <c r="K53" s="1">
        <f>SUMIF(TDays[ماه سال],TMonthOfYear[[#This Row],[ماه سال]],TDays[تعداد تراکنش انجام شده])</f>
        <v>0</v>
      </c>
      <c r="L53" s="1">
        <f>SUMIF(TDays[ماه سال],TMonthOfYear[[#This Row],[ماه سال]],TDays[تراکنش برنامه ریزی شده])</f>
        <v>1</v>
      </c>
    </row>
    <row r="54" spans="1:12" x14ac:dyDescent="0.25">
      <c r="A54" s="3" t="s">
        <v>2426</v>
      </c>
      <c r="B54" s="164" t="str">
        <f>RIGHT(LEFT(TMonthOfYear[[#This Row],[ماه سال]],7),2)</f>
        <v>05</v>
      </c>
      <c r="C54" s="164" t="str">
        <f>LEFT(TMonthOfYear[[#This Row],[ماه سال]],4)</f>
        <v>1405</v>
      </c>
      <c r="D54" s="165" t="str">
        <f>VLOOKUP(RIGHT(LEFT(TMonthOfYear[[#This Row],[ماه سال]],8),2),TMonth[],2,FALSE)</f>
        <v>مرداد</v>
      </c>
      <c r="E54" s="1">
        <f>SUMIF(TDays[ماه سال],TMonthOfYear[[#This Row],[ماه سال]],TDays[هزینه])</f>
        <v>0</v>
      </c>
      <c r="F54" s="1">
        <f>SUMIF(TDays[ماه سال],TMonthOfYear[[#This Row],[ماه سال]],TDays[درآمد])</f>
        <v>0</v>
      </c>
      <c r="G54" s="1">
        <f>SUMIF(TDays[ماه سال],TMonthOfYear[[#This Row],[ماه سال]],TDays[سایر درآمد])</f>
        <v>0</v>
      </c>
      <c r="H54" s="1">
        <f>SUMIF(TDays[ماه سال],TMonthOfYear[[#This Row],[ماه سال]],TDays[پرداخت بدهی])</f>
        <v>0</v>
      </c>
      <c r="I54" s="1">
        <f>SUMIF(TDays[ماه سال],TMonthOfYear[[#This Row],[ماه سال]],TDays[افزایش بدهی])</f>
        <v>0</v>
      </c>
      <c r="J54" s="1">
        <f>SUMIF(TDays[ماه سال],TMonthOfYear[[#This Row],[ماه سال]],TDays[افزایش سرمایه])</f>
        <v>0</v>
      </c>
      <c r="K54" s="1">
        <f>SUMIF(TDays[ماه سال],TMonthOfYear[[#This Row],[ماه سال]],TDays[تعداد تراکنش انجام شده])</f>
        <v>0</v>
      </c>
      <c r="L54" s="1">
        <f>SUMIF(TDays[ماه سال],TMonthOfYear[[#This Row],[ماه سال]],TDays[تراکنش برنامه ریزی شده])</f>
        <v>1</v>
      </c>
    </row>
    <row r="55" spans="1:12" x14ac:dyDescent="0.25">
      <c r="A55" s="3" t="s">
        <v>2427</v>
      </c>
      <c r="B55" s="164" t="str">
        <f>RIGHT(LEFT(TMonthOfYear[[#This Row],[ماه سال]],7),2)</f>
        <v>06</v>
      </c>
      <c r="C55" s="164" t="str">
        <f>LEFT(TMonthOfYear[[#This Row],[ماه سال]],4)</f>
        <v>1405</v>
      </c>
      <c r="D55" s="165" t="str">
        <f>VLOOKUP(RIGHT(LEFT(TMonthOfYear[[#This Row],[ماه سال]],8),2),TMonth[],2,FALSE)</f>
        <v>شهریور</v>
      </c>
      <c r="E55" s="1">
        <f>SUMIF(TDays[ماه سال],TMonthOfYear[[#This Row],[ماه سال]],TDays[هزینه])</f>
        <v>0</v>
      </c>
      <c r="F55" s="1">
        <f>SUMIF(TDays[ماه سال],TMonthOfYear[[#This Row],[ماه سال]],TDays[درآمد])</f>
        <v>0</v>
      </c>
      <c r="G55" s="1">
        <f>SUMIF(TDays[ماه سال],TMonthOfYear[[#This Row],[ماه سال]],TDays[سایر درآمد])</f>
        <v>0</v>
      </c>
      <c r="H55" s="1">
        <f>SUMIF(TDays[ماه سال],TMonthOfYear[[#This Row],[ماه سال]],TDays[پرداخت بدهی])</f>
        <v>0</v>
      </c>
      <c r="I55" s="1">
        <f>SUMIF(TDays[ماه سال],TMonthOfYear[[#This Row],[ماه سال]],TDays[افزایش بدهی])</f>
        <v>0</v>
      </c>
      <c r="J55" s="1">
        <f>SUMIF(TDays[ماه سال],TMonthOfYear[[#This Row],[ماه سال]],TDays[افزایش سرمایه])</f>
        <v>0</v>
      </c>
      <c r="K55" s="1">
        <f>SUMIF(TDays[ماه سال],TMonthOfYear[[#This Row],[ماه سال]],TDays[تعداد تراکنش انجام شده])</f>
        <v>0</v>
      </c>
      <c r="L55" s="1">
        <f>SUMIF(TDays[ماه سال],TMonthOfYear[[#This Row],[ماه سال]],TDays[تراکنش برنامه ریزی شده])</f>
        <v>1</v>
      </c>
    </row>
    <row r="56" spans="1:12" x14ac:dyDescent="0.25">
      <c r="A56" s="3" t="s">
        <v>2428</v>
      </c>
      <c r="B56" s="164" t="str">
        <f>RIGHT(LEFT(TMonthOfYear[[#This Row],[ماه سال]],7),2)</f>
        <v>07</v>
      </c>
      <c r="C56" s="164" t="str">
        <f>LEFT(TMonthOfYear[[#This Row],[ماه سال]],4)</f>
        <v>1405</v>
      </c>
      <c r="D56" s="165" t="str">
        <f>VLOOKUP(RIGHT(LEFT(TMonthOfYear[[#This Row],[ماه سال]],8),2),TMonth[],2,FALSE)</f>
        <v>مهر</v>
      </c>
      <c r="E56" s="1">
        <f>SUMIF(TDays[ماه سال],TMonthOfYear[[#This Row],[ماه سال]],TDays[هزینه])</f>
        <v>0</v>
      </c>
      <c r="F56" s="1">
        <f>SUMIF(TDays[ماه سال],TMonthOfYear[[#This Row],[ماه سال]],TDays[درآمد])</f>
        <v>0</v>
      </c>
      <c r="G56" s="1">
        <f>SUMIF(TDays[ماه سال],TMonthOfYear[[#This Row],[ماه سال]],TDays[سایر درآمد])</f>
        <v>0</v>
      </c>
      <c r="H56" s="1">
        <f>SUMIF(TDays[ماه سال],TMonthOfYear[[#This Row],[ماه سال]],TDays[پرداخت بدهی])</f>
        <v>0</v>
      </c>
      <c r="I56" s="1">
        <f>SUMIF(TDays[ماه سال],TMonthOfYear[[#This Row],[ماه سال]],TDays[افزایش بدهی])</f>
        <v>0</v>
      </c>
      <c r="J56" s="1">
        <f>SUMIF(TDays[ماه سال],TMonthOfYear[[#This Row],[ماه سال]],TDays[افزایش سرمایه])</f>
        <v>0</v>
      </c>
      <c r="K56" s="1">
        <f>SUMIF(TDays[ماه سال],TMonthOfYear[[#This Row],[ماه سال]],TDays[تعداد تراکنش انجام شده])</f>
        <v>0</v>
      </c>
      <c r="L56" s="1">
        <f>SUMIF(TDays[ماه سال],TMonthOfYear[[#This Row],[ماه سال]],TDays[تراکنش برنامه ریزی شده])</f>
        <v>1</v>
      </c>
    </row>
    <row r="57" spans="1:12" x14ac:dyDescent="0.25">
      <c r="A57" s="3" t="s">
        <v>2429</v>
      </c>
      <c r="B57" s="164" t="str">
        <f>RIGHT(LEFT(TMonthOfYear[[#This Row],[ماه سال]],7),2)</f>
        <v>08</v>
      </c>
      <c r="C57" s="164" t="str">
        <f>LEFT(TMonthOfYear[[#This Row],[ماه سال]],4)</f>
        <v>1405</v>
      </c>
      <c r="D57" s="165" t="str">
        <f>VLOOKUP(RIGHT(LEFT(TMonthOfYear[[#This Row],[ماه سال]],8),2),TMonth[],2,FALSE)</f>
        <v>آبان</v>
      </c>
      <c r="E57" s="1">
        <f>SUMIF(TDays[ماه سال],TMonthOfYear[[#This Row],[ماه سال]],TDays[هزینه])</f>
        <v>0</v>
      </c>
      <c r="F57" s="1">
        <f>SUMIF(TDays[ماه سال],TMonthOfYear[[#This Row],[ماه سال]],TDays[درآمد])</f>
        <v>0</v>
      </c>
      <c r="G57" s="1">
        <f>SUMIF(TDays[ماه سال],TMonthOfYear[[#This Row],[ماه سال]],TDays[سایر درآمد])</f>
        <v>0</v>
      </c>
      <c r="H57" s="1">
        <f>SUMIF(TDays[ماه سال],TMonthOfYear[[#This Row],[ماه سال]],TDays[پرداخت بدهی])</f>
        <v>0</v>
      </c>
      <c r="I57" s="1">
        <f>SUMIF(TDays[ماه سال],TMonthOfYear[[#This Row],[ماه سال]],TDays[افزایش بدهی])</f>
        <v>0</v>
      </c>
      <c r="J57" s="1">
        <f>SUMIF(TDays[ماه سال],TMonthOfYear[[#This Row],[ماه سال]],TDays[افزایش سرمایه])</f>
        <v>0</v>
      </c>
      <c r="K57" s="1">
        <f>SUMIF(TDays[ماه سال],TMonthOfYear[[#This Row],[ماه سال]],TDays[تعداد تراکنش انجام شده])</f>
        <v>0</v>
      </c>
      <c r="L57" s="1">
        <f>SUMIF(TDays[ماه سال],TMonthOfYear[[#This Row],[ماه سال]],TDays[تراکنش برنامه ریزی شده])</f>
        <v>1</v>
      </c>
    </row>
    <row r="58" spans="1:12" x14ac:dyDescent="0.25">
      <c r="A58" s="3" t="s">
        <v>2430</v>
      </c>
      <c r="B58" s="164" t="str">
        <f>RIGHT(LEFT(TMonthOfYear[[#This Row],[ماه سال]],7),2)</f>
        <v>09</v>
      </c>
      <c r="C58" s="164" t="str">
        <f>LEFT(TMonthOfYear[[#This Row],[ماه سال]],4)</f>
        <v>1405</v>
      </c>
      <c r="D58" s="165" t="str">
        <f>VLOOKUP(RIGHT(LEFT(TMonthOfYear[[#This Row],[ماه سال]],8),2),TMonth[],2,FALSE)</f>
        <v>آذر</v>
      </c>
      <c r="E58" s="1">
        <f>SUMIF(TDays[ماه سال],TMonthOfYear[[#This Row],[ماه سال]],TDays[هزینه])</f>
        <v>0</v>
      </c>
      <c r="F58" s="1">
        <f>SUMIF(TDays[ماه سال],TMonthOfYear[[#This Row],[ماه سال]],TDays[درآمد])</f>
        <v>0</v>
      </c>
      <c r="G58" s="1">
        <f>SUMIF(TDays[ماه سال],TMonthOfYear[[#This Row],[ماه سال]],TDays[سایر درآمد])</f>
        <v>0</v>
      </c>
      <c r="H58" s="1">
        <f>SUMIF(TDays[ماه سال],TMonthOfYear[[#This Row],[ماه سال]],TDays[پرداخت بدهی])</f>
        <v>0</v>
      </c>
      <c r="I58" s="1">
        <f>SUMIF(TDays[ماه سال],TMonthOfYear[[#This Row],[ماه سال]],TDays[افزایش بدهی])</f>
        <v>0</v>
      </c>
      <c r="J58" s="1">
        <f>SUMIF(TDays[ماه سال],TMonthOfYear[[#This Row],[ماه سال]],TDays[افزایش سرمایه])</f>
        <v>0</v>
      </c>
      <c r="K58" s="1">
        <f>SUMIF(TDays[ماه سال],TMonthOfYear[[#This Row],[ماه سال]],TDays[تعداد تراکنش انجام شده])</f>
        <v>0</v>
      </c>
      <c r="L58" s="1">
        <f>SUMIF(TDays[ماه سال],TMonthOfYear[[#This Row],[ماه سال]],TDays[تراکنش برنامه ریزی شده])</f>
        <v>1</v>
      </c>
    </row>
    <row r="59" spans="1:12" x14ac:dyDescent="0.25">
      <c r="A59" s="3" t="s">
        <v>2431</v>
      </c>
      <c r="B59" s="164" t="str">
        <f>RIGHT(LEFT(TMonthOfYear[[#This Row],[ماه سال]],7),2)</f>
        <v>10</v>
      </c>
      <c r="C59" s="164" t="str">
        <f>LEFT(TMonthOfYear[[#This Row],[ماه سال]],4)</f>
        <v>1405</v>
      </c>
      <c r="D59" s="165" t="str">
        <f>VLOOKUP(RIGHT(LEFT(TMonthOfYear[[#This Row],[ماه سال]],8),2),TMonth[],2,FALSE)</f>
        <v>دی</v>
      </c>
      <c r="E59" s="1">
        <f>SUMIF(TDays[ماه سال],TMonthOfYear[[#This Row],[ماه سال]],TDays[هزینه])</f>
        <v>0</v>
      </c>
      <c r="F59" s="1">
        <f>SUMIF(TDays[ماه سال],TMonthOfYear[[#This Row],[ماه سال]],TDays[درآمد])</f>
        <v>0</v>
      </c>
      <c r="G59" s="1">
        <f>SUMIF(TDays[ماه سال],TMonthOfYear[[#This Row],[ماه سال]],TDays[سایر درآمد])</f>
        <v>0</v>
      </c>
      <c r="H59" s="1">
        <f>SUMIF(TDays[ماه سال],TMonthOfYear[[#This Row],[ماه سال]],TDays[پرداخت بدهی])</f>
        <v>0</v>
      </c>
      <c r="I59" s="1">
        <f>SUMIF(TDays[ماه سال],TMonthOfYear[[#This Row],[ماه سال]],TDays[افزایش بدهی])</f>
        <v>0</v>
      </c>
      <c r="J59" s="1">
        <f>SUMIF(TDays[ماه سال],TMonthOfYear[[#This Row],[ماه سال]],TDays[افزایش سرمایه])</f>
        <v>0</v>
      </c>
      <c r="K59" s="1">
        <f>SUMIF(TDays[ماه سال],TMonthOfYear[[#This Row],[ماه سال]],TDays[تعداد تراکنش انجام شده])</f>
        <v>0</v>
      </c>
      <c r="L59" s="1">
        <f>SUMIF(TDays[ماه سال],TMonthOfYear[[#This Row],[ماه سال]],TDays[تراکنش برنامه ریزی شده])</f>
        <v>1</v>
      </c>
    </row>
    <row r="60" spans="1:12" x14ac:dyDescent="0.25">
      <c r="A60" s="3" t="s">
        <v>2432</v>
      </c>
      <c r="B60" s="164" t="str">
        <f>RIGHT(LEFT(TMonthOfYear[[#This Row],[ماه سال]],7),2)</f>
        <v>11</v>
      </c>
      <c r="C60" s="164" t="str">
        <f>LEFT(TMonthOfYear[[#This Row],[ماه سال]],4)</f>
        <v>1405</v>
      </c>
      <c r="D60" s="165" t="str">
        <f>VLOOKUP(RIGHT(LEFT(TMonthOfYear[[#This Row],[ماه سال]],8),2),TMonth[],2,FALSE)</f>
        <v>بهمن</v>
      </c>
      <c r="E60" s="1">
        <f>SUMIF(TDays[ماه سال],TMonthOfYear[[#This Row],[ماه سال]],TDays[هزینه])</f>
        <v>0</v>
      </c>
      <c r="F60" s="1">
        <f>SUMIF(TDays[ماه سال],TMonthOfYear[[#This Row],[ماه سال]],TDays[درآمد])</f>
        <v>0</v>
      </c>
      <c r="G60" s="1">
        <f>SUMIF(TDays[ماه سال],TMonthOfYear[[#This Row],[ماه سال]],TDays[سایر درآمد])</f>
        <v>0</v>
      </c>
      <c r="H60" s="1">
        <f>SUMIF(TDays[ماه سال],TMonthOfYear[[#This Row],[ماه سال]],TDays[پرداخت بدهی])</f>
        <v>0</v>
      </c>
      <c r="I60" s="1">
        <f>SUMIF(TDays[ماه سال],TMonthOfYear[[#This Row],[ماه سال]],TDays[افزایش بدهی])</f>
        <v>0</v>
      </c>
      <c r="J60" s="1">
        <f>SUMIF(TDays[ماه سال],TMonthOfYear[[#This Row],[ماه سال]],TDays[افزایش سرمایه])</f>
        <v>0</v>
      </c>
      <c r="K60" s="1">
        <f>SUMIF(TDays[ماه سال],TMonthOfYear[[#This Row],[ماه سال]],TDays[تعداد تراکنش انجام شده])</f>
        <v>0</v>
      </c>
      <c r="L60" s="1">
        <f>SUMIF(TDays[ماه سال],TMonthOfYear[[#This Row],[ماه سال]],TDays[تراکنش برنامه ریزی شده])</f>
        <v>1</v>
      </c>
    </row>
    <row r="61" spans="1:12" x14ac:dyDescent="0.25">
      <c r="A61" s="3" t="s">
        <v>2433</v>
      </c>
      <c r="B61" s="164" t="str">
        <f>RIGHT(LEFT(TMonthOfYear[[#This Row],[ماه سال]],7),2)</f>
        <v>12</v>
      </c>
      <c r="C61" s="164" t="str">
        <f>LEFT(TMonthOfYear[[#This Row],[ماه سال]],4)</f>
        <v>1405</v>
      </c>
      <c r="D61" s="165" t="str">
        <f>VLOOKUP(RIGHT(LEFT(TMonthOfYear[[#This Row],[ماه سال]],8),2),TMonth[],2,FALSE)</f>
        <v>اسفند</v>
      </c>
      <c r="E61" s="1">
        <f>SUMIF(TDays[ماه سال],TMonthOfYear[[#This Row],[ماه سال]],TDays[هزینه])</f>
        <v>0</v>
      </c>
      <c r="F61" s="1">
        <f>SUMIF(TDays[ماه سال],TMonthOfYear[[#This Row],[ماه سال]],TDays[درآمد])</f>
        <v>0</v>
      </c>
      <c r="G61" s="1">
        <f>SUMIF(TDays[ماه سال],TMonthOfYear[[#This Row],[ماه سال]],TDays[سایر درآمد])</f>
        <v>0</v>
      </c>
      <c r="H61" s="1">
        <f>SUMIF(TDays[ماه سال],TMonthOfYear[[#This Row],[ماه سال]],TDays[پرداخت بدهی])</f>
        <v>0</v>
      </c>
      <c r="I61" s="1">
        <f>SUMIF(TDays[ماه سال],TMonthOfYear[[#This Row],[ماه سال]],TDays[افزایش بدهی])</f>
        <v>0</v>
      </c>
      <c r="J61" s="1">
        <f>SUMIF(TDays[ماه سال],TMonthOfYear[[#This Row],[ماه سال]],TDays[افزایش سرمایه])</f>
        <v>0</v>
      </c>
      <c r="K61" s="1">
        <f>SUMIF(TDays[ماه سال],TMonthOfYear[[#This Row],[ماه سال]],TDays[تعداد تراکنش انجام شده])</f>
        <v>0</v>
      </c>
      <c r="L61" s="1">
        <f>SUMIF(TDays[ماه سال],TMonthOfYear[[#This Row],[ماه سال]],TDays[تراکنش برنامه ریزی شده])</f>
        <v>1</v>
      </c>
    </row>
    <row r="62" spans="1:12" x14ac:dyDescent="0.25">
      <c r="A62" s="3" t="s">
        <v>2808</v>
      </c>
      <c r="B62" s="164" t="str">
        <f>RIGHT(LEFT(TMonthOfYear[[#This Row],[ماه سال]],7),2)</f>
        <v>01</v>
      </c>
      <c r="C62" s="164" t="str">
        <f>LEFT(TMonthOfYear[[#This Row],[ماه سال]],4)</f>
        <v>1406</v>
      </c>
      <c r="D62" s="165" t="str">
        <f>VLOOKUP(RIGHT(LEFT(TMonthOfYear[[#This Row],[ماه سال]],8),2),TMonth[],2,FALSE)</f>
        <v>فروردین</v>
      </c>
      <c r="E62" s="1">
        <f>SUMIF(TDays[ماه سال],TMonthOfYear[[#This Row],[ماه سال]],TDays[هزینه])</f>
        <v>0</v>
      </c>
      <c r="F62" s="1">
        <f>SUMIF(TDays[ماه سال],TMonthOfYear[[#This Row],[ماه سال]],TDays[درآمد])</f>
        <v>0</v>
      </c>
      <c r="G62" s="1">
        <f>SUMIF(TDays[ماه سال],TMonthOfYear[[#This Row],[ماه سال]],TDays[سایر درآمد])</f>
        <v>0</v>
      </c>
      <c r="H62" s="1">
        <f>SUMIF(TDays[ماه سال],TMonthOfYear[[#This Row],[ماه سال]],TDays[پرداخت بدهی])</f>
        <v>0</v>
      </c>
      <c r="I62" s="1">
        <f>SUMIF(TDays[ماه سال],TMonthOfYear[[#This Row],[ماه سال]],TDays[افزایش بدهی])</f>
        <v>0</v>
      </c>
      <c r="J62" s="1">
        <f>SUMIF(TDays[ماه سال],TMonthOfYear[[#This Row],[ماه سال]],TDays[افزایش سرمایه])</f>
        <v>0</v>
      </c>
      <c r="K62" s="1">
        <f>SUMIF(TDays[ماه سال],TMonthOfYear[[#This Row],[ماه سال]],TDays[تعداد تراکنش انجام شده])</f>
        <v>0</v>
      </c>
      <c r="L62" s="1">
        <f>SUMIF(TDays[ماه سال],TMonthOfYear[[#This Row],[ماه سال]],TDays[تراکنش برنامه ریزی شده])</f>
        <v>1</v>
      </c>
    </row>
    <row r="63" spans="1:12" x14ac:dyDescent="0.25">
      <c r="A63" s="3" t="s">
        <v>2809</v>
      </c>
      <c r="B63" s="164" t="str">
        <f>RIGHT(LEFT(TMonthOfYear[[#This Row],[ماه سال]],7),2)</f>
        <v>02</v>
      </c>
      <c r="C63" s="164" t="str">
        <f>LEFT(TMonthOfYear[[#This Row],[ماه سال]],4)</f>
        <v>1406</v>
      </c>
      <c r="D63" s="165" t="str">
        <f>VLOOKUP(RIGHT(LEFT(TMonthOfYear[[#This Row],[ماه سال]],8),2),TMonth[],2,FALSE)</f>
        <v>اردیبهشت</v>
      </c>
      <c r="E63" s="1">
        <f>SUMIF(TDays[ماه سال],TMonthOfYear[[#This Row],[ماه سال]],TDays[هزینه])</f>
        <v>0</v>
      </c>
      <c r="F63" s="1">
        <f>SUMIF(TDays[ماه سال],TMonthOfYear[[#This Row],[ماه سال]],TDays[درآمد])</f>
        <v>0</v>
      </c>
      <c r="G63" s="1">
        <f>SUMIF(TDays[ماه سال],TMonthOfYear[[#This Row],[ماه سال]],TDays[سایر درآمد])</f>
        <v>0</v>
      </c>
      <c r="H63" s="1">
        <f>SUMIF(TDays[ماه سال],TMonthOfYear[[#This Row],[ماه سال]],TDays[پرداخت بدهی])</f>
        <v>0</v>
      </c>
      <c r="I63" s="1">
        <f>SUMIF(TDays[ماه سال],TMonthOfYear[[#This Row],[ماه سال]],TDays[افزایش بدهی])</f>
        <v>0</v>
      </c>
      <c r="J63" s="1">
        <f>SUMIF(TDays[ماه سال],TMonthOfYear[[#This Row],[ماه سال]],TDays[افزایش سرمایه])</f>
        <v>0</v>
      </c>
      <c r="K63" s="1">
        <f>SUMIF(TDays[ماه سال],TMonthOfYear[[#This Row],[ماه سال]],TDays[تعداد تراکنش انجام شده])</f>
        <v>0</v>
      </c>
      <c r="L63" s="1">
        <f>SUMIF(TDays[ماه سال],TMonthOfYear[[#This Row],[ماه سال]],TDays[تراکنش برنامه ریزی شده])</f>
        <v>1</v>
      </c>
    </row>
    <row r="64" spans="1:12" x14ac:dyDescent="0.25">
      <c r="A64" s="3" t="s">
        <v>2810</v>
      </c>
      <c r="B64" s="164" t="str">
        <f>RIGHT(LEFT(TMonthOfYear[[#This Row],[ماه سال]],7),2)</f>
        <v>03</v>
      </c>
      <c r="C64" s="164" t="str">
        <f>LEFT(TMonthOfYear[[#This Row],[ماه سال]],4)</f>
        <v>1406</v>
      </c>
      <c r="D64" s="165" t="str">
        <f>VLOOKUP(RIGHT(LEFT(TMonthOfYear[[#This Row],[ماه سال]],8),2),TMonth[],2,FALSE)</f>
        <v>خرداد</v>
      </c>
      <c r="E64" s="1">
        <f>SUMIF(TDays[ماه سال],TMonthOfYear[[#This Row],[ماه سال]],TDays[هزینه])</f>
        <v>0</v>
      </c>
      <c r="F64" s="1">
        <f>SUMIF(TDays[ماه سال],TMonthOfYear[[#This Row],[ماه سال]],TDays[درآمد])</f>
        <v>0</v>
      </c>
      <c r="G64" s="1">
        <f>SUMIF(TDays[ماه سال],TMonthOfYear[[#This Row],[ماه سال]],TDays[سایر درآمد])</f>
        <v>0</v>
      </c>
      <c r="H64" s="1">
        <f>SUMIF(TDays[ماه سال],TMonthOfYear[[#This Row],[ماه سال]],TDays[پرداخت بدهی])</f>
        <v>0</v>
      </c>
      <c r="I64" s="1">
        <f>SUMIF(TDays[ماه سال],TMonthOfYear[[#This Row],[ماه سال]],TDays[افزایش بدهی])</f>
        <v>0</v>
      </c>
      <c r="J64" s="1">
        <f>SUMIF(TDays[ماه سال],TMonthOfYear[[#This Row],[ماه سال]],TDays[افزایش سرمایه])</f>
        <v>0</v>
      </c>
      <c r="K64" s="1">
        <f>SUMIF(TDays[ماه سال],TMonthOfYear[[#This Row],[ماه سال]],TDays[تعداد تراکنش انجام شده])</f>
        <v>0</v>
      </c>
      <c r="L64" s="1">
        <f>SUMIF(TDays[ماه سال],TMonthOfYear[[#This Row],[ماه سال]],TDays[تراکنش برنامه ریزی شده])</f>
        <v>1</v>
      </c>
    </row>
    <row r="65" spans="1:12" x14ac:dyDescent="0.25">
      <c r="A65" s="3" t="s">
        <v>2811</v>
      </c>
      <c r="B65" s="164" t="str">
        <f>RIGHT(LEFT(TMonthOfYear[[#This Row],[ماه سال]],7),2)</f>
        <v>04</v>
      </c>
      <c r="C65" s="164" t="str">
        <f>LEFT(TMonthOfYear[[#This Row],[ماه سال]],4)</f>
        <v>1406</v>
      </c>
      <c r="D65" s="165" t="str">
        <f>VLOOKUP(RIGHT(LEFT(TMonthOfYear[[#This Row],[ماه سال]],8),2),TMonth[],2,FALSE)</f>
        <v>تیر</v>
      </c>
      <c r="E65" s="1">
        <f>SUMIF(TDays[ماه سال],TMonthOfYear[[#This Row],[ماه سال]],TDays[هزینه])</f>
        <v>0</v>
      </c>
      <c r="F65" s="1">
        <f>SUMIF(TDays[ماه سال],TMonthOfYear[[#This Row],[ماه سال]],TDays[درآمد])</f>
        <v>0</v>
      </c>
      <c r="G65" s="1">
        <f>SUMIF(TDays[ماه سال],TMonthOfYear[[#This Row],[ماه سال]],TDays[سایر درآمد])</f>
        <v>0</v>
      </c>
      <c r="H65" s="1">
        <f>SUMIF(TDays[ماه سال],TMonthOfYear[[#This Row],[ماه سال]],TDays[پرداخت بدهی])</f>
        <v>0</v>
      </c>
      <c r="I65" s="1">
        <f>SUMIF(TDays[ماه سال],TMonthOfYear[[#This Row],[ماه سال]],TDays[افزایش بدهی])</f>
        <v>0</v>
      </c>
      <c r="J65" s="1">
        <f>SUMIF(TDays[ماه سال],TMonthOfYear[[#This Row],[ماه سال]],TDays[افزایش سرمایه])</f>
        <v>0</v>
      </c>
      <c r="K65" s="1">
        <f>SUMIF(TDays[ماه سال],TMonthOfYear[[#This Row],[ماه سال]],TDays[تعداد تراکنش انجام شده])</f>
        <v>0</v>
      </c>
      <c r="L65" s="1">
        <f>SUMIF(TDays[ماه سال],TMonthOfYear[[#This Row],[ماه سال]],TDays[تراکنش برنامه ریزی شده])</f>
        <v>1</v>
      </c>
    </row>
    <row r="66" spans="1:12" x14ac:dyDescent="0.25">
      <c r="A66" s="3" t="s">
        <v>2812</v>
      </c>
      <c r="B66" s="164" t="str">
        <f>RIGHT(LEFT(TMonthOfYear[[#This Row],[ماه سال]],7),2)</f>
        <v>05</v>
      </c>
      <c r="C66" s="164" t="str">
        <f>LEFT(TMonthOfYear[[#This Row],[ماه سال]],4)</f>
        <v>1406</v>
      </c>
      <c r="D66" s="165" t="str">
        <f>VLOOKUP(RIGHT(LEFT(TMonthOfYear[[#This Row],[ماه سال]],8),2),TMonth[],2,FALSE)</f>
        <v>مرداد</v>
      </c>
      <c r="E66" s="1">
        <f>SUMIF(TDays[ماه سال],TMonthOfYear[[#This Row],[ماه سال]],TDays[هزینه])</f>
        <v>0</v>
      </c>
      <c r="F66" s="1">
        <f>SUMIF(TDays[ماه سال],TMonthOfYear[[#This Row],[ماه سال]],TDays[درآمد])</f>
        <v>0</v>
      </c>
      <c r="G66" s="1">
        <f>SUMIF(TDays[ماه سال],TMonthOfYear[[#This Row],[ماه سال]],TDays[سایر درآمد])</f>
        <v>0</v>
      </c>
      <c r="H66" s="1">
        <f>SUMIF(TDays[ماه سال],TMonthOfYear[[#This Row],[ماه سال]],TDays[پرداخت بدهی])</f>
        <v>0</v>
      </c>
      <c r="I66" s="1">
        <f>SUMIF(TDays[ماه سال],TMonthOfYear[[#This Row],[ماه سال]],TDays[افزایش بدهی])</f>
        <v>0</v>
      </c>
      <c r="J66" s="1">
        <f>SUMIF(TDays[ماه سال],TMonthOfYear[[#This Row],[ماه سال]],TDays[افزایش سرمایه])</f>
        <v>0</v>
      </c>
      <c r="K66" s="1">
        <f>SUMIF(TDays[ماه سال],TMonthOfYear[[#This Row],[ماه سال]],TDays[تعداد تراکنش انجام شده])</f>
        <v>0</v>
      </c>
      <c r="L66" s="1">
        <f>SUMIF(TDays[ماه سال],TMonthOfYear[[#This Row],[ماه سال]],TDays[تراکنش برنامه ریزی شده])</f>
        <v>1</v>
      </c>
    </row>
    <row r="67" spans="1:12" x14ac:dyDescent="0.25">
      <c r="A67" s="3" t="s">
        <v>2813</v>
      </c>
      <c r="B67" s="164" t="str">
        <f>RIGHT(LEFT(TMonthOfYear[[#This Row],[ماه سال]],7),2)</f>
        <v>06</v>
      </c>
      <c r="C67" s="164" t="str">
        <f>LEFT(TMonthOfYear[[#This Row],[ماه سال]],4)</f>
        <v>1406</v>
      </c>
      <c r="D67" s="165" t="str">
        <f>VLOOKUP(RIGHT(LEFT(TMonthOfYear[[#This Row],[ماه سال]],8),2),TMonth[],2,FALSE)</f>
        <v>شهریور</v>
      </c>
      <c r="E67" s="1">
        <f>SUMIF(TDays[ماه سال],TMonthOfYear[[#This Row],[ماه سال]],TDays[هزینه])</f>
        <v>0</v>
      </c>
      <c r="F67" s="1">
        <f>SUMIF(TDays[ماه سال],TMonthOfYear[[#This Row],[ماه سال]],TDays[درآمد])</f>
        <v>0</v>
      </c>
      <c r="G67" s="1">
        <f>SUMIF(TDays[ماه سال],TMonthOfYear[[#This Row],[ماه سال]],TDays[سایر درآمد])</f>
        <v>0</v>
      </c>
      <c r="H67" s="1">
        <f>SUMIF(TDays[ماه سال],TMonthOfYear[[#This Row],[ماه سال]],TDays[پرداخت بدهی])</f>
        <v>0</v>
      </c>
      <c r="I67" s="1">
        <f>SUMIF(TDays[ماه سال],TMonthOfYear[[#This Row],[ماه سال]],TDays[افزایش بدهی])</f>
        <v>0</v>
      </c>
      <c r="J67" s="1">
        <f>SUMIF(TDays[ماه سال],TMonthOfYear[[#This Row],[ماه سال]],TDays[افزایش سرمایه])</f>
        <v>0</v>
      </c>
      <c r="K67" s="1">
        <f>SUMIF(TDays[ماه سال],TMonthOfYear[[#This Row],[ماه سال]],TDays[تعداد تراکنش انجام شده])</f>
        <v>0</v>
      </c>
      <c r="L67" s="1">
        <f>SUMIF(TDays[ماه سال],TMonthOfYear[[#This Row],[ماه سال]],TDays[تراکنش برنامه ریزی شده])</f>
        <v>1</v>
      </c>
    </row>
    <row r="68" spans="1:12" x14ac:dyDescent="0.25">
      <c r="A68" s="3" t="s">
        <v>2814</v>
      </c>
      <c r="B68" s="164" t="str">
        <f>RIGHT(LEFT(TMonthOfYear[[#This Row],[ماه سال]],7),2)</f>
        <v>07</v>
      </c>
      <c r="C68" s="164" t="str">
        <f>LEFT(TMonthOfYear[[#This Row],[ماه سال]],4)</f>
        <v>1406</v>
      </c>
      <c r="D68" s="165" t="str">
        <f>VLOOKUP(RIGHT(LEFT(TMonthOfYear[[#This Row],[ماه سال]],8),2),TMonth[],2,FALSE)</f>
        <v>مهر</v>
      </c>
      <c r="E68" s="1">
        <f>SUMIF(TDays[ماه سال],TMonthOfYear[[#This Row],[ماه سال]],TDays[هزینه])</f>
        <v>0</v>
      </c>
      <c r="F68" s="1">
        <f>SUMIF(TDays[ماه سال],TMonthOfYear[[#This Row],[ماه سال]],TDays[درآمد])</f>
        <v>0</v>
      </c>
      <c r="G68" s="1">
        <f>SUMIF(TDays[ماه سال],TMonthOfYear[[#This Row],[ماه سال]],TDays[سایر درآمد])</f>
        <v>0</v>
      </c>
      <c r="H68" s="1">
        <f>SUMIF(TDays[ماه سال],TMonthOfYear[[#This Row],[ماه سال]],TDays[پرداخت بدهی])</f>
        <v>0</v>
      </c>
      <c r="I68" s="1">
        <f>SUMIF(TDays[ماه سال],TMonthOfYear[[#This Row],[ماه سال]],TDays[افزایش بدهی])</f>
        <v>0</v>
      </c>
      <c r="J68" s="1">
        <f>SUMIF(TDays[ماه سال],TMonthOfYear[[#This Row],[ماه سال]],TDays[افزایش سرمایه])</f>
        <v>0</v>
      </c>
      <c r="K68" s="1">
        <f>SUMIF(TDays[ماه سال],TMonthOfYear[[#This Row],[ماه سال]],TDays[تعداد تراکنش انجام شده])</f>
        <v>0</v>
      </c>
      <c r="L68" s="1">
        <f>SUMIF(TDays[ماه سال],TMonthOfYear[[#This Row],[ماه سال]],TDays[تراکنش برنامه ریزی شده])</f>
        <v>1</v>
      </c>
    </row>
    <row r="69" spans="1:12" x14ac:dyDescent="0.25">
      <c r="A69" s="3" t="s">
        <v>2815</v>
      </c>
      <c r="B69" s="164" t="str">
        <f>RIGHT(LEFT(TMonthOfYear[[#This Row],[ماه سال]],7),2)</f>
        <v>08</v>
      </c>
      <c r="C69" s="164" t="str">
        <f>LEFT(TMonthOfYear[[#This Row],[ماه سال]],4)</f>
        <v>1406</v>
      </c>
      <c r="D69" s="165" t="str">
        <f>VLOOKUP(RIGHT(LEFT(TMonthOfYear[[#This Row],[ماه سال]],8),2),TMonth[],2,FALSE)</f>
        <v>آبان</v>
      </c>
      <c r="E69" s="1">
        <f>SUMIF(TDays[ماه سال],TMonthOfYear[[#This Row],[ماه سال]],TDays[هزینه])</f>
        <v>0</v>
      </c>
      <c r="F69" s="1">
        <f>SUMIF(TDays[ماه سال],TMonthOfYear[[#This Row],[ماه سال]],TDays[درآمد])</f>
        <v>0</v>
      </c>
      <c r="G69" s="1">
        <f>SUMIF(TDays[ماه سال],TMonthOfYear[[#This Row],[ماه سال]],TDays[سایر درآمد])</f>
        <v>0</v>
      </c>
      <c r="H69" s="1">
        <f>SUMIF(TDays[ماه سال],TMonthOfYear[[#This Row],[ماه سال]],TDays[پرداخت بدهی])</f>
        <v>0</v>
      </c>
      <c r="I69" s="1">
        <f>SUMIF(TDays[ماه سال],TMonthOfYear[[#This Row],[ماه سال]],TDays[افزایش بدهی])</f>
        <v>0</v>
      </c>
      <c r="J69" s="1">
        <f>SUMIF(TDays[ماه سال],TMonthOfYear[[#This Row],[ماه سال]],TDays[افزایش سرمایه])</f>
        <v>0</v>
      </c>
      <c r="K69" s="1">
        <f>SUMIF(TDays[ماه سال],TMonthOfYear[[#This Row],[ماه سال]],TDays[تعداد تراکنش انجام شده])</f>
        <v>0</v>
      </c>
      <c r="L69" s="1">
        <f>SUMIF(TDays[ماه سال],TMonthOfYear[[#This Row],[ماه سال]],TDays[تراکنش برنامه ریزی شده])</f>
        <v>1</v>
      </c>
    </row>
    <row r="70" spans="1:12" x14ac:dyDescent="0.25">
      <c r="A70" s="3" t="s">
        <v>2816</v>
      </c>
      <c r="B70" s="164" t="str">
        <f>RIGHT(LEFT(TMonthOfYear[[#This Row],[ماه سال]],7),2)</f>
        <v>09</v>
      </c>
      <c r="C70" s="164" t="str">
        <f>LEFT(TMonthOfYear[[#This Row],[ماه سال]],4)</f>
        <v>1406</v>
      </c>
      <c r="D70" s="165" t="str">
        <f>VLOOKUP(RIGHT(LEFT(TMonthOfYear[[#This Row],[ماه سال]],8),2),TMonth[],2,FALSE)</f>
        <v>آذر</v>
      </c>
      <c r="E70" s="1">
        <f>SUMIF(TDays[ماه سال],TMonthOfYear[[#This Row],[ماه سال]],TDays[هزینه])</f>
        <v>0</v>
      </c>
      <c r="F70" s="1">
        <f>SUMIF(TDays[ماه سال],TMonthOfYear[[#This Row],[ماه سال]],TDays[درآمد])</f>
        <v>0</v>
      </c>
      <c r="G70" s="1">
        <f>SUMIF(TDays[ماه سال],TMonthOfYear[[#This Row],[ماه سال]],TDays[سایر درآمد])</f>
        <v>0</v>
      </c>
      <c r="H70" s="1">
        <f>SUMIF(TDays[ماه سال],TMonthOfYear[[#This Row],[ماه سال]],TDays[پرداخت بدهی])</f>
        <v>0</v>
      </c>
      <c r="I70" s="1">
        <f>SUMIF(TDays[ماه سال],TMonthOfYear[[#This Row],[ماه سال]],TDays[افزایش بدهی])</f>
        <v>0</v>
      </c>
      <c r="J70" s="1">
        <f>SUMIF(TDays[ماه سال],TMonthOfYear[[#This Row],[ماه سال]],TDays[افزایش سرمایه])</f>
        <v>0</v>
      </c>
      <c r="K70" s="1">
        <f>SUMIF(TDays[ماه سال],TMonthOfYear[[#This Row],[ماه سال]],TDays[تعداد تراکنش انجام شده])</f>
        <v>0</v>
      </c>
      <c r="L70" s="1">
        <f>SUMIF(TDays[ماه سال],TMonthOfYear[[#This Row],[ماه سال]],TDays[تراکنش برنامه ریزی شده])</f>
        <v>1</v>
      </c>
    </row>
    <row r="71" spans="1:12" x14ac:dyDescent="0.25">
      <c r="A71" s="3" t="s">
        <v>2817</v>
      </c>
      <c r="B71" s="164" t="str">
        <f>RIGHT(LEFT(TMonthOfYear[[#This Row],[ماه سال]],7),2)</f>
        <v>10</v>
      </c>
      <c r="C71" s="164" t="str">
        <f>LEFT(TMonthOfYear[[#This Row],[ماه سال]],4)</f>
        <v>1406</v>
      </c>
      <c r="D71" s="165" t="str">
        <f>VLOOKUP(RIGHT(LEFT(TMonthOfYear[[#This Row],[ماه سال]],8),2),TMonth[],2,FALSE)</f>
        <v>دی</v>
      </c>
      <c r="E71" s="1">
        <f>SUMIF(TDays[ماه سال],TMonthOfYear[[#This Row],[ماه سال]],TDays[هزینه])</f>
        <v>0</v>
      </c>
      <c r="F71" s="1">
        <f>SUMIF(TDays[ماه سال],TMonthOfYear[[#This Row],[ماه سال]],TDays[درآمد])</f>
        <v>0</v>
      </c>
      <c r="G71" s="1">
        <f>SUMIF(TDays[ماه سال],TMonthOfYear[[#This Row],[ماه سال]],TDays[سایر درآمد])</f>
        <v>0</v>
      </c>
      <c r="H71" s="1">
        <f>SUMIF(TDays[ماه سال],TMonthOfYear[[#This Row],[ماه سال]],TDays[پرداخت بدهی])</f>
        <v>0</v>
      </c>
      <c r="I71" s="1">
        <f>SUMIF(TDays[ماه سال],TMonthOfYear[[#This Row],[ماه سال]],TDays[افزایش بدهی])</f>
        <v>0</v>
      </c>
      <c r="J71" s="1">
        <f>SUMIF(TDays[ماه سال],TMonthOfYear[[#This Row],[ماه سال]],TDays[افزایش سرمایه])</f>
        <v>0</v>
      </c>
      <c r="K71" s="1">
        <f>SUMIF(TDays[ماه سال],TMonthOfYear[[#This Row],[ماه سال]],TDays[تعداد تراکنش انجام شده])</f>
        <v>0</v>
      </c>
      <c r="L71" s="1">
        <f>SUMIF(TDays[ماه سال],TMonthOfYear[[#This Row],[ماه سال]],TDays[تراکنش برنامه ریزی شده])</f>
        <v>1</v>
      </c>
    </row>
    <row r="72" spans="1:12" x14ac:dyDescent="0.25">
      <c r="A72" s="3" t="s">
        <v>2818</v>
      </c>
      <c r="B72" s="164" t="str">
        <f>RIGHT(LEFT(TMonthOfYear[[#This Row],[ماه سال]],7),2)</f>
        <v>11</v>
      </c>
      <c r="C72" s="164" t="str">
        <f>LEFT(TMonthOfYear[[#This Row],[ماه سال]],4)</f>
        <v>1406</v>
      </c>
      <c r="D72" s="165" t="str">
        <f>VLOOKUP(RIGHT(LEFT(TMonthOfYear[[#This Row],[ماه سال]],8),2),TMonth[],2,FALSE)</f>
        <v>بهمن</v>
      </c>
      <c r="E72" s="1">
        <f>SUMIF(TDays[ماه سال],TMonthOfYear[[#This Row],[ماه سال]],TDays[هزینه])</f>
        <v>0</v>
      </c>
      <c r="F72" s="1">
        <f>SUMIF(TDays[ماه سال],TMonthOfYear[[#This Row],[ماه سال]],TDays[درآمد])</f>
        <v>0</v>
      </c>
      <c r="G72" s="1">
        <f>SUMIF(TDays[ماه سال],TMonthOfYear[[#This Row],[ماه سال]],TDays[سایر درآمد])</f>
        <v>0</v>
      </c>
      <c r="H72" s="1">
        <f>SUMIF(TDays[ماه سال],TMonthOfYear[[#This Row],[ماه سال]],TDays[پرداخت بدهی])</f>
        <v>0</v>
      </c>
      <c r="I72" s="1">
        <f>SUMIF(TDays[ماه سال],TMonthOfYear[[#This Row],[ماه سال]],TDays[افزایش بدهی])</f>
        <v>0</v>
      </c>
      <c r="J72" s="1">
        <f>SUMIF(TDays[ماه سال],TMonthOfYear[[#This Row],[ماه سال]],TDays[افزایش سرمایه])</f>
        <v>0</v>
      </c>
      <c r="K72" s="1">
        <f>SUMIF(TDays[ماه سال],TMonthOfYear[[#This Row],[ماه سال]],TDays[تعداد تراکنش انجام شده])</f>
        <v>0</v>
      </c>
      <c r="L72" s="1">
        <f>SUMIF(TDays[ماه سال],TMonthOfYear[[#This Row],[ماه سال]],TDays[تراکنش برنامه ریزی شده])</f>
        <v>1</v>
      </c>
    </row>
    <row r="73" spans="1:12" x14ac:dyDescent="0.25">
      <c r="A73" s="3" t="s">
        <v>2819</v>
      </c>
      <c r="B73" s="164" t="str">
        <f>RIGHT(LEFT(TMonthOfYear[[#This Row],[ماه سال]],7),2)</f>
        <v>12</v>
      </c>
      <c r="C73" s="164" t="str">
        <f>LEFT(TMonthOfYear[[#This Row],[ماه سال]],4)</f>
        <v>1406</v>
      </c>
      <c r="D73" s="165" t="str">
        <f>VLOOKUP(RIGHT(LEFT(TMonthOfYear[[#This Row],[ماه سال]],8),2),TMonth[],2,FALSE)</f>
        <v>اسفند</v>
      </c>
      <c r="E73" s="1">
        <f>SUMIF(TDays[ماه سال],TMonthOfYear[[#This Row],[ماه سال]],TDays[هزینه])</f>
        <v>0</v>
      </c>
      <c r="F73" s="1">
        <f>SUMIF(TDays[ماه سال],TMonthOfYear[[#This Row],[ماه سال]],TDays[درآمد])</f>
        <v>0</v>
      </c>
      <c r="G73" s="1">
        <f>SUMIF(TDays[ماه سال],TMonthOfYear[[#This Row],[ماه سال]],TDays[سایر درآمد])</f>
        <v>0</v>
      </c>
      <c r="H73" s="1">
        <f>SUMIF(TDays[ماه سال],TMonthOfYear[[#This Row],[ماه سال]],TDays[پرداخت بدهی])</f>
        <v>0</v>
      </c>
      <c r="I73" s="1">
        <f>SUMIF(TDays[ماه سال],TMonthOfYear[[#This Row],[ماه سال]],TDays[افزایش بدهی])</f>
        <v>0</v>
      </c>
      <c r="J73" s="1">
        <f>SUMIF(TDays[ماه سال],TMonthOfYear[[#This Row],[ماه سال]],TDays[افزایش سرمایه])</f>
        <v>0</v>
      </c>
      <c r="K73" s="1">
        <f>SUMIF(TDays[ماه سال],TMonthOfYear[[#This Row],[ماه سال]],TDays[تعداد تراکنش انجام شده])</f>
        <v>0</v>
      </c>
      <c r="L73" s="1">
        <f>SUMIF(TDays[ماه سال],TMonthOfYear[[#This Row],[ماه سال]],TDays[تراکنش برنامه ریزی شده])</f>
        <v>1</v>
      </c>
    </row>
  </sheetData>
  <conditionalFormatting sqref="A1:L1048576">
    <cfRule type="expression" dxfId="18" priority="1">
      <formula>$K1&gt;0</formula>
    </cfRule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Y u 6 U m Y M 0 F W j A A A A 9 Q A A A B I A H A B D b 2 5 m a W c v U G F j a 2 F n Z S 5 4 b W w g o h g A K K A U A A A A A A A A A A A A A A A A A A A A A A A A A A A A h Y + x D o I w G I R f h X S n L c i g 5 K c M r p K Y E I 0 r K R U a 4 c f Q Y n k 3 B x / J V x C j q J v J L X f 3 D X f 3 6 w 3 S s W 2 8 i + q N 7 j A h A e X E U y i 7 U m O V k M E e / S V J B W w L e S o q 5 U 0 w m n g 0 Z U J q a 8 8 x Y 8 4 5 6 h a 0 6 y s W c h 6 w Q 7 b J Z a 3 a g n x g / R / 2 N R p b o F R E w P 4 1 R o R 0 N S m K K A c 2 Z 5 B p / P b h N P f Z / o S w H h o 7 9 E o o 9 H c 5 s N k C e 1 8 Q D 1 B L A w Q U A A I A C A C 1 i 7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Y u 6 U i i K R 7 g O A A A A E Q A A A B M A H A B G b 3 J t d W x h c y 9 T Z W N 0 a W 9 u M S 5 t I K I Y A C i g F A A A A A A A A A A A A A A A A A A A A A A A A A A A A C t O T S 7 J z M 9 T C I b Q h t Y A U E s B A i 0 A F A A C A A g A t Y u 6 U m Y M 0 F W j A A A A 9 Q A A A B I A A A A A A A A A A A A A A A A A A A A A A E N v b m Z p Z y 9 Q Y W N r Y W d l L n h t b F B L A Q I t A B Q A A g A I A L W L u l I P y u m r p A A A A O k A A A A T A A A A A A A A A A A A A A A A A O 8 A A A B b Q 2 9 u d G V u d F 9 U e X B l c 1 0 u e G 1 s U E s B A i 0 A F A A C A A g A t Y u 6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b 0 z H b p p p 1 N s k m A B / G 2 5 a A A A A A A A g A A A A A A E G Y A A A A B A A A g A A A A t Y r u 2 C f f l G M c W Y c n L 7 Y N 4 4 l r t T h Z E l x q p C u B l F n x w J o A A A A A D o A A A A A C A A A g A A A A 2 E e 0 a K F V j S n 8 C I m j 6 G m H V 3 R l e F z B O 8 4 X l 7 j J b f Q d M M 5 Q A A A A X B P Y J x F g h / Q R 6 n c u X i F 2 A q I 8 2 p j E i 5 r D L y V C D 2 1 7 5 y Q u H 2 H N B d p B 2 L q K p f g S W p c N I 6 D x Y 5 N + W u U u 5 W h Z u I s d M 4 t L k 3 8 P 4 q I E a 1 j P a 6 5 K f 3 d A A A A A a A F g X L W x 2 t 9 G D P d / I v J g X 3 D I M o q O q v z V J 3 l S m F E O o H l H 1 G r F v G 1 e O A 6 c 2 c C v n o Y G P w d Q 5 2 y 5 5 g x y N u v 2 + T I e P w = = < / D a t a M a s h u p > 
</file>

<file path=customXml/itemProps1.xml><?xml version="1.0" encoding="utf-8"?>
<ds:datastoreItem xmlns:ds="http://schemas.openxmlformats.org/officeDocument/2006/customXml" ds:itemID="{68089698-48C8-42FB-8CFF-311189CC86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سند</vt:lpstr>
      <vt:lpstr>حساب</vt:lpstr>
      <vt:lpstr>طرف حساب</vt:lpstr>
      <vt:lpstr>بانک</vt:lpstr>
      <vt:lpstr>تناسب</vt:lpstr>
      <vt:lpstr>روزشمار</vt:lpstr>
      <vt:lpstr>ماه شمار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JavadSayedi</dc:creator>
  <cp:lastModifiedBy>Seyed Javad Sayedi</cp:lastModifiedBy>
  <cp:lastPrinted>2021-05-27T19:06:53Z</cp:lastPrinted>
  <dcterms:created xsi:type="dcterms:W3CDTF">2017-11-29T04:35:53Z</dcterms:created>
  <dcterms:modified xsi:type="dcterms:W3CDTF">2023-03-29T09:05:11Z</dcterms:modified>
</cp:coreProperties>
</file>